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dnab\Documents\"/>
    </mc:Choice>
  </mc:AlternateContent>
  <bookViews>
    <workbookView xWindow="0" yWindow="0" windowWidth="23040" windowHeight="8868"/>
  </bookViews>
  <sheets>
    <sheet name="תקציב 2026" sheetId="1" r:id="rId1"/>
  </sheets>
  <externalReferences>
    <externalReference r:id="rId2"/>
    <externalReference r:id="rId3"/>
    <externalReference r:id="rId4"/>
    <externalReference r:id="rId5"/>
  </externalReferences>
  <definedNames>
    <definedName name="_xlnm._FilterDatabase" localSheetId="0" hidden="1">'תקציב 2026'!$A$4:$L$3761</definedName>
    <definedName name="_xlnm.Print_Area" localSheetId="0">'תקציב 2026'!$A$4:$L$3739</definedName>
    <definedName name="_xlnm.Print_Titles" localSheetId="0">'תקציב 2026'!$1:$4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765" i="1" l="1"/>
  <c r="L3761" i="1"/>
  <c r="L3759" i="1"/>
  <c r="H3755" i="1"/>
  <c r="H3754" i="1"/>
  <c r="L3747" i="1"/>
  <c r="K3747" i="1"/>
  <c r="J3747" i="1"/>
  <c r="L3746" i="1"/>
  <c r="K3746" i="1"/>
  <c r="J3746" i="1"/>
  <c r="H3746" i="1" s="1"/>
  <c r="L3745" i="1"/>
  <c r="K3745" i="1"/>
  <c r="J3745" i="1"/>
  <c r="H3745" i="1" s="1"/>
  <c r="L3744" i="1"/>
  <c r="K3744" i="1"/>
  <c r="K3748" i="1" s="1"/>
  <c r="J3744" i="1"/>
  <c r="J3748" i="1" s="1"/>
  <c r="L3741" i="1"/>
  <c r="L3742" i="1" s="1"/>
  <c r="K3741" i="1"/>
  <c r="H3741" i="1" s="1"/>
  <c r="L3740" i="1"/>
  <c r="K3740" i="1"/>
  <c r="K3742" i="1" s="1"/>
  <c r="J3740" i="1"/>
  <c r="J3739" i="1"/>
  <c r="J3742" i="1" s="1"/>
  <c r="K3737" i="1"/>
  <c r="L3736" i="1"/>
  <c r="L3737" i="1" s="1"/>
  <c r="J3736" i="1"/>
  <c r="H3736" i="1" s="1"/>
  <c r="K3734" i="1"/>
  <c r="L3733" i="1"/>
  <c r="J3733" i="1"/>
  <c r="H3733" i="1" s="1"/>
  <c r="L3732" i="1"/>
  <c r="J3732" i="1"/>
  <c r="H3732" i="1" s="1"/>
  <c r="L3731" i="1"/>
  <c r="J3731" i="1"/>
  <c r="H3731" i="1" s="1"/>
  <c r="L3730" i="1"/>
  <c r="J3730" i="1"/>
  <c r="J3734" i="1" s="1"/>
  <c r="H3734" i="1" s="1"/>
  <c r="L3729" i="1"/>
  <c r="J3729" i="1"/>
  <c r="H3729" i="1" s="1"/>
  <c r="L3728" i="1"/>
  <c r="J3728" i="1"/>
  <c r="H3728" i="1" s="1"/>
  <c r="L3725" i="1"/>
  <c r="K3725" i="1"/>
  <c r="K3726" i="1" s="1"/>
  <c r="J3725" i="1"/>
  <c r="L3724" i="1"/>
  <c r="J3724" i="1"/>
  <c r="L3721" i="1"/>
  <c r="L3722" i="1" s="1"/>
  <c r="K3721" i="1"/>
  <c r="K3722" i="1" s="1"/>
  <c r="J3721" i="1"/>
  <c r="J3722" i="1" s="1"/>
  <c r="K3719" i="1"/>
  <c r="L3718" i="1"/>
  <c r="L3719" i="1" s="1"/>
  <c r="J3718" i="1"/>
  <c r="J3719" i="1" s="1"/>
  <c r="L3715" i="1"/>
  <c r="J3715" i="1"/>
  <c r="H3715" i="1" s="1"/>
  <c r="L3714" i="1"/>
  <c r="K3714" i="1"/>
  <c r="J3714" i="1"/>
  <c r="H3714" i="1" s="1"/>
  <c r="L3713" i="1"/>
  <c r="K3713" i="1"/>
  <c r="J3713" i="1"/>
  <c r="F3713" i="1"/>
  <c r="J3712" i="1"/>
  <c r="L3711" i="1"/>
  <c r="J3711" i="1"/>
  <c r="H3711" i="1" s="1"/>
  <c r="L3710" i="1"/>
  <c r="K3710" i="1"/>
  <c r="J3710" i="1"/>
  <c r="L3709" i="1"/>
  <c r="K3709" i="1"/>
  <c r="K3716" i="1" s="1"/>
  <c r="J3709" i="1"/>
  <c r="L3707" i="1"/>
  <c r="K3707" i="1"/>
  <c r="J3706" i="1"/>
  <c r="J3705" i="1"/>
  <c r="J3704" i="1"/>
  <c r="J3703" i="1"/>
  <c r="J3702" i="1"/>
  <c r="J3701" i="1"/>
  <c r="J3700" i="1"/>
  <c r="J3699" i="1"/>
  <c r="J3698" i="1"/>
  <c r="J3697" i="1"/>
  <c r="J3696" i="1"/>
  <c r="J3695" i="1"/>
  <c r="L3691" i="1"/>
  <c r="K3691" i="1"/>
  <c r="J3691" i="1"/>
  <c r="H3691" i="1" s="1"/>
  <c r="L3690" i="1"/>
  <c r="J3690" i="1"/>
  <c r="H3690" i="1"/>
  <c r="L3689" i="1"/>
  <c r="K3689" i="1"/>
  <c r="J3689" i="1"/>
  <c r="H3689" i="1" s="1"/>
  <c r="L3688" i="1"/>
  <c r="K3688" i="1"/>
  <c r="J3688" i="1"/>
  <c r="H3688" i="1" s="1"/>
  <c r="L3687" i="1"/>
  <c r="K3687" i="1"/>
  <c r="J3687" i="1"/>
  <c r="H3687" i="1" s="1"/>
  <c r="L3686" i="1"/>
  <c r="K3686" i="1"/>
  <c r="J3686" i="1"/>
  <c r="H3686" i="1" s="1"/>
  <c r="L3685" i="1"/>
  <c r="K3685" i="1"/>
  <c r="J3685" i="1"/>
  <c r="H3685" i="1" s="1"/>
  <c r="L3684" i="1"/>
  <c r="K3684" i="1"/>
  <c r="J3684" i="1"/>
  <c r="H3684" i="1" s="1"/>
  <c r="L3683" i="1"/>
  <c r="K3683" i="1"/>
  <c r="J3683" i="1"/>
  <c r="H3683" i="1" s="1"/>
  <c r="L3682" i="1"/>
  <c r="J3682" i="1"/>
  <c r="H3682" i="1"/>
  <c r="L3681" i="1"/>
  <c r="K3681" i="1"/>
  <c r="J3681" i="1"/>
  <c r="H3681" i="1" s="1"/>
  <c r="L3680" i="1"/>
  <c r="K3680" i="1"/>
  <c r="J3680" i="1"/>
  <c r="H3680" i="1" s="1"/>
  <c r="L3679" i="1"/>
  <c r="K3679" i="1"/>
  <c r="J3679" i="1"/>
  <c r="H3679" i="1"/>
  <c r="L3678" i="1"/>
  <c r="J3678" i="1"/>
  <c r="H3678" i="1" s="1"/>
  <c r="L3677" i="1"/>
  <c r="K3677" i="1"/>
  <c r="J3677" i="1"/>
  <c r="L3676" i="1"/>
  <c r="K3676" i="1"/>
  <c r="J3676" i="1"/>
  <c r="L3675" i="1"/>
  <c r="J3675" i="1"/>
  <c r="H3675" i="1" s="1"/>
  <c r="L3674" i="1"/>
  <c r="K3674" i="1"/>
  <c r="J3674" i="1"/>
  <c r="H3674" i="1" s="1"/>
  <c r="L3673" i="1"/>
  <c r="K3673" i="1"/>
  <c r="H3673" i="1" s="1"/>
  <c r="J3673" i="1"/>
  <c r="L3672" i="1"/>
  <c r="K3672" i="1"/>
  <c r="J3672" i="1"/>
  <c r="H3672" i="1" s="1"/>
  <c r="L3671" i="1"/>
  <c r="K3671" i="1"/>
  <c r="J3671" i="1"/>
  <c r="L3670" i="1"/>
  <c r="K3670" i="1"/>
  <c r="J3670" i="1"/>
  <c r="H3670" i="1" s="1"/>
  <c r="L3669" i="1"/>
  <c r="K3669" i="1"/>
  <c r="J3669" i="1"/>
  <c r="L3668" i="1"/>
  <c r="K3668" i="1"/>
  <c r="J3668" i="1"/>
  <c r="H3668" i="1" s="1"/>
  <c r="L3667" i="1"/>
  <c r="J3667" i="1"/>
  <c r="H3667" i="1" s="1"/>
  <c r="L3666" i="1"/>
  <c r="J3666" i="1"/>
  <c r="L3663" i="1"/>
  <c r="G3663" i="1"/>
  <c r="F3663" i="1"/>
  <c r="D3663" i="1"/>
  <c r="A3663" i="1"/>
  <c r="J3663" i="1" s="1"/>
  <c r="L3662" i="1"/>
  <c r="J3662" i="1"/>
  <c r="H3662" i="1"/>
  <c r="L3661" i="1"/>
  <c r="J3661" i="1"/>
  <c r="H3661" i="1" s="1"/>
  <c r="L3660" i="1"/>
  <c r="K3660" i="1"/>
  <c r="J3660" i="1"/>
  <c r="L3659" i="1"/>
  <c r="J3659" i="1"/>
  <c r="H3659" i="1" s="1"/>
  <c r="L3658" i="1"/>
  <c r="K3658" i="1"/>
  <c r="J3658" i="1"/>
  <c r="J3657" i="1"/>
  <c r="L3656" i="1"/>
  <c r="J3656" i="1"/>
  <c r="H3656" i="1" s="1"/>
  <c r="L3655" i="1"/>
  <c r="K3655" i="1"/>
  <c r="H3655" i="1" s="1"/>
  <c r="J3655" i="1"/>
  <c r="L3654" i="1"/>
  <c r="K3654" i="1"/>
  <c r="J3654" i="1"/>
  <c r="L3653" i="1"/>
  <c r="K3653" i="1"/>
  <c r="J3653" i="1"/>
  <c r="L3652" i="1"/>
  <c r="K3652" i="1"/>
  <c r="J3652" i="1"/>
  <c r="L3651" i="1"/>
  <c r="K3651" i="1"/>
  <c r="J3651" i="1"/>
  <c r="L3650" i="1"/>
  <c r="J3650" i="1"/>
  <c r="H3650" i="1" s="1"/>
  <c r="L3649" i="1"/>
  <c r="J3649" i="1"/>
  <c r="H3649" i="1"/>
  <c r="L3648" i="1"/>
  <c r="J3648" i="1"/>
  <c r="H3648" i="1" s="1"/>
  <c r="L3647" i="1"/>
  <c r="J3647" i="1"/>
  <c r="L3646" i="1"/>
  <c r="K3646" i="1"/>
  <c r="J3646" i="1"/>
  <c r="L3645" i="1"/>
  <c r="K3645" i="1"/>
  <c r="J3645" i="1"/>
  <c r="L3644" i="1"/>
  <c r="K3644" i="1"/>
  <c r="L3643" i="1"/>
  <c r="H3643" i="1"/>
  <c r="L3640" i="1"/>
  <c r="K3640" i="1"/>
  <c r="J3640" i="1"/>
  <c r="H3640" i="1" s="1"/>
  <c r="L3639" i="1"/>
  <c r="K3639" i="1"/>
  <c r="K3641" i="1" s="1"/>
  <c r="J3639" i="1"/>
  <c r="H3639" i="1" s="1"/>
  <c r="L3636" i="1"/>
  <c r="K3636" i="1"/>
  <c r="K3637" i="1" s="1"/>
  <c r="J3636" i="1"/>
  <c r="L3635" i="1"/>
  <c r="J3635" i="1"/>
  <c r="H3635" i="1"/>
  <c r="L3634" i="1"/>
  <c r="J3634" i="1"/>
  <c r="H3634" i="1" s="1"/>
  <c r="L3631" i="1"/>
  <c r="K3631" i="1"/>
  <c r="J3631" i="1"/>
  <c r="L3630" i="1"/>
  <c r="K3630" i="1"/>
  <c r="J3630" i="1"/>
  <c r="H3630" i="1" s="1"/>
  <c r="L3629" i="1"/>
  <c r="K3629" i="1"/>
  <c r="J3629" i="1"/>
  <c r="L3628" i="1"/>
  <c r="K3628" i="1"/>
  <c r="J3628" i="1"/>
  <c r="H3628" i="1" s="1"/>
  <c r="L3627" i="1"/>
  <c r="J3627" i="1"/>
  <c r="H3627" i="1" s="1"/>
  <c r="K3626" i="1"/>
  <c r="G3626" i="1"/>
  <c r="F3626" i="1"/>
  <c r="B3626" i="1"/>
  <c r="A3626" i="1"/>
  <c r="L3626" i="1" s="1"/>
  <c r="L3625" i="1"/>
  <c r="K3625" i="1"/>
  <c r="J3625" i="1"/>
  <c r="H3625" i="1"/>
  <c r="L3624" i="1"/>
  <c r="K3624" i="1"/>
  <c r="J3624" i="1"/>
  <c r="H3624" i="1" s="1"/>
  <c r="L3623" i="1"/>
  <c r="K3623" i="1"/>
  <c r="J3623" i="1"/>
  <c r="L3622" i="1"/>
  <c r="K3622" i="1"/>
  <c r="J3622" i="1"/>
  <c r="H3622" i="1" s="1"/>
  <c r="L3621" i="1"/>
  <c r="K3621" i="1"/>
  <c r="J3621" i="1"/>
  <c r="H3621" i="1"/>
  <c r="L3620" i="1"/>
  <c r="J3620" i="1"/>
  <c r="H3620" i="1"/>
  <c r="L3617" i="1"/>
  <c r="K3617" i="1"/>
  <c r="J3617" i="1"/>
  <c r="L3616" i="1"/>
  <c r="K3616" i="1"/>
  <c r="J3616" i="1"/>
  <c r="J3615" i="1"/>
  <c r="L3614" i="1"/>
  <c r="K3614" i="1"/>
  <c r="J3614" i="1"/>
  <c r="L3613" i="1"/>
  <c r="K3613" i="1"/>
  <c r="J3613" i="1"/>
  <c r="H3613" i="1" s="1"/>
  <c r="L3612" i="1"/>
  <c r="L3618" i="1" s="1"/>
  <c r="K3612" i="1"/>
  <c r="J3612" i="1"/>
  <c r="H3612" i="1" s="1"/>
  <c r="L3610" i="1"/>
  <c r="K3610" i="1"/>
  <c r="J3608" i="1"/>
  <c r="J3607" i="1"/>
  <c r="J3606" i="1"/>
  <c r="L3599" i="1"/>
  <c r="K3599" i="1"/>
  <c r="J3599" i="1"/>
  <c r="L3598" i="1"/>
  <c r="K3598" i="1"/>
  <c r="J3598" i="1"/>
  <c r="L3597" i="1"/>
  <c r="K3597" i="1"/>
  <c r="J3597" i="1"/>
  <c r="L3596" i="1"/>
  <c r="K3596" i="1"/>
  <c r="H3596" i="1" s="1"/>
  <c r="J3596" i="1"/>
  <c r="L3595" i="1"/>
  <c r="K3595" i="1"/>
  <c r="J3595" i="1"/>
  <c r="H3595" i="1" s="1"/>
  <c r="L3594" i="1"/>
  <c r="K3594" i="1"/>
  <c r="J3594" i="1"/>
  <c r="L3593" i="1"/>
  <c r="K3593" i="1"/>
  <c r="J3593" i="1"/>
  <c r="L3592" i="1"/>
  <c r="K3592" i="1"/>
  <c r="J3592" i="1"/>
  <c r="L3591" i="1"/>
  <c r="J3591" i="1"/>
  <c r="H3591" i="1"/>
  <c r="L3590" i="1"/>
  <c r="K3590" i="1"/>
  <c r="J3590" i="1"/>
  <c r="L3589" i="1"/>
  <c r="L3600" i="1" s="1"/>
  <c r="J3589" i="1"/>
  <c r="J3600" i="1" s="1"/>
  <c r="L3586" i="1"/>
  <c r="K3586" i="1"/>
  <c r="G3586" i="1"/>
  <c r="F3586" i="1"/>
  <c r="D3586" i="1"/>
  <c r="C3586" i="1"/>
  <c r="B3586" i="1"/>
  <c r="A3586" i="1"/>
  <c r="J3586" i="1" s="1"/>
  <c r="H3586" i="1" s="1"/>
  <c r="L3585" i="1"/>
  <c r="K3585" i="1"/>
  <c r="J3585" i="1"/>
  <c r="L3584" i="1"/>
  <c r="K3584" i="1"/>
  <c r="J3584" i="1"/>
  <c r="L3583" i="1"/>
  <c r="K3583" i="1"/>
  <c r="J3583" i="1"/>
  <c r="H3583" i="1" s="1"/>
  <c r="L3582" i="1"/>
  <c r="K3582" i="1"/>
  <c r="J3582" i="1"/>
  <c r="L3581" i="1"/>
  <c r="K3581" i="1"/>
  <c r="J3581" i="1"/>
  <c r="L3580" i="1"/>
  <c r="K3580" i="1"/>
  <c r="J3580" i="1"/>
  <c r="L3579" i="1"/>
  <c r="K3579" i="1"/>
  <c r="J3579" i="1"/>
  <c r="L3578" i="1"/>
  <c r="K3578" i="1"/>
  <c r="J3578" i="1"/>
  <c r="L3577" i="1"/>
  <c r="K3577" i="1"/>
  <c r="J3577" i="1"/>
  <c r="L3576" i="1"/>
  <c r="K3576" i="1"/>
  <c r="J3576" i="1"/>
  <c r="L3575" i="1"/>
  <c r="K3575" i="1"/>
  <c r="J3575" i="1"/>
  <c r="L3574" i="1"/>
  <c r="K3574" i="1"/>
  <c r="J3574" i="1"/>
  <c r="L3573" i="1"/>
  <c r="K3573" i="1"/>
  <c r="J3573" i="1"/>
  <c r="L3572" i="1"/>
  <c r="K3572" i="1"/>
  <c r="J3572" i="1"/>
  <c r="L3571" i="1"/>
  <c r="K3571" i="1"/>
  <c r="J3571" i="1"/>
  <c r="F3571" i="1"/>
  <c r="L3570" i="1"/>
  <c r="K3570" i="1"/>
  <c r="J3570" i="1"/>
  <c r="H3570" i="1"/>
  <c r="L3569" i="1"/>
  <c r="K3569" i="1"/>
  <c r="J3569" i="1"/>
  <c r="H3569" i="1" s="1"/>
  <c r="L3568" i="1"/>
  <c r="K3568" i="1"/>
  <c r="H3568" i="1" s="1"/>
  <c r="J3568" i="1"/>
  <c r="L3567" i="1"/>
  <c r="K3567" i="1"/>
  <c r="H3567" i="1" s="1"/>
  <c r="J3567" i="1"/>
  <c r="L3566" i="1"/>
  <c r="K3566" i="1"/>
  <c r="H3566" i="1" s="1"/>
  <c r="J3566" i="1"/>
  <c r="L3565" i="1"/>
  <c r="J3565" i="1"/>
  <c r="L3564" i="1"/>
  <c r="K3564" i="1"/>
  <c r="J3564" i="1"/>
  <c r="L3563" i="1"/>
  <c r="J3563" i="1"/>
  <c r="L3560" i="1"/>
  <c r="J3560" i="1"/>
  <c r="H3560" i="1" s="1"/>
  <c r="L3559" i="1"/>
  <c r="K3559" i="1"/>
  <c r="J3559" i="1"/>
  <c r="H3559" i="1" s="1"/>
  <c r="L3558" i="1"/>
  <c r="K3558" i="1"/>
  <c r="J3558" i="1"/>
  <c r="H3558" i="1" s="1"/>
  <c r="L3557" i="1"/>
  <c r="L3561" i="1" s="1"/>
  <c r="K3557" i="1"/>
  <c r="J3557" i="1"/>
  <c r="H3557" i="1" s="1"/>
  <c r="F3557" i="1"/>
  <c r="L3554" i="1"/>
  <c r="L3555" i="1" s="1"/>
  <c r="K3554" i="1"/>
  <c r="K3555" i="1" s="1"/>
  <c r="J3554" i="1"/>
  <c r="L3551" i="1"/>
  <c r="K3551" i="1"/>
  <c r="J3551" i="1"/>
  <c r="H3551" i="1" s="1"/>
  <c r="L3550" i="1"/>
  <c r="K3550" i="1"/>
  <c r="J3550" i="1"/>
  <c r="H3550" i="1" s="1"/>
  <c r="L3549" i="1"/>
  <c r="K3549" i="1"/>
  <c r="J3549" i="1"/>
  <c r="H3549" i="1" s="1"/>
  <c r="L3548" i="1"/>
  <c r="K3548" i="1"/>
  <c r="J3548" i="1"/>
  <c r="H3548" i="1" s="1"/>
  <c r="L3547" i="1"/>
  <c r="K3547" i="1"/>
  <c r="J3547" i="1"/>
  <c r="H3547" i="1" s="1"/>
  <c r="L3546" i="1"/>
  <c r="K3546" i="1"/>
  <c r="J3546" i="1"/>
  <c r="L3545" i="1"/>
  <c r="K3545" i="1"/>
  <c r="J3545" i="1"/>
  <c r="L3544" i="1"/>
  <c r="L3552" i="1" s="1"/>
  <c r="K3544" i="1"/>
  <c r="J3544" i="1"/>
  <c r="J3552" i="1" s="1"/>
  <c r="L3541" i="1"/>
  <c r="K3541" i="1"/>
  <c r="J3541" i="1"/>
  <c r="H3541" i="1" s="1"/>
  <c r="L3540" i="1"/>
  <c r="L3542" i="1" s="1"/>
  <c r="K3540" i="1"/>
  <c r="K3542" i="1" s="1"/>
  <c r="J3540" i="1"/>
  <c r="J3542" i="1" s="1"/>
  <c r="L3537" i="1"/>
  <c r="J3537" i="1"/>
  <c r="H3537" i="1" s="1"/>
  <c r="J3536" i="1"/>
  <c r="L3535" i="1"/>
  <c r="K3535" i="1"/>
  <c r="J3535" i="1"/>
  <c r="H3535" i="1" s="1"/>
  <c r="L3534" i="1"/>
  <c r="J3534" i="1"/>
  <c r="H3534" i="1" s="1"/>
  <c r="L3533" i="1"/>
  <c r="K3533" i="1"/>
  <c r="J3533" i="1"/>
  <c r="H3533" i="1" s="1"/>
  <c r="L3532" i="1"/>
  <c r="J3532" i="1"/>
  <c r="H3532" i="1" s="1"/>
  <c r="F3532" i="1"/>
  <c r="J3531" i="1"/>
  <c r="L3530" i="1"/>
  <c r="K3530" i="1"/>
  <c r="K3538" i="1" s="1"/>
  <c r="J3530" i="1"/>
  <c r="J3538" i="1" s="1"/>
  <c r="L3527" i="1"/>
  <c r="K3527" i="1"/>
  <c r="J3527" i="1"/>
  <c r="H3527" i="1" s="1"/>
  <c r="L3526" i="1"/>
  <c r="K3526" i="1"/>
  <c r="J3526" i="1"/>
  <c r="L3525" i="1"/>
  <c r="K3525" i="1"/>
  <c r="J3525" i="1"/>
  <c r="H3525" i="1" s="1"/>
  <c r="L3524" i="1"/>
  <c r="K3524" i="1"/>
  <c r="J3524" i="1"/>
  <c r="H3524" i="1" s="1"/>
  <c r="L3523" i="1"/>
  <c r="J3523" i="1"/>
  <c r="H3523" i="1" s="1"/>
  <c r="L3522" i="1"/>
  <c r="K3522" i="1"/>
  <c r="J3522" i="1"/>
  <c r="H3522" i="1" s="1"/>
  <c r="L3521" i="1"/>
  <c r="K3521" i="1"/>
  <c r="J3521" i="1"/>
  <c r="H3521" i="1" s="1"/>
  <c r="L3520" i="1"/>
  <c r="K3520" i="1"/>
  <c r="J3520" i="1"/>
  <c r="L3519" i="1"/>
  <c r="K3519" i="1"/>
  <c r="J3519" i="1"/>
  <c r="L3518" i="1"/>
  <c r="K3518" i="1"/>
  <c r="J3518" i="1"/>
  <c r="H3518" i="1" s="1"/>
  <c r="L3517" i="1"/>
  <c r="K3517" i="1"/>
  <c r="J3517" i="1"/>
  <c r="H3517" i="1" s="1"/>
  <c r="L3516" i="1"/>
  <c r="K3516" i="1"/>
  <c r="J3516" i="1"/>
  <c r="L3515" i="1"/>
  <c r="J3515" i="1"/>
  <c r="H3515" i="1" s="1"/>
  <c r="L3514" i="1"/>
  <c r="J3514" i="1"/>
  <c r="L3513" i="1"/>
  <c r="J3513" i="1"/>
  <c r="L3512" i="1"/>
  <c r="K3512" i="1"/>
  <c r="J3512" i="1"/>
  <c r="H3512" i="1"/>
  <c r="L3511" i="1"/>
  <c r="K3511" i="1"/>
  <c r="J3511" i="1"/>
  <c r="H3511" i="1" s="1"/>
  <c r="L3510" i="1"/>
  <c r="K3510" i="1"/>
  <c r="J3510" i="1"/>
  <c r="H3510" i="1" s="1"/>
  <c r="L3509" i="1"/>
  <c r="K3509" i="1"/>
  <c r="J3509" i="1"/>
  <c r="H3509" i="1" s="1"/>
  <c r="L3508" i="1"/>
  <c r="K3508" i="1"/>
  <c r="J3508" i="1"/>
  <c r="H3508" i="1" s="1"/>
  <c r="L3507" i="1"/>
  <c r="J3507" i="1"/>
  <c r="H3507" i="1" s="1"/>
  <c r="L3506" i="1"/>
  <c r="K3506" i="1"/>
  <c r="J3506" i="1"/>
  <c r="H3506" i="1"/>
  <c r="L3505" i="1"/>
  <c r="K3505" i="1"/>
  <c r="J3505" i="1"/>
  <c r="H3505" i="1" s="1"/>
  <c r="L3504" i="1"/>
  <c r="K3504" i="1"/>
  <c r="J3504" i="1"/>
  <c r="H3504" i="1" s="1"/>
  <c r="L3503" i="1"/>
  <c r="K3503" i="1"/>
  <c r="J3503" i="1"/>
  <c r="H3503" i="1"/>
  <c r="L3502" i="1"/>
  <c r="K3502" i="1"/>
  <c r="J3502" i="1"/>
  <c r="H3502" i="1" s="1"/>
  <c r="L3501" i="1"/>
  <c r="K3501" i="1"/>
  <c r="J3501" i="1"/>
  <c r="H3501" i="1" s="1"/>
  <c r="L3500" i="1"/>
  <c r="K3500" i="1"/>
  <c r="J3500" i="1"/>
  <c r="H3500" i="1"/>
  <c r="L3499" i="1"/>
  <c r="J3499" i="1"/>
  <c r="H3499" i="1" s="1"/>
  <c r="L3498" i="1"/>
  <c r="K3498" i="1"/>
  <c r="J3498" i="1"/>
  <c r="L3495" i="1"/>
  <c r="K3495" i="1"/>
  <c r="J3495" i="1"/>
  <c r="L3494" i="1"/>
  <c r="J3494" i="1"/>
  <c r="H3494" i="1" s="1"/>
  <c r="L3493" i="1"/>
  <c r="K3493" i="1"/>
  <c r="J3493" i="1"/>
  <c r="L3492" i="1"/>
  <c r="J3492" i="1"/>
  <c r="H3492" i="1" s="1"/>
  <c r="L3491" i="1"/>
  <c r="K3491" i="1"/>
  <c r="J3491" i="1"/>
  <c r="H3491" i="1" s="1"/>
  <c r="L3490" i="1"/>
  <c r="J3490" i="1"/>
  <c r="H3490" i="1"/>
  <c r="L3489" i="1"/>
  <c r="K3489" i="1"/>
  <c r="J3489" i="1"/>
  <c r="H3489" i="1" s="1"/>
  <c r="L3488" i="1"/>
  <c r="K3488" i="1"/>
  <c r="J3488" i="1"/>
  <c r="H3488" i="1" s="1"/>
  <c r="L3487" i="1"/>
  <c r="K3487" i="1"/>
  <c r="J3487" i="1"/>
  <c r="H3487" i="1"/>
  <c r="L3486" i="1"/>
  <c r="K3486" i="1"/>
  <c r="J3486" i="1"/>
  <c r="H3486" i="1" s="1"/>
  <c r="L3485" i="1"/>
  <c r="K3485" i="1"/>
  <c r="J3485" i="1"/>
  <c r="H3485" i="1" s="1"/>
  <c r="L3484" i="1"/>
  <c r="J3484" i="1"/>
  <c r="H3484" i="1" s="1"/>
  <c r="L3483" i="1"/>
  <c r="J3483" i="1"/>
  <c r="H3483" i="1" s="1"/>
  <c r="L3482" i="1"/>
  <c r="K3482" i="1"/>
  <c r="J3482" i="1"/>
  <c r="L3481" i="1"/>
  <c r="K3481" i="1"/>
  <c r="J3481" i="1"/>
  <c r="L3480" i="1"/>
  <c r="K3480" i="1"/>
  <c r="J3480" i="1"/>
  <c r="H3480" i="1" s="1"/>
  <c r="L3479" i="1"/>
  <c r="J3479" i="1"/>
  <c r="L3478" i="1"/>
  <c r="K3478" i="1"/>
  <c r="J3478" i="1"/>
  <c r="H3478" i="1" s="1"/>
  <c r="L3477" i="1"/>
  <c r="J3477" i="1"/>
  <c r="H3477" i="1" s="1"/>
  <c r="L3476" i="1"/>
  <c r="K3476" i="1"/>
  <c r="J3476" i="1"/>
  <c r="L3475" i="1"/>
  <c r="K3475" i="1"/>
  <c r="J3475" i="1"/>
  <c r="H3475" i="1" s="1"/>
  <c r="L3474" i="1"/>
  <c r="J3474" i="1"/>
  <c r="H3474" i="1" s="1"/>
  <c r="L3473" i="1"/>
  <c r="K3473" i="1"/>
  <c r="H3473" i="1" s="1"/>
  <c r="L3472" i="1"/>
  <c r="K3472" i="1"/>
  <c r="H3472" i="1" s="1"/>
  <c r="L3471" i="1"/>
  <c r="K3471" i="1"/>
  <c r="H3471" i="1" s="1"/>
  <c r="L3470" i="1"/>
  <c r="J3470" i="1"/>
  <c r="L3467" i="1"/>
  <c r="K3467" i="1"/>
  <c r="J3467" i="1"/>
  <c r="L3466" i="1"/>
  <c r="J3466" i="1"/>
  <c r="H3466" i="1" s="1"/>
  <c r="L3465" i="1"/>
  <c r="K3465" i="1"/>
  <c r="J3465" i="1"/>
  <c r="H3465" i="1" s="1"/>
  <c r="L3464" i="1"/>
  <c r="J3464" i="1"/>
  <c r="L3463" i="1"/>
  <c r="K3463" i="1"/>
  <c r="J3463" i="1"/>
  <c r="H3463" i="1" s="1"/>
  <c r="L3462" i="1"/>
  <c r="K3462" i="1"/>
  <c r="J3462" i="1"/>
  <c r="L3461" i="1"/>
  <c r="J3461" i="1"/>
  <c r="H3461" i="1" s="1"/>
  <c r="L3460" i="1"/>
  <c r="K3460" i="1"/>
  <c r="J3460" i="1"/>
  <c r="L3459" i="1"/>
  <c r="K3459" i="1"/>
  <c r="J3459" i="1"/>
  <c r="H3459" i="1" s="1"/>
  <c r="L3458" i="1"/>
  <c r="K3458" i="1"/>
  <c r="J3458" i="1"/>
  <c r="H3458" i="1" s="1"/>
  <c r="L3457" i="1"/>
  <c r="K3457" i="1"/>
  <c r="J3457" i="1"/>
  <c r="H3457" i="1" s="1"/>
  <c r="L3456" i="1"/>
  <c r="K3456" i="1"/>
  <c r="J3456" i="1"/>
  <c r="L3455" i="1"/>
  <c r="K3455" i="1"/>
  <c r="J3455" i="1"/>
  <c r="H3455" i="1" s="1"/>
  <c r="L3454" i="1"/>
  <c r="K3454" i="1"/>
  <c r="J3454" i="1"/>
  <c r="H3454" i="1" s="1"/>
  <c r="L3453" i="1"/>
  <c r="K3453" i="1"/>
  <c r="J3453" i="1"/>
  <c r="H3453" i="1" s="1"/>
  <c r="L3452" i="1"/>
  <c r="K3452" i="1"/>
  <c r="J3452" i="1"/>
  <c r="L3451" i="1"/>
  <c r="K3451" i="1"/>
  <c r="J3451" i="1"/>
  <c r="H3451" i="1" s="1"/>
  <c r="L3450" i="1"/>
  <c r="K3450" i="1"/>
  <c r="J3450" i="1"/>
  <c r="H3450" i="1" s="1"/>
  <c r="L3449" i="1"/>
  <c r="J3449" i="1"/>
  <c r="J3448" i="1"/>
  <c r="L3447" i="1"/>
  <c r="K3447" i="1"/>
  <c r="J3447" i="1"/>
  <c r="H3447" i="1"/>
  <c r="L3446" i="1"/>
  <c r="K3446" i="1"/>
  <c r="J3446" i="1"/>
  <c r="H3446" i="1" s="1"/>
  <c r="L3445" i="1"/>
  <c r="J3445" i="1"/>
  <c r="H3445" i="1" s="1"/>
  <c r="L3444" i="1"/>
  <c r="K3444" i="1"/>
  <c r="J3444" i="1"/>
  <c r="L3443" i="1"/>
  <c r="K3443" i="1"/>
  <c r="J3443" i="1"/>
  <c r="L3442" i="1"/>
  <c r="K3442" i="1"/>
  <c r="J3442" i="1"/>
  <c r="L3441" i="1"/>
  <c r="J3441" i="1"/>
  <c r="H3441" i="1" s="1"/>
  <c r="L3440" i="1"/>
  <c r="K3440" i="1"/>
  <c r="J3440" i="1"/>
  <c r="H3440" i="1" s="1"/>
  <c r="L3439" i="1"/>
  <c r="K3439" i="1"/>
  <c r="J3439" i="1"/>
  <c r="H3439" i="1" s="1"/>
  <c r="L3438" i="1"/>
  <c r="K3438" i="1"/>
  <c r="J3438" i="1"/>
  <c r="H3438" i="1" s="1"/>
  <c r="L3437" i="1"/>
  <c r="J3437" i="1"/>
  <c r="H3437" i="1" s="1"/>
  <c r="L3436" i="1"/>
  <c r="K3436" i="1"/>
  <c r="J3436" i="1"/>
  <c r="H3436" i="1" s="1"/>
  <c r="L3435" i="1"/>
  <c r="K3435" i="1"/>
  <c r="J3435" i="1"/>
  <c r="H3435" i="1" s="1"/>
  <c r="L3434" i="1"/>
  <c r="K3434" i="1"/>
  <c r="J3434" i="1"/>
  <c r="H3434" i="1" s="1"/>
  <c r="L3433" i="1"/>
  <c r="K3433" i="1"/>
  <c r="J3433" i="1"/>
  <c r="L3432" i="1"/>
  <c r="K3432" i="1"/>
  <c r="J3432" i="1"/>
  <c r="H3432" i="1" s="1"/>
  <c r="L3431" i="1"/>
  <c r="K3431" i="1"/>
  <c r="J3431" i="1"/>
  <c r="H3431" i="1" s="1"/>
  <c r="F3431" i="1"/>
  <c r="L3430" i="1"/>
  <c r="K3430" i="1"/>
  <c r="J3430" i="1"/>
  <c r="L3429" i="1"/>
  <c r="J3429" i="1"/>
  <c r="H3429" i="1" s="1"/>
  <c r="L3428" i="1"/>
  <c r="J3428" i="1"/>
  <c r="H3428" i="1" s="1"/>
  <c r="L3427" i="1"/>
  <c r="J3427" i="1"/>
  <c r="H3427" i="1" s="1"/>
  <c r="L3426" i="1"/>
  <c r="K3426" i="1"/>
  <c r="J3426" i="1"/>
  <c r="L3425" i="1"/>
  <c r="K3425" i="1"/>
  <c r="J3425" i="1"/>
  <c r="L3424" i="1"/>
  <c r="J3424" i="1"/>
  <c r="H3424" i="1" s="1"/>
  <c r="L3423" i="1"/>
  <c r="K3423" i="1"/>
  <c r="J3423" i="1"/>
  <c r="H3423" i="1" s="1"/>
  <c r="L3422" i="1"/>
  <c r="K3422" i="1"/>
  <c r="J3422" i="1"/>
  <c r="H3422" i="1" s="1"/>
  <c r="L3421" i="1"/>
  <c r="K3421" i="1"/>
  <c r="H3421" i="1" s="1"/>
  <c r="L3420" i="1"/>
  <c r="K3420" i="1"/>
  <c r="H3420" i="1"/>
  <c r="L3419" i="1"/>
  <c r="K3419" i="1"/>
  <c r="J3419" i="1"/>
  <c r="H3419" i="1" s="1"/>
  <c r="L3418" i="1"/>
  <c r="J3418" i="1"/>
  <c r="H3418" i="1" s="1"/>
  <c r="L3415" i="1"/>
  <c r="K3415" i="1"/>
  <c r="H3415" i="1" s="1"/>
  <c r="J3415" i="1"/>
  <c r="L3414" i="1"/>
  <c r="K3414" i="1"/>
  <c r="J3414" i="1"/>
  <c r="H3414" i="1" s="1"/>
  <c r="L3413" i="1"/>
  <c r="J3413" i="1"/>
  <c r="H3413" i="1" s="1"/>
  <c r="L3412" i="1"/>
  <c r="K3412" i="1"/>
  <c r="J3412" i="1"/>
  <c r="L3411" i="1"/>
  <c r="J3411" i="1"/>
  <c r="L3410" i="1"/>
  <c r="J3410" i="1"/>
  <c r="H3410" i="1" s="1"/>
  <c r="L3407" i="1"/>
  <c r="J3407" i="1"/>
  <c r="L3406" i="1"/>
  <c r="K3406" i="1"/>
  <c r="J3406" i="1"/>
  <c r="L3405" i="1"/>
  <c r="K3405" i="1"/>
  <c r="J3405" i="1"/>
  <c r="L3404" i="1"/>
  <c r="K3404" i="1"/>
  <c r="J3404" i="1"/>
  <c r="L3403" i="1"/>
  <c r="K3403" i="1"/>
  <c r="J3403" i="1"/>
  <c r="L3402" i="1"/>
  <c r="K3402" i="1"/>
  <c r="J3402" i="1"/>
  <c r="L3401" i="1"/>
  <c r="K3401" i="1"/>
  <c r="J3401" i="1"/>
  <c r="L3400" i="1"/>
  <c r="K3400" i="1"/>
  <c r="J3400" i="1"/>
  <c r="L3399" i="1"/>
  <c r="K3399" i="1"/>
  <c r="J3399" i="1"/>
  <c r="L3398" i="1"/>
  <c r="K3398" i="1"/>
  <c r="J3398" i="1"/>
  <c r="L3397" i="1"/>
  <c r="K3397" i="1"/>
  <c r="J3397" i="1"/>
  <c r="L3396" i="1"/>
  <c r="K3396" i="1"/>
  <c r="J3396" i="1"/>
  <c r="L3395" i="1"/>
  <c r="K3395" i="1"/>
  <c r="J3395" i="1"/>
  <c r="L3394" i="1"/>
  <c r="K3394" i="1"/>
  <c r="J3394" i="1"/>
  <c r="L3393" i="1"/>
  <c r="K3393" i="1"/>
  <c r="J3393" i="1"/>
  <c r="L3392" i="1"/>
  <c r="J3392" i="1"/>
  <c r="L3391" i="1"/>
  <c r="K3391" i="1"/>
  <c r="J3391" i="1"/>
  <c r="L3390" i="1"/>
  <c r="K3390" i="1"/>
  <c r="J3390" i="1"/>
  <c r="L3389" i="1"/>
  <c r="K3389" i="1"/>
  <c r="J3389" i="1"/>
  <c r="L3388" i="1"/>
  <c r="J3388" i="1"/>
  <c r="H3388" i="1" s="1"/>
  <c r="L3387" i="1"/>
  <c r="K3387" i="1"/>
  <c r="J3387" i="1"/>
  <c r="L3386" i="1"/>
  <c r="K3386" i="1"/>
  <c r="J3386" i="1"/>
  <c r="L3383" i="1"/>
  <c r="L3384" i="1" s="1"/>
  <c r="K3383" i="1"/>
  <c r="K3384" i="1" s="1"/>
  <c r="J3383" i="1"/>
  <c r="J3384" i="1" s="1"/>
  <c r="L3380" i="1"/>
  <c r="K3380" i="1"/>
  <c r="J3380" i="1"/>
  <c r="H3380" i="1"/>
  <c r="L3379" i="1"/>
  <c r="K3379" i="1"/>
  <c r="J3379" i="1"/>
  <c r="H3379" i="1" s="1"/>
  <c r="L3378" i="1"/>
  <c r="J3378" i="1"/>
  <c r="H3378" i="1" s="1"/>
  <c r="L3375" i="1"/>
  <c r="K3375" i="1"/>
  <c r="J3375" i="1"/>
  <c r="H3375" i="1"/>
  <c r="L3374" i="1"/>
  <c r="K3374" i="1"/>
  <c r="K3376" i="1" s="1"/>
  <c r="J3374" i="1"/>
  <c r="J3376" i="1" s="1"/>
  <c r="L3371" i="1"/>
  <c r="L3372" i="1" s="1"/>
  <c r="K3371" i="1"/>
  <c r="K3372" i="1" s="1"/>
  <c r="J3371" i="1"/>
  <c r="J3372" i="1" s="1"/>
  <c r="L3369" i="1"/>
  <c r="K3369" i="1"/>
  <c r="J3368" i="1"/>
  <c r="J3369" i="1" s="1"/>
  <c r="L3365" i="1"/>
  <c r="L3366" i="1" s="1"/>
  <c r="K3365" i="1"/>
  <c r="K3366" i="1" s="1"/>
  <c r="J3365" i="1"/>
  <c r="J3366" i="1" s="1"/>
  <c r="L3362" i="1"/>
  <c r="K3362" i="1"/>
  <c r="J3362" i="1"/>
  <c r="H3362" i="1"/>
  <c r="L3361" i="1"/>
  <c r="K3361" i="1"/>
  <c r="J3361" i="1"/>
  <c r="H3361" i="1" s="1"/>
  <c r="L3360" i="1"/>
  <c r="J3360" i="1"/>
  <c r="L3359" i="1"/>
  <c r="K3359" i="1"/>
  <c r="J3359" i="1"/>
  <c r="L3358" i="1"/>
  <c r="K3358" i="1"/>
  <c r="J3358" i="1"/>
  <c r="H3358" i="1" s="1"/>
  <c r="L3357" i="1"/>
  <c r="K3357" i="1"/>
  <c r="J3357" i="1"/>
  <c r="L3356" i="1"/>
  <c r="K3356" i="1"/>
  <c r="J3356" i="1"/>
  <c r="L3355" i="1"/>
  <c r="K3355" i="1"/>
  <c r="J3355" i="1"/>
  <c r="L3354" i="1"/>
  <c r="K3354" i="1"/>
  <c r="J3354" i="1"/>
  <c r="H3354" i="1" s="1"/>
  <c r="L3353" i="1"/>
  <c r="K3353" i="1"/>
  <c r="J3353" i="1"/>
  <c r="L3352" i="1"/>
  <c r="K3352" i="1"/>
  <c r="J3352" i="1"/>
  <c r="L3351" i="1"/>
  <c r="K3351" i="1"/>
  <c r="J3351" i="1"/>
  <c r="L3350" i="1"/>
  <c r="K3350" i="1"/>
  <c r="J3350" i="1"/>
  <c r="H3350" i="1" s="1"/>
  <c r="L3349" i="1"/>
  <c r="K3349" i="1"/>
  <c r="J3349" i="1"/>
  <c r="L3348" i="1"/>
  <c r="K3348" i="1"/>
  <c r="J3348" i="1"/>
  <c r="L3347" i="1"/>
  <c r="K3347" i="1"/>
  <c r="J3347" i="1"/>
  <c r="L3346" i="1"/>
  <c r="K3346" i="1"/>
  <c r="J3346" i="1"/>
  <c r="H3346" i="1" s="1"/>
  <c r="L3345" i="1"/>
  <c r="K3345" i="1"/>
  <c r="J3345" i="1"/>
  <c r="L3344" i="1"/>
  <c r="K3344" i="1"/>
  <c r="J3344" i="1"/>
  <c r="J3342" i="1"/>
  <c r="L3341" i="1"/>
  <c r="J3341" i="1"/>
  <c r="L3340" i="1"/>
  <c r="K3340" i="1"/>
  <c r="J3340" i="1"/>
  <c r="L3339" i="1"/>
  <c r="K3339" i="1"/>
  <c r="J3339" i="1"/>
  <c r="L3336" i="1"/>
  <c r="J3336" i="1"/>
  <c r="F3336" i="1"/>
  <c r="L3335" i="1"/>
  <c r="J3335" i="1"/>
  <c r="F3335" i="1"/>
  <c r="L3334" i="1"/>
  <c r="K3334" i="1"/>
  <c r="J3334" i="1"/>
  <c r="H3334" i="1"/>
  <c r="L3333" i="1"/>
  <c r="J3333" i="1"/>
  <c r="J3332" i="1"/>
  <c r="J3331" i="1"/>
  <c r="L3330" i="1"/>
  <c r="K3330" i="1"/>
  <c r="J3330" i="1"/>
  <c r="L3329" i="1"/>
  <c r="K3329" i="1"/>
  <c r="J3329" i="1"/>
  <c r="H3329" i="1" s="1"/>
  <c r="L3328" i="1"/>
  <c r="J3328" i="1"/>
  <c r="L3327" i="1"/>
  <c r="J3327" i="1"/>
  <c r="L3326" i="1"/>
  <c r="K3326" i="1"/>
  <c r="J3326" i="1"/>
  <c r="L3325" i="1"/>
  <c r="J3325" i="1"/>
  <c r="L3324" i="1"/>
  <c r="J3324" i="1"/>
  <c r="L3323" i="1"/>
  <c r="K3323" i="1"/>
  <c r="J3323" i="1"/>
  <c r="L3322" i="1"/>
  <c r="K3322" i="1"/>
  <c r="J3322" i="1"/>
  <c r="L3321" i="1"/>
  <c r="J3321" i="1"/>
  <c r="L3320" i="1"/>
  <c r="J3320" i="1"/>
  <c r="L3319" i="1"/>
  <c r="K3319" i="1"/>
  <c r="J3319" i="1"/>
  <c r="L3318" i="1"/>
  <c r="K3318" i="1"/>
  <c r="J3318" i="1"/>
  <c r="L3317" i="1"/>
  <c r="J3317" i="1"/>
  <c r="L3316" i="1"/>
  <c r="J3316" i="1"/>
  <c r="L3315" i="1"/>
  <c r="J3315" i="1"/>
  <c r="L3314" i="1"/>
  <c r="J3314" i="1"/>
  <c r="L3313" i="1"/>
  <c r="K3313" i="1"/>
  <c r="J3313" i="1"/>
  <c r="L3312" i="1"/>
  <c r="K3312" i="1"/>
  <c r="J3312" i="1"/>
  <c r="H3312" i="1"/>
  <c r="L3311" i="1"/>
  <c r="J3311" i="1"/>
  <c r="H3311" i="1"/>
  <c r="J3310" i="1"/>
  <c r="L3309" i="1"/>
  <c r="J3309" i="1"/>
  <c r="L3308" i="1"/>
  <c r="K3308" i="1"/>
  <c r="J3308" i="1"/>
  <c r="L3307" i="1"/>
  <c r="J3307" i="1"/>
  <c r="L3306" i="1"/>
  <c r="J3306" i="1"/>
  <c r="L3305" i="1"/>
  <c r="J3305" i="1"/>
  <c r="L3304" i="1"/>
  <c r="K3304" i="1"/>
  <c r="J3304" i="1"/>
  <c r="L3303" i="1"/>
  <c r="K3303" i="1"/>
  <c r="J3303" i="1"/>
  <c r="H3303" i="1"/>
  <c r="L3302" i="1"/>
  <c r="K3302" i="1"/>
  <c r="J3302" i="1"/>
  <c r="L3301" i="1"/>
  <c r="K3301" i="1"/>
  <c r="J3301" i="1"/>
  <c r="L3298" i="1"/>
  <c r="K3298" i="1"/>
  <c r="J3298" i="1"/>
  <c r="H3298" i="1" s="1"/>
  <c r="L3297" i="1"/>
  <c r="K3297" i="1"/>
  <c r="J3297" i="1"/>
  <c r="H3297" i="1" s="1"/>
  <c r="L3296" i="1"/>
  <c r="K3296" i="1"/>
  <c r="J3296" i="1"/>
  <c r="H3296" i="1" s="1"/>
  <c r="L3295" i="1"/>
  <c r="J3295" i="1"/>
  <c r="H3295" i="1" s="1"/>
  <c r="L3294" i="1"/>
  <c r="K3294" i="1"/>
  <c r="J3294" i="1"/>
  <c r="H3294" i="1" s="1"/>
  <c r="L3293" i="1"/>
  <c r="K3293" i="1"/>
  <c r="J3293" i="1"/>
  <c r="H3293" i="1" s="1"/>
  <c r="L3292" i="1"/>
  <c r="K3292" i="1"/>
  <c r="J3292" i="1"/>
  <c r="H3292" i="1" s="1"/>
  <c r="L3291" i="1"/>
  <c r="K3291" i="1"/>
  <c r="K3299" i="1" s="1"/>
  <c r="J3291" i="1"/>
  <c r="L3290" i="1"/>
  <c r="J3290" i="1"/>
  <c r="H3290" i="1" s="1"/>
  <c r="L3289" i="1"/>
  <c r="J3289" i="1"/>
  <c r="H3289" i="1" s="1"/>
  <c r="L3288" i="1"/>
  <c r="J3288" i="1"/>
  <c r="H3288" i="1" s="1"/>
  <c r="L3287" i="1"/>
  <c r="J3287" i="1"/>
  <c r="H3287" i="1" s="1"/>
  <c r="L3286" i="1"/>
  <c r="J3286" i="1"/>
  <c r="H3286" i="1" s="1"/>
  <c r="L3285" i="1"/>
  <c r="J3285" i="1"/>
  <c r="L3282" i="1"/>
  <c r="K3282" i="1"/>
  <c r="J3282" i="1"/>
  <c r="J3281" i="1"/>
  <c r="L3280" i="1"/>
  <c r="K3280" i="1"/>
  <c r="H3280" i="1" s="1"/>
  <c r="J3280" i="1"/>
  <c r="L3279" i="1"/>
  <c r="K3279" i="1"/>
  <c r="H3279" i="1" s="1"/>
  <c r="J3279" i="1"/>
  <c r="L3278" i="1"/>
  <c r="K3278" i="1"/>
  <c r="J3278" i="1"/>
  <c r="L3277" i="1"/>
  <c r="K3277" i="1"/>
  <c r="H3277" i="1" s="1"/>
  <c r="J3277" i="1"/>
  <c r="G3276" i="1"/>
  <c r="F3276" i="1"/>
  <c r="D3276" i="1"/>
  <c r="C3276" i="1"/>
  <c r="B3276" i="1"/>
  <c r="A3276" i="1"/>
  <c r="J3276" i="1" s="1"/>
  <c r="L3275" i="1"/>
  <c r="K3275" i="1"/>
  <c r="J3275" i="1"/>
  <c r="L3274" i="1"/>
  <c r="K3274" i="1"/>
  <c r="J3274" i="1"/>
  <c r="H3274" i="1" s="1"/>
  <c r="L3273" i="1"/>
  <c r="K3273" i="1"/>
  <c r="J3273" i="1"/>
  <c r="H3273" i="1" s="1"/>
  <c r="L3272" i="1"/>
  <c r="K3272" i="1"/>
  <c r="J3272" i="1"/>
  <c r="L3271" i="1"/>
  <c r="J3271" i="1"/>
  <c r="H3271" i="1" s="1"/>
  <c r="L3270" i="1"/>
  <c r="K3270" i="1"/>
  <c r="J3270" i="1"/>
  <c r="H3270" i="1" s="1"/>
  <c r="L3269" i="1"/>
  <c r="K3269" i="1"/>
  <c r="J3269" i="1"/>
  <c r="H3269" i="1"/>
  <c r="L3268" i="1"/>
  <c r="K3268" i="1"/>
  <c r="J3268" i="1"/>
  <c r="H3268" i="1" s="1"/>
  <c r="L3267" i="1"/>
  <c r="K3267" i="1"/>
  <c r="J3267" i="1"/>
  <c r="H3267" i="1" s="1"/>
  <c r="L3266" i="1"/>
  <c r="K3266" i="1"/>
  <c r="J3266" i="1"/>
  <c r="H3266" i="1"/>
  <c r="L3265" i="1"/>
  <c r="K3265" i="1"/>
  <c r="J3265" i="1"/>
  <c r="H3265" i="1" s="1"/>
  <c r="J3264" i="1"/>
  <c r="L3263" i="1"/>
  <c r="K3263" i="1"/>
  <c r="J3263" i="1"/>
  <c r="H3263" i="1"/>
  <c r="L3262" i="1"/>
  <c r="J3262" i="1"/>
  <c r="L3261" i="1"/>
  <c r="K3261" i="1"/>
  <c r="J3261" i="1"/>
  <c r="L3260" i="1"/>
  <c r="K3260" i="1"/>
  <c r="J3260" i="1"/>
  <c r="H3260" i="1" s="1"/>
  <c r="L3259" i="1"/>
  <c r="K3259" i="1"/>
  <c r="J3259" i="1"/>
  <c r="L3258" i="1"/>
  <c r="K3258" i="1"/>
  <c r="H3258" i="1" s="1"/>
  <c r="J3258" i="1"/>
  <c r="L3257" i="1"/>
  <c r="K3257" i="1"/>
  <c r="J3257" i="1"/>
  <c r="H3257" i="1" s="1"/>
  <c r="L3256" i="1"/>
  <c r="K3256" i="1"/>
  <c r="J3256" i="1"/>
  <c r="H3256" i="1" s="1"/>
  <c r="L3255" i="1"/>
  <c r="K3255" i="1"/>
  <c r="H3255" i="1" s="1"/>
  <c r="J3255" i="1"/>
  <c r="L3254" i="1"/>
  <c r="J3254" i="1"/>
  <c r="H3254" i="1" s="1"/>
  <c r="L3253" i="1"/>
  <c r="K3253" i="1"/>
  <c r="J3253" i="1"/>
  <c r="L3252" i="1"/>
  <c r="J3252" i="1"/>
  <c r="H3252" i="1" s="1"/>
  <c r="L3251" i="1"/>
  <c r="J3251" i="1"/>
  <c r="H3251" i="1"/>
  <c r="L3250" i="1"/>
  <c r="K3250" i="1"/>
  <c r="J3250" i="1"/>
  <c r="H3250" i="1" s="1"/>
  <c r="L3249" i="1"/>
  <c r="J3249" i="1"/>
  <c r="L3248" i="1"/>
  <c r="J3248" i="1"/>
  <c r="L3247" i="1"/>
  <c r="J3247" i="1"/>
  <c r="H3247" i="1"/>
  <c r="L3246" i="1"/>
  <c r="K3246" i="1"/>
  <c r="J3246" i="1"/>
  <c r="L3245" i="1"/>
  <c r="K3245" i="1"/>
  <c r="H3245" i="1" s="1"/>
  <c r="L3244" i="1"/>
  <c r="K3244" i="1"/>
  <c r="L3243" i="1"/>
  <c r="K3243" i="1"/>
  <c r="H3243" i="1" s="1"/>
  <c r="L3240" i="1"/>
  <c r="K3240" i="1"/>
  <c r="J3240" i="1"/>
  <c r="H3240" i="1" s="1"/>
  <c r="L3239" i="1"/>
  <c r="K3239" i="1"/>
  <c r="J3239" i="1"/>
  <c r="L3238" i="1"/>
  <c r="J3238" i="1"/>
  <c r="H3238" i="1" s="1"/>
  <c r="L3237" i="1"/>
  <c r="J3237" i="1"/>
  <c r="H3237" i="1" s="1"/>
  <c r="L3236" i="1"/>
  <c r="J3236" i="1"/>
  <c r="H3236" i="1" s="1"/>
  <c r="L3235" i="1"/>
  <c r="K3235" i="1"/>
  <c r="J3235" i="1"/>
  <c r="L3234" i="1"/>
  <c r="K3234" i="1"/>
  <c r="J3234" i="1"/>
  <c r="H3234" i="1"/>
  <c r="L3233" i="1"/>
  <c r="K3233" i="1"/>
  <c r="J3233" i="1"/>
  <c r="L3232" i="1"/>
  <c r="K3232" i="1"/>
  <c r="J3232" i="1"/>
  <c r="H3232" i="1" s="1"/>
  <c r="L3231" i="1"/>
  <c r="J3231" i="1"/>
  <c r="H3231" i="1"/>
  <c r="L3230" i="1"/>
  <c r="K3230" i="1"/>
  <c r="J3230" i="1"/>
  <c r="J3241" i="1" s="1"/>
  <c r="I3228" i="1"/>
  <c r="L3227" i="1"/>
  <c r="K3227" i="1"/>
  <c r="J3227" i="1"/>
  <c r="H3227" i="1"/>
  <c r="L3226" i="1"/>
  <c r="K3226" i="1"/>
  <c r="J3226" i="1"/>
  <c r="H3226" i="1" s="1"/>
  <c r="L3225" i="1"/>
  <c r="J3225" i="1"/>
  <c r="J3224" i="1"/>
  <c r="L3223" i="1"/>
  <c r="K3223" i="1"/>
  <c r="H3223" i="1" s="1"/>
  <c r="L3222" i="1"/>
  <c r="K3222" i="1"/>
  <c r="J3222" i="1"/>
  <c r="L3221" i="1"/>
  <c r="K3221" i="1"/>
  <c r="H3221" i="1" s="1"/>
  <c r="J3221" i="1"/>
  <c r="L3220" i="1"/>
  <c r="K3220" i="1"/>
  <c r="J3220" i="1"/>
  <c r="L3219" i="1"/>
  <c r="K3219" i="1"/>
  <c r="J3219" i="1"/>
  <c r="L3218" i="1"/>
  <c r="K3218" i="1"/>
  <c r="J3218" i="1"/>
  <c r="L3217" i="1"/>
  <c r="K3217" i="1"/>
  <c r="J3217" i="1"/>
  <c r="L3216" i="1"/>
  <c r="K3216" i="1"/>
  <c r="J3216" i="1"/>
  <c r="L3215" i="1"/>
  <c r="K3215" i="1"/>
  <c r="J3215" i="1"/>
  <c r="H3215" i="1" s="1"/>
  <c r="L3214" i="1"/>
  <c r="J3214" i="1"/>
  <c r="L3213" i="1"/>
  <c r="K3213" i="1"/>
  <c r="J3213" i="1"/>
  <c r="H3213" i="1" s="1"/>
  <c r="L3212" i="1"/>
  <c r="K3212" i="1"/>
  <c r="J3212" i="1"/>
  <c r="L3211" i="1"/>
  <c r="K3211" i="1"/>
  <c r="J3211" i="1"/>
  <c r="H3211" i="1" s="1"/>
  <c r="J3210" i="1"/>
  <c r="J3209" i="1"/>
  <c r="L3208" i="1"/>
  <c r="J3208" i="1"/>
  <c r="H3208" i="1" s="1"/>
  <c r="L3207" i="1"/>
  <c r="K3207" i="1"/>
  <c r="J3207" i="1"/>
  <c r="H3207" i="1" s="1"/>
  <c r="L3206" i="1"/>
  <c r="K3206" i="1"/>
  <c r="J3206" i="1"/>
  <c r="L3205" i="1"/>
  <c r="K3205" i="1"/>
  <c r="J3205" i="1"/>
  <c r="L3204" i="1"/>
  <c r="K3204" i="1"/>
  <c r="J3204" i="1"/>
  <c r="H3204" i="1" s="1"/>
  <c r="L3203" i="1"/>
  <c r="K3203" i="1"/>
  <c r="J3203" i="1"/>
  <c r="H3203" i="1" s="1"/>
  <c r="L3202" i="1"/>
  <c r="K3202" i="1"/>
  <c r="J3202" i="1"/>
  <c r="H3202" i="1" s="1"/>
  <c r="L3201" i="1"/>
  <c r="K3201" i="1"/>
  <c r="J3201" i="1"/>
  <c r="L3200" i="1"/>
  <c r="K3200" i="1"/>
  <c r="J3200" i="1"/>
  <c r="H3200" i="1" s="1"/>
  <c r="L3199" i="1"/>
  <c r="K3199" i="1"/>
  <c r="J3199" i="1"/>
  <c r="H3199" i="1" s="1"/>
  <c r="L3198" i="1"/>
  <c r="K3198" i="1"/>
  <c r="J3198" i="1"/>
  <c r="H3198" i="1" s="1"/>
  <c r="L3197" i="1"/>
  <c r="K3197" i="1"/>
  <c r="J3197" i="1"/>
  <c r="L3196" i="1"/>
  <c r="J3196" i="1"/>
  <c r="L3195" i="1"/>
  <c r="K3195" i="1"/>
  <c r="J3195" i="1"/>
  <c r="L3194" i="1"/>
  <c r="K3194" i="1"/>
  <c r="H3194" i="1" s="1"/>
  <c r="J3194" i="1"/>
  <c r="J3193" i="1"/>
  <c r="L3192" i="1"/>
  <c r="J3192" i="1"/>
  <c r="L3191" i="1"/>
  <c r="K3191" i="1"/>
  <c r="J3191" i="1"/>
  <c r="H3191" i="1" s="1"/>
  <c r="L3190" i="1"/>
  <c r="J3190" i="1"/>
  <c r="H3190" i="1" s="1"/>
  <c r="L3189" i="1"/>
  <c r="J3189" i="1"/>
  <c r="L3188" i="1"/>
  <c r="G3188" i="1"/>
  <c r="F3188" i="1"/>
  <c r="D3188" i="1"/>
  <c r="C3188" i="1"/>
  <c r="B3188" i="1"/>
  <c r="A3188" i="1"/>
  <c r="J3188" i="1" s="1"/>
  <c r="L3187" i="1"/>
  <c r="J3187" i="1"/>
  <c r="H3187" i="1" s="1"/>
  <c r="L3186" i="1"/>
  <c r="K3186" i="1"/>
  <c r="J3186" i="1"/>
  <c r="L3185" i="1"/>
  <c r="K3185" i="1"/>
  <c r="J3185" i="1"/>
  <c r="H3185" i="1" s="1"/>
  <c r="J3184" i="1"/>
  <c r="J3183" i="1"/>
  <c r="L3182" i="1"/>
  <c r="K3182" i="1"/>
  <c r="H3182" i="1" s="1"/>
  <c r="J3182" i="1"/>
  <c r="L3181" i="1"/>
  <c r="K3181" i="1"/>
  <c r="J3181" i="1"/>
  <c r="L3180" i="1"/>
  <c r="K3180" i="1"/>
  <c r="J3180" i="1"/>
  <c r="H3180" i="1" s="1"/>
  <c r="L3179" i="1"/>
  <c r="K3179" i="1"/>
  <c r="J3179" i="1"/>
  <c r="L3178" i="1"/>
  <c r="J3178" i="1"/>
  <c r="H3178" i="1" s="1"/>
  <c r="L3177" i="1"/>
  <c r="K3177" i="1"/>
  <c r="J3177" i="1"/>
  <c r="L3176" i="1"/>
  <c r="K3176" i="1"/>
  <c r="J3176" i="1"/>
  <c r="L3175" i="1"/>
  <c r="K3175" i="1"/>
  <c r="J3175" i="1"/>
  <c r="L3174" i="1"/>
  <c r="K3174" i="1"/>
  <c r="J3174" i="1"/>
  <c r="L3173" i="1"/>
  <c r="K3173" i="1"/>
  <c r="J3173" i="1"/>
  <c r="L3172" i="1"/>
  <c r="K3172" i="1"/>
  <c r="H3172" i="1" s="1"/>
  <c r="L3171" i="1"/>
  <c r="K3171" i="1"/>
  <c r="H3171" i="1" s="1"/>
  <c r="L3170" i="1"/>
  <c r="K3170" i="1"/>
  <c r="J3170" i="1"/>
  <c r="L3167" i="1"/>
  <c r="J3167" i="1"/>
  <c r="L3166" i="1"/>
  <c r="K3166" i="1"/>
  <c r="J3166" i="1"/>
  <c r="L3165" i="1"/>
  <c r="J3165" i="1"/>
  <c r="L3164" i="1"/>
  <c r="K3164" i="1"/>
  <c r="K3168" i="1" s="1"/>
  <c r="J3164" i="1"/>
  <c r="L3161" i="1"/>
  <c r="J3161" i="1"/>
  <c r="L3160" i="1"/>
  <c r="K3160" i="1"/>
  <c r="J3160" i="1"/>
  <c r="H3160" i="1" s="1"/>
  <c r="L3159" i="1"/>
  <c r="J3159" i="1"/>
  <c r="L3158" i="1"/>
  <c r="L3162" i="1" s="1"/>
  <c r="K3158" i="1"/>
  <c r="J3158" i="1"/>
  <c r="L3157" i="1"/>
  <c r="K3157" i="1"/>
  <c r="J3157" i="1"/>
  <c r="H3157" i="1" s="1"/>
  <c r="L3156" i="1"/>
  <c r="K3156" i="1"/>
  <c r="H3156" i="1" s="1"/>
  <c r="J3156" i="1"/>
  <c r="L3153" i="1"/>
  <c r="J3153" i="1"/>
  <c r="H3153" i="1" s="1"/>
  <c r="J3152" i="1"/>
  <c r="L3151" i="1"/>
  <c r="J3151" i="1"/>
  <c r="H3151" i="1" s="1"/>
  <c r="L3150" i="1"/>
  <c r="K3150" i="1"/>
  <c r="J3150" i="1"/>
  <c r="L3149" i="1"/>
  <c r="J3149" i="1"/>
  <c r="H3149" i="1" s="1"/>
  <c r="L3148" i="1"/>
  <c r="J3148" i="1"/>
  <c r="H3148" i="1" s="1"/>
  <c r="L3147" i="1"/>
  <c r="K3147" i="1"/>
  <c r="J3147" i="1"/>
  <c r="L3146" i="1"/>
  <c r="K3146" i="1"/>
  <c r="J3146" i="1"/>
  <c r="L3145" i="1"/>
  <c r="K3145" i="1"/>
  <c r="J3145" i="1"/>
  <c r="L3144" i="1"/>
  <c r="K3144" i="1"/>
  <c r="J3144" i="1"/>
  <c r="L3143" i="1"/>
  <c r="J3143" i="1"/>
  <c r="H3143" i="1" s="1"/>
  <c r="L3142" i="1"/>
  <c r="K3142" i="1"/>
  <c r="J3142" i="1"/>
  <c r="L3141" i="1"/>
  <c r="K3141" i="1"/>
  <c r="H3141" i="1" s="1"/>
  <c r="J3141" i="1"/>
  <c r="L3140" i="1"/>
  <c r="K3140" i="1"/>
  <c r="J3140" i="1"/>
  <c r="L3139" i="1"/>
  <c r="K3139" i="1"/>
  <c r="J3139" i="1"/>
  <c r="L3138" i="1"/>
  <c r="K3138" i="1"/>
  <c r="H3138" i="1" s="1"/>
  <c r="J3138" i="1"/>
  <c r="L3135" i="1"/>
  <c r="K3135" i="1"/>
  <c r="J3135" i="1"/>
  <c r="L3134" i="1"/>
  <c r="K3134" i="1"/>
  <c r="J3134" i="1"/>
  <c r="L3133" i="1"/>
  <c r="K3133" i="1"/>
  <c r="J3133" i="1"/>
  <c r="L3132" i="1"/>
  <c r="K3132" i="1"/>
  <c r="J3132" i="1"/>
  <c r="L3131" i="1"/>
  <c r="K3131" i="1"/>
  <c r="H3131" i="1" s="1"/>
  <c r="J3131" i="1"/>
  <c r="L3130" i="1"/>
  <c r="K3130" i="1"/>
  <c r="J3130" i="1"/>
  <c r="L3127" i="1"/>
  <c r="J3127" i="1"/>
  <c r="L3126" i="1"/>
  <c r="K3126" i="1"/>
  <c r="J3126" i="1"/>
  <c r="L3125" i="1"/>
  <c r="J3125" i="1"/>
  <c r="H3125" i="1"/>
  <c r="L3124" i="1"/>
  <c r="J3124" i="1"/>
  <c r="L3123" i="1"/>
  <c r="J3123" i="1"/>
  <c r="L3122" i="1"/>
  <c r="K3122" i="1"/>
  <c r="J3122" i="1"/>
  <c r="H3122" i="1"/>
  <c r="L3121" i="1"/>
  <c r="J3121" i="1"/>
  <c r="L3120" i="1"/>
  <c r="J3120" i="1"/>
  <c r="L3119" i="1"/>
  <c r="K3119" i="1"/>
  <c r="J3119" i="1"/>
  <c r="L3116" i="1"/>
  <c r="K3116" i="1"/>
  <c r="J3116" i="1"/>
  <c r="H3116" i="1"/>
  <c r="L3115" i="1"/>
  <c r="J3115" i="1"/>
  <c r="L3114" i="1"/>
  <c r="K3114" i="1"/>
  <c r="J3114" i="1"/>
  <c r="L3113" i="1"/>
  <c r="J3113" i="1"/>
  <c r="L3112" i="1"/>
  <c r="K3112" i="1"/>
  <c r="J3112" i="1"/>
  <c r="H3112" i="1" s="1"/>
  <c r="L3111" i="1"/>
  <c r="J3111" i="1"/>
  <c r="L3110" i="1"/>
  <c r="K3110" i="1"/>
  <c r="J3110" i="1"/>
  <c r="H3110" i="1" s="1"/>
  <c r="L3109" i="1"/>
  <c r="K3109" i="1"/>
  <c r="J3109" i="1"/>
  <c r="L3108" i="1"/>
  <c r="K3108" i="1"/>
  <c r="J3108" i="1"/>
  <c r="H3108" i="1" s="1"/>
  <c r="L3107" i="1"/>
  <c r="J3107" i="1"/>
  <c r="H3107" i="1" s="1"/>
  <c r="L3106" i="1"/>
  <c r="K3106" i="1"/>
  <c r="J3106" i="1"/>
  <c r="H3106" i="1" s="1"/>
  <c r="L3105" i="1"/>
  <c r="K3105" i="1"/>
  <c r="J3105" i="1"/>
  <c r="L3104" i="1"/>
  <c r="J3104" i="1"/>
  <c r="L3103" i="1"/>
  <c r="K3103" i="1"/>
  <c r="H3103" i="1" s="1"/>
  <c r="J3103" i="1"/>
  <c r="L3102" i="1"/>
  <c r="K3102" i="1"/>
  <c r="J3102" i="1"/>
  <c r="L3101" i="1"/>
  <c r="K3101" i="1"/>
  <c r="J3101" i="1"/>
  <c r="H3101" i="1" s="1"/>
  <c r="L3100" i="1"/>
  <c r="J3100" i="1"/>
  <c r="H3100" i="1" s="1"/>
  <c r="L3099" i="1"/>
  <c r="K3099" i="1"/>
  <c r="H3099" i="1" s="1"/>
  <c r="J3099" i="1"/>
  <c r="L3098" i="1"/>
  <c r="K3098" i="1"/>
  <c r="J3098" i="1"/>
  <c r="L3097" i="1"/>
  <c r="K3097" i="1"/>
  <c r="J3097" i="1"/>
  <c r="L3096" i="1"/>
  <c r="J3096" i="1"/>
  <c r="K3094" i="1"/>
  <c r="L3093" i="1"/>
  <c r="L3094" i="1" s="1"/>
  <c r="J3093" i="1"/>
  <c r="J3094" i="1" s="1"/>
  <c r="K3091" i="1"/>
  <c r="L3090" i="1"/>
  <c r="J3090" i="1"/>
  <c r="L3089" i="1"/>
  <c r="K3089" i="1"/>
  <c r="J3089" i="1"/>
  <c r="H3089" i="1" s="1"/>
  <c r="L3088" i="1"/>
  <c r="J3088" i="1"/>
  <c r="H3088" i="1" s="1"/>
  <c r="L3087" i="1"/>
  <c r="J3087" i="1"/>
  <c r="L3086" i="1"/>
  <c r="J3086" i="1"/>
  <c r="L3085" i="1"/>
  <c r="J3085" i="1"/>
  <c r="L3084" i="1"/>
  <c r="K3084" i="1"/>
  <c r="J3084" i="1"/>
  <c r="L3083" i="1"/>
  <c r="J3083" i="1"/>
  <c r="H3083" i="1" s="1"/>
  <c r="L3080" i="1"/>
  <c r="K3080" i="1"/>
  <c r="J3080" i="1"/>
  <c r="L3079" i="1"/>
  <c r="K3079" i="1"/>
  <c r="J3079" i="1"/>
  <c r="L3078" i="1"/>
  <c r="K3078" i="1"/>
  <c r="J3078" i="1"/>
  <c r="L3075" i="1"/>
  <c r="J3075" i="1"/>
  <c r="L3074" i="1"/>
  <c r="K3074" i="1"/>
  <c r="J3074" i="1"/>
  <c r="L3073" i="1"/>
  <c r="J3073" i="1"/>
  <c r="H3073" i="1" s="1"/>
  <c r="L3072" i="1"/>
  <c r="J3072" i="1"/>
  <c r="L3071" i="1"/>
  <c r="J3071" i="1"/>
  <c r="L3070" i="1"/>
  <c r="J3070" i="1"/>
  <c r="H3070" i="1" s="1"/>
  <c r="J3069" i="1"/>
  <c r="J3068" i="1"/>
  <c r="L3067" i="1"/>
  <c r="J3067" i="1"/>
  <c r="H3067" i="1" s="1"/>
  <c r="L3066" i="1"/>
  <c r="J3066" i="1"/>
  <c r="H3066" i="1"/>
  <c r="L3065" i="1"/>
  <c r="K3065" i="1"/>
  <c r="J3065" i="1"/>
  <c r="H3065" i="1"/>
  <c r="L3064" i="1"/>
  <c r="K3064" i="1"/>
  <c r="J3064" i="1"/>
  <c r="H3064" i="1" s="1"/>
  <c r="L3063" i="1"/>
  <c r="K3063" i="1"/>
  <c r="H3063" i="1" s="1"/>
  <c r="J3063" i="1"/>
  <c r="L3062" i="1"/>
  <c r="K3062" i="1"/>
  <c r="J3062" i="1"/>
  <c r="H3062" i="1"/>
  <c r="L3061" i="1"/>
  <c r="H3061" i="1"/>
  <c r="L3058" i="1"/>
  <c r="J3058" i="1"/>
  <c r="H3058" i="1" s="1"/>
  <c r="L3057" i="1"/>
  <c r="J3057" i="1"/>
  <c r="H3057" i="1"/>
  <c r="L3056" i="1"/>
  <c r="K3056" i="1"/>
  <c r="J3056" i="1"/>
  <c r="H3056" i="1"/>
  <c r="L3055" i="1"/>
  <c r="K3055" i="1"/>
  <c r="J3055" i="1"/>
  <c r="H3055" i="1" s="1"/>
  <c r="L3054" i="1"/>
  <c r="K3054" i="1"/>
  <c r="K3059" i="1" s="1"/>
  <c r="J3054" i="1"/>
  <c r="L3053" i="1"/>
  <c r="K3053" i="1"/>
  <c r="J3053" i="1"/>
  <c r="H3053" i="1"/>
  <c r="L3052" i="1"/>
  <c r="J3052" i="1"/>
  <c r="H3052" i="1"/>
  <c r="L3049" i="1"/>
  <c r="J3049" i="1"/>
  <c r="H3049" i="1" s="1"/>
  <c r="L3048" i="1"/>
  <c r="K3048" i="1"/>
  <c r="J3048" i="1"/>
  <c r="H3048" i="1" s="1"/>
  <c r="L3047" i="1"/>
  <c r="J3047" i="1"/>
  <c r="H3047" i="1" s="1"/>
  <c r="L3046" i="1"/>
  <c r="J3046" i="1"/>
  <c r="H3046" i="1" s="1"/>
  <c r="L3045" i="1"/>
  <c r="J3045" i="1"/>
  <c r="H3045" i="1" s="1"/>
  <c r="L3044" i="1"/>
  <c r="J3044" i="1"/>
  <c r="H3044" i="1" s="1"/>
  <c r="L3043" i="1"/>
  <c r="J3043" i="1"/>
  <c r="H3043" i="1" s="1"/>
  <c r="L3042" i="1"/>
  <c r="J3042" i="1"/>
  <c r="H3042" i="1" s="1"/>
  <c r="L3041" i="1"/>
  <c r="K3041" i="1"/>
  <c r="K3050" i="1" s="1"/>
  <c r="J3041" i="1"/>
  <c r="H3041" i="1"/>
  <c r="L3040" i="1"/>
  <c r="J3040" i="1"/>
  <c r="H3040" i="1" s="1"/>
  <c r="L3039" i="1"/>
  <c r="J3039" i="1"/>
  <c r="H3039" i="1"/>
  <c r="L3038" i="1"/>
  <c r="J3038" i="1"/>
  <c r="H3038" i="1"/>
  <c r="L3037" i="1"/>
  <c r="J3037" i="1"/>
  <c r="H3037" i="1"/>
  <c r="K3035" i="1"/>
  <c r="L3034" i="1"/>
  <c r="L3035" i="1" s="1"/>
  <c r="J3034" i="1"/>
  <c r="H3034" i="1" s="1"/>
  <c r="L3032" i="1"/>
  <c r="K3032" i="1"/>
  <c r="H3032" i="1" s="1"/>
  <c r="J3032" i="1"/>
  <c r="L3031" i="1"/>
  <c r="K3031" i="1"/>
  <c r="J3031" i="1"/>
  <c r="L3030" i="1"/>
  <c r="J3030" i="1"/>
  <c r="H3030" i="1" s="1"/>
  <c r="L3029" i="1"/>
  <c r="K3029" i="1"/>
  <c r="J3029" i="1"/>
  <c r="L3028" i="1"/>
  <c r="K3028" i="1"/>
  <c r="J3028" i="1"/>
  <c r="L3027" i="1"/>
  <c r="K3027" i="1"/>
  <c r="J3027" i="1"/>
  <c r="J3033" i="1" s="1"/>
  <c r="L3026" i="1"/>
  <c r="K3026" i="1"/>
  <c r="J3026" i="1"/>
  <c r="L3025" i="1"/>
  <c r="K3025" i="1"/>
  <c r="H3025" i="1" s="1"/>
  <c r="J3025" i="1"/>
  <c r="L3024" i="1"/>
  <c r="H3024" i="1"/>
  <c r="L3021" i="1"/>
  <c r="J3021" i="1"/>
  <c r="L3020" i="1"/>
  <c r="K3020" i="1"/>
  <c r="H3020" i="1" s="1"/>
  <c r="J3020" i="1"/>
  <c r="L3019" i="1"/>
  <c r="K3019" i="1"/>
  <c r="J3019" i="1"/>
  <c r="L3018" i="1"/>
  <c r="L3022" i="1" s="1"/>
  <c r="K3018" i="1"/>
  <c r="J3018" i="1"/>
  <c r="L3015" i="1"/>
  <c r="J3015" i="1"/>
  <c r="H3015" i="1" s="1"/>
  <c r="L3014" i="1"/>
  <c r="J3014" i="1"/>
  <c r="H3014" i="1" s="1"/>
  <c r="L3013" i="1"/>
  <c r="K3013" i="1"/>
  <c r="J3013" i="1"/>
  <c r="L3012" i="1"/>
  <c r="J3012" i="1"/>
  <c r="H3012" i="1" s="1"/>
  <c r="L3011" i="1"/>
  <c r="K3011" i="1"/>
  <c r="J3011" i="1"/>
  <c r="L3010" i="1"/>
  <c r="K3010" i="1"/>
  <c r="J3010" i="1"/>
  <c r="L3009" i="1"/>
  <c r="K3009" i="1"/>
  <c r="J3009" i="1"/>
  <c r="L3008" i="1"/>
  <c r="K3008" i="1"/>
  <c r="H3008" i="1" s="1"/>
  <c r="J3008" i="1"/>
  <c r="K3006" i="1"/>
  <c r="L3005" i="1"/>
  <c r="J3005" i="1"/>
  <c r="H3005" i="1" s="1"/>
  <c r="L3004" i="1"/>
  <c r="K3004" i="1"/>
  <c r="J3004" i="1"/>
  <c r="H3004" i="1"/>
  <c r="L3003" i="1"/>
  <c r="L3006" i="1" s="1"/>
  <c r="K3003" i="1"/>
  <c r="J3003" i="1"/>
  <c r="H3003" i="1"/>
  <c r="L3002" i="1"/>
  <c r="K3002" i="1"/>
  <c r="J3002" i="1"/>
  <c r="L2999" i="1"/>
  <c r="J2999" i="1"/>
  <c r="H2999" i="1" s="1"/>
  <c r="L2998" i="1"/>
  <c r="J2998" i="1"/>
  <c r="H2998" i="1" s="1"/>
  <c r="L2997" i="1"/>
  <c r="K2997" i="1"/>
  <c r="J2997" i="1"/>
  <c r="L2996" i="1"/>
  <c r="K2996" i="1"/>
  <c r="J2996" i="1"/>
  <c r="H2996" i="1" s="1"/>
  <c r="L2995" i="1"/>
  <c r="K2995" i="1"/>
  <c r="J2995" i="1"/>
  <c r="L2994" i="1"/>
  <c r="K2994" i="1"/>
  <c r="K3000" i="1" s="1"/>
  <c r="J2994" i="1"/>
  <c r="L2993" i="1"/>
  <c r="J2993" i="1"/>
  <c r="H2993" i="1"/>
  <c r="L2990" i="1"/>
  <c r="K2990" i="1"/>
  <c r="J2990" i="1"/>
  <c r="H2990" i="1" s="1"/>
  <c r="L2989" i="1"/>
  <c r="K2989" i="1"/>
  <c r="J2989" i="1"/>
  <c r="H2989" i="1" s="1"/>
  <c r="J2988" i="1"/>
  <c r="L2987" i="1"/>
  <c r="K2987" i="1"/>
  <c r="J2987" i="1"/>
  <c r="L2986" i="1"/>
  <c r="K2986" i="1"/>
  <c r="H2986" i="1" s="1"/>
  <c r="J2986" i="1"/>
  <c r="L2985" i="1"/>
  <c r="K2985" i="1"/>
  <c r="J2985" i="1"/>
  <c r="H2985" i="1" s="1"/>
  <c r="L2984" i="1"/>
  <c r="K2984" i="1"/>
  <c r="J2984" i="1"/>
  <c r="L2983" i="1"/>
  <c r="K2983" i="1"/>
  <c r="J2983" i="1"/>
  <c r="L2982" i="1"/>
  <c r="K2982" i="1"/>
  <c r="J2982" i="1"/>
  <c r="J2981" i="1"/>
  <c r="L2980" i="1"/>
  <c r="K2980" i="1"/>
  <c r="J2980" i="1"/>
  <c r="L2979" i="1"/>
  <c r="K2979" i="1"/>
  <c r="J2979" i="1"/>
  <c r="L2978" i="1"/>
  <c r="J2978" i="1"/>
  <c r="L2977" i="1"/>
  <c r="K2977" i="1"/>
  <c r="J2977" i="1"/>
  <c r="L2976" i="1"/>
  <c r="K2976" i="1"/>
  <c r="J2976" i="1"/>
  <c r="H2976" i="1" s="1"/>
  <c r="L2975" i="1"/>
  <c r="J2975" i="1"/>
  <c r="H2975" i="1"/>
  <c r="L2974" i="1"/>
  <c r="K2974" i="1"/>
  <c r="J2974" i="1"/>
  <c r="H2974" i="1"/>
  <c r="L2973" i="1"/>
  <c r="K2973" i="1"/>
  <c r="J2973" i="1"/>
  <c r="H2973" i="1" s="1"/>
  <c r="L2972" i="1"/>
  <c r="K2972" i="1"/>
  <c r="J2972" i="1"/>
  <c r="H2972" i="1"/>
  <c r="L2971" i="1"/>
  <c r="K2971" i="1"/>
  <c r="J2971" i="1"/>
  <c r="H2971" i="1"/>
  <c r="L2970" i="1"/>
  <c r="K2970" i="1"/>
  <c r="J2970" i="1"/>
  <c r="H2970" i="1" s="1"/>
  <c r="L2969" i="1"/>
  <c r="K2969" i="1"/>
  <c r="J2969" i="1"/>
  <c r="H2969" i="1"/>
  <c r="L2968" i="1"/>
  <c r="K2968" i="1"/>
  <c r="J2968" i="1"/>
  <c r="H2968" i="1"/>
  <c r="L2967" i="1"/>
  <c r="K2967" i="1"/>
  <c r="J2967" i="1"/>
  <c r="H2967" i="1" s="1"/>
  <c r="L2966" i="1"/>
  <c r="K2966" i="1"/>
  <c r="J2966" i="1"/>
  <c r="H2966" i="1"/>
  <c r="L2965" i="1"/>
  <c r="J2965" i="1"/>
  <c r="H2965" i="1"/>
  <c r="L2964" i="1"/>
  <c r="J2964" i="1"/>
  <c r="H2964" i="1" s="1"/>
  <c r="L2963" i="1"/>
  <c r="K2963" i="1"/>
  <c r="H2963" i="1" s="1"/>
  <c r="J2963" i="1"/>
  <c r="L2962" i="1"/>
  <c r="J2962" i="1"/>
  <c r="H2962" i="1" s="1"/>
  <c r="L2961" i="1"/>
  <c r="K2961" i="1"/>
  <c r="J2961" i="1"/>
  <c r="L2960" i="1"/>
  <c r="K2960" i="1"/>
  <c r="J2960" i="1"/>
  <c r="L2959" i="1"/>
  <c r="K2959" i="1"/>
  <c r="H2959" i="1" s="1"/>
  <c r="L2958" i="1"/>
  <c r="K2958" i="1"/>
  <c r="H2958" i="1" s="1"/>
  <c r="L2957" i="1"/>
  <c r="H2957" i="1"/>
  <c r="L2956" i="1"/>
  <c r="J2956" i="1"/>
  <c r="H2956" i="1"/>
  <c r="L2953" i="1"/>
  <c r="K2953" i="1"/>
  <c r="J2953" i="1"/>
  <c r="H2953" i="1" s="1"/>
  <c r="L2952" i="1"/>
  <c r="K2952" i="1"/>
  <c r="J2952" i="1"/>
  <c r="H2952" i="1"/>
  <c r="L2951" i="1"/>
  <c r="K2951" i="1"/>
  <c r="J2951" i="1"/>
  <c r="H2951" i="1"/>
  <c r="L2950" i="1"/>
  <c r="J2950" i="1"/>
  <c r="L2949" i="1"/>
  <c r="J2949" i="1"/>
  <c r="H2949" i="1" s="1"/>
  <c r="L2948" i="1"/>
  <c r="J2948" i="1"/>
  <c r="H2948" i="1" s="1"/>
  <c r="L2947" i="1"/>
  <c r="K2947" i="1"/>
  <c r="H2947" i="1" s="1"/>
  <c r="J2947" i="1"/>
  <c r="L2946" i="1"/>
  <c r="K2946" i="1"/>
  <c r="J2946" i="1"/>
  <c r="L2945" i="1"/>
  <c r="K2945" i="1"/>
  <c r="J2945" i="1"/>
  <c r="H2945" i="1"/>
  <c r="L2944" i="1"/>
  <c r="K2944" i="1"/>
  <c r="J2944" i="1"/>
  <c r="H2944" i="1" s="1"/>
  <c r="L2943" i="1"/>
  <c r="J2943" i="1"/>
  <c r="H2943" i="1" s="1"/>
  <c r="L2942" i="1"/>
  <c r="K2942" i="1"/>
  <c r="K2954" i="1" s="1"/>
  <c r="J2942" i="1"/>
  <c r="L2939" i="1"/>
  <c r="J2939" i="1"/>
  <c r="H2939" i="1" s="1"/>
  <c r="J2938" i="1"/>
  <c r="J2937" i="1"/>
  <c r="L2936" i="1"/>
  <c r="J2936" i="1"/>
  <c r="H2936" i="1"/>
  <c r="J2935" i="1"/>
  <c r="L2934" i="1"/>
  <c r="K2934" i="1"/>
  <c r="J2934" i="1"/>
  <c r="H2934" i="1" s="1"/>
  <c r="J2933" i="1"/>
  <c r="L2932" i="1"/>
  <c r="K2932" i="1"/>
  <c r="K2940" i="1" s="1"/>
  <c r="J2932" i="1"/>
  <c r="H2932" i="1" s="1"/>
  <c r="J2931" i="1"/>
  <c r="L2930" i="1"/>
  <c r="J2930" i="1"/>
  <c r="H2930" i="1" s="1"/>
  <c r="L2929" i="1"/>
  <c r="J2929" i="1"/>
  <c r="H2929" i="1" s="1"/>
  <c r="L2928" i="1"/>
  <c r="L2940" i="1" s="1"/>
  <c r="J2928" i="1"/>
  <c r="H2928" i="1"/>
  <c r="L2925" i="1"/>
  <c r="J2925" i="1"/>
  <c r="H2925" i="1"/>
  <c r="J2924" i="1"/>
  <c r="L2923" i="1"/>
  <c r="K2923" i="1"/>
  <c r="J2923" i="1"/>
  <c r="L2922" i="1"/>
  <c r="J2922" i="1"/>
  <c r="H2922" i="1" s="1"/>
  <c r="J2921" i="1"/>
  <c r="L2920" i="1"/>
  <c r="J2920" i="1"/>
  <c r="H2920" i="1"/>
  <c r="L2919" i="1"/>
  <c r="K2919" i="1"/>
  <c r="J2919" i="1"/>
  <c r="L2918" i="1"/>
  <c r="J2918" i="1"/>
  <c r="H2918" i="1" s="1"/>
  <c r="J2917" i="1"/>
  <c r="L2916" i="1"/>
  <c r="K2916" i="1"/>
  <c r="J2916" i="1"/>
  <c r="J2915" i="1"/>
  <c r="J2914" i="1"/>
  <c r="L2913" i="1"/>
  <c r="K2913" i="1"/>
  <c r="J2913" i="1"/>
  <c r="H2913" i="1" s="1"/>
  <c r="L2912" i="1"/>
  <c r="K2912" i="1"/>
  <c r="J2912" i="1"/>
  <c r="H2912" i="1" s="1"/>
  <c r="L2911" i="1"/>
  <c r="J2911" i="1"/>
  <c r="H2911" i="1" s="1"/>
  <c r="L2910" i="1"/>
  <c r="K2910" i="1"/>
  <c r="J2910" i="1"/>
  <c r="H2910" i="1" s="1"/>
  <c r="L2909" i="1"/>
  <c r="J2909" i="1"/>
  <c r="J2908" i="1"/>
  <c r="L2907" i="1"/>
  <c r="K2907" i="1"/>
  <c r="J2907" i="1"/>
  <c r="L2906" i="1"/>
  <c r="K2906" i="1"/>
  <c r="J2906" i="1"/>
  <c r="H2906" i="1" s="1"/>
  <c r="L2905" i="1"/>
  <c r="K2905" i="1"/>
  <c r="J2905" i="1"/>
  <c r="H2905" i="1" s="1"/>
  <c r="L2904" i="1"/>
  <c r="J2904" i="1"/>
  <c r="L2901" i="1"/>
  <c r="J2901" i="1"/>
  <c r="H2901" i="1" s="1"/>
  <c r="L2900" i="1"/>
  <c r="J2900" i="1"/>
  <c r="H2900" i="1" s="1"/>
  <c r="L2899" i="1"/>
  <c r="K2899" i="1"/>
  <c r="J2899" i="1"/>
  <c r="H2899" i="1" s="1"/>
  <c r="L2898" i="1"/>
  <c r="K2898" i="1"/>
  <c r="J2898" i="1"/>
  <c r="H2898" i="1" s="1"/>
  <c r="L2897" i="1"/>
  <c r="J2897" i="1"/>
  <c r="H2897" i="1" s="1"/>
  <c r="L2896" i="1"/>
  <c r="K2896" i="1"/>
  <c r="J2896" i="1"/>
  <c r="H2896" i="1" s="1"/>
  <c r="L2895" i="1"/>
  <c r="J2895" i="1"/>
  <c r="H2895" i="1"/>
  <c r="L2894" i="1"/>
  <c r="J2894" i="1"/>
  <c r="H2894" i="1"/>
  <c r="L2893" i="1"/>
  <c r="K2893" i="1"/>
  <c r="H2893" i="1" s="1"/>
  <c r="J2893" i="1"/>
  <c r="L2892" i="1"/>
  <c r="J2892" i="1"/>
  <c r="H2892" i="1" s="1"/>
  <c r="L2891" i="1"/>
  <c r="J2891" i="1"/>
  <c r="H2891" i="1" s="1"/>
  <c r="L2890" i="1"/>
  <c r="K2890" i="1"/>
  <c r="J2890" i="1"/>
  <c r="L2889" i="1"/>
  <c r="K2889" i="1"/>
  <c r="J2889" i="1"/>
  <c r="L2888" i="1"/>
  <c r="J2888" i="1"/>
  <c r="H2888" i="1"/>
  <c r="L2887" i="1"/>
  <c r="J2887" i="1"/>
  <c r="H2887" i="1" s="1"/>
  <c r="L2886" i="1"/>
  <c r="K2886" i="1"/>
  <c r="J2886" i="1"/>
  <c r="L2885" i="1"/>
  <c r="J2885" i="1"/>
  <c r="L2884" i="1"/>
  <c r="K2884" i="1"/>
  <c r="J2884" i="1"/>
  <c r="L2883" i="1"/>
  <c r="K2883" i="1"/>
  <c r="J2883" i="1"/>
  <c r="L2882" i="1"/>
  <c r="K2882" i="1"/>
  <c r="J2882" i="1"/>
  <c r="L2881" i="1"/>
  <c r="K2881" i="1"/>
  <c r="J2881" i="1"/>
  <c r="L2880" i="1"/>
  <c r="K2880" i="1"/>
  <c r="H2880" i="1" s="1"/>
  <c r="J2880" i="1"/>
  <c r="L2879" i="1"/>
  <c r="J2879" i="1"/>
  <c r="H2879" i="1" s="1"/>
  <c r="L2878" i="1"/>
  <c r="J2878" i="1"/>
  <c r="H2878" i="1" s="1"/>
  <c r="L2875" i="1"/>
  <c r="J2875" i="1"/>
  <c r="H2875" i="1" s="1"/>
  <c r="L2874" i="1"/>
  <c r="J2874" i="1"/>
  <c r="H2874" i="1" s="1"/>
  <c r="L2873" i="1"/>
  <c r="K2873" i="1"/>
  <c r="J2873" i="1"/>
  <c r="L2872" i="1"/>
  <c r="K2872" i="1"/>
  <c r="J2872" i="1"/>
  <c r="H2872" i="1" s="1"/>
  <c r="L2871" i="1"/>
  <c r="J2871" i="1"/>
  <c r="H2871" i="1" s="1"/>
  <c r="L2870" i="1"/>
  <c r="K2870" i="1"/>
  <c r="J2870" i="1"/>
  <c r="L2869" i="1"/>
  <c r="J2869" i="1"/>
  <c r="H2869" i="1"/>
  <c r="L2868" i="1"/>
  <c r="K2868" i="1"/>
  <c r="J2868" i="1"/>
  <c r="L2867" i="1"/>
  <c r="J2867" i="1"/>
  <c r="H2867" i="1"/>
  <c r="L2866" i="1"/>
  <c r="K2866" i="1"/>
  <c r="J2866" i="1"/>
  <c r="H2866" i="1" s="1"/>
  <c r="L2865" i="1"/>
  <c r="K2865" i="1"/>
  <c r="J2865" i="1"/>
  <c r="H2865" i="1" s="1"/>
  <c r="L2864" i="1"/>
  <c r="J2864" i="1"/>
  <c r="H2864" i="1" s="1"/>
  <c r="L2863" i="1"/>
  <c r="J2863" i="1"/>
  <c r="H2863" i="1" s="1"/>
  <c r="L2862" i="1"/>
  <c r="K2862" i="1"/>
  <c r="J2862" i="1"/>
  <c r="H2862" i="1" s="1"/>
  <c r="L2861" i="1"/>
  <c r="K2861" i="1"/>
  <c r="J2861" i="1"/>
  <c r="L2860" i="1"/>
  <c r="J2860" i="1"/>
  <c r="H2860" i="1" s="1"/>
  <c r="L2859" i="1"/>
  <c r="J2859" i="1"/>
  <c r="H2859" i="1" s="1"/>
  <c r="L2858" i="1"/>
  <c r="K2858" i="1"/>
  <c r="J2858" i="1"/>
  <c r="H2858" i="1" s="1"/>
  <c r="L2857" i="1"/>
  <c r="K2857" i="1"/>
  <c r="J2857" i="1"/>
  <c r="L2856" i="1"/>
  <c r="K2856" i="1"/>
  <c r="H2856" i="1" s="1"/>
  <c r="J2856" i="1"/>
  <c r="L2855" i="1"/>
  <c r="K2855" i="1"/>
  <c r="J2855" i="1"/>
  <c r="L2854" i="1"/>
  <c r="K2854" i="1"/>
  <c r="J2854" i="1"/>
  <c r="L2853" i="1"/>
  <c r="K2853" i="1"/>
  <c r="J2853" i="1"/>
  <c r="L2852" i="1"/>
  <c r="J2852" i="1"/>
  <c r="H2852" i="1" s="1"/>
  <c r="L2849" i="1"/>
  <c r="J2849" i="1"/>
  <c r="H2849" i="1" s="1"/>
  <c r="L2848" i="1"/>
  <c r="J2848" i="1"/>
  <c r="H2848" i="1" s="1"/>
  <c r="L2847" i="1"/>
  <c r="K2847" i="1"/>
  <c r="J2847" i="1"/>
  <c r="L2846" i="1"/>
  <c r="K2846" i="1"/>
  <c r="H2846" i="1" s="1"/>
  <c r="J2846" i="1"/>
  <c r="L2845" i="1"/>
  <c r="J2845" i="1"/>
  <c r="H2845" i="1" s="1"/>
  <c r="L2844" i="1"/>
  <c r="J2844" i="1"/>
  <c r="H2844" i="1" s="1"/>
  <c r="L2843" i="1"/>
  <c r="K2843" i="1"/>
  <c r="J2843" i="1"/>
  <c r="H2843" i="1" s="1"/>
  <c r="L2842" i="1"/>
  <c r="J2842" i="1"/>
  <c r="H2842" i="1" s="1"/>
  <c r="L2841" i="1"/>
  <c r="K2841" i="1"/>
  <c r="J2841" i="1"/>
  <c r="H2841" i="1" s="1"/>
  <c r="L2840" i="1"/>
  <c r="J2840" i="1"/>
  <c r="L2839" i="1"/>
  <c r="J2839" i="1"/>
  <c r="H2839" i="1"/>
  <c r="L2838" i="1"/>
  <c r="K2838" i="1"/>
  <c r="J2838" i="1"/>
  <c r="L2837" i="1"/>
  <c r="K2837" i="1"/>
  <c r="J2837" i="1"/>
  <c r="H2837" i="1" s="1"/>
  <c r="L2836" i="1"/>
  <c r="J2836" i="1"/>
  <c r="H2836" i="1" s="1"/>
  <c r="L2835" i="1"/>
  <c r="J2835" i="1"/>
  <c r="H2835" i="1" s="1"/>
  <c r="L2834" i="1"/>
  <c r="K2834" i="1"/>
  <c r="J2834" i="1"/>
  <c r="L2833" i="1"/>
  <c r="K2833" i="1"/>
  <c r="J2833" i="1"/>
  <c r="L2832" i="1"/>
  <c r="J2832" i="1"/>
  <c r="H2832" i="1" s="1"/>
  <c r="L2831" i="1"/>
  <c r="J2831" i="1"/>
  <c r="H2831" i="1" s="1"/>
  <c r="L2830" i="1"/>
  <c r="K2830" i="1"/>
  <c r="J2830" i="1"/>
  <c r="H2830" i="1" s="1"/>
  <c r="L2829" i="1"/>
  <c r="K2829" i="1"/>
  <c r="J2829" i="1"/>
  <c r="H2829" i="1" s="1"/>
  <c r="L2828" i="1"/>
  <c r="K2828" i="1"/>
  <c r="J2828" i="1"/>
  <c r="H2828" i="1" s="1"/>
  <c r="L2827" i="1"/>
  <c r="K2827" i="1"/>
  <c r="J2827" i="1"/>
  <c r="H2827" i="1" s="1"/>
  <c r="L2826" i="1"/>
  <c r="K2826" i="1"/>
  <c r="J2826" i="1"/>
  <c r="L2825" i="1"/>
  <c r="J2825" i="1"/>
  <c r="L2824" i="1"/>
  <c r="K2824" i="1"/>
  <c r="J2824" i="1"/>
  <c r="L2823" i="1"/>
  <c r="J2823" i="1"/>
  <c r="L2822" i="1"/>
  <c r="K2822" i="1"/>
  <c r="J2822" i="1"/>
  <c r="H2822" i="1" s="1"/>
  <c r="L2821" i="1"/>
  <c r="K2821" i="1"/>
  <c r="J2821" i="1"/>
  <c r="H2821" i="1" s="1"/>
  <c r="L2820" i="1"/>
  <c r="K2820" i="1"/>
  <c r="J2820" i="1"/>
  <c r="H2820" i="1"/>
  <c r="L2819" i="1"/>
  <c r="K2819" i="1"/>
  <c r="J2819" i="1"/>
  <c r="H2819" i="1" s="1"/>
  <c r="L2818" i="1"/>
  <c r="K2818" i="1"/>
  <c r="J2818" i="1"/>
  <c r="H2818" i="1" s="1"/>
  <c r="L2817" i="1"/>
  <c r="J2817" i="1"/>
  <c r="H2817" i="1" s="1"/>
  <c r="L2816" i="1"/>
  <c r="K2816" i="1"/>
  <c r="J2816" i="1"/>
  <c r="H2816" i="1" s="1"/>
  <c r="L2813" i="1"/>
  <c r="K2813" i="1"/>
  <c r="J2813" i="1"/>
  <c r="L2812" i="1"/>
  <c r="K2812" i="1"/>
  <c r="J2812" i="1"/>
  <c r="L2811" i="1"/>
  <c r="J2811" i="1"/>
  <c r="H2811" i="1" s="1"/>
  <c r="K2809" i="1"/>
  <c r="L2808" i="1"/>
  <c r="L2809" i="1" s="1"/>
  <c r="K2808" i="1"/>
  <c r="J2808" i="1"/>
  <c r="J2809" i="1" s="1"/>
  <c r="L2805" i="1"/>
  <c r="J2805" i="1"/>
  <c r="H2805" i="1" s="1"/>
  <c r="L2804" i="1"/>
  <c r="J2804" i="1"/>
  <c r="H2804" i="1" s="1"/>
  <c r="L2803" i="1"/>
  <c r="K2803" i="1"/>
  <c r="J2803" i="1"/>
  <c r="L2802" i="1"/>
  <c r="K2802" i="1"/>
  <c r="J2802" i="1"/>
  <c r="L2801" i="1"/>
  <c r="J2801" i="1"/>
  <c r="H2801" i="1" s="1"/>
  <c r="L2800" i="1"/>
  <c r="J2800" i="1"/>
  <c r="H2800" i="1" s="1"/>
  <c r="L2799" i="1"/>
  <c r="J2799" i="1"/>
  <c r="H2799" i="1"/>
  <c r="L2798" i="1"/>
  <c r="J2798" i="1"/>
  <c r="H2798" i="1" s="1"/>
  <c r="L2797" i="1"/>
  <c r="K2797" i="1"/>
  <c r="J2797" i="1"/>
  <c r="L2796" i="1"/>
  <c r="J2796" i="1"/>
  <c r="H2796" i="1" s="1"/>
  <c r="L2795" i="1"/>
  <c r="K2795" i="1"/>
  <c r="J2795" i="1"/>
  <c r="L2794" i="1"/>
  <c r="J2794" i="1"/>
  <c r="H2794" i="1" s="1"/>
  <c r="L2793" i="1"/>
  <c r="K2793" i="1"/>
  <c r="J2793" i="1"/>
  <c r="L2792" i="1"/>
  <c r="K2792" i="1"/>
  <c r="J2792" i="1"/>
  <c r="L2791" i="1"/>
  <c r="J2791" i="1"/>
  <c r="H2791" i="1" s="1"/>
  <c r="L2790" i="1"/>
  <c r="J2790" i="1"/>
  <c r="H2790" i="1" s="1"/>
  <c r="L2789" i="1"/>
  <c r="K2789" i="1"/>
  <c r="J2789" i="1"/>
  <c r="L2788" i="1"/>
  <c r="K2788" i="1"/>
  <c r="J2788" i="1"/>
  <c r="H2788" i="1" s="1"/>
  <c r="L2787" i="1"/>
  <c r="J2787" i="1"/>
  <c r="H2787" i="1" s="1"/>
  <c r="L2786" i="1"/>
  <c r="J2786" i="1"/>
  <c r="H2786" i="1"/>
  <c r="L2785" i="1"/>
  <c r="J2785" i="1"/>
  <c r="H2785" i="1" s="1"/>
  <c r="L2784" i="1"/>
  <c r="K2784" i="1"/>
  <c r="J2784" i="1"/>
  <c r="L2783" i="1"/>
  <c r="J2783" i="1"/>
  <c r="H2783" i="1" s="1"/>
  <c r="L2782" i="1"/>
  <c r="K2782" i="1"/>
  <c r="J2782" i="1"/>
  <c r="L2781" i="1"/>
  <c r="J2781" i="1"/>
  <c r="L2780" i="1"/>
  <c r="K2780" i="1"/>
  <c r="J2780" i="1"/>
  <c r="H2780" i="1" s="1"/>
  <c r="L2779" i="1"/>
  <c r="J2779" i="1"/>
  <c r="H2779" i="1" s="1"/>
  <c r="L2778" i="1"/>
  <c r="K2778" i="1"/>
  <c r="J2778" i="1"/>
  <c r="L2777" i="1"/>
  <c r="K2777" i="1"/>
  <c r="J2777" i="1"/>
  <c r="L2776" i="1"/>
  <c r="J2776" i="1"/>
  <c r="H2776" i="1" s="1"/>
  <c r="L2775" i="1"/>
  <c r="K2775" i="1"/>
  <c r="J2775" i="1"/>
  <c r="L2772" i="1"/>
  <c r="J2772" i="1"/>
  <c r="H2772" i="1"/>
  <c r="L2771" i="1"/>
  <c r="J2771" i="1"/>
  <c r="H2771" i="1"/>
  <c r="L2770" i="1"/>
  <c r="K2770" i="1"/>
  <c r="J2770" i="1"/>
  <c r="H2770" i="1" s="1"/>
  <c r="L2769" i="1"/>
  <c r="K2769" i="1"/>
  <c r="J2769" i="1"/>
  <c r="L2768" i="1"/>
  <c r="J2768" i="1"/>
  <c r="H2768" i="1" s="1"/>
  <c r="L2767" i="1"/>
  <c r="K2767" i="1"/>
  <c r="J2767" i="1"/>
  <c r="H2767" i="1" s="1"/>
  <c r="L2766" i="1"/>
  <c r="K2766" i="1"/>
  <c r="J2766" i="1"/>
  <c r="H2766" i="1" s="1"/>
  <c r="L2765" i="1"/>
  <c r="J2765" i="1"/>
  <c r="H2765" i="1" s="1"/>
  <c r="L2764" i="1"/>
  <c r="K2764" i="1"/>
  <c r="J2764" i="1"/>
  <c r="L2763" i="1"/>
  <c r="J2763" i="1"/>
  <c r="L2762" i="1"/>
  <c r="J2762" i="1"/>
  <c r="H2762" i="1" s="1"/>
  <c r="L2761" i="1"/>
  <c r="K2761" i="1"/>
  <c r="J2761" i="1"/>
  <c r="H2761" i="1" s="1"/>
  <c r="L2760" i="1"/>
  <c r="K2760" i="1"/>
  <c r="J2760" i="1"/>
  <c r="L2759" i="1"/>
  <c r="J2759" i="1"/>
  <c r="H2759" i="1" s="1"/>
  <c r="L2758" i="1"/>
  <c r="J2758" i="1"/>
  <c r="H2758" i="1" s="1"/>
  <c r="L2757" i="1"/>
  <c r="K2757" i="1"/>
  <c r="J2757" i="1"/>
  <c r="H2757" i="1" s="1"/>
  <c r="L2756" i="1"/>
  <c r="K2756" i="1"/>
  <c r="J2756" i="1"/>
  <c r="H2756" i="1" s="1"/>
  <c r="L2755" i="1"/>
  <c r="J2755" i="1"/>
  <c r="H2755" i="1" s="1"/>
  <c r="L2754" i="1"/>
  <c r="J2754" i="1"/>
  <c r="H2754" i="1" s="1"/>
  <c r="L2753" i="1"/>
  <c r="J2753" i="1"/>
  <c r="H2753" i="1"/>
  <c r="L2752" i="1"/>
  <c r="K2752" i="1"/>
  <c r="J2752" i="1"/>
  <c r="H2752" i="1" s="1"/>
  <c r="L2751" i="1"/>
  <c r="K2751" i="1"/>
  <c r="J2751" i="1"/>
  <c r="L2750" i="1"/>
  <c r="K2750" i="1"/>
  <c r="J2750" i="1"/>
  <c r="L2749" i="1"/>
  <c r="J2749" i="1"/>
  <c r="H2749" i="1" s="1"/>
  <c r="L2748" i="1"/>
  <c r="K2748" i="1"/>
  <c r="H2748" i="1" s="1"/>
  <c r="L2747" i="1"/>
  <c r="K2747" i="1"/>
  <c r="H2747" i="1" s="1"/>
  <c r="L2746" i="1"/>
  <c r="J2746" i="1"/>
  <c r="H2746" i="1" s="1"/>
  <c r="L2745" i="1"/>
  <c r="K2745" i="1"/>
  <c r="J2745" i="1"/>
  <c r="L2744" i="1"/>
  <c r="J2744" i="1"/>
  <c r="H2744" i="1"/>
  <c r="L2741" i="1"/>
  <c r="J2741" i="1"/>
  <c r="H2741" i="1"/>
  <c r="L2740" i="1"/>
  <c r="J2740" i="1"/>
  <c r="H2740" i="1" s="1"/>
  <c r="L2739" i="1"/>
  <c r="K2739" i="1"/>
  <c r="J2739" i="1"/>
  <c r="H2739" i="1" s="1"/>
  <c r="L2738" i="1"/>
  <c r="K2738" i="1"/>
  <c r="J2738" i="1"/>
  <c r="H2738" i="1" s="1"/>
  <c r="L2737" i="1"/>
  <c r="K2737" i="1"/>
  <c r="J2737" i="1"/>
  <c r="L2736" i="1"/>
  <c r="J2736" i="1"/>
  <c r="H2736" i="1" s="1"/>
  <c r="L2735" i="1"/>
  <c r="J2735" i="1"/>
  <c r="H2735" i="1" s="1"/>
  <c r="L2734" i="1"/>
  <c r="K2734" i="1"/>
  <c r="J2734" i="1"/>
  <c r="L2733" i="1"/>
  <c r="J2733" i="1"/>
  <c r="H2733" i="1" s="1"/>
  <c r="L2732" i="1"/>
  <c r="J2732" i="1"/>
  <c r="H2732" i="1" s="1"/>
  <c r="L2731" i="1"/>
  <c r="J2731" i="1"/>
  <c r="L2730" i="1"/>
  <c r="J2730" i="1"/>
  <c r="H2730" i="1" s="1"/>
  <c r="L2729" i="1"/>
  <c r="K2729" i="1"/>
  <c r="J2729" i="1"/>
  <c r="L2728" i="1"/>
  <c r="K2728" i="1"/>
  <c r="J2728" i="1"/>
  <c r="H2728" i="1" s="1"/>
  <c r="L2727" i="1"/>
  <c r="J2727" i="1"/>
  <c r="H2727" i="1" s="1"/>
  <c r="L2726" i="1"/>
  <c r="J2726" i="1"/>
  <c r="H2726" i="1" s="1"/>
  <c r="L2725" i="1"/>
  <c r="K2725" i="1"/>
  <c r="J2725" i="1"/>
  <c r="H2725" i="1" s="1"/>
  <c r="L2724" i="1"/>
  <c r="K2724" i="1"/>
  <c r="J2724" i="1"/>
  <c r="L2723" i="1"/>
  <c r="J2723" i="1"/>
  <c r="H2723" i="1" s="1"/>
  <c r="L2722" i="1"/>
  <c r="J2722" i="1"/>
  <c r="H2722" i="1" s="1"/>
  <c r="L2721" i="1"/>
  <c r="J2721" i="1"/>
  <c r="H2721" i="1" s="1"/>
  <c r="L2720" i="1"/>
  <c r="K2720" i="1"/>
  <c r="J2720" i="1"/>
  <c r="H2720" i="1" s="1"/>
  <c r="L2719" i="1"/>
  <c r="K2719" i="1"/>
  <c r="J2719" i="1"/>
  <c r="L2718" i="1"/>
  <c r="K2718" i="1"/>
  <c r="J2718" i="1"/>
  <c r="H2718" i="1" s="1"/>
  <c r="L2717" i="1"/>
  <c r="K2717" i="1"/>
  <c r="J2717" i="1"/>
  <c r="L2716" i="1"/>
  <c r="K2716" i="1"/>
  <c r="J2716" i="1"/>
  <c r="L2715" i="1"/>
  <c r="K2715" i="1"/>
  <c r="J2715" i="1"/>
  <c r="H2715" i="1" s="1"/>
  <c r="L2714" i="1"/>
  <c r="J2714" i="1"/>
  <c r="H2714" i="1" s="1"/>
  <c r="L2713" i="1"/>
  <c r="K2713" i="1"/>
  <c r="H2713" i="1" s="1"/>
  <c r="L2712" i="1"/>
  <c r="K2712" i="1"/>
  <c r="H2712" i="1" s="1"/>
  <c r="L2711" i="1"/>
  <c r="K2711" i="1"/>
  <c r="J2711" i="1"/>
  <c r="L2710" i="1"/>
  <c r="K2710" i="1"/>
  <c r="H2710" i="1" s="1"/>
  <c r="J2710" i="1"/>
  <c r="L2709" i="1"/>
  <c r="K2709" i="1"/>
  <c r="J2709" i="1"/>
  <c r="H2709" i="1" s="1"/>
  <c r="L2706" i="1"/>
  <c r="J2706" i="1"/>
  <c r="H2706" i="1" s="1"/>
  <c r="L2705" i="1"/>
  <c r="J2705" i="1"/>
  <c r="H2705" i="1" s="1"/>
  <c r="L2704" i="1"/>
  <c r="K2704" i="1"/>
  <c r="J2704" i="1"/>
  <c r="L2703" i="1"/>
  <c r="K2703" i="1"/>
  <c r="J2703" i="1"/>
  <c r="H2703" i="1"/>
  <c r="L2702" i="1"/>
  <c r="J2702" i="1"/>
  <c r="H2702" i="1" s="1"/>
  <c r="L2701" i="1"/>
  <c r="J2701" i="1"/>
  <c r="H2701" i="1" s="1"/>
  <c r="L2700" i="1"/>
  <c r="K2700" i="1"/>
  <c r="J2700" i="1"/>
  <c r="H2700" i="1" s="1"/>
  <c r="L2699" i="1"/>
  <c r="J2699" i="1"/>
  <c r="H2699" i="1" s="1"/>
  <c r="L2698" i="1"/>
  <c r="K2698" i="1"/>
  <c r="J2698" i="1"/>
  <c r="H2698" i="1" s="1"/>
  <c r="L2697" i="1"/>
  <c r="J2697" i="1"/>
  <c r="H2697" i="1" s="1"/>
  <c r="L2696" i="1"/>
  <c r="K2696" i="1"/>
  <c r="J2696" i="1"/>
  <c r="H2696" i="1" s="1"/>
  <c r="L2695" i="1"/>
  <c r="J2695" i="1"/>
  <c r="H2695" i="1" s="1"/>
  <c r="L2694" i="1"/>
  <c r="K2694" i="1"/>
  <c r="H2694" i="1" s="1"/>
  <c r="J2694" i="1"/>
  <c r="L2693" i="1"/>
  <c r="J2693" i="1"/>
  <c r="H2693" i="1" s="1"/>
  <c r="L2692" i="1"/>
  <c r="J2692" i="1"/>
  <c r="H2692" i="1" s="1"/>
  <c r="L2691" i="1"/>
  <c r="K2691" i="1"/>
  <c r="J2691" i="1"/>
  <c r="L2690" i="1"/>
  <c r="K2690" i="1"/>
  <c r="J2690" i="1"/>
  <c r="H2690" i="1"/>
  <c r="L2689" i="1"/>
  <c r="J2689" i="1"/>
  <c r="H2689" i="1" s="1"/>
  <c r="L2688" i="1"/>
  <c r="J2688" i="1"/>
  <c r="H2688" i="1" s="1"/>
  <c r="L2687" i="1"/>
  <c r="K2687" i="1"/>
  <c r="H2687" i="1" s="1"/>
  <c r="J2687" i="1"/>
  <c r="L2686" i="1"/>
  <c r="J2686" i="1"/>
  <c r="H2686" i="1" s="1"/>
  <c r="L2685" i="1"/>
  <c r="K2685" i="1"/>
  <c r="H2685" i="1" s="1"/>
  <c r="J2685" i="1"/>
  <c r="L2684" i="1"/>
  <c r="K2684" i="1"/>
  <c r="J2684" i="1"/>
  <c r="L2683" i="1"/>
  <c r="J2683" i="1"/>
  <c r="L2682" i="1"/>
  <c r="K2682" i="1"/>
  <c r="J2682" i="1"/>
  <c r="L2681" i="1"/>
  <c r="K2681" i="1"/>
  <c r="J2681" i="1"/>
  <c r="L2680" i="1"/>
  <c r="K2680" i="1"/>
  <c r="J2680" i="1"/>
  <c r="L2679" i="1"/>
  <c r="J2679" i="1"/>
  <c r="H2679" i="1"/>
  <c r="L2678" i="1"/>
  <c r="K2678" i="1"/>
  <c r="J2678" i="1"/>
  <c r="H2678" i="1" s="1"/>
  <c r="L2677" i="1"/>
  <c r="K2677" i="1"/>
  <c r="J2677" i="1"/>
  <c r="H2677" i="1" s="1"/>
  <c r="L2676" i="1"/>
  <c r="H2676" i="1"/>
  <c r="L2675" i="1"/>
  <c r="K2675" i="1"/>
  <c r="J2675" i="1"/>
  <c r="H2675" i="1" s="1"/>
  <c r="L2674" i="1"/>
  <c r="J2674" i="1"/>
  <c r="H2674" i="1" s="1"/>
  <c r="L2671" i="1"/>
  <c r="J2671" i="1"/>
  <c r="H2671" i="1" s="1"/>
  <c r="L2670" i="1"/>
  <c r="J2670" i="1"/>
  <c r="H2670" i="1"/>
  <c r="L2669" i="1"/>
  <c r="K2669" i="1"/>
  <c r="J2669" i="1"/>
  <c r="H2669" i="1"/>
  <c r="L2668" i="1"/>
  <c r="K2668" i="1"/>
  <c r="J2668" i="1"/>
  <c r="H2668" i="1" s="1"/>
  <c r="L2667" i="1"/>
  <c r="J2667" i="1"/>
  <c r="H2667" i="1" s="1"/>
  <c r="L2666" i="1"/>
  <c r="J2666" i="1"/>
  <c r="H2666" i="1"/>
  <c r="L2665" i="1"/>
  <c r="K2665" i="1"/>
  <c r="J2665" i="1"/>
  <c r="H2665" i="1" s="1"/>
  <c r="L2664" i="1"/>
  <c r="J2664" i="1"/>
  <c r="H2664" i="1" s="1"/>
  <c r="L2663" i="1"/>
  <c r="K2663" i="1"/>
  <c r="J2663" i="1"/>
  <c r="L2662" i="1"/>
  <c r="J2662" i="1"/>
  <c r="H2662" i="1"/>
  <c r="L2661" i="1"/>
  <c r="K2661" i="1"/>
  <c r="J2661" i="1"/>
  <c r="H2661" i="1" s="1"/>
  <c r="L2660" i="1"/>
  <c r="K2660" i="1"/>
  <c r="J2660" i="1"/>
  <c r="H2660" i="1"/>
  <c r="L2659" i="1"/>
  <c r="J2659" i="1"/>
  <c r="H2659" i="1" s="1"/>
  <c r="L2658" i="1"/>
  <c r="J2658" i="1"/>
  <c r="H2658" i="1" s="1"/>
  <c r="L2657" i="1"/>
  <c r="K2657" i="1"/>
  <c r="J2657" i="1"/>
  <c r="L2656" i="1"/>
  <c r="K2656" i="1"/>
  <c r="H2656" i="1" s="1"/>
  <c r="J2656" i="1"/>
  <c r="L2655" i="1"/>
  <c r="J2655" i="1"/>
  <c r="H2655" i="1" s="1"/>
  <c r="L2654" i="1"/>
  <c r="J2654" i="1"/>
  <c r="H2654" i="1" s="1"/>
  <c r="L2653" i="1"/>
  <c r="J2653" i="1"/>
  <c r="H2653" i="1" s="1"/>
  <c r="L2652" i="1"/>
  <c r="K2652" i="1"/>
  <c r="J2652" i="1"/>
  <c r="L2651" i="1"/>
  <c r="K2651" i="1"/>
  <c r="H2651" i="1" s="1"/>
  <c r="J2651" i="1"/>
  <c r="L2650" i="1"/>
  <c r="K2650" i="1"/>
  <c r="J2650" i="1"/>
  <c r="L2649" i="1"/>
  <c r="K2649" i="1"/>
  <c r="J2649" i="1"/>
  <c r="L2648" i="1"/>
  <c r="K2648" i="1"/>
  <c r="H2648" i="1" s="1"/>
  <c r="J2648" i="1"/>
  <c r="L2647" i="1"/>
  <c r="K2647" i="1"/>
  <c r="J2647" i="1"/>
  <c r="L2646" i="1"/>
  <c r="J2646" i="1"/>
  <c r="H2646" i="1" s="1"/>
  <c r="L2645" i="1"/>
  <c r="K2645" i="1"/>
  <c r="J2645" i="1"/>
  <c r="L2644" i="1"/>
  <c r="J2644" i="1"/>
  <c r="H2644" i="1" s="1"/>
  <c r="L2641" i="1"/>
  <c r="J2641" i="1"/>
  <c r="H2641" i="1" s="1"/>
  <c r="L2640" i="1"/>
  <c r="J2640" i="1"/>
  <c r="H2640" i="1" s="1"/>
  <c r="L2639" i="1"/>
  <c r="K2639" i="1"/>
  <c r="J2639" i="1"/>
  <c r="L2638" i="1"/>
  <c r="K2638" i="1"/>
  <c r="J2638" i="1"/>
  <c r="L2637" i="1"/>
  <c r="J2637" i="1"/>
  <c r="H2637" i="1" s="1"/>
  <c r="L2636" i="1"/>
  <c r="K2636" i="1"/>
  <c r="J2636" i="1"/>
  <c r="H2636" i="1" s="1"/>
  <c r="L2635" i="1"/>
  <c r="J2635" i="1"/>
  <c r="H2635" i="1" s="1"/>
  <c r="L2634" i="1"/>
  <c r="K2634" i="1"/>
  <c r="J2634" i="1"/>
  <c r="H2634" i="1" s="1"/>
  <c r="L2633" i="1"/>
  <c r="J2633" i="1"/>
  <c r="H2633" i="1" s="1"/>
  <c r="L2632" i="1"/>
  <c r="K2632" i="1"/>
  <c r="J2632" i="1"/>
  <c r="H2632" i="1" s="1"/>
  <c r="L2631" i="1"/>
  <c r="J2631" i="1"/>
  <c r="H2631" i="1" s="1"/>
  <c r="L2630" i="1"/>
  <c r="K2630" i="1"/>
  <c r="H2630" i="1" s="1"/>
  <c r="J2630" i="1"/>
  <c r="L2629" i="1"/>
  <c r="K2629" i="1"/>
  <c r="J2629" i="1"/>
  <c r="L2628" i="1"/>
  <c r="J2628" i="1"/>
  <c r="H2628" i="1" s="1"/>
  <c r="L2627" i="1"/>
  <c r="J2627" i="1"/>
  <c r="H2627" i="1" s="1"/>
  <c r="L2626" i="1"/>
  <c r="K2626" i="1"/>
  <c r="J2626" i="1"/>
  <c r="H2626" i="1" s="1"/>
  <c r="L2625" i="1"/>
  <c r="K2625" i="1"/>
  <c r="J2625" i="1"/>
  <c r="L2624" i="1"/>
  <c r="J2624" i="1"/>
  <c r="H2624" i="1" s="1"/>
  <c r="L2623" i="1"/>
  <c r="J2623" i="1"/>
  <c r="H2623" i="1" s="1"/>
  <c r="L2622" i="1"/>
  <c r="K2622" i="1"/>
  <c r="J2622" i="1"/>
  <c r="L2621" i="1"/>
  <c r="J2621" i="1"/>
  <c r="H2621" i="1" s="1"/>
  <c r="L2620" i="1"/>
  <c r="J2620" i="1"/>
  <c r="L2619" i="1"/>
  <c r="K2619" i="1"/>
  <c r="J2619" i="1"/>
  <c r="H2619" i="1" s="1"/>
  <c r="L2618" i="1"/>
  <c r="K2618" i="1"/>
  <c r="J2618" i="1"/>
  <c r="H2618" i="1" s="1"/>
  <c r="L2617" i="1"/>
  <c r="J2617" i="1"/>
  <c r="L2616" i="1"/>
  <c r="K2616" i="1"/>
  <c r="J2616" i="1"/>
  <c r="H2616" i="1" s="1"/>
  <c r="L2615" i="1"/>
  <c r="K2615" i="1"/>
  <c r="J2615" i="1"/>
  <c r="H2615" i="1" s="1"/>
  <c r="L2614" i="1"/>
  <c r="K2614" i="1"/>
  <c r="J2614" i="1"/>
  <c r="L2613" i="1"/>
  <c r="K2613" i="1"/>
  <c r="J2613" i="1"/>
  <c r="L2612" i="1"/>
  <c r="J2612" i="1"/>
  <c r="H2612" i="1"/>
  <c r="L2611" i="1"/>
  <c r="K2611" i="1"/>
  <c r="J2611" i="1"/>
  <c r="H2611" i="1" s="1"/>
  <c r="L2610" i="1"/>
  <c r="K2610" i="1"/>
  <c r="J2610" i="1"/>
  <c r="H2610" i="1" s="1"/>
  <c r="L2607" i="1"/>
  <c r="J2607" i="1"/>
  <c r="H2607" i="1" s="1"/>
  <c r="L2606" i="1"/>
  <c r="J2606" i="1"/>
  <c r="H2606" i="1" s="1"/>
  <c r="L2605" i="1"/>
  <c r="K2605" i="1"/>
  <c r="H2605" i="1" s="1"/>
  <c r="J2605" i="1"/>
  <c r="L2604" i="1"/>
  <c r="K2604" i="1"/>
  <c r="J2604" i="1"/>
  <c r="H2604" i="1" s="1"/>
  <c r="L2603" i="1"/>
  <c r="J2603" i="1"/>
  <c r="H2603" i="1"/>
  <c r="L2602" i="1"/>
  <c r="K2602" i="1"/>
  <c r="J2602" i="1"/>
  <c r="H2602" i="1" s="1"/>
  <c r="L2601" i="1"/>
  <c r="K2601" i="1"/>
  <c r="J2601" i="1"/>
  <c r="L2600" i="1"/>
  <c r="J2600" i="1"/>
  <c r="H2600" i="1" s="1"/>
  <c r="L2599" i="1"/>
  <c r="K2599" i="1"/>
  <c r="J2599" i="1"/>
  <c r="L2598" i="1"/>
  <c r="J2598" i="1"/>
  <c r="H2598" i="1" s="1"/>
  <c r="L2597" i="1"/>
  <c r="K2597" i="1"/>
  <c r="J2597" i="1"/>
  <c r="H2597" i="1" s="1"/>
  <c r="L2596" i="1"/>
  <c r="K2596" i="1"/>
  <c r="J2596" i="1"/>
  <c r="H2596" i="1" s="1"/>
  <c r="L2595" i="1"/>
  <c r="J2595" i="1"/>
  <c r="H2595" i="1"/>
  <c r="L2594" i="1"/>
  <c r="J2594" i="1"/>
  <c r="H2594" i="1" s="1"/>
  <c r="L2593" i="1"/>
  <c r="K2593" i="1"/>
  <c r="H2593" i="1" s="1"/>
  <c r="J2593" i="1"/>
  <c r="L2592" i="1"/>
  <c r="K2592" i="1"/>
  <c r="J2592" i="1"/>
  <c r="L2591" i="1"/>
  <c r="J2591" i="1"/>
  <c r="H2591" i="1" s="1"/>
  <c r="L2590" i="1"/>
  <c r="J2590" i="1"/>
  <c r="H2590" i="1" s="1"/>
  <c r="L2589" i="1"/>
  <c r="K2589" i="1"/>
  <c r="J2589" i="1"/>
  <c r="H2589" i="1" s="1"/>
  <c r="L2588" i="1"/>
  <c r="K2588" i="1"/>
  <c r="J2588" i="1"/>
  <c r="L2587" i="1"/>
  <c r="K2587" i="1"/>
  <c r="J2587" i="1"/>
  <c r="H2587" i="1" s="1"/>
  <c r="L2586" i="1"/>
  <c r="K2586" i="1"/>
  <c r="J2586" i="1"/>
  <c r="L2585" i="1"/>
  <c r="K2585" i="1"/>
  <c r="J2585" i="1"/>
  <c r="L2584" i="1"/>
  <c r="K2584" i="1"/>
  <c r="J2584" i="1"/>
  <c r="L2583" i="1"/>
  <c r="K2583" i="1"/>
  <c r="J2583" i="1"/>
  <c r="L2582" i="1"/>
  <c r="K2582" i="1"/>
  <c r="J2582" i="1"/>
  <c r="H2582" i="1" s="1"/>
  <c r="L2581" i="1"/>
  <c r="K2581" i="1"/>
  <c r="J2581" i="1"/>
  <c r="H2581" i="1" s="1"/>
  <c r="L2580" i="1"/>
  <c r="K2580" i="1"/>
  <c r="J2580" i="1"/>
  <c r="L2579" i="1"/>
  <c r="J2579" i="1"/>
  <c r="H2579" i="1" s="1"/>
  <c r="L2578" i="1"/>
  <c r="K2578" i="1"/>
  <c r="J2578" i="1"/>
  <c r="L2575" i="1"/>
  <c r="K2575" i="1"/>
  <c r="J2575" i="1"/>
  <c r="L2574" i="1"/>
  <c r="L2576" i="1" s="1"/>
  <c r="J2574" i="1"/>
  <c r="H2574" i="1"/>
  <c r="K2572" i="1"/>
  <c r="L2571" i="1"/>
  <c r="L2572" i="1" s="1"/>
  <c r="J2571" i="1"/>
  <c r="J2572" i="1" s="1"/>
  <c r="K2569" i="1"/>
  <c r="L2568" i="1"/>
  <c r="L2569" i="1" s="1"/>
  <c r="J2568" i="1"/>
  <c r="J2569" i="1" s="1"/>
  <c r="K2566" i="1"/>
  <c r="L2565" i="1"/>
  <c r="L2566" i="1" s="1"/>
  <c r="J2565" i="1"/>
  <c r="J2566" i="1" s="1"/>
  <c r="K2563" i="1"/>
  <c r="L2562" i="1"/>
  <c r="L2563" i="1" s="1"/>
  <c r="J2562" i="1"/>
  <c r="J2563" i="1" s="1"/>
  <c r="L2560" i="1"/>
  <c r="L2559" i="1"/>
  <c r="K2559" i="1"/>
  <c r="K2560" i="1" s="1"/>
  <c r="J2559" i="1"/>
  <c r="H2559" i="1" s="1"/>
  <c r="L2558" i="1"/>
  <c r="J2558" i="1"/>
  <c r="H2558" i="1"/>
  <c r="K2556" i="1"/>
  <c r="L2555" i="1"/>
  <c r="J2555" i="1"/>
  <c r="J2556" i="1" s="1"/>
  <c r="L2554" i="1"/>
  <c r="L2556" i="1" s="1"/>
  <c r="K2554" i="1"/>
  <c r="J2554" i="1"/>
  <c r="L2551" i="1"/>
  <c r="K2551" i="1"/>
  <c r="K2552" i="1" s="1"/>
  <c r="J2551" i="1"/>
  <c r="L2550" i="1"/>
  <c r="L2552" i="1" s="1"/>
  <c r="J2550" i="1"/>
  <c r="H2550" i="1" s="1"/>
  <c r="L2547" i="1"/>
  <c r="K2547" i="1"/>
  <c r="J2547" i="1"/>
  <c r="H2547" i="1" s="1"/>
  <c r="L2546" i="1"/>
  <c r="K2546" i="1"/>
  <c r="J2546" i="1"/>
  <c r="H2546" i="1"/>
  <c r="L2545" i="1"/>
  <c r="J2545" i="1"/>
  <c r="H2545" i="1"/>
  <c r="L2544" i="1"/>
  <c r="K2544" i="1"/>
  <c r="J2544" i="1"/>
  <c r="H2544" i="1" s="1"/>
  <c r="L2543" i="1"/>
  <c r="K2543" i="1"/>
  <c r="J2543" i="1"/>
  <c r="J2542" i="1"/>
  <c r="G2541" i="1"/>
  <c r="F2541" i="1"/>
  <c r="C2541" i="1"/>
  <c r="B2541" i="1"/>
  <c r="A2541" i="1"/>
  <c r="K2541" i="1" s="1"/>
  <c r="L2540" i="1"/>
  <c r="K2540" i="1"/>
  <c r="J2540" i="1"/>
  <c r="L2539" i="1"/>
  <c r="K2539" i="1"/>
  <c r="J2539" i="1"/>
  <c r="L2538" i="1"/>
  <c r="K2538" i="1"/>
  <c r="J2538" i="1"/>
  <c r="H2538" i="1" s="1"/>
  <c r="L2537" i="1"/>
  <c r="K2537" i="1"/>
  <c r="J2537" i="1"/>
  <c r="H2537" i="1" s="1"/>
  <c r="L2536" i="1"/>
  <c r="K2536" i="1"/>
  <c r="H2536" i="1" s="1"/>
  <c r="J2536" i="1"/>
  <c r="G2535" i="1"/>
  <c r="F2535" i="1"/>
  <c r="B2535" i="1"/>
  <c r="A2535" i="1"/>
  <c r="L2535" i="1" s="1"/>
  <c r="L2534" i="1"/>
  <c r="K2534" i="1"/>
  <c r="J2534" i="1"/>
  <c r="L2533" i="1"/>
  <c r="K2533" i="1"/>
  <c r="J2533" i="1"/>
  <c r="H2533" i="1" s="1"/>
  <c r="L2532" i="1"/>
  <c r="K2532" i="1"/>
  <c r="J2532" i="1"/>
  <c r="H2532" i="1" s="1"/>
  <c r="L2531" i="1"/>
  <c r="K2531" i="1"/>
  <c r="J2531" i="1"/>
  <c r="H2531" i="1" s="1"/>
  <c r="L2530" i="1"/>
  <c r="J2530" i="1"/>
  <c r="H2530" i="1"/>
  <c r="L2529" i="1"/>
  <c r="K2529" i="1"/>
  <c r="J2529" i="1"/>
  <c r="L2528" i="1"/>
  <c r="K2528" i="1"/>
  <c r="J2528" i="1"/>
  <c r="H2528" i="1" s="1"/>
  <c r="L2527" i="1"/>
  <c r="J2527" i="1"/>
  <c r="H2527" i="1" s="1"/>
  <c r="L2526" i="1"/>
  <c r="K2526" i="1"/>
  <c r="H2526" i="1" s="1"/>
  <c r="J2526" i="1"/>
  <c r="L2525" i="1"/>
  <c r="K2525" i="1"/>
  <c r="J2525" i="1"/>
  <c r="L2524" i="1"/>
  <c r="K2524" i="1"/>
  <c r="J2524" i="1"/>
  <c r="L2523" i="1"/>
  <c r="K2523" i="1"/>
  <c r="J2523" i="1"/>
  <c r="L2522" i="1"/>
  <c r="K2522" i="1"/>
  <c r="J2522" i="1"/>
  <c r="L2521" i="1"/>
  <c r="K2521" i="1"/>
  <c r="J2521" i="1"/>
  <c r="L2520" i="1"/>
  <c r="K2520" i="1"/>
  <c r="J2520" i="1"/>
  <c r="L2519" i="1"/>
  <c r="K2519" i="1"/>
  <c r="J2519" i="1"/>
  <c r="L2518" i="1"/>
  <c r="K2518" i="1"/>
  <c r="J2518" i="1"/>
  <c r="L2517" i="1"/>
  <c r="K2517" i="1"/>
  <c r="J2517" i="1"/>
  <c r="L2516" i="1"/>
  <c r="K2516" i="1"/>
  <c r="J2516" i="1"/>
  <c r="L2515" i="1"/>
  <c r="K2515" i="1"/>
  <c r="J2515" i="1"/>
  <c r="L2514" i="1"/>
  <c r="K2514" i="1"/>
  <c r="J2514" i="1"/>
  <c r="L2513" i="1"/>
  <c r="K2513" i="1"/>
  <c r="J2513" i="1"/>
  <c r="J2511" i="1"/>
  <c r="L2510" i="1"/>
  <c r="L2511" i="1" s="1"/>
  <c r="K2510" i="1"/>
  <c r="K2511" i="1" s="1"/>
  <c r="J2510" i="1"/>
  <c r="L2507" i="1"/>
  <c r="K2507" i="1"/>
  <c r="K2508" i="1" s="1"/>
  <c r="J2507" i="1"/>
  <c r="H2507" i="1"/>
  <c r="L2506" i="1"/>
  <c r="L2508" i="1" s="1"/>
  <c r="K2506" i="1"/>
  <c r="J2506" i="1"/>
  <c r="H2506" i="1" s="1"/>
  <c r="L2503" i="1"/>
  <c r="K2503" i="1"/>
  <c r="J2503" i="1"/>
  <c r="H2503" i="1"/>
  <c r="L2502" i="1"/>
  <c r="K2502" i="1"/>
  <c r="J2502" i="1"/>
  <c r="H2502" i="1" s="1"/>
  <c r="L2501" i="1"/>
  <c r="J2501" i="1"/>
  <c r="H2501" i="1" s="1"/>
  <c r="L2500" i="1"/>
  <c r="K2500" i="1"/>
  <c r="J2500" i="1"/>
  <c r="H2500" i="1" s="1"/>
  <c r="L2499" i="1"/>
  <c r="J2499" i="1"/>
  <c r="H2499" i="1" s="1"/>
  <c r="L2498" i="1"/>
  <c r="K2498" i="1"/>
  <c r="J2498" i="1"/>
  <c r="L2497" i="1"/>
  <c r="K2497" i="1"/>
  <c r="H2497" i="1" s="1"/>
  <c r="J2497" i="1"/>
  <c r="L2496" i="1"/>
  <c r="J2496" i="1"/>
  <c r="H2496" i="1" s="1"/>
  <c r="L2495" i="1"/>
  <c r="K2495" i="1"/>
  <c r="J2495" i="1"/>
  <c r="H2495" i="1" s="1"/>
  <c r="L2494" i="1"/>
  <c r="K2494" i="1"/>
  <c r="J2494" i="1"/>
  <c r="L2493" i="1"/>
  <c r="K2493" i="1"/>
  <c r="J2493" i="1"/>
  <c r="L2492" i="1"/>
  <c r="J2492" i="1"/>
  <c r="H2492" i="1" s="1"/>
  <c r="L2491" i="1"/>
  <c r="J2491" i="1"/>
  <c r="H2491" i="1" s="1"/>
  <c r="L2490" i="1"/>
  <c r="K2490" i="1"/>
  <c r="J2490" i="1"/>
  <c r="L2489" i="1"/>
  <c r="K2489" i="1"/>
  <c r="J2489" i="1"/>
  <c r="L2488" i="1"/>
  <c r="K2488" i="1"/>
  <c r="J2488" i="1"/>
  <c r="H2488" i="1" s="1"/>
  <c r="L2487" i="1"/>
  <c r="K2487" i="1"/>
  <c r="J2487" i="1"/>
  <c r="H2487" i="1" s="1"/>
  <c r="L2486" i="1"/>
  <c r="K2486" i="1"/>
  <c r="H2486" i="1" s="1"/>
  <c r="J2486" i="1"/>
  <c r="L2485" i="1"/>
  <c r="H2485" i="1"/>
  <c r="L2482" i="1"/>
  <c r="J2482" i="1"/>
  <c r="H2482" i="1" s="1"/>
  <c r="L2481" i="1"/>
  <c r="K2481" i="1"/>
  <c r="J2481" i="1"/>
  <c r="L2480" i="1"/>
  <c r="K2480" i="1"/>
  <c r="J2480" i="1"/>
  <c r="H2480" i="1" s="1"/>
  <c r="L2479" i="1"/>
  <c r="K2479" i="1"/>
  <c r="J2479" i="1"/>
  <c r="H2479" i="1"/>
  <c r="L2478" i="1"/>
  <c r="K2478" i="1"/>
  <c r="J2478" i="1"/>
  <c r="H2478" i="1" s="1"/>
  <c r="L2477" i="1"/>
  <c r="J2477" i="1"/>
  <c r="H2477" i="1" s="1"/>
  <c r="L2476" i="1"/>
  <c r="K2476" i="1"/>
  <c r="J2476" i="1"/>
  <c r="L2475" i="1"/>
  <c r="J2475" i="1"/>
  <c r="H2475" i="1" s="1"/>
  <c r="L2474" i="1"/>
  <c r="K2474" i="1"/>
  <c r="J2474" i="1"/>
  <c r="L2473" i="1"/>
  <c r="J2473" i="1"/>
  <c r="H2473" i="1" s="1"/>
  <c r="L2472" i="1"/>
  <c r="K2472" i="1"/>
  <c r="J2472" i="1"/>
  <c r="H2472" i="1" s="1"/>
  <c r="L2471" i="1"/>
  <c r="K2471" i="1"/>
  <c r="J2471" i="1"/>
  <c r="H2471" i="1" s="1"/>
  <c r="L2470" i="1"/>
  <c r="K2470" i="1"/>
  <c r="J2470" i="1"/>
  <c r="L2469" i="1"/>
  <c r="K2469" i="1"/>
  <c r="J2469" i="1"/>
  <c r="L2468" i="1"/>
  <c r="K2468" i="1"/>
  <c r="J2468" i="1"/>
  <c r="L2467" i="1"/>
  <c r="J2467" i="1"/>
  <c r="H2467" i="1"/>
  <c r="L2466" i="1"/>
  <c r="K2466" i="1"/>
  <c r="J2466" i="1"/>
  <c r="H2466" i="1" s="1"/>
  <c r="L2465" i="1"/>
  <c r="K2465" i="1"/>
  <c r="J2465" i="1"/>
  <c r="L2464" i="1"/>
  <c r="K2464" i="1"/>
  <c r="J2464" i="1"/>
  <c r="H2464" i="1" s="1"/>
  <c r="L2463" i="1"/>
  <c r="K2463" i="1"/>
  <c r="H2463" i="1" s="1"/>
  <c r="J2463" i="1"/>
  <c r="L2462" i="1"/>
  <c r="J2462" i="1"/>
  <c r="H2462" i="1"/>
  <c r="L2461" i="1"/>
  <c r="K2461" i="1"/>
  <c r="J2461" i="1"/>
  <c r="L2458" i="1"/>
  <c r="J2458" i="1"/>
  <c r="H2458" i="1" s="1"/>
  <c r="L2457" i="1"/>
  <c r="K2457" i="1"/>
  <c r="J2457" i="1"/>
  <c r="L2456" i="1"/>
  <c r="K2456" i="1"/>
  <c r="H2456" i="1" s="1"/>
  <c r="J2456" i="1"/>
  <c r="L2455" i="1"/>
  <c r="K2455" i="1"/>
  <c r="J2455" i="1"/>
  <c r="L2454" i="1"/>
  <c r="K2454" i="1"/>
  <c r="J2454" i="1"/>
  <c r="L2453" i="1"/>
  <c r="J2453" i="1"/>
  <c r="H2453" i="1" s="1"/>
  <c r="L2452" i="1"/>
  <c r="K2452" i="1"/>
  <c r="J2452" i="1"/>
  <c r="L2451" i="1"/>
  <c r="K2451" i="1"/>
  <c r="J2451" i="1"/>
  <c r="H2451" i="1" s="1"/>
  <c r="L2450" i="1"/>
  <c r="J2450" i="1"/>
  <c r="J2449" i="1"/>
  <c r="L2448" i="1"/>
  <c r="J2448" i="1"/>
  <c r="H2448" i="1" s="1"/>
  <c r="L2447" i="1"/>
  <c r="K2447" i="1"/>
  <c r="H2447" i="1" s="1"/>
  <c r="J2447" i="1"/>
  <c r="L2446" i="1"/>
  <c r="J2446" i="1"/>
  <c r="L2445" i="1"/>
  <c r="J2445" i="1"/>
  <c r="H2445" i="1" s="1"/>
  <c r="L2444" i="1"/>
  <c r="K2444" i="1"/>
  <c r="J2444" i="1"/>
  <c r="H2444" i="1"/>
  <c r="L2443" i="1"/>
  <c r="K2443" i="1"/>
  <c r="J2443" i="1"/>
  <c r="H2443" i="1" s="1"/>
  <c r="L2442" i="1"/>
  <c r="K2442" i="1"/>
  <c r="J2442" i="1"/>
  <c r="H2442" i="1"/>
  <c r="L2441" i="1"/>
  <c r="K2441" i="1"/>
  <c r="H2441" i="1" s="1"/>
  <c r="J2441" i="1"/>
  <c r="L2440" i="1"/>
  <c r="K2440" i="1"/>
  <c r="J2440" i="1"/>
  <c r="H2440" i="1" s="1"/>
  <c r="L2439" i="1"/>
  <c r="K2439" i="1"/>
  <c r="J2439" i="1"/>
  <c r="H2439" i="1" s="1"/>
  <c r="L2438" i="1"/>
  <c r="K2438" i="1"/>
  <c r="J2438" i="1"/>
  <c r="H2438" i="1" s="1"/>
  <c r="L2437" i="1"/>
  <c r="K2437" i="1"/>
  <c r="J2437" i="1"/>
  <c r="H2437" i="1" s="1"/>
  <c r="L2436" i="1"/>
  <c r="K2436" i="1"/>
  <c r="H2436" i="1" s="1"/>
  <c r="J2436" i="1"/>
  <c r="L2435" i="1"/>
  <c r="K2435" i="1"/>
  <c r="H2435" i="1" s="1"/>
  <c r="J2435" i="1"/>
  <c r="L2434" i="1"/>
  <c r="J2434" i="1"/>
  <c r="H2434" i="1"/>
  <c r="L2433" i="1"/>
  <c r="J2433" i="1"/>
  <c r="H2433" i="1" s="1"/>
  <c r="L2432" i="1"/>
  <c r="K2432" i="1"/>
  <c r="H2432" i="1" s="1"/>
  <c r="J2432" i="1"/>
  <c r="L2431" i="1"/>
  <c r="K2431" i="1"/>
  <c r="J2431" i="1"/>
  <c r="H2431" i="1" s="1"/>
  <c r="L2430" i="1"/>
  <c r="J2430" i="1"/>
  <c r="H2430" i="1"/>
  <c r="L2429" i="1"/>
  <c r="K2429" i="1"/>
  <c r="J2429" i="1"/>
  <c r="L2428" i="1"/>
  <c r="K2428" i="1"/>
  <c r="J2428" i="1"/>
  <c r="H2428" i="1"/>
  <c r="L2427" i="1"/>
  <c r="K2427" i="1"/>
  <c r="H2427" i="1" s="1"/>
  <c r="L2426" i="1"/>
  <c r="K2426" i="1"/>
  <c r="H2426" i="1" s="1"/>
  <c r="L2425" i="1"/>
  <c r="J2425" i="1"/>
  <c r="H2425" i="1"/>
  <c r="L2424" i="1"/>
  <c r="K2424" i="1"/>
  <c r="J2424" i="1"/>
  <c r="J2421" i="1"/>
  <c r="L2420" i="1"/>
  <c r="K2420" i="1"/>
  <c r="J2420" i="1"/>
  <c r="H2420" i="1" s="1"/>
  <c r="L2419" i="1"/>
  <c r="K2419" i="1"/>
  <c r="J2419" i="1"/>
  <c r="L2418" i="1"/>
  <c r="K2418" i="1"/>
  <c r="J2418" i="1"/>
  <c r="L2417" i="1"/>
  <c r="K2417" i="1"/>
  <c r="J2417" i="1"/>
  <c r="H2417" i="1" s="1"/>
  <c r="L2416" i="1"/>
  <c r="K2416" i="1"/>
  <c r="J2416" i="1"/>
  <c r="L2415" i="1"/>
  <c r="K2415" i="1"/>
  <c r="J2415" i="1"/>
  <c r="H2415" i="1" s="1"/>
  <c r="L2414" i="1"/>
  <c r="K2414" i="1"/>
  <c r="K2422" i="1" s="1"/>
  <c r="J2414" i="1"/>
  <c r="J2413" i="1"/>
  <c r="J2422" i="1" s="1"/>
  <c r="L2410" i="1"/>
  <c r="K2410" i="1"/>
  <c r="J2410" i="1"/>
  <c r="H2410" i="1" s="1"/>
  <c r="L2409" i="1"/>
  <c r="K2409" i="1"/>
  <c r="J2409" i="1"/>
  <c r="H2409" i="1"/>
  <c r="L2408" i="1"/>
  <c r="K2408" i="1"/>
  <c r="J2408" i="1"/>
  <c r="L2407" i="1"/>
  <c r="K2407" i="1"/>
  <c r="J2407" i="1"/>
  <c r="H2407" i="1" s="1"/>
  <c r="L2406" i="1"/>
  <c r="K2406" i="1"/>
  <c r="J2406" i="1"/>
  <c r="L2405" i="1"/>
  <c r="K2405" i="1"/>
  <c r="J2405" i="1"/>
  <c r="L2404" i="1"/>
  <c r="K2404" i="1"/>
  <c r="J2404" i="1"/>
  <c r="H2404" i="1" s="1"/>
  <c r="J2403" i="1"/>
  <c r="L2402" i="1"/>
  <c r="K2402" i="1"/>
  <c r="J2402" i="1"/>
  <c r="H2402" i="1"/>
  <c r="F2402" i="1"/>
  <c r="L2401" i="1"/>
  <c r="K2401" i="1"/>
  <c r="J2401" i="1"/>
  <c r="L2400" i="1"/>
  <c r="K2400" i="1"/>
  <c r="H2400" i="1" s="1"/>
  <c r="J2400" i="1"/>
  <c r="L2399" i="1"/>
  <c r="K2399" i="1"/>
  <c r="J2399" i="1"/>
  <c r="L2398" i="1"/>
  <c r="K2398" i="1"/>
  <c r="J2398" i="1"/>
  <c r="L2397" i="1"/>
  <c r="K2397" i="1"/>
  <c r="J2397" i="1"/>
  <c r="H2397" i="1" s="1"/>
  <c r="L2396" i="1"/>
  <c r="K2396" i="1"/>
  <c r="J2396" i="1"/>
  <c r="H2396" i="1" s="1"/>
  <c r="L2395" i="1"/>
  <c r="K2395" i="1"/>
  <c r="J2395" i="1"/>
  <c r="H2395" i="1" s="1"/>
  <c r="L2394" i="1"/>
  <c r="K2394" i="1"/>
  <c r="J2394" i="1"/>
  <c r="H2394" i="1" s="1"/>
  <c r="L2393" i="1"/>
  <c r="K2393" i="1"/>
  <c r="J2393" i="1"/>
  <c r="L2392" i="1"/>
  <c r="K2392" i="1"/>
  <c r="J2392" i="1"/>
  <c r="H2392" i="1" s="1"/>
  <c r="L2391" i="1"/>
  <c r="K2391" i="1"/>
  <c r="J2391" i="1"/>
  <c r="H2391" i="1" s="1"/>
  <c r="L2390" i="1"/>
  <c r="J2390" i="1"/>
  <c r="H2390" i="1" s="1"/>
  <c r="L2389" i="1"/>
  <c r="K2389" i="1"/>
  <c r="H2389" i="1" s="1"/>
  <c r="J2389" i="1"/>
  <c r="L2388" i="1"/>
  <c r="J2388" i="1"/>
  <c r="H2388" i="1" s="1"/>
  <c r="L2387" i="1"/>
  <c r="J2387" i="1"/>
  <c r="H2387" i="1" s="1"/>
  <c r="L2386" i="1"/>
  <c r="J2386" i="1"/>
  <c r="H2386" i="1" s="1"/>
  <c r="L2385" i="1"/>
  <c r="K2385" i="1"/>
  <c r="J2385" i="1"/>
  <c r="F2385" i="1"/>
  <c r="L2384" i="1"/>
  <c r="J2384" i="1"/>
  <c r="L2383" i="1"/>
  <c r="K2383" i="1"/>
  <c r="J2383" i="1"/>
  <c r="H2383" i="1" s="1"/>
  <c r="L2382" i="1"/>
  <c r="K2382" i="1"/>
  <c r="J2382" i="1"/>
  <c r="H2382" i="1" s="1"/>
  <c r="L2381" i="1"/>
  <c r="J2381" i="1"/>
  <c r="H2381" i="1" s="1"/>
  <c r="L2380" i="1"/>
  <c r="K2380" i="1"/>
  <c r="J2380" i="1"/>
  <c r="H2380" i="1"/>
  <c r="L2379" i="1"/>
  <c r="K2379" i="1"/>
  <c r="J2379" i="1"/>
  <c r="H2379" i="1" s="1"/>
  <c r="L2378" i="1"/>
  <c r="K2378" i="1"/>
  <c r="J2378" i="1"/>
  <c r="H2378" i="1"/>
  <c r="L2377" i="1"/>
  <c r="K2377" i="1"/>
  <c r="H2377" i="1" s="1"/>
  <c r="J2377" i="1"/>
  <c r="L2376" i="1"/>
  <c r="K2376" i="1"/>
  <c r="J2376" i="1"/>
  <c r="H2376" i="1" s="1"/>
  <c r="L2375" i="1"/>
  <c r="K2375" i="1"/>
  <c r="J2375" i="1"/>
  <c r="H2375" i="1" s="1"/>
  <c r="L2374" i="1"/>
  <c r="K2374" i="1"/>
  <c r="J2374" i="1"/>
  <c r="L2373" i="1"/>
  <c r="J2373" i="1"/>
  <c r="H2373" i="1"/>
  <c r="L2372" i="1"/>
  <c r="K2372" i="1"/>
  <c r="J2372" i="1"/>
  <c r="H2372" i="1" s="1"/>
  <c r="L2371" i="1"/>
  <c r="K2371" i="1"/>
  <c r="J2371" i="1"/>
  <c r="L2370" i="1"/>
  <c r="K2370" i="1"/>
  <c r="J2370" i="1"/>
  <c r="L2369" i="1"/>
  <c r="K2369" i="1"/>
  <c r="J2369" i="1"/>
  <c r="H2369" i="1" s="1"/>
  <c r="L2368" i="1"/>
  <c r="K2368" i="1"/>
  <c r="J2368" i="1"/>
  <c r="H2368" i="1" s="1"/>
  <c r="L2367" i="1"/>
  <c r="K2367" i="1"/>
  <c r="H2367" i="1" s="1"/>
  <c r="J2367" i="1"/>
  <c r="L2366" i="1"/>
  <c r="K2366" i="1"/>
  <c r="J2366" i="1"/>
  <c r="H2366" i="1" s="1"/>
  <c r="L2365" i="1"/>
  <c r="K2365" i="1"/>
  <c r="J2365" i="1"/>
  <c r="H2365" i="1" s="1"/>
  <c r="L2364" i="1"/>
  <c r="K2364" i="1"/>
  <c r="H2364" i="1" s="1"/>
  <c r="L2363" i="1"/>
  <c r="K2363" i="1"/>
  <c r="H2363" i="1"/>
  <c r="L2362" i="1"/>
  <c r="K2362" i="1"/>
  <c r="L2361" i="1"/>
  <c r="J2361" i="1"/>
  <c r="K2359" i="1"/>
  <c r="L2358" i="1"/>
  <c r="J2358" i="1"/>
  <c r="L2357" i="1"/>
  <c r="J2357" i="1"/>
  <c r="J2359" i="1" s="1"/>
  <c r="L2354" i="1"/>
  <c r="L2355" i="1" s="1"/>
  <c r="K2354" i="1"/>
  <c r="K2355" i="1" s="1"/>
  <c r="J2354" i="1"/>
  <c r="H2354" i="1" s="1"/>
  <c r="L2351" i="1"/>
  <c r="L2352" i="1" s="1"/>
  <c r="K2351" i="1"/>
  <c r="K2352" i="1" s="1"/>
  <c r="J2351" i="1"/>
  <c r="J2352" i="1" s="1"/>
  <c r="L2348" i="1"/>
  <c r="K2348" i="1"/>
  <c r="J2348" i="1"/>
  <c r="L2347" i="1"/>
  <c r="K2347" i="1"/>
  <c r="J2347" i="1"/>
  <c r="H2347" i="1"/>
  <c r="L2346" i="1"/>
  <c r="K2346" i="1"/>
  <c r="K2349" i="1" s="1"/>
  <c r="J2346" i="1"/>
  <c r="L2345" i="1"/>
  <c r="H2345" i="1"/>
  <c r="L2344" i="1"/>
  <c r="K2344" i="1"/>
  <c r="J2344" i="1"/>
  <c r="H2344" i="1"/>
  <c r="L2341" i="1"/>
  <c r="L2342" i="1" s="1"/>
  <c r="K2341" i="1"/>
  <c r="K2342" i="1" s="1"/>
  <c r="J2341" i="1"/>
  <c r="F2341" i="1"/>
  <c r="L2338" i="1"/>
  <c r="K2338" i="1"/>
  <c r="H2338" i="1" s="1"/>
  <c r="J2338" i="1"/>
  <c r="L2337" i="1"/>
  <c r="K2337" i="1"/>
  <c r="J2337" i="1"/>
  <c r="H2337" i="1"/>
  <c r="L2336" i="1"/>
  <c r="K2336" i="1"/>
  <c r="J2336" i="1"/>
  <c r="J2335" i="1"/>
  <c r="L2334" i="1"/>
  <c r="J2334" i="1"/>
  <c r="H2334" i="1" s="1"/>
  <c r="L2333" i="1"/>
  <c r="J2333" i="1"/>
  <c r="H2333" i="1" s="1"/>
  <c r="L2332" i="1"/>
  <c r="J2332" i="1"/>
  <c r="H2332" i="1" s="1"/>
  <c r="L2331" i="1"/>
  <c r="K2331" i="1"/>
  <c r="J2331" i="1"/>
  <c r="H2331" i="1" s="1"/>
  <c r="L2330" i="1"/>
  <c r="K2330" i="1"/>
  <c r="H2330" i="1" s="1"/>
  <c r="J2330" i="1"/>
  <c r="L2329" i="1"/>
  <c r="K2329" i="1"/>
  <c r="J2329" i="1"/>
  <c r="H2329" i="1" s="1"/>
  <c r="L2328" i="1"/>
  <c r="K2328" i="1"/>
  <c r="J2328" i="1"/>
  <c r="H2328" i="1" s="1"/>
  <c r="L2327" i="1"/>
  <c r="K2327" i="1"/>
  <c r="J2327" i="1"/>
  <c r="L2326" i="1"/>
  <c r="K2326" i="1"/>
  <c r="K2339" i="1" s="1"/>
  <c r="J2326" i="1"/>
  <c r="L2325" i="1"/>
  <c r="J2325" i="1"/>
  <c r="L2324" i="1"/>
  <c r="L2321" i="1"/>
  <c r="J2321" i="1"/>
  <c r="H2321" i="1" s="1"/>
  <c r="L2320" i="1"/>
  <c r="K2320" i="1"/>
  <c r="J2320" i="1"/>
  <c r="H2320" i="1"/>
  <c r="L2319" i="1"/>
  <c r="K2319" i="1"/>
  <c r="H2319" i="1" s="1"/>
  <c r="J2319" i="1"/>
  <c r="L2318" i="1"/>
  <c r="J2318" i="1"/>
  <c r="H2318" i="1"/>
  <c r="J2317" i="1"/>
  <c r="L2316" i="1"/>
  <c r="K2316" i="1"/>
  <c r="J2316" i="1"/>
  <c r="H2316" i="1"/>
  <c r="L2315" i="1"/>
  <c r="K2315" i="1"/>
  <c r="H2315" i="1" s="1"/>
  <c r="J2315" i="1"/>
  <c r="L2314" i="1"/>
  <c r="K2314" i="1"/>
  <c r="J2314" i="1"/>
  <c r="H2314" i="1" s="1"/>
  <c r="J2313" i="1"/>
  <c r="L2312" i="1"/>
  <c r="J2312" i="1"/>
  <c r="H2312" i="1"/>
  <c r="L2311" i="1"/>
  <c r="J2311" i="1"/>
  <c r="H2311" i="1" s="1"/>
  <c r="L2310" i="1"/>
  <c r="J2310" i="1"/>
  <c r="H2310" i="1" s="1"/>
  <c r="L2309" i="1"/>
  <c r="K2309" i="1"/>
  <c r="J2309" i="1"/>
  <c r="L2308" i="1"/>
  <c r="K2308" i="1"/>
  <c r="J2308" i="1"/>
  <c r="H2308" i="1"/>
  <c r="L2307" i="1"/>
  <c r="K2307" i="1"/>
  <c r="J2307" i="1"/>
  <c r="H2307" i="1" s="1"/>
  <c r="L2306" i="1"/>
  <c r="J2306" i="1"/>
  <c r="H2306" i="1" s="1"/>
  <c r="L2305" i="1"/>
  <c r="K2305" i="1"/>
  <c r="J2305" i="1"/>
  <c r="H2305" i="1" s="1"/>
  <c r="L2304" i="1"/>
  <c r="K2304" i="1"/>
  <c r="J2304" i="1"/>
  <c r="H2304" i="1" s="1"/>
  <c r="L2303" i="1"/>
  <c r="J2303" i="1"/>
  <c r="H2303" i="1" s="1"/>
  <c r="L2302" i="1"/>
  <c r="K2302" i="1"/>
  <c r="J2302" i="1"/>
  <c r="L2301" i="1"/>
  <c r="K2301" i="1"/>
  <c r="H2301" i="1" s="1"/>
  <c r="J2301" i="1"/>
  <c r="L2300" i="1"/>
  <c r="K2300" i="1"/>
  <c r="J2300" i="1"/>
  <c r="H2300" i="1" s="1"/>
  <c r="L2299" i="1"/>
  <c r="K2299" i="1"/>
  <c r="H2299" i="1" s="1"/>
  <c r="J2299" i="1"/>
  <c r="L2298" i="1"/>
  <c r="K2298" i="1"/>
  <c r="J2298" i="1"/>
  <c r="L2297" i="1"/>
  <c r="K2297" i="1"/>
  <c r="J2297" i="1"/>
  <c r="L2296" i="1"/>
  <c r="K2296" i="1"/>
  <c r="J2296" i="1"/>
  <c r="L2295" i="1"/>
  <c r="K2295" i="1"/>
  <c r="H2295" i="1" s="1"/>
  <c r="J2295" i="1"/>
  <c r="L2294" i="1"/>
  <c r="K2294" i="1"/>
  <c r="J2294" i="1"/>
  <c r="H2294" i="1" s="1"/>
  <c r="L2293" i="1"/>
  <c r="J2293" i="1"/>
  <c r="H2293" i="1" s="1"/>
  <c r="L2292" i="1"/>
  <c r="K2292" i="1"/>
  <c r="J2292" i="1"/>
  <c r="H2292" i="1" s="1"/>
  <c r="L2291" i="1"/>
  <c r="J2291" i="1"/>
  <c r="L2290" i="1"/>
  <c r="K2290" i="1"/>
  <c r="J2290" i="1"/>
  <c r="H2290" i="1" s="1"/>
  <c r="L2289" i="1"/>
  <c r="K2289" i="1"/>
  <c r="J2289" i="1"/>
  <c r="H2289" i="1" s="1"/>
  <c r="L2288" i="1"/>
  <c r="H2288" i="1"/>
  <c r="L2287" i="1"/>
  <c r="J2287" i="1"/>
  <c r="L2284" i="1"/>
  <c r="K2284" i="1"/>
  <c r="J2284" i="1"/>
  <c r="H2284" i="1" s="1"/>
  <c r="L2283" i="1"/>
  <c r="K2283" i="1"/>
  <c r="J2283" i="1"/>
  <c r="H2283" i="1" s="1"/>
  <c r="L2282" i="1"/>
  <c r="K2282" i="1"/>
  <c r="J2282" i="1"/>
  <c r="H2282" i="1" s="1"/>
  <c r="L2281" i="1"/>
  <c r="K2281" i="1"/>
  <c r="J2281" i="1"/>
  <c r="H2281" i="1" s="1"/>
  <c r="L2280" i="1"/>
  <c r="K2280" i="1"/>
  <c r="J2280" i="1"/>
  <c r="H2280" i="1" s="1"/>
  <c r="L2279" i="1"/>
  <c r="K2279" i="1"/>
  <c r="K2285" i="1" s="1"/>
  <c r="J2279" i="1"/>
  <c r="L2278" i="1"/>
  <c r="J2278" i="1"/>
  <c r="H2278" i="1"/>
  <c r="L2277" i="1"/>
  <c r="J2277" i="1"/>
  <c r="H2277" i="1" s="1"/>
  <c r="L2275" i="1"/>
  <c r="L2274" i="1"/>
  <c r="K2274" i="1"/>
  <c r="J2274" i="1"/>
  <c r="L2273" i="1"/>
  <c r="K2273" i="1"/>
  <c r="J2273" i="1"/>
  <c r="J2271" i="1"/>
  <c r="L2270" i="1"/>
  <c r="L2271" i="1" s="1"/>
  <c r="K2270" i="1"/>
  <c r="K2271" i="1" s="1"/>
  <c r="J2270" i="1"/>
  <c r="L2267" i="1"/>
  <c r="K2267" i="1"/>
  <c r="J2267" i="1"/>
  <c r="H2267" i="1" s="1"/>
  <c r="F2267" i="1"/>
  <c r="L2266" i="1"/>
  <c r="K2266" i="1"/>
  <c r="J2266" i="1"/>
  <c r="L2265" i="1"/>
  <c r="K2265" i="1"/>
  <c r="J2265" i="1"/>
  <c r="L2264" i="1"/>
  <c r="K2264" i="1"/>
  <c r="J2264" i="1"/>
  <c r="L2263" i="1"/>
  <c r="K2263" i="1"/>
  <c r="J2263" i="1"/>
  <c r="L2262" i="1"/>
  <c r="K2262" i="1"/>
  <c r="J2262" i="1"/>
  <c r="L2261" i="1"/>
  <c r="K2261" i="1"/>
  <c r="H2261" i="1" s="1"/>
  <c r="J2261" i="1"/>
  <c r="L2260" i="1"/>
  <c r="K2260" i="1"/>
  <c r="J2260" i="1"/>
  <c r="H2260" i="1" s="1"/>
  <c r="L2259" i="1"/>
  <c r="J2259" i="1"/>
  <c r="H2259" i="1" s="1"/>
  <c r="L2258" i="1"/>
  <c r="K2258" i="1"/>
  <c r="J2258" i="1"/>
  <c r="L2257" i="1"/>
  <c r="K2257" i="1"/>
  <c r="J2257" i="1"/>
  <c r="L2256" i="1"/>
  <c r="K2256" i="1"/>
  <c r="J2256" i="1"/>
  <c r="H2256" i="1" s="1"/>
  <c r="F2256" i="1"/>
  <c r="L2255" i="1"/>
  <c r="K2255" i="1"/>
  <c r="J2255" i="1"/>
  <c r="F2255" i="1"/>
  <c r="L2254" i="1"/>
  <c r="J2254" i="1"/>
  <c r="H2254" i="1" s="1"/>
  <c r="L2253" i="1"/>
  <c r="K2253" i="1"/>
  <c r="K2268" i="1" s="1"/>
  <c r="J2253" i="1"/>
  <c r="H2253" i="1"/>
  <c r="J2251" i="1"/>
  <c r="L2250" i="1"/>
  <c r="K2250" i="1"/>
  <c r="J2250" i="1"/>
  <c r="L2249" i="1"/>
  <c r="K2249" i="1"/>
  <c r="J2249" i="1"/>
  <c r="L2248" i="1"/>
  <c r="L2251" i="1" s="1"/>
  <c r="K2248" i="1"/>
  <c r="K2251" i="1" s="1"/>
  <c r="J2248" i="1"/>
  <c r="H2248" i="1"/>
  <c r="J2245" i="1"/>
  <c r="L2244" i="1"/>
  <c r="L2246" i="1" s="1"/>
  <c r="K2244" i="1"/>
  <c r="K2246" i="1" s="1"/>
  <c r="J2244" i="1"/>
  <c r="H2244" i="1" s="1"/>
  <c r="L2241" i="1"/>
  <c r="K2241" i="1"/>
  <c r="J2241" i="1"/>
  <c r="L2240" i="1"/>
  <c r="K2240" i="1"/>
  <c r="J2240" i="1"/>
  <c r="H2240" i="1" s="1"/>
  <c r="L2239" i="1"/>
  <c r="K2239" i="1"/>
  <c r="J2239" i="1"/>
  <c r="H2239" i="1" s="1"/>
  <c r="L2238" i="1"/>
  <c r="K2238" i="1"/>
  <c r="J2238" i="1"/>
  <c r="H2238" i="1" s="1"/>
  <c r="L2237" i="1"/>
  <c r="K2237" i="1"/>
  <c r="J2237" i="1"/>
  <c r="H2237" i="1" s="1"/>
  <c r="L2236" i="1"/>
  <c r="K2236" i="1"/>
  <c r="K2242" i="1" s="1"/>
  <c r="J2236" i="1"/>
  <c r="L2235" i="1"/>
  <c r="J2235" i="1"/>
  <c r="H2235" i="1"/>
  <c r="L2232" i="1"/>
  <c r="L2233" i="1" s="1"/>
  <c r="K2232" i="1"/>
  <c r="J2232" i="1"/>
  <c r="J2233" i="1" s="1"/>
  <c r="H2232" i="1"/>
  <c r="L2231" i="1"/>
  <c r="K2231" i="1"/>
  <c r="K2233" i="1" s="1"/>
  <c r="J2231" i="1"/>
  <c r="H2231" i="1"/>
  <c r="L2228" i="1"/>
  <c r="K2228" i="1"/>
  <c r="H2228" i="1" s="1"/>
  <c r="J2228" i="1"/>
  <c r="L2227" i="1"/>
  <c r="K2227" i="1"/>
  <c r="J2227" i="1"/>
  <c r="H2227" i="1"/>
  <c r="L2226" i="1"/>
  <c r="K2226" i="1"/>
  <c r="J2226" i="1"/>
  <c r="L2225" i="1"/>
  <c r="K2225" i="1"/>
  <c r="J2225" i="1"/>
  <c r="H2225" i="1" s="1"/>
  <c r="L2224" i="1"/>
  <c r="K2224" i="1"/>
  <c r="J2224" i="1"/>
  <c r="H2224" i="1" s="1"/>
  <c r="L2223" i="1"/>
  <c r="K2223" i="1"/>
  <c r="J2223" i="1"/>
  <c r="L2222" i="1"/>
  <c r="K2222" i="1"/>
  <c r="J2222" i="1"/>
  <c r="H2222" i="1" s="1"/>
  <c r="L2221" i="1"/>
  <c r="K2221" i="1"/>
  <c r="H2221" i="1" s="1"/>
  <c r="J2221" i="1"/>
  <c r="L2220" i="1"/>
  <c r="K2220" i="1"/>
  <c r="J2220" i="1"/>
  <c r="H2220" i="1" s="1"/>
  <c r="L2219" i="1"/>
  <c r="K2219" i="1"/>
  <c r="J2219" i="1"/>
  <c r="H2219" i="1" s="1"/>
  <c r="L2218" i="1"/>
  <c r="K2218" i="1"/>
  <c r="H2218" i="1" s="1"/>
  <c r="J2218" i="1"/>
  <c r="L2217" i="1"/>
  <c r="K2217" i="1"/>
  <c r="J2217" i="1"/>
  <c r="H2217" i="1" s="1"/>
  <c r="L2216" i="1"/>
  <c r="K2216" i="1"/>
  <c r="J2216" i="1"/>
  <c r="H2216" i="1" s="1"/>
  <c r="L2215" i="1"/>
  <c r="K2215" i="1"/>
  <c r="J2215" i="1"/>
  <c r="H2215" i="1"/>
  <c r="L2214" i="1"/>
  <c r="J2214" i="1"/>
  <c r="H2214" i="1" s="1"/>
  <c r="J2213" i="1"/>
  <c r="L2212" i="1"/>
  <c r="J2212" i="1"/>
  <c r="H2212" i="1"/>
  <c r="L2211" i="1"/>
  <c r="K2211" i="1"/>
  <c r="J2211" i="1"/>
  <c r="H2211" i="1" s="1"/>
  <c r="L2210" i="1"/>
  <c r="J2210" i="1"/>
  <c r="H2210" i="1" s="1"/>
  <c r="L2209" i="1"/>
  <c r="K2209" i="1"/>
  <c r="J2209" i="1"/>
  <c r="L2208" i="1"/>
  <c r="K2208" i="1"/>
  <c r="H2208" i="1" s="1"/>
  <c r="J2208" i="1"/>
  <c r="L2207" i="1"/>
  <c r="J2207" i="1"/>
  <c r="H2207" i="1" s="1"/>
  <c r="L2206" i="1"/>
  <c r="K2206" i="1"/>
  <c r="J2206" i="1"/>
  <c r="H2206" i="1"/>
  <c r="L2205" i="1"/>
  <c r="K2205" i="1"/>
  <c r="J2205" i="1"/>
  <c r="L2204" i="1"/>
  <c r="K2204" i="1"/>
  <c r="J2204" i="1"/>
  <c r="L2203" i="1"/>
  <c r="K2203" i="1"/>
  <c r="J2203" i="1"/>
  <c r="H2203" i="1"/>
  <c r="L2202" i="1"/>
  <c r="K2202" i="1"/>
  <c r="J2202" i="1"/>
  <c r="L2201" i="1"/>
  <c r="K2201" i="1"/>
  <c r="J2201" i="1"/>
  <c r="H2201" i="1" s="1"/>
  <c r="L2200" i="1"/>
  <c r="K2200" i="1"/>
  <c r="J2200" i="1"/>
  <c r="L2199" i="1"/>
  <c r="J2199" i="1"/>
  <c r="H2199" i="1" s="1"/>
  <c r="L2198" i="1"/>
  <c r="J2198" i="1"/>
  <c r="H2198" i="1" s="1"/>
  <c r="L2197" i="1"/>
  <c r="K2197" i="1"/>
  <c r="J2197" i="1"/>
  <c r="H2197" i="1" s="1"/>
  <c r="L2196" i="1"/>
  <c r="K2196" i="1"/>
  <c r="J2196" i="1"/>
  <c r="H2196" i="1"/>
  <c r="L2195" i="1"/>
  <c r="J2195" i="1"/>
  <c r="H2195" i="1"/>
  <c r="L2194" i="1"/>
  <c r="K2194" i="1"/>
  <c r="J2194" i="1"/>
  <c r="L2193" i="1"/>
  <c r="K2193" i="1"/>
  <c r="J2193" i="1"/>
  <c r="H2193" i="1" s="1"/>
  <c r="L2192" i="1"/>
  <c r="J2192" i="1"/>
  <c r="H2192" i="1" s="1"/>
  <c r="L2191" i="1"/>
  <c r="K2191" i="1"/>
  <c r="J2191" i="1"/>
  <c r="L2190" i="1"/>
  <c r="K2190" i="1"/>
  <c r="J2190" i="1"/>
  <c r="L2189" i="1"/>
  <c r="K2189" i="1"/>
  <c r="J2189" i="1"/>
  <c r="L2188" i="1"/>
  <c r="K2188" i="1"/>
  <c r="J2188" i="1"/>
  <c r="L2187" i="1"/>
  <c r="K2187" i="1"/>
  <c r="J2187" i="1"/>
  <c r="L2186" i="1"/>
  <c r="K2186" i="1"/>
  <c r="J2186" i="1"/>
  <c r="H2186" i="1" s="1"/>
  <c r="L2185" i="1"/>
  <c r="K2185" i="1"/>
  <c r="J2185" i="1"/>
  <c r="L2184" i="1"/>
  <c r="K2184" i="1"/>
  <c r="J2184" i="1"/>
  <c r="L2183" i="1"/>
  <c r="K2183" i="1"/>
  <c r="J2183" i="1"/>
  <c r="L2182" i="1"/>
  <c r="K2182" i="1"/>
  <c r="J2182" i="1"/>
  <c r="H2182" i="1" s="1"/>
  <c r="L2181" i="1"/>
  <c r="K2181" i="1"/>
  <c r="J2181" i="1"/>
  <c r="L2180" i="1"/>
  <c r="K2180" i="1"/>
  <c r="J2180" i="1"/>
  <c r="L2179" i="1"/>
  <c r="K2179" i="1"/>
  <c r="J2179" i="1"/>
  <c r="L2178" i="1"/>
  <c r="K2178" i="1"/>
  <c r="J2178" i="1"/>
  <c r="H2178" i="1" s="1"/>
  <c r="L2177" i="1"/>
  <c r="J2177" i="1"/>
  <c r="H2177" i="1" s="1"/>
  <c r="L2176" i="1"/>
  <c r="K2176" i="1"/>
  <c r="J2176" i="1"/>
  <c r="H2176" i="1" s="1"/>
  <c r="L2175" i="1"/>
  <c r="K2175" i="1"/>
  <c r="H2175" i="1" s="1"/>
  <c r="L2174" i="1"/>
  <c r="K2174" i="1"/>
  <c r="J2174" i="1"/>
  <c r="H2174" i="1" s="1"/>
  <c r="L2173" i="1"/>
  <c r="K2173" i="1"/>
  <c r="J2173" i="1"/>
  <c r="H2173" i="1" s="1"/>
  <c r="L2172" i="1"/>
  <c r="J2172" i="1"/>
  <c r="L2171" i="1"/>
  <c r="K2171" i="1"/>
  <c r="J2171" i="1"/>
  <c r="L2170" i="1"/>
  <c r="K2170" i="1"/>
  <c r="J2170" i="1"/>
  <c r="H2170" i="1" s="1"/>
  <c r="L2169" i="1"/>
  <c r="K2169" i="1"/>
  <c r="H2169" i="1" s="1"/>
  <c r="L2168" i="1"/>
  <c r="K2168" i="1"/>
  <c r="H2168" i="1" s="1"/>
  <c r="L2167" i="1"/>
  <c r="K2167" i="1"/>
  <c r="J2167" i="1"/>
  <c r="H2167" i="1"/>
  <c r="L2166" i="1"/>
  <c r="K2166" i="1"/>
  <c r="J2166" i="1"/>
  <c r="L2163" i="1"/>
  <c r="J2163" i="1"/>
  <c r="L2162" i="1"/>
  <c r="K2162" i="1"/>
  <c r="J2162" i="1"/>
  <c r="L2161" i="1"/>
  <c r="K2161" i="1"/>
  <c r="J2161" i="1"/>
  <c r="L2160" i="1"/>
  <c r="K2160" i="1"/>
  <c r="J2160" i="1"/>
  <c r="L2159" i="1"/>
  <c r="K2159" i="1"/>
  <c r="J2159" i="1"/>
  <c r="L2158" i="1"/>
  <c r="J2158" i="1"/>
  <c r="L2157" i="1"/>
  <c r="K2157" i="1"/>
  <c r="J2157" i="1"/>
  <c r="L2156" i="1"/>
  <c r="K2156" i="1"/>
  <c r="J2156" i="1"/>
  <c r="L2155" i="1"/>
  <c r="K2155" i="1"/>
  <c r="J2155" i="1"/>
  <c r="L2154" i="1"/>
  <c r="K2154" i="1"/>
  <c r="J2154" i="1"/>
  <c r="L2153" i="1"/>
  <c r="K2153" i="1"/>
  <c r="J2153" i="1"/>
  <c r="L2152" i="1"/>
  <c r="K2152" i="1"/>
  <c r="J2152" i="1"/>
  <c r="L2151" i="1"/>
  <c r="K2151" i="1"/>
  <c r="J2151" i="1"/>
  <c r="L2150" i="1"/>
  <c r="K2150" i="1"/>
  <c r="J2150" i="1"/>
  <c r="L2149" i="1"/>
  <c r="K2149" i="1"/>
  <c r="J2149" i="1"/>
  <c r="L2148" i="1"/>
  <c r="K2148" i="1"/>
  <c r="J2148" i="1"/>
  <c r="L2147" i="1"/>
  <c r="K2147" i="1"/>
  <c r="J2147" i="1"/>
  <c r="L2146" i="1"/>
  <c r="K2146" i="1"/>
  <c r="J2146" i="1"/>
  <c r="L2145" i="1"/>
  <c r="K2145" i="1"/>
  <c r="J2145" i="1"/>
  <c r="L2144" i="1"/>
  <c r="K2144" i="1"/>
  <c r="J2144" i="1"/>
  <c r="L2143" i="1"/>
  <c r="K2143" i="1"/>
  <c r="J2143" i="1"/>
  <c r="L2142" i="1"/>
  <c r="K2142" i="1"/>
  <c r="J2142" i="1"/>
  <c r="L2139" i="1"/>
  <c r="K2139" i="1"/>
  <c r="J2139" i="1"/>
  <c r="H2139" i="1" s="1"/>
  <c r="L2138" i="1"/>
  <c r="K2138" i="1"/>
  <c r="J2138" i="1"/>
  <c r="L2137" i="1"/>
  <c r="J2137" i="1"/>
  <c r="H2137" i="1" s="1"/>
  <c r="L2136" i="1"/>
  <c r="J2136" i="1"/>
  <c r="H2136" i="1" s="1"/>
  <c r="L2135" i="1"/>
  <c r="J2135" i="1"/>
  <c r="H2135" i="1" s="1"/>
  <c r="L2134" i="1"/>
  <c r="J2134" i="1"/>
  <c r="L2133" i="1"/>
  <c r="J2133" i="1"/>
  <c r="H2133" i="1"/>
  <c r="L2132" i="1"/>
  <c r="K2132" i="1"/>
  <c r="J2132" i="1"/>
  <c r="G2131" i="1"/>
  <c r="F2131" i="1"/>
  <c r="D2131" i="1"/>
  <c r="C2131" i="1"/>
  <c r="B2131" i="1"/>
  <c r="A2131" i="1"/>
  <c r="L2131" i="1" s="1"/>
  <c r="L2130" i="1"/>
  <c r="K2130" i="1"/>
  <c r="J2130" i="1"/>
  <c r="H2130" i="1" s="1"/>
  <c r="L2129" i="1"/>
  <c r="J2129" i="1"/>
  <c r="H2129" i="1"/>
  <c r="L2128" i="1"/>
  <c r="K2128" i="1"/>
  <c r="J2128" i="1"/>
  <c r="L2127" i="1"/>
  <c r="K2127" i="1"/>
  <c r="J2127" i="1"/>
  <c r="L2126" i="1"/>
  <c r="K2126" i="1"/>
  <c r="J2126" i="1"/>
  <c r="L2125" i="1"/>
  <c r="K2125" i="1"/>
  <c r="J2125" i="1"/>
  <c r="L2124" i="1"/>
  <c r="K2124" i="1"/>
  <c r="H2124" i="1" s="1"/>
  <c r="J2124" i="1"/>
  <c r="L2123" i="1"/>
  <c r="K2123" i="1"/>
  <c r="J2123" i="1"/>
  <c r="H2123" i="1" s="1"/>
  <c r="L2122" i="1"/>
  <c r="J2122" i="1"/>
  <c r="H2122" i="1" s="1"/>
  <c r="L2121" i="1"/>
  <c r="K2121" i="1"/>
  <c r="H2121" i="1" s="1"/>
  <c r="L2120" i="1"/>
  <c r="K2120" i="1"/>
  <c r="H2120" i="1" s="1"/>
  <c r="J2120" i="1"/>
  <c r="L2119" i="1"/>
  <c r="K2119" i="1"/>
  <c r="J2119" i="1"/>
  <c r="H2119" i="1" s="1"/>
  <c r="L2118" i="1"/>
  <c r="J2118" i="1"/>
  <c r="F2118" i="1"/>
  <c r="L2117" i="1"/>
  <c r="K2117" i="1"/>
  <c r="J2117" i="1"/>
  <c r="L2116" i="1"/>
  <c r="K2116" i="1"/>
  <c r="J2116" i="1"/>
  <c r="H2116" i="1" s="1"/>
  <c r="L2115" i="1"/>
  <c r="K2115" i="1"/>
  <c r="J2115" i="1"/>
  <c r="H2115" i="1" s="1"/>
  <c r="L2114" i="1"/>
  <c r="K2114" i="1"/>
  <c r="J2114" i="1"/>
  <c r="H2114" i="1" s="1"/>
  <c r="L2113" i="1"/>
  <c r="K2113" i="1"/>
  <c r="H2113" i="1" s="1"/>
  <c r="J2113" i="1"/>
  <c r="L2112" i="1"/>
  <c r="K2112" i="1"/>
  <c r="J2112" i="1"/>
  <c r="H2112" i="1"/>
  <c r="L2111" i="1"/>
  <c r="K2111" i="1"/>
  <c r="J2111" i="1"/>
  <c r="L2110" i="1"/>
  <c r="K2110" i="1"/>
  <c r="J2110" i="1"/>
  <c r="H2110" i="1" s="1"/>
  <c r="L2109" i="1"/>
  <c r="K2109" i="1"/>
  <c r="J2109" i="1"/>
  <c r="H2109" i="1"/>
  <c r="L2108" i="1"/>
  <c r="K2108" i="1"/>
  <c r="J2108" i="1"/>
  <c r="H2108" i="1" s="1"/>
  <c r="L2107" i="1"/>
  <c r="K2107" i="1"/>
  <c r="H2107" i="1" s="1"/>
  <c r="J2107" i="1"/>
  <c r="L2106" i="1"/>
  <c r="J2106" i="1"/>
  <c r="H2106" i="1"/>
  <c r="L2105" i="1"/>
  <c r="K2105" i="1"/>
  <c r="J2105" i="1"/>
  <c r="L2104" i="1"/>
  <c r="K2104" i="1"/>
  <c r="J2104" i="1"/>
  <c r="L2103" i="1"/>
  <c r="K2103" i="1"/>
  <c r="J2103" i="1"/>
  <c r="L2102" i="1"/>
  <c r="K2102" i="1"/>
  <c r="H2102" i="1" s="1"/>
  <c r="J2102" i="1"/>
  <c r="L2101" i="1"/>
  <c r="J2101" i="1"/>
  <c r="H2101" i="1" s="1"/>
  <c r="L2100" i="1"/>
  <c r="J2100" i="1"/>
  <c r="H2100" i="1"/>
  <c r="L2099" i="1"/>
  <c r="K2099" i="1"/>
  <c r="H2099" i="1" s="1"/>
  <c r="J2099" i="1"/>
  <c r="L2098" i="1"/>
  <c r="K2098" i="1"/>
  <c r="J2098" i="1"/>
  <c r="H2098" i="1" s="1"/>
  <c r="L2097" i="1"/>
  <c r="K2097" i="1"/>
  <c r="J2097" i="1"/>
  <c r="H2097" i="1"/>
  <c r="L2096" i="1"/>
  <c r="K2096" i="1"/>
  <c r="J2096" i="1"/>
  <c r="L2095" i="1"/>
  <c r="K2095" i="1"/>
  <c r="J2095" i="1"/>
  <c r="H2095" i="1" s="1"/>
  <c r="L2094" i="1"/>
  <c r="K2094" i="1"/>
  <c r="J2094" i="1"/>
  <c r="H2094" i="1" s="1"/>
  <c r="L2093" i="1"/>
  <c r="K2093" i="1"/>
  <c r="J2093" i="1"/>
  <c r="J2090" i="1"/>
  <c r="L2089" i="1"/>
  <c r="K2089" i="1"/>
  <c r="J2089" i="1"/>
  <c r="L2088" i="1"/>
  <c r="K2088" i="1"/>
  <c r="J2088" i="1"/>
  <c r="L2087" i="1"/>
  <c r="K2087" i="1"/>
  <c r="J2087" i="1"/>
  <c r="L2086" i="1"/>
  <c r="K2086" i="1"/>
  <c r="J2086" i="1"/>
  <c r="L2085" i="1"/>
  <c r="K2085" i="1"/>
  <c r="J2085" i="1"/>
  <c r="L2084" i="1"/>
  <c r="J2084" i="1"/>
  <c r="H2084" i="1" s="1"/>
  <c r="L2083" i="1"/>
  <c r="J2083" i="1"/>
  <c r="L2082" i="1"/>
  <c r="J2082" i="1"/>
  <c r="H2082" i="1" s="1"/>
  <c r="L2081" i="1"/>
  <c r="K2081" i="1"/>
  <c r="K2091" i="1" s="1"/>
  <c r="J2081" i="1"/>
  <c r="F2081" i="1"/>
  <c r="L2078" i="1"/>
  <c r="K2078" i="1"/>
  <c r="H2078" i="1" s="1"/>
  <c r="J2078" i="1"/>
  <c r="L2077" i="1"/>
  <c r="K2077" i="1"/>
  <c r="J2077" i="1"/>
  <c r="H2077" i="1" s="1"/>
  <c r="L2076" i="1"/>
  <c r="K2076" i="1"/>
  <c r="J2076" i="1"/>
  <c r="H2076" i="1" s="1"/>
  <c r="L2075" i="1"/>
  <c r="K2075" i="1"/>
  <c r="H2075" i="1" s="1"/>
  <c r="J2075" i="1"/>
  <c r="L2074" i="1"/>
  <c r="K2074" i="1"/>
  <c r="H2074" i="1" s="1"/>
  <c r="J2074" i="1"/>
  <c r="L2073" i="1"/>
  <c r="K2073" i="1"/>
  <c r="J2073" i="1"/>
  <c r="L2072" i="1"/>
  <c r="K2072" i="1"/>
  <c r="J2072" i="1"/>
  <c r="H2072" i="1" s="1"/>
  <c r="L2071" i="1"/>
  <c r="K2071" i="1"/>
  <c r="H2071" i="1" s="1"/>
  <c r="J2071" i="1"/>
  <c r="L2070" i="1"/>
  <c r="J2070" i="1"/>
  <c r="H2070" i="1" s="1"/>
  <c r="L2069" i="1"/>
  <c r="K2069" i="1"/>
  <c r="J2069" i="1"/>
  <c r="H2069" i="1" s="1"/>
  <c r="L2068" i="1"/>
  <c r="J2068" i="1"/>
  <c r="H2068" i="1" s="1"/>
  <c r="L2067" i="1"/>
  <c r="K2067" i="1"/>
  <c r="H2067" i="1" s="1"/>
  <c r="J2067" i="1"/>
  <c r="L2066" i="1"/>
  <c r="J2066" i="1"/>
  <c r="H2066" i="1"/>
  <c r="L2065" i="1"/>
  <c r="J2065" i="1"/>
  <c r="H2065" i="1"/>
  <c r="L2064" i="1"/>
  <c r="K2064" i="1"/>
  <c r="J2064" i="1"/>
  <c r="L2063" i="1"/>
  <c r="K2063" i="1"/>
  <c r="J2063" i="1"/>
  <c r="L2062" i="1"/>
  <c r="K2062" i="1"/>
  <c r="J2062" i="1"/>
  <c r="H2062" i="1" s="1"/>
  <c r="L2061" i="1"/>
  <c r="K2061" i="1"/>
  <c r="J2061" i="1"/>
  <c r="L2060" i="1"/>
  <c r="J2060" i="1"/>
  <c r="H2060" i="1" s="1"/>
  <c r="L2059" i="1"/>
  <c r="K2059" i="1"/>
  <c r="J2059" i="1"/>
  <c r="L2058" i="1"/>
  <c r="K2058" i="1"/>
  <c r="J2058" i="1"/>
  <c r="L2057" i="1"/>
  <c r="K2057" i="1"/>
  <c r="J2057" i="1"/>
  <c r="J2056" i="1"/>
  <c r="J2055" i="1"/>
  <c r="J2054" i="1"/>
  <c r="L2053" i="1"/>
  <c r="K2053" i="1"/>
  <c r="J2053" i="1"/>
  <c r="H2053" i="1" s="1"/>
  <c r="L2052" i="1"/>
  <c r="K2052" i="1"/>
  <c r="J2052" i="1"/>
  <c r="L2051" i="1"/>
  <c r="J2051" i="1"/>
  <c r="H2051" i="1"/>
  <c r="L2050" i="1"/>
  <c r="J2050" i="1"/>
  <c r="L2049" i="1"/>
  <c r="K2049" i="1"/>
  <c r="J2049" i="1"/>
  <c r="H2049" i="1" s="1"/>
  <c r="L2048" i="1"/>
  <c r="K2048" i="1"/>
  <c r="J2048" i="1"/>
  <c r="L2047" i="1"/>
  <c r="K2047" i="1"/>
  <c r="H2047" i="1" s="1"/>
  <c r="J2047" i="1"/>
  <c r="L2046" i="1"/>
  <c r="J2046" i="1"/>
  <c r="H2046" i="1" s="1"/>
  <c r="L2045" i="1"/>
  <c r="K2045" i="1"/>
  <c r="H2045" i="1" s="1"/>
  <c r="J2045" i="1"/>
  <c r="L2044" i="1"/>
  <c r="J2044" i="1"/>
  <c r="H2044" i="1"/>
  <c r="L2043" i="1"/>
  <c r="K2043" i="1"/>
  <c r="J2043" i="1"/>
  <c r="H2043" i="1" s="1"/>
  <c r="L2042" i="1"/>
  <c r="K2042" i="1"/>
  <c r="J2042" i="1"/>
  <c r="L2041" i="1"/>
  <c r="K2041" i="1"/>
  <c r="J2041" i="1"/>
  <c r="L2040" i="1"/>
  <c r="K2040" i="1"/>
  <c r="H2040" i="1" s="1"/>
  <c r="J2040" i="1"/>
  <c r="L2039" i="1"/>
  <c r="K2039" i="1"/>
  <c r="H2039" i="1" s="1"/>
  <c r="J2039" i="1"/>
  <c r="L2038" i="1"/>
  <c r="K2038" i="1"/>
  <c r="J2038" i="1"/>
  <c r="L2037" i="1"/>
  <c r="K2037" i="1"/>
  <c r="J2037" i="1"/>
  <c r="H2037" i="1" s="1"/>
  <c r="L2036" i="1"/>
  <c r="K2036" i="1"/>
  <c r="H2036" i="1" s="1"/>
  <c r="J2036" i="1"/>
  <c r="L2035" i="1"/>
  <c r="J2035" i="1"/>
  <c r="H2035" i="1" s="1"/>
  <c r="K2033" i="1"/>
  <c r="L2032" i="1"/>
  <c r="J2032" i="1"/>
  <c r="L2031" i="1"/>
  <c r="J2031" i="1"/>
  <c r="L2030" i="1"/>
  <c r="J2030" i="1"/>
  <c r="L2029" i="1"/>
  <c r="J2029" i="1"/>
  <c r="L2028" i="1"/>
  <c r="J2028" i="1"/>
  <c r="L2027" i="1"/>
  <c r="J2027" i="1"/>
  <c r="L2026" i="1"/>
  <c r="J2026" i="1"/>
  <c r="L2025" i="1"/>
  <c r="J2025" i="1"/>
  <c r="L2024" i="1"/>
  <c r="J2024" i="1"/>
  <c r="L2023" i="1"/>
  <c r="J2023" i="1"/>
  <c r="L2022" i="1"/>
  <c r="J2022" i="1"/>
  <c r="L2021" i="1"/>
  <c r="J2021" i="1"/>
  <c r="L2020" i="1"/>
  <c r="J2020" i="1"/>
  <c r="L2019" i="1"/>
  <c r="J2019" i="1"/>
  <c r="L2018" i="1"/>
  <c r="J2018" i="1"/>
  <c r="L2017" i="1"/>
  <c r="J2017" i="1"/>
  <c r="L2016" i="1"/>
  <c r="J2016" i="1"/>
  <c r="L2015" i="1"/>
  <c r="J2015" i="1"/>
  <c r="L2014" i="1"/>
  <c r="J2014" i="1"/>
  <c r="L2011" i="1"/>
  <c r="K2011" i="1"/>
  <c r="J2011" i="1"/>
  <c r="H2011" i="1" s="1"/>
  <c r="L2010" i="1"/>
  <c r="K2010" i="1"/>
  <c r="J2010" i="1"/>
  <c r="H2010" i="1" s="1"/>
  <c r="L2009" i="1"/>
  <c r="K2009" i="1"/>
  <c r="J2009" i="1"/>
  <c r="L2008" i="1"/>
  <c r="K2008" i="1"/>
  <c r="J2008" i="1"/>
  <c r="H2008" i="1" s="1"/>
  <c r="L2007" i="1"/>
  <c r="K2007" i="1"/>
  <c r="J2007" i="1"/>
  <c r="H2007" i="1" s="1"/>
  <c r="L2006" i="1"/>
  <c r="J2006" i="1"/>
  <c r="H2006" i="1" s="1"/>
  <c r="L2005" i="1"/>
  <c r="K2005" i="1"/>
  <c r="J2005" i="1"/>
  <c r="H2005" i="1" s="1"/>
  <c r="L2004" i="1"/>
  <c r="K2004" i="1"/>
  <c r="J2004" i="1"/>
  <c r="L2003" i="1"/>
  <c r="K2003" i="1"/>
  <c r="K2012" i="1" s="1"/>
  <c r="J2003" i="1"/>
  <c r="L2000" i="1"/>
  <c r="K2000" i="1"/>
  <c r="J2000" i="1"/>
  <c r="H2000" i="1" s="1"/>
  <c r="L1999" i="1"/>
  <c r="K1999" i="1"/>
  <c r="J1999" i="1"/>
  <c r="L1998" i="1"/>
  <c r="K1998" i="1"/>
  <c r="J1998" i="1"/>
  <c r="H1998" i="1" s="1"/>
  <c r="L1997" i="1"/>
  <c r="J1997" i="1"/>
  <c r="H1997" i="1" s="1"/>
  <c r="L1996" i="1"/>
  <c r="K1996" i="1"/>
  <c r="J1996" i="1"/>
  <c r="H1996" i="1" s="1"/>
  <c r="L1995" i="1"/>
  <c r="K1995" i="1"/>
  <c r="J1995" i="1"/>
  <c r="H1995" i="1" s="1"/>
  <c r="L1994" i="1"/>
  <c r="K1994" i="1"/>
  <c r="J1994" i="1"/>
  <c r="H1994" i="1" s="1"/>
  <c r="L1993" i="1"/>
  <c r="K1993" i="1"/>
  <c r="J1993" i="1"/>
  <c r="L1992" i="1"/>
  <c r="K1992" i="1"/>
  <c r="J1992" i="1"/>
  <c r="H1992" i="1" s="1"/>
  <c r="J1991" i="1"/>
  <c r="L1990" i="1"/>
  <c r="J1990" i="1"/>
  <c r="L1989" i="1"/>
  <c r="K1989" i="1"/>
  <c r="J1989" i="1"/>
  <c r="L1988" i="1"/>
  <c r="K1988" i="1"/>
  <c r="J1988" i="1"/>
  <c r="L1987" i="1"/>
  <c r="K1987" i="1"/>
  <c r="J1987" i="1"/>
  <c r="H1987" i="1" s="1"/>
  <c r="L1986" i="1"/>
  <c r="K1986" i="1"/>
  <c r="J1986" i="1"/>
  <c r="L1985" i="1"/>
  <c r="K1985" i="1"/>
  <c r="J1985" i="1"/>
  <c r="H1985" i="1" s="1"/>
  <c r="L1984" i="1"/>
  <c r="K1984" i="1"/>
  <c r="J1984" i="1"/>
  <c r="L1983" i="1"/>
  <c r="K1983" i="1"/>
  <c r="J1983" i="1"/>
  <c r="L1982" i="1"/>
  <c r="K1982" i="1"/>
  <c r="J1982" i="1"/>
  <c r="H1982" i="1" s="1"/>
  <c r="F1982" i="1"/>
  <c r="L1981" i="1"/>
  <c r="K1981" i="1"/>
  <c r="H1981" i="1" s="1"/>
  <c r="J1981" i="1"/>
  <c r="L1980" i="1"/>
  <c r="K1980" i="1"/>
  <c r="J1980" i="1"/>
  <c r="H1980" i="1" s="1"/>
  <c r="L1979" i="1"/>
  <c r="K1979" i="1"/>
  <c r="J1979" i="1"/>
  <c r="L1978" i="1"/>
  <c r="K1978" i="1"/>
  <c r="J1978" i="1"/>
  <c r="H1978" i="1" s="1"/>
  <c r="L1977" i="1"/>
  <c r="H1977" i="1"/>
  <c r="L1974" i="1"/>
  <c r="J1974" i="1"/>
  <c r="H1974" i="1" s="1"/>
  <c r="L1973" i="1"/>
  <c r="J1973" i="1"/>
  <c r="H1973" i="1" s="1"/>
  <c r="L1972" i="1"/>
  <c r="J1972" i="1"/>
  <c r="H1972" i="1" s="1"/>
  <c r="L1971" i="1"/>
  <c r="K1971" i="1"/>
  <c r="J1971" i="1"/>
  <c r="H1971" i="1" s="1"/>
  <c r="L1970" i="1"/>
  <c r="J1970" i="1"/>
  <c r="H1970" i="1" s="1"/>
  <c r="L1969" i="1"/>
  <c r="J1969" i="1"/>
  <c r="H1969" i="1"/>
  <c r="L1968" i="1"/>
  <c r="K1968" i="1"/>
  <c r="J1968" i="1"/>
  <c r="L1967" i="1"/>
  <c r="J1967" i="1"/>
  <c r="H1967" i="1" s="1"/>
  <c r="L1966" i="1"/>
  <c r="K1966" i="1"/>
  <c r="J1966" i="1"/>
  <c r="H1966" i="1" s="1"/>
  <c r="L1965" i="1"/>
  <c r="K1965" i="1"/>
  <c r="J1965" i="1"/>
  <c r="L1964" i="1"/>
  <c r="K1964" i="1"/>
  <c r="J1964" i="1"/>
  <c r="H1964" i="1" s="1"/>
  <c r="L1963" i="1"/>
  <c r="K1963" i="1"/>
  <c r="J1963" i="1"/>
  <c r="H1963" i="1" s="1"/>
  <c r="L1962" i="1"/>
  <c r="K1962" i="1"/>
  <c r="J1962" i="1"/>
  <c r="H1962" i="1" s="1"/>
  <c r="L1961" i="1"/>
  <c r="J1961" i="1"/>
  <c r="K1959" i="1"/>
  <c r="J1959" i="1"/>
  <c r="L1958" i="1"/>
  <c r="L1959" i="1" s="1"/>
  <c r="J1958" i="1"/>
  <c r="H1958" i="1" s="1"/>
  <c r="L1955" i="1"/>
  <c r="J1955" i="1"/>
  <c r="H1955" i="1" s="1"/>
  <c r="L1954" i="1"/>
  <c r="K1954" i="1"/>
  <c r="J1954" i="1"/>
  <c r="H1954" i="1" s="1"/>
  <c r="L1953" i="1"/>
  <c r="K1953" i="1"/>
  <c r="J1953" i="1"/>
  <c r="L1952" i="1"/>
  <c r="K1952" i="1"/>
  <c r="J1952" i="1"/>
  <c r="H1952" i="1" s="1"/>
  <c r="L1951" i="1"/>
  <c r="K1951" i="1"/>
  <c r="J1951" i="1"/>
  <c r="H1951" i="1" s="1"/>
  <c r="L1950" i="1"/>
  <c r="H1950" i="1"/>
  <c r="L1948" i="1"/>
  <c r="K1948" i="1"/>
  <c r="J1947" i="1"/>
  <c r="J1946" i="1"/>
  <c r="J1945" i="1"/>
  <c r="J1944" i="1"/>
  <c r="J1943" i="1"/>
  <c r="J1942" i="1"/>
  <c r="J1941" i="1"/>
  <c r="J1940" i="1"/>
  <c r="J1939" i="1"/>
  <c r="J1935" i="1"/>
  <c r="L1934" i="1"/>
  <c r="K1934" i="1"/>
  <c r="J1934" i="1"/>
  <c r="H1934" i="1" s="1"/>
  <c r="L1933" i="1"/>
  <c r="J1933" i="1"/>
  <c r="H1933" i="1" s="1"/>
  <c r="L1932" i="1"/>
  <c r="J1932" i="1"/>
  <c r="H1932" i="1" s="1"/>
  <c r="L1931" i="1"/>
  <c r="K1931" i="1"/>
  <c r="J1931" i="1"/>
  <c r="L1930" i="1"/>
  <c r="K1930" i="1"/>
  <c r="J1930" i="1"/>
  <c r="H1930" i="1" s="1"/>
  <c r="J1929" i="1"/>
  <c r="L1928" i="1"/>
  <c r="K1928" i="1"/>
  <c r="H1928" i="1" s="1"/>
  <c r="J1928" i="1"/>
  <c r="L1927" i="1"/>
  <c r="J1927" i="1"/>
  <c r="H1927" i="1"/>
  <c r="L1926" i="1"/>
  <c r="K1926" i="1"/>
  <c r="J1926" i="1"/>
  <c r="H1926" i="1" s="1"/>
  <c r="L1925" i="1"/>
  <c r="K1925" i="1"/>
  <c r="J1925" i="1"/>
  <c r="H1925" i="1" s="1"/>
  <c r="L1924" i="1"/>
  <c r="K1924" i="1"/>
  <c r="H1924" i="1" s="1"/>
  <c r="J1924" i="1"/>
  <c r="J1923" i="1"/>
  <c r="J1922" i="1"/>
  <c r="L1921" i="1"/>
  <c r="J1921" i="1"/>
  <c r="H1921" i="1" s="1"/>
  <c r="L1920" i="1"/>
  <c r="K1920" i="1"/>
  <c r="J1920" i="1"/>
  <c r="H1920" i="1" s="1"/>
  <c r="L1919" i="1"/>
  <c r="K1919" i="1"/>
  <c r="J1919" i="1"/>
  <c r="H1919" i="1" s="1"/>
  <c r="L1918" i="1"/>
  <c r="K1918" i="1"/>
  <c r="H1918" i="1"/>
  <c r="L1917" i="1"/>
  <c r="K1917" i="1"/>
  <c r="L1916" i="1"/>
  <c r="J1916" i="1"/>
  <c r="L1915" i="1"/>
  <c r="H1915" i="1"/>
  <c r="K1913" i="1"/>
  <c r="J1912" i="1"/>
  <c r="L1911" i="1"/>
  <c r="K1911" i="1"/>
  <c r="J1911" i="1"/>
  <c r="H1911" i="1" s="1"/>
  <c r="L1910" i="1"/>
  <c r="L1913" i="1" s="1"/>
  <c r="K1910" i="1"/>
  <c r="J1910" i="1"/>
  <c r="H1910" i="1" s="1"/>
  <c r="L1907" i="1"/>
  <c r="K1907" i="1"/>
  <c r="J1907" i="1"/>
  <c r="H1907" i="1" s="1"/>
  <c r="L1906" i="1"/>
  <c r="K1906" i="1"/>
  <c r="J1906" i="1"/>
  <c r="H1906" i="1" s="1"/>
  <c r="L1905" i="1"/>
  <c r="K1905" i="1"/>
  <c r="J1905" i="1"/>
  <c r="J1908" i="1" s="1"/>
  <c r="H1908" i="1" s="1"/>
  <c r="L1904" i="1"/>
  <c r="K1904" i="1"/>
  <c r="K1908" i="1" s="1"/>
  <c r="J1904" i="1"/>
  <c r="F1904" i="1"/>
  <c r="L1901" i="1"/>
  <c r="L1902" i="1" s="1"/>
  <c r="K1901" i="1"/>
  <c r="K1902" i="1" s="1"/>
  <c r="J1901" i="1"/>
  <c r="L1898" i="1"/>
  <c r="K1898" i="1"/>
  <c r="J1898" i="1"/>
  <c r="L1897" i="1"/>
  <c r="K1897" i="1"/>
  <c r="J1897" i="1"/>
  <c r="L1894" i="1"/>
  <c r="K1894" i="1"/>
  <c r="J1894" i="1"/>
  <c r="H1894" i="1" s="1"/>
  <c r="L1893" i="1"/>
  <c r="K1893" i="1"/>
  <c r="J1893" i="1"/>
  <c r="H1893" i="1" s="1"/>
  <c r="L1892" i="1"/>
  <c r="J1892" i="1"/>
  <c r="H1892" i="1" s="1"/>
  <c r="L1891" i="1"/>
  <c r="J1891" i="1"/>
  <c r="H1891" i="1" s="1"/>
  <c r="L1890" i="1"/>
  <c r="J1890" i="1"/>
  <c r="H1890" i="1" s="1"/>
  <c r="L1889" i="1"/>
  <c r="K1889" i="1"/>
  <c r="J1889" i="1"/>
  <c r="L1888" i="1"/>
  <c r="J1888" i="1"/>
  <c r="H1888" i="1"/>
  <c r="L1887" i="1"/>
  <c r="K1887" i="1"/>
  <c r="H1887" i="1" s="1"/>
  <c r="J1887" i="1"/>
  <c r="L1886" i="1"/>
  <c r="K1886" i="1"/>
  <c r="J1886" i="1"/>
  <c r="H1886" i="1" s="1"/>
  <c r="L1885" i="1"/>
  <c r="L1884" i="1"/>
  <c r="K1884" i="1"/>
  <c r="J1884" i="1"/>
  <c r="L1883" i="1"/>
  <c r="J1883" i="1"/>
  <c r="H1883" i="1"/>
  <c r="L1882" i="1"/>
  <c r="K1882" i="1"/>
  <c r="J1882" i="1"/>
  <c r="H1882" i="1" s="1"/>
  <c r="L1881" i="1"/>
  <c r="J1881" i="1"/>
  <c r="H1881" i="1" s="1"/>
  <c r="L1880" i="1"/>
  <c r="K1880" i="1"/>
  <c r="J1880" i="1"/>
  <c r="L1879" i="1"/>
  <c r="K1879" i="1"/>
  <c r="H1879" i="1" s="1"/>
  <c r="J1879" i="1"/>
  <c r="L1878" i="1"/>
  <c r="K1878" i="1"/>
  <c r="J1878" i="1"/>
  <c r="H1878" i="1" s="1"/>
  <c r="L1877" i="1"/>
  <c r="K1877" i="1"/>
  <c r="J1877" i="1"/>
  <c r="H1877" i="1" s="1"/>
  <c r="L1876" i="1"/>
  <c r="K1876" i="1"/>
  <c r="J1876" i="1"/>
  <c r="H1876" i="1"/>
  <c r="L1875" i="1"/>
  <c r="K1875" i="1"/>
  <c r="J1875" i="1"/>
  <c r="L1874" i="1"/>
  <c r="K1874" i="1"/>
  <c r="J1874" i="1"/>
  <c r="L1873" i="1"/>
  <c r="K1873" i="1"/>
  <c r="J1873" i="1"/>
  <c r="H1873" i="1"/>
  <c r="L1872" i="1"/>
  <c r="J1872" i="1"/>
  <c r="H1872" i="1" s="1"/>
  <c r="L1871" i="1"/>
  <c r="K1871" i="1"/>
  <c r="J1871" i="1"/>
  <c r="L1870" i="1"/>
  <c r="J1870" i="1"/>
  <c r="H1870" i="1" s="1"/>
  <c r="L1869" i="1"/>
  <c r="J1869" i="1"/>
  <c r="H1869" i="1" s="1"/>
  <c r="L1868" i="1"/>
  <c r="K1868" i="1"/>
  <c r="J1868" i="1"/>
  <c r="H1868" i="1" s="1"/>
  <c r="L1867" i="1"/>
  <c r="J1867" i="1"/>
  <c r="L1866" i="1"/>
  <c r="K1866" i="1"/>
  <c r="J1866" i="1"/>
  <c r="H1866" i="1" s="1"/>
  <c r="L1865" i="1"/>
  <c r="K1865" i="1"/>
  <c r="J1865" i="1"/>
  <c r="H1865" i="1" s="1"/>
  <c r="L1864" i="1"/>
  <c r="K1864" i="1"/>
  <c r="J1864" i="1"/>
  <c r="L1863" i="1"/>
  <c r="K1863" i="1"/>
  <c r="J1863" i="1"/>
  <c r="H1863" i="1" s="1"/>
  <c r="L1862" i="1"/>
  <c r="K1862" i="1"/>
  <c r="J1862" i="1"/>
  <c r="H1862" i="1" s="1"/>
  <c r="L1861" i="1"/>
  <c r="J1861" i="1"/>
  <c r="H1861" i="1"/>
  <c r="L1860" i="1"/>
  <c r="K1860" i="1"/>
  <c r="J1860" i="1"/>
  <c r="H1860" i="1"/>
  <c r="L1859" i="1"/>
  <c r="K1859" i="1"/>
  <c r="J1859" i="1"/>
  <c r="L1858" i="1"/>
  <c r="K1858" i="1"/>
  <c r="J1858" i="1"/>
  <c r="H1858" i="1"/>
  <c r="L1857" i="1"/>
  <c r="J1857" i="1"/>
  <c r="H1857" i="1" s="1"/>
  <c r="L1856" i="1"/>
  <c r="J1856" i="1"/>
  <c r="H1856" i="1" s="1"/>
  <c r="L1855" i="1"/>
  <c r="K1855" i="1"/>
  <c r="J1855" i="1"/>
  <c r="L1854" i="1"/>
  <c r="K1854" i="1"/>
  <c r="J1854" i="1"/>
  <c r="L1853" i="1"/>
  <c r="J1853" i="1"/>
  <c r="L1852" i="1"/>
  <c r="K1852" i="1"/>
  <c r="J1852" i="1"/>
  <c r="H1852" i="1" s="1"/>
  <c r="L1851" i="1"/>
  <c r="K1851" i="1"/>
  <c r="J1851" i="1"/>
  <c r="L1850" i="1"/>
  <c r="K1850" i="1"/>
  <c r="H1850" i="1" s="1"/>
  <c r="L1849" i="1"/>
  <c r="K1849" i="1"/>
  <c r="H1849" i="1" s="1"/>
  <c r="L1848" i="1"/>
  <c r="H1848" i="1"/>
  <c r="L1847" i="1"/>
  <c r="J1847" i="1"/>
  <c r="H1847" i="1" s="1"/>
  <c r="L1844" i="1"/>
  <c r="J1844" i="1"/>
  <c r="H1844" i="1" s="1"/>
  <c r="L1843" i="1"/>
  <c r="K1843" i="1"/>
  <c r="J1843" i="1"/>
  <c r="H1843" i="1" s="1"/>
  <c r="F1843" i="1"/>
  <c r="L1842" i="1"/>
  <c r="K1842" i="1"/>
  <c r="J1842" i="1"/>
  <c r="H1842" i="1" s="1"/>
  <c r="L1841" i="1"/>
  <c r="K1841" i="1"/>
  <c r="J1841" i="1"/>
  <c r="L1840" i="1"/>
  <c r="K1840" i="1"/>
  <c r="J1840" i="1"/>
  <c r="H1840" i="1" s="1"/>
  <c r="L1839" i="1"/>
  <c r="J1839" i="1"/>
  <c r="L1838" i="1"/>
  <c r="K1838" i="1"/>
  <c r="J1838" i="1"/>
  <c r="H1838" i="1" s="1"/>
  <c r="L1837" i="1"/>
  <c r="K1837" i="1"/>
  <c r="J1837" i="1"/>
  <c r="H1837" i="1" s="1"/>
  <c r="J1836" i="1"/>
  <c r="L1835" i="1"/>
  <c r="K1835" i="1"/>
  <c r="H1835" i="1" s="1"/>
  <c r="J1835" i="1"/>
  <c r="L1834" i="1"/>
  <c r="K1834" i="1"/>
  <c r="J1834" i="1"/>
  <c r="H1834" i="1"/>
  <c r="L1833" i="1"/>
  <c r="K1833" i="1"/>
  <c r="J1833" i="1"/>
  <c r="L1832" i="1"/>
  <c r="K1832" i="1"/>
  <c r="J1832" i="1"/>
  <c r="H1832" i="1" s="1"/>
  <c r="L1831" i="1"/>
  <c r="J1831" i="1"/>
  <c r="H1831" i="1" s="1"/>
  <c r="L1830" i="1"/>
  <c r="K1830" i="1"/>
  <c r="J1830" i="1"/>
  <c r="H1830" i="1" s="1"/>
  <c r="L1829" i="1"/>
  <c r="K1829" i="1"/>
  <c r="J1829" i="1"/>
  <c r="H1829" i="1" s="1"/>
  <c r="L1828" i="1"/>
  <c r="K1828" i="1"/>
  <c r="K1845" i="1" s="1"/>
  <c r="J1828" i="1"/>
  <c r="L1827" i="1"/>
  <c r="J1827" i="1"/>
  <c r="H1827" i="1" s="1"/>
  <c r="L1824" i="1"/>
  <c r="J1824" i="1"/>
  <c r="H1824" i="1" s="1"/>
  <c r="L1823" i="1"/>
  <c r="K1823" i="1"/>
  <c r="J1823" i="1"/>
  <c r="H1823" i="1" s="1"/>
  <c r="L1822" i="1"/>
  <c r="K1822" i="1"/>
  <c r="J1822" i="1"/>
  <c r="L1821" i="1"/>
  <c r="K1821" i="1"/>
  <c r="J1821" i="1"/>
  <c r="L1820" i="1"/>
  <c r="J1820" i="1"/>
  <c r="H1820" i="1"/>
  <c r="L1819" i="1"/>
  <c r="J1819" i="1"/>
  <c r="H1819" i="1"/>
  <c r="L1818" i="1"/>
  <c r="K1818" i="1"/>
  <c r="J1818" i="1"/>
  <c r="L1817" i="1"/>
  <c r="K1817" i="1"/>
  <c r="J1817" i="1"/>
  <c r="H1817" i="1" s="1"/>
  <c r="L1816" i="1"/>
  <c r="K1816" i="1"/>
  <c r="H1816" i="1" s="1"/>
  <c r="L1815" i="1"/>
  <c r="K1815" i="1"/>
  <c r="L1814" i="1"/>
  <c r="H1814" i="1"/>
  <c r="L1811" i="1"/>
  <c r="J1811" i="1"/>
  <c r="H1811" i="1" s="1"/>
  <c r="L1810" i="1"/>
  <c r="K1810" i="1"/>
  <c r="J1810" i="1"/>
  <c r="L1809" i="1"/>
  <c r="K1809" i="1"/>
  <c r="J1809" i="1"/>
  <c r="L1808" i="1"/>
  <c r="K1808" i="1"/>
  <c r="J1808" i="1"/>
  <c r="L1807" i="1"/>
  <c r="K1807" i="1"/>
  <c r="J1807" i="1"/>
  <c r="H1807" i="1" s="1"/>
  <c r="L1806" i="1"/>
  <c r="K1806" i="1"/>
  <c r="J1806" i="1"/>
  <c r="L1805" i="1"/>
  <c r="J1805" i="1"/>
  <c r="H1805" i="1" s="1"/>
  <c r="L1804" i="1"/>
  <c r="J1804" i="1"/>
  <c r="H1804" i="1" s="1"/>
  <c r="L1803" i="1"/>
  <c r="J1803" i="1"/>
  <c r="H1803" i="1" s="1"/>
  <c r="L1802" i="1"/>
  <c r="K1802" i="1"/>
  <c r="H1802" i="1" s="1"/>
  <c r="J1802" i="1"/>
  <c r="L1801" i="1"/>
  <c r="K1801" i="1"/>
  <c r="J1801" i="1"/>
  <c r="H1801" i="1" s="1"/>
  <c r="L1800" i="1"/>
  <c r="K1800" i="1"/>
  <c r="J1800" i="1"/>
  <c r="L1799" i="1"/>
  <c r="K1799" i="1"/>
  <c r="J1799" i="1"/>
  <c r="H1799" i="1" s="1"/>
  <c r="L1798" i="1"/>
  <c r="J1798" i="1"/>
  <c r="H1798" i="1" s="1"/>
  <c r="L1797" i="1"/>
  <c r="J1797" i="1"/>
  <c r="H1797" i="1" s="1"/>
  <c r="L1794" i="1"/>
  <c r="K1794" i="1"/>
  <c r="J1794" i="1"/>
  <c r="L1793" i="1"/>
  <c r="K1793" i="1"/>
  <c r="J1793" i="1"/>
  <c r="L1792" i="1"/>
  <c r="J1792" i="1"/>
  <c r="H1792" i="1" s="1"/>
  <c r="L1791" i="1"/>
  <c r="K1791" i="1"/>
  <c r="J1791" i="1"/>
  <c r="H1791" i="1" s="1"/>
  <c r="L1790" i="1"/>
  <c r="K1790" i="1"/>
  <c r="J1790" i="1"/>
  <c r="H1790" i="1" s="1"/>
  <c r="L1789" i="1"/>
  <c r="K1789" i="1"/>
  <c r="J1789" i="1"/>
  <c r="H1789" i="1" s="1"/>
  <c r="L1788" i="1"/>
  <c r="K1788" i="1"/>
  <c r="J1788" i="1"/>
  <c r="L1787" i="1"/>
  <c r="J1787" i="1"/>
  <c r="H1787" i="1"/>
  <c r="L1786" i="1"/>
  <c r="K1786" i="1"/>
  <c r="J1786" i="1"/>
  <c r="H1786" i="1" s="1"/>
  <c r="L1785" i="1"/>
  <c r="J1785" i="1"/>
  <c r="H1785" i="1" s="1"/>
  <c r="L1784" i="1"/>
  <c r="K1784" i="1"/>
  <c r="J1784" i="1"/>
  <c r="H1784" i="1" s="1"/>
  <c r="L1783" i="1"/>
  <c r="K1783" i="1"/>
  <c r="H1783" i="1" s="1"/>
  <c r="J1783" i="1"/>
  <c r="L1782" i="1"/>
  <c r="K1782" i="1"/>
  <c r="J1782" i="1"/>
  <c r="H1782" i="1" s="1"/>
  <c r="F1782" i="1"/>
  <c r="L1781" i="1"/>
  <c r="K1781" i="1"/>
  <c r="J1781" i="1"/>
  <c r="H1781" i="1"/>
  <c r="L1780" i="1"/>
  <c r="K1780" i="1"/>
  <c r="J1780" i="1"/>
  <c r="L1779" i="1"/>
  <c r="K1779" i="1"/>
  <c r="H1779" i="1" s="1"/>
  <c r="J1779" i="1"/>
  <c r="L1778" i="1"/>
  <c r="J1778" i="1"/>
  <c r="H1778" i="1" s="1"/>
  <c r="L1777" i="1"/>
  <c r="K1777" i="1"/>
  <c r="J1777" i="1"/>
  <c r="H1777" i="1" s="1"/>
  <c r="L1776" i="1"/>
  <c r="K1776" i="1"/>
  <c r="J1776" i="1"/>
  <c r="H1776" i="1" s="1"/>
  <c r="L1775" i="1"/>
  <c r="K1775" i="1"/>
  <c r="J1775" i="1"/>
  <c r="H1775" i="1" s="1"/>
  <c r="L1774" i="1"/>
  <c r="K1774" i="1"/>
  <c r="J1774" i="1"/>
  <c r="H1774" i="1" s="1"/>
  <c r="L1773" i="1"/>
  <c r="K1773" i="1"/>
  <c r="J1773" i="1"/>
  <c r="H1773" i="1" s="1"/>
  <c r="L1772" i="1"/>
  <c r="K1772" i="1"/>
  <c r="J1772" i="1"/>
  <c r="H1772" i="1" s="1"/>
  <c r="L1771" i="1"/>
  <c r="J1771" i="1"/>
  <c r="H1771" i="1" s="1"/>
  <c r="L1770" i="1"/>
  <c r="J1770" i="1"/>
  <c r="L1767" i="1"/>
  <c r="K1767" i="1"/>
  <c r="J1767" i="1"/>
  <c r="H1767" i="1" s="1"/>
  <c r="L1766" i="1"/>
  <c r="K1766" i="1"/>
  <c r="J1766" i="1"/>
  <c r="L1765" i="1"/>
  <c r="K1765" i="1"/>
  <c r="J1765" i="1"/>
  <c r="L1764" i="1"/>
  <c r="K1764" i="1"/>
  <c r="J1764" i="1"/>
  <c r="L1763" i="1"/>
  <c r="K1763" i="1"/>
  <c r="J1763" i="1"/>
  <c r="H1763" i="1" s="1"/>
  <c r="L1762" i="1"/>
  <c r="K1762" i="1"/>
  <c r="H1762" i="1" s="1"/>
  <c r="L1761" i="1"/>
  <c r="K1761" i="1"/>
  <c r="H1761" i="1" s="1"/>
  <c r="J1761" i="1"/>
  <c r="L1760" i="1"/>
  <c r="K1760" i="1"/>
  <c r="J1760" i="1"/>
  <c r="H1760" i="1" s="1"/>
  <c r="L1759" i="1"/>
  <c r="K1759" i="1"/>
  <c r="H1759" i="1" s="1"/>
  <c r="J1759" i="1"/>
  <c r="L1758" i="1"/>
  <c r="J1758" i="1"/>
  <c r="L1757" i="1"/>
  <c r="K1757" i="1"/>
  <c r="J1757" i="1"/>
  <c r="L1756" i="1"/>
  <c r="K1756" i="1"/>
  <c r="H1756" i="1" s="1"/>
  <c r="J1756" i="1"/>
  <c r="L1755" i="1"/>
  <c r="K1755" i="1"/>
  <c r="J1755" i="1"/>
  <c r="L1754" i="1"/>
  <c r="K1754" i="1"/>
  <c r="K1768" i="1" s="1"/>
  <c r="J1754" i="1"/>
  <c r="L1753" i="1"/>
  <c r="H1753" i="1"/>
  <c r="L1752" i="1"/>
  <c r="J1752" i="1"/>
  <c r="H1752" i="1" s="1"/>
  <c r="L1749" i="1"/>
  <c r="K1749" i="1"/>
  <c r="J1749" i="1"/>
  <c r="H1749" i="1" s="1"/>
  <c r="L1748" i="1"/>
  <c r="K1748" i="1"/>
  <c r="J1748" i="1"/>
  <c r="H1748" i="1" s="1"/>
  <c r="L1747" i="1"/>
  <c r="K1747" i="1"/>
  <c r="J1747" i="1"/>
  <c r="H1747" i="1" s="1"/>
  <c r="L1746" i="1"/>
  <c r="J1746" i="1"/>
  <c r="H1746" i="1" s="1"/>
  <c r="L1745" i="1"/>
  <c r="K1745" i="1"/>
  <c r="J1745" i="1"/>
  <c r="L1744" i="1"/>
  <c r="K1744" i="1"/>
  <c r="H1744" i="1" s="1"/>
  <c r="J1744" i="1"/>
  <c r="L1743" i="1"/>
  <c r="K1743" i="1"/>
  <c r="J1743" i="1"/>
  <c r="H1743" i="1" s="1"/>
  <c r="L1742" i="1"/>
  <c r="K1742" i="1"/>
  <c r="J1742" i="1"/>
  <c r="L1741" i="1"/>
  <c r="K1741" i="1"/>
  <c r="J1741" i="1"/>
  <c r="L1740" i="1"/>
  <c r="K1740" i="1"/>
  <c r="H1740" i="1" s="1"/>
  <c r="L1739" i="1"/>
  <c r="J1739" i="1"/>
  <c r="H1739" i="1" s="1"/>
  <c r="L1738" i="1"/>
  <c r="K1738" i="1"/>
  <c r="J1738" i="1"/>
  <c r="H1738" i="1" s="1"/>
  <c r="L1737" i="1"/>
  <c r="K1737" i="1"/>
  <c r="J1737" i="1"/>
  <c r="H1737" i="1"/>
  <c r="L1736" i="1"/>
  <c r="K1736" i="1"/>
  <c r="J1736" i="1"/>
  <c r="L1735" i="1"/>
  <c r="K1735" i="1"/>
  <c r="J1735" i="1"/>
  <c r="L1734" i="1"/>
  <c r="K1734" i="1"/>
  <c r="J1734" i="1"/>
  <c r="H1734" i="1" s="1"/>
  <c r="L1733" i="1"/>
  <c r="K1733" i="1"/>
  <c r="J1733" i="1"/>
  <c r="H1733" i="1" s="1"/>
  <c r="L1732" i="1"/>
  <c r="K1732" i="1"/>
  <c r="J1732" i="1"/>
  <c r="H1732" i="1" s="1"/>
  <c r="L1731" i="1"/>
  <c r="J1731" i="1"/>
  <c r="H1731" i="1"/>
  <c r="K1729" i="1"/>
  <c r="L1728" i="1"/>
  <c r="L1729" i="1" s="1"/>
  <c r="J1728" i="1"/>
  <c r="H1728" i="1" s="1"/>
  <c r="L1725" i="1"/>
  <c r="L1724" i="1"/>
  <c r="J1724" i="1"/>
  <c r="H1724" i="1" s="1"/>
  <c r="L1723" i="1"/>
  <c r="K1723" i="1"/>
  <c r="J1723" i="1"/>
  <c r="J1722" i="1"/>
  <c r="L1721" i="1"/>
  <c r="J1721" i="1"/>
  <c r="H1721" i="1" s="1"/>
  <c r="L1720" i="1"/>
  <c r="J1720" i="1"/>
  <c r="H1720" i="1" s="1"/>
  <c r="J1719" i="1"/>
  <c r="J1718" i="1"/>
  <c r="L1717" i="1"/>
  <c r="K1717" i="1"/>
  <c r="J1717" i="1"/>
  <c r="L1716" i="1"/>
  <c r="K1716" i="1"/>
  <c r="J1716" i="1"/>
  <c r="L1715" i="1"/>
  <c r="J1715" i="1"/>
  <c r="H1715" i="1" s="1"/>
  <c r="L1714" i="1"/>
  <c r="K1714" i="1"/>
  <c r="J1714" i="1"/>
  <c r="H1714" i="1" s="1"/>
  <c r="L1713" i="1"/>
  <c r="K1713" i="1"/>
  <c r="K1726" i="1" s="1"/>
  <c r="J1713" i="1"/>
  <c r="L1712" i="1"/>
  <c r="L1726" i="1" s="1"/>
  <c r="J1712" i="1"/>
  <c r="H1712" i="1"/>
  <c r="L1709" i="1"/>
  <c r="K1709" i="1"/>
  <c r="J1709" i="1"/>
  <c r="H1709" i="1"/>
  <c r="L1708" i="1"/>
  <c r="K1708" i="1"/>
  <c r="J1708" i="1"/>
  <c r="H1708" i="1"/>
  <c r="L1707" i="1"/>
  <c r="J1707" i="1"/>
  <c r="H1707" i="1" s="1"/>
  <c r="L1706" i="1"/>
  <c r="K1706" i="1"/>
  <c r="J1706" i="1"/>
  <c r="L1705" i="1"/>
  <c r="K1705" i="1"/>
  <c r="J1705" i="1"/>
  <c r="L1704" i="1"/>
  <c r="K1704" i="1"/>
  <c r="J1704" i="1"/>
  <c r="H1704" i="1" s="1"/>
  <c r="L1703" i="1"/>
  <c r="K1703" i="1"/>
  <c r="J1703" i="1"/>
  <c r="H1703" i="1" s="1"/>
  <c r="L1702" i="1"/>
  <c r="K1702" i="1"/>
  <c r="L1701" i="1"/>
  <c r="K1701" i="1"/>
  <c r="J1701" i="1"/>
  <c r="L1700" i="1"/>
  <c r="K1700" i="1"/>
  <c r="J1700" i="1"/>
  <c r="H1700" i="1" s="1"/>
  <c r="L1699" i="1"/>
  <c r="K1699" i="1"/>
  <c r="J1699" i="1"/>
  <c r="L1698" i="1"/>
  <c r="K1698" i="1"/>
  <c r="J1698" i="1"/>
  <c r="L1697" i="1"/>
  <c r="H1697" i="1"/>
  <c r="L1696" i="1"/>
  <c r="J1696" i="1"/>
  <c r="H1696" i="1" s="1"/>
  <c r="L1693" i="1"/>
  <c r="L1692" i="1"/>
  <c r="K1692" i="1"/>
  <c r="H1692" i="1" s="1"/>
  <c r="J1692" i="1"/>
  <c r="L1691" i="1"/>
  <c r="K1691" i="1"/>
  <c r="J1691" i="1"/>
  <c r="H1691" i="1" s="1"/>
  <c r="L1690" i="1"/>
  <c r="K1690" i="1"/>
  <c r="H1690" i="1"/>
  <c r="L1689" i="1"/>
  <c r="J1689" i="1"/>
  <c r="H1689" i="1" s="1"/>
  <c r="L1688" i="1"/>
  <c r="J1688" i="1"/>
  <c r="H1688" i="1" s="1"/>
  <c r="L1687" i="1"/>
  <c r="J1687" i="1"/>
  <c r="H1687" i="1" s="1"/>
  <c r="L1686" i="1"/>
  <c r="K1686" i="1"/>
  <c r="J1686" i="1"/>
  <c r="H1686" i="1" s="1"/>
  <c r="L1685" i="1"/>
  <c r="K1685" i="1"/>
  <c r="J1685" i="1"/>
  <c r="L1684" i="1"/>
  <c r="K1684" i="1"/>
  <c r="J1684" i="1"/>
  <c r="J1683" i="1"/>
  <c r="J1682" i="1"/>
  <c r="L1681" i="1"/>
  <c r="K1681" i="1"/>
  <c r="L1680" i="1"/>
  <c r="K1680" i="1"/>
  <c r="J1680" i="1"/>
  <c r="L1679" i="1"/>
  <c r="K1679" i="1"/>
  <c r="J1679" i="1"/>
  <c r="J1694" i="1" s="1"/>
  <c r="H1694" i="1" s="1"/>
  <c r="L1678" i="1"/>
  <c r="K1678" i="1"/>
  <c r="K1694" i="1" s="1"/>
  <c r="L1677" i="1"/>
  <c r="K1677" i="1"/>
  <c r="H1677" i="1"/>
  <c r="L1676" i="1"/>
  <c r="H1676" i="1"/>
  <c r="J1673" i="1"/>
  <c r="L1672" i="1"/>
  <c r="K1672" i="1"/>
  <c r="J1672" i="1"/>
  <c r="L1671" i="1"/>
  <c r="J1671" i="1"/>
  <c r="H1671" i="1" s="1"/>
  <c r="L1670" i="1"/>
  <c r="J1670" i="1"/>
  <c r="H1670" i="1" s="1"/>
  <c r="L1669" i="1"/>
  <c r="K1669" i="1"/>
  <c r="J1669" i="1"/>
  <c r="L1668" i="1"/>
  <c r="K1668" i="1"/>
  <c r="J1668" i="1"/>
  <c r="L1667" i="1"/>
  <c r="K1667" i="1"/>
  <c r="J1667" i="1"/>
  <c r="H1667" i="1" s="1"/>
  <c r="L1666" i="1"/>
  <c r="K1666" i="1"/>
  <c r="J1666" i="1"/>
  <c r="L1665" i="1"/>
  <c r="K1665" i="1"/>
  <c r="J1665" i="1"/>
  <c r="J1664" i="1"/>
  <c r="J1663" i="1"/>
  <c r="L1662" i="1"/>
  <c r="K1662" i="1"/>
  <c r="L1661" i="1"/>
  <c r="K1661" i="1"/>
  <c r="J1661" i="1"/>
  <c r="L1660" i="1"/>
  <c r="K1660" i="1"/>
  <c r="J1660" i="1"/>
  <c r="H1660" i="1" s="1"/>
  <c r="L1659" i="1"/>
  <c r="K1659" i="1"/>
  <c r="H1659" i="1"/>
  <c r="L1658" i="1"/>
  <c r="K1658" i="1"/>
  <c r="H1658" i="1" s="1"/>
  <c r="L1657" i="1"/>
  <c r="K1657" i="1"/>
  <c r="J1657" i="1"/>
  <c r="J1674" i="1" s="1"/>
  <c r="L1654" i="1"/>
  <c r="J1654" i="1"/>
  <c r="H1654" i="1" s="1"/>
  <c r="L1653" i="1"/>
  <c r="K1653" i="1"/>
  <c r="J1653" i="1"/>
  <c r="L1652" i="1"/>
  <c r="K1652" i="1"/>
  <c r="J1652" i="1"/>
  <c r="L1651" i="1"/>
  <c r="K1651" i="1"/>
  <c r="J1651" i="1"/>
  <c r="H1651" i="1" s="1"/>
  <c r="L1650" i="1"/>
  <c r="K1650" i="1"/>
  <c r="J1650" i="1"/>
  <c r="L1649" i="1"/>
  <c r="K1649" i="1"/>
  <c r="J1649" i="1"/>
  <c r="L1648" i="1"/>
  <c r="K1648" i="1"/>
  <c r="J1648" i="1"/>
  <c r="L1647" i="1"/>
  <c r="K1647" i="1"/>
  <c r="J1647" i="1"/>
  <c r="H1647" i="1" s="1"/>
  <c r="L1646" i="1"/>
  <c r="K1646" i="1"/>
  <c r="J1646" i="1"/>
  <c r="L1645" i="1"/>
  <c r="K1645" i="1"/>
  <c r="J1645" i="1"/>
  <c r="L1644" i="1"/>
  <c r="K1644" i="1"/>
  <c r="J1644" i="1"/>
  <c r="L1643" i="1"/>
  <c r="K1643" i="1"/>
  <c r="J1643" i="1"/>
  <c r="H1643" i="1" s="1"/>
  <c r="L1642" i="1"/>
  <c r="K1642" i="1"/>
  <c r="J1642" i="1"/>
  <c r="L1641" i="1"/>
  <c r="K1641" i="1"/>
  <c r="J1641" i="1"/>
  <c r="L1640" i="1"/>
  <c r="K1640" i="1"/>
  <c r="L1639" i="1"/>
  <c r="K1639" i="1"/>
  <c r="J1639" i="1"/>
  <c r="H1639" i="1"/>
  <c r="L1638" i="1"/>
  <c r="K1638" i="1"/>
  <c r="J1638" i="1"/>
  <c r="L1637" i="1"/>
  <c r="J1637" i="1"/>
  <c r="H1637" i="1" s="1"/>
  <c r="L1636" i="1"/>
  <c r="K1636" i="1"/>
  <c r="J1636" i="1"/>
  <c r="L1635" i="1"/>
  <c r="K1635" i="1"/>
  <c r="J1635" i="1"/>
  <c r="L1634" i="1"/>
  <c r="K1634" i="1"/>
  <c r="K1655" i="1" s="1"/>
  <c r="J1634" i="1"/>
  <c r="K1632" i="1"/>
  <c r="J1632" i="1"/>
  <c r="L1631" i="1"/>
  <c r="L1632" i="1" s="1"/>
  <c r="K1631" i="1"/>
  <c r="L1628" i="1"/>
  <c r="K1628" i="1"/>
  <c r="J1628" i="1"/>
  <c r="L1627" i="1"/>
  <c r="K1627" i="1"/>
  <c r="J1627" i="1"/>
  <c r="L1626" i="1"/>
  <c r="K1626" i="1"/>
  <c r="J1626" i="1"/>
  <c r="L1625" i="1"/>
  <c r="K1625" i="1"/>
  <c r="J1625" i="1"/>
  <c r="L1624" i="1"/>
  <c r="K1624" i="1"/>
  <c r="J1624" i="1"/>
  <c r="L1623" i="1"/>
  <c r="K1623" i="1"/>
  <c r="J1623" i="1"/>
  <c r="L1622" i="1"/>
  <c r="J1622" i="1"/>
  <c r="L1621" i="1"/>
  <c r="K1621" i="1"/>
  <c r="J1621" i="1"/>
  <c r="L1620" i="1"/>
  <c r="K1620" i="1"/>
  <c r="J1620" i="1"/>
  <c r="L1619" i="1"/>
  <c r="K1619" i="1"/>
  <c r="J1619" i="1"/>
  <c r="L1618" i="1"/>
  <c r="K1618" i="1"/>
  <c r="J1618" i="1"/>
  <c r="L1617" i="1"/>
  <c r="K1617" i="1"/>
  <c r="J1617" i="1"/>
  <c r="L1614" i="1"/>
  <c r="K1614" i="1"/>
  <c r="J1614" i="1"/>
  <c r="L1613" i="1"/>
  <c r="J1613" i="1"/>
  <c r="H1613" i="1"/>
  <c r="L1612" i="1"/>
  <c r="K1612" i="1"/>
  <c r="H1612" i="1" s="1"/>
  <c r="J1612" i="1"/>
  <c r="L1611" i="1"/>
  <c r="K1611" i="1"/>
  <c r="J1611" i="1"/>
  <c r="H1611" i="1"/>
  <c r="L1610" i="1"/>
  <c r="K1610" i="1"/>
  <c r="H1610" i="1" s="1"/>
  <c r="J1610" i="1"/>
  <c r="L1609" i="1"/>
  <c r="K1609" i="1"/>
  <c r="F1609" i="1"/>
  <c r="L1608" i="1"/>
  <c r="J1608" i="1"/>
  <c r="H1608" i="1" s="1"/>
  <c r="L1607" i="1"/>
  <c r="J1607" i="1"/>
  <c r="H1607" i="1" s="1"/>
  <c r="L1606" i="1"/>
  <c r="K1606" i="1"/>
  <c r="J1606" i="1"/>
  <c r="L1605" i="1"/>
  <c r="K1605" i="1"/>
  <c r="J1605" i="1"/>
  <c r="J1615" i="1" s="1"/>
  <c r="L1604" i="1"/>
  <c r="K1604" i="1"/>
  <c r="H1604" i="1" s="1"/>
  <c r="L1601" i="1"/>
  <c r="J1601" i="1"/>
  <c r="H1601" i="1" s="1"/>
  <c r="L1600" i="1"/>
  <c r="K1600" i="1"/>
  <c r="J1600" i="1"/>
  <c r="H1600" i="1" s="1"/>
  <c r="L1599" i="1"/>
  <c r="K1599" i="1"/>
  <c r="H1599" i="1" s="1"/>
  <c r="J1599" i="1"/>
  <c r="L1598" i="1"/>
  <c r="J1598" i="1"/>
  <c r="H1598" i="1" s="1"/>
  <c r="L1597" i="1"/>
  <c r="J1597" i="1"/>
  <c r="L1596" i="1"/>
  <c r="K1596" i="1"/>
  <c r="J1596" i="1"/>
  <c r="H1596" i="1" s="1"/>
  <c r="L1595" i="1"/>
  <c r="K1595" i="1"/>
  <c r="J1595" i="1"/>
  <c r="H1595" i="1" s="1"/>
  <c r="L1594" i="1"/>
  <c r="K1594" i="1"/>
  <c r="H1594" i="1" s="1"/>
  <c r="J1594" i="1"/>
  <c r="L1593" i="1"/>
  <c r="J1593" i="1"/>
  <c r="H1593" i="1" s="1"/>
  <c r="L1592" i="1"/>
  <c r="J1592" i="1"/>
  <c r="H1592" i="1" s="1"/>
  <c r="F1592" i="1"/>
  <c r="L1591" i="1"/>
  <c r="K1591" i="1"/>
  <c r="H1591" i="1" s="1"/>
  <c r="L1590" i="1"/>
  <c r="K1590" i="1"/>
  <c r="H1590" i="1" s="1"/>
  <c r="J1590" i="1"/>
  <c r="L1589" i="1"/>
  <c r="K1589" i="1"/>
  <c r="J1589" i="1"/>
  <c r="L1588" i="1"/>
  <c r="K1588" i="1"/>
  <c r="J1588" i="1"/>
  <c r="L1587" i="1"/>
  <c r="J1587" i="1"/>
  <c r="H1587" i="1" s="1"/>
  <c r="L1586" i="1"/>
  <c r="K1586" i="1"/>
  <c r="J1586" i="1"/>
  <c r="L1585" i="1"/>
  <c r="K1585" i="1"/>
  <c r="J1585" i="1"/>
  <c r="H1585" i="1" s="1"/>
  <c r="L1584" i="1"/>
  <c r="K1584" i="1"/>
  <c r="J1584" i="1"/>
  <c r="L1583" i="1"/>
  <c r="J1583" i="1"/>
  <c r="H1583" i="1"/>
  <c r="L1582" i="1"/>
  <c r="K1582" i="1"/>
  <c r="J1582" i="1"/>
  <c r="L1581" i="1"/>
  <c r="K1581" i="1"/>
  <c r="J1581" i="1"/>
  <c r="H1581" i="1" s="1"/>
  <c r="L1580" i="1"/>
  <c r="J1580" i="1"/>
  <c r="H1580" i="1" s="1"/>
  <c r="L1579" i="1"/>
  <c r="K1579" i="1"/>
  <c r="J1579" i="1"/>
  <c r="H1579" i="1" s="1"/>
  <c r="F1579" i="1"/>
  <c r="L1578" i="1"/>
  <c r="K1578" i="1"/>
  <c r="J1578" i="1"/>
  <c r="H1578" i="1"/>
  <c r="L1577" i="1"/>
  <c r="K1577" i="1"/>
  <c r="H1577" i="1" s="1"/>
  <c r="L1576" i="1"/>
  <c r="L1575" i="1"/>
  <c r="K1575" i="1"/>
  <c r="J1575" i="1"/>
  <c r="L1574" i="1"/>
  <c r="J1574" i="1"/>
  <c r="H1574" i="1" s="1"/>
  <c r="L1573" i="1"/>
  <c r="K1573" i="1"/>
  <c r="H1573" i="1"/>
  <c r="L1572" i="1"/>
  <c r="K1572" i="1"/>
  <c r="H1572" i="1" s="1"/>
  <c r="L1571" i="1"/>
  <c r="K1571" i="1"/>
  <c r="L1570" i="1"/>
  <c r="L1602" i="1" s="1"/>
  <c r="J1570" i="1"/>
  <c r="H1570" i="1" s="1"/>
  <c r="L1567" i="1"/>
  <c r="K1567" i="1"/>
  <c r="J1567" i="1"/>
  <c r="H1567" i="1" s="1"/>
  <c r="L1566" i="1"/>
  <c r="K1566" i="1"/>
  <c r="J1566" i="1"/>
  <c r="H1566" i="1" s="1"/>
  <c r="L1565" i="1"/>
  <c r="K1565" i="1"/>
  <c r="J1565" i="1"/>
  <c r="L1564" i="1"/>
  <c r="K1564" i="1"/>
  <c r="J1564" i="1"/>
  <c r="H1564" i="1" s="1"/>
  <c r="L1563" i="1"/>
  <c r="K1563" i="1"/>
  <c r="J1563" i="1"/>
  <c r="L1562" i="1"/>
  <c r="J1562" i="1"/>
  <c r="H1562" i="1" s="1"/>
  <c r="L1561" i="1"/>
  <c r="J1561" i="1"/>
  <c r="H1561" i="1" s="1"/>
  <c r="L1560" i="1"/>
  <c r="K1560" i="1"/>
  <c r="J1560" i="1"/>
  <c r="H1560" i="1" s="1"/>
  <c r="L1559" i="1"/>
  <c r="K1559" i="1"/>
  <c r="J1559" i="1"/>
  <c r="L1558" i="1"/>
  <c r="K1558" i="1"/>
  <c r="J1558" i="1"/>
  <c r="H1558" i="1" s="1"/>
  <c r="L1557" i="1"/>
  <c r="K1557" i="1"/>
  <c r="J1557" i="1"/>
  <c r="L1556" i="1"/>
  <c r="K1556" i="1"/>
  <c r="J1556" i="1"/>
  <c r="H1556" i="1" s="1"/>
  <c r="L1555" i="1"/>
  <c r="L1554" i="1"/>
  <c r="K1554" i="1"/>
  <c r="J1554" i="1"/>
  <c r="L1553" i="1"/>
  <c r="K1553" i="1"/>
  <c r="H1553" i="1" s="1"/>
  <c r="J1553" i="1"/>
  <c r="L1552" i="1"/>
  <c r="K1552" i="1"/>
  <c r="J1552" i="1"/>
  <c r="L1551" i="1"/>
  <c r="K1551" i="1"/>
  <c r="J1551" i="1"/>
  <c r="L1550" i="1"/>
  <c r="J1550" i="1"/>
  <c r="H1550" i="1" s="1"/>
  <c r="K1548" i="1"/>
  <c r="L1547" i="1"/>
  <c r="L1548" i="1" s="1"/>
  <c r="J1547" i="1"/>
  <c r="H1547" i="1" s="1"/>
  <c r="L1544" i="1"/>
  <c r="K1544" i="1"/>
  <c r="J1544" i="1"/>
  <c r="L1543" i="1"/>
  <c r="K1543" i="1"/>
  <c r="J1543" i="1"/>
  <c r="H1543" i="1" s="1"/>
  <c r="L1542" i="1"/>
  <c r="J1542" i="1"/>
  <c r="H1542" i="1" s="1"/>
  <c r="L1541" i="1"/>
  <c r="K1541" i="1"/>
  <c r="H1541" i="1" s="1"/>
  <c r="J1541" i="1"/>
  <c r="L1540" i="1"/>
  <c r="K1540" i="1"/>
  <c r="J1540" i="1"/>
  <c r="L1539" i="1"/>
  <c r="K1539" i="1"/>
  <c r="J1539" i="1"/>
  <c r="L1538" i="1"/>
  <c r="K1538" i="1"/>
  <c r="H1538" i="1" s="1"/>
  <c r="J1538" i="1"/>
  <c r="L1537" i="1"/>
  <c r="J1537" i="1"/>
  <c r="L1536" i="1"/>
  <c r="K1536" i="1"/>
  <c r="H1536" i="1" s="1"/>
  <c r="J1536" i="1"/>
  <c r="L1535" i="1"/>
  <c r="K1535" i="1"/>
  <c r="H1535" i="1" s="1"/>
  <c r="J1535" i="1"/>
  <c r="L1534" i="1"/>
  <c r="J1534" i="1"/>
  <c r="H1534" i="1" s="1"/>
  <c r="L1533" i="1"/>
  <c r="K1533" i="1"/>
  <c r="J1533" i="1"/>
  <c r="L1532" i="1"/>
  <c r="K1532" i="1"/>
  <c r="J1532" i="1"/>
  <c r="H1532" i="1" s="1"/>
  <c r="L1531" i="1"/>
  <c r="K1531" i="1"/>
  <c r="J1531" i="1"/>
  <c r="H1531" i="1" s="1"/>
  <c r="L1530" i="1"/>
  <c r="J1530" i="1"/>
  <c r="H1530" i="1"/>
  <c r="L1529" i="1"/>
  <c r="J1529" i="1"/>
  <c r="H1529" i="1" s="1"/>
  <c r="L1528" i="1"/>
  <c r="J1528" i="1"/>
  <c r="H1528" i="1"/>
  <c r="L1527" i="1"/>
  <c r="K1527" i="1"/>
  <c r="H1527" i="1" s="1"/>
  <c r="J1527" i="1"/>
  <c r="L1526" i="1"/>
  <c r="K1526" i="1"/>
  <c r="J1526" i="1"/>
  <c r="H1526" i="1"/>
  <c r="L1525" i="1"/>
  <c r="K1525" i="1"/>
  <c r="J1525" i="1"/>
  <c r="L1524" i="1"/>
  <c r="K1524" i="1"/>
  <c r="J1524" i="1"/>
  <c r="H1524" i="1" s="1"/>
  <c r="L1523" i="1"/>
  <c r="K1523" i="1"/>
  <c r="H1523" i="1" s="1"/>
  <c r="J1523" i="1"/>
  <c r="L1522" i="1"/>
  <c r="J1522" i="1"/>
  <c r="H1522" i="1"/>
  <c r="L1521" i="1"/>
  <c r="K1521" i="1"/>
  <c r="J1521" i="1"/>
  <c r="L1518" i="1"/>
  <c r="K1518" i="1"/>
  <c r="J1518" i="1"/>
  <c r="H1518" i="1" s="1"/>
  <c r="L1517" i="1"/>
  <c r="K1517" i="1"/>
  <c r="J1517" i="1"/>
  <c r="H1517" i="1" s="1"/>
  <c r="L1516" i="1"/>
  <c r="L1515" i="1"/>
  <c r="L1514" i="1"/>
  <c r="K1514" i="1"/>
  <c r="J1514" i="1"/>
  <c r="L1513" i="1"/>
  <c r="K1513" i="1"/>
  <c r="J1513" i="1"/>
  <c r="H1513" i="1" s="1"/>
  <c r="L1512" i="1"/>
  <c r="L1511" i="1"/>
  <c r="K1511" i="1"/>
  <c r="J1511" i="1"/>
  <c r="L1510" i="1"/>
  <c r="K1510" i="1"/>
  <c r="J1510" i="1"/>
  <c r="L1509" i="1"/>
  <c r="K1509" i="1"/>
  <c r="J1509" i="1"/>
  <c r="L1508" i="1"/>
  <c r="K1508" i="1"/>
  <c r="J1508" i="1"/>
  <c r="L1507" i="1"/>
  <c r="J1507" i="1"/>
  <c r="H1507" i="1" s="1"/>
  <c r="L1506" i="1"/>
  <c r="J1506" i="1"/>
  <c r="H1506" i="1"/>
  <c r="L1503" i="1"/>
  <c r="K1503" i="1"/>
  <c r="H1503" i="1" s="1"/>
  <c r="J1503" i="1"/>
  <c r="L1502" i="1"/>
  <c r="K1502" i="1"/>
  <c r="J1502" i="1"/>
  <c r="H1502" i="1" s="1"/>
  <c r="L1501" i="1"/>
  <c r="L1504" i="1" s="1"/>
  <c r="K1501" i="1"/>
  <c r="J1501" i="1"/>
  <c r="J1504" i="1" s="1"/>
  <c r="H1501" i="1"/>
  <c r="L1498" i="1"/>
  <c r="K1498" i="1"/>
  <c r="H1498" i="1" s="1"/>
  <c r="J1498" i="1"/>
  <c r="L1497" i="1"/>
  <c r="K1497" i="1"/>
  <c r="J1497" i="1"/>
  <c r="H1497" i="1" s="1"/>
  <c r="L1496" i="1"/>
  <c r="K1496" i="1"/>
  <c r="J1496" i="1"/>
  <c r="H1496" i="1"/>
  <c r="L1495" i="1"/>
  <c r="K1495" i="1"/>
  <c r="J1495" i="1"/>
  <c r="L1494" i="1"/>
  <c r="K1494" i="1"/>
  <c r="J1494" i="1"/>
  <c r="H1494" i="1" s="1"/>
  <c r="L1493" i="1"/>
  <c r="K1493" i="1"/>
  <c r="J1493" i="1"/>
  <c r="H1493" i="1" s="1"/>
  <c r="L1492" i="1"/>
  <c r="K1492" i="1"/>
  <c r="J1492" i="1"/>
  <c r="H1492" i="1" s="1"/>
  <c r="L1491" i="1"/>
  <c r="K1491" i="1"/>
  <c r="H1491" i="1" s="1"/>
  <c r="J1491" i="1"/>
  <c r="L1490" i="1"/>
  <c r="K1490" i="1"/>
  <c r="J1490" i="1"/>
  <c r="H1490" i="1"/>
  <c r="L1489" i="1"/>
  <c r="K1489" i="1"/>
  <c r="J1489" i="1"/>
  <c r="L1488" i="1"/>
  <c r="K1488" i="1"/>
  <c r="J1488" i="1"/>
  <c r="H1488" i="1" s="1"/>
  <c r="L1487" i="1"/>
  <c r="K1487" i="1"/>
  <c r="H1487" i="1" s="1"/>
  <c r="J1487" i="1"/>
  <c r="L1486" i="1"/>
  <c r="J1486" i="1"/>
  <c r="H1486" i="1"/>
  <c r="L1485" i="1"/>
  <c r="J1485" i="1"/>
  <c r="H1485" i="1" s="1"/>
  <c r="L1484" i="1"/>
  <c r="K1484" i="1"/>
  <c r="H1484" i="1" s="1"/>
  <c r="J1484" i="1"/>
  <c r="L1483" i="1"/>
  <c r="K1483" i="1"/>
  <c r="J1483" i="1"/>
  <c r="L1482" i="1"/>
  <c r="K1482" i="1"/>
  <c r="J1482" i="1"/>
  <c r="L1481" i="1"/>
  <c r="K1481" i="1"/>
  <c r="H1481" i="1" s="1"/>
  <c r="L1480" i="1"/>
  <c r="K1480" i="1"/>
  <c r="H1480" i="1"/>
  <c r="L1479" i="1"/>
  <c r="K1479" i="1"/>
  <c r="J1479" i="1"/>
  <c r="L1478" i="1"/>
  <c r="K1478" i="1"/>
  <c r="J1478" i="1"/>
  <c r="H1478" i="1" s="1"/>
  <c r="L1477" i="1"/>
  <c r="K1477" i="1"/>
  <c r="J1477" i="1"/>
  <c r="H1477" i="1" s="1"/>
  <c r="L1476" i="1"/>
  <c r="K1476" i="1"/>
  <c r="J1476" i="1"/>
  <c r="H1476" i="1" s="1"/>
  <c r="L1475" i="1"/>
  <c r="K1475" i="1"/>
  <c r="J1475" i="1"/>
  <c r="L1474" i="1"/>
  <c r="K1474" i="1"/>
  <c r="J1474" i="1"/>
  <c r="H1474" i="1" s="1"/>
  <c r="L1473" i="1"/>
  <c r="K1473" i="1"/>
  <c r="J1473" i="1"/>
  <c r="H1473" i="1"/>
  <c r="L1472" i="1"/>
  <c r="K1472" i="1"/>
  <c r="J1472" i="1"/>
  <c r="L1471" i="1"/>
  <c r="K1471" i="1"/>
  <c r="J1471" i="1"/>
  <c r="H1471" i="1" s="1"/>
  <c r="L1470" i="1"/>
  <c r="K1470" i="1"/>
  <c r="L1469" i="1"/>
  <c r="K1469" i="1"/>
  <c r="J1469" i="1"/>
  <c r="L1468" i="1"/>
  <c r="K1468" i="1"/>
  <c r="J1468" i="1"/>
  <c r="H1468" i="1" s="1"/>
  <c r="L1467" i="1"/>
  <c r="K1467" i="1"/>
  <c r="H1467" i="1"/>
  <c r="L1466" i="1"/>
  <c r="K1466" i="1"/>
  <c r="J1466" i="1"/>
  <c r="H1466" i="1" s="1"/>
  <c r="L1465" i="1"/>
  <c r="J1465" i="1"/>
  <c r="H1465" i="1" s="1"/>
  <c r="L1464" i="1"/>
  <c r="J1464" i="1"/>
  <c r="L1461" i="1"/>
  <c r="K1461" i="1"/>
  <c r="J1461" i="1"/>
  <c r="H1461" i="1" s="1"/>
  <c r="L1460" i="1"/>
  <c r="K1460" i="1"/>
  <c r="H1460" i="1" s="1"/>
  <c r="L1459" i="1"/>
  <c r="J1459" i="1"/>
  <c r="H1459" i="1"/>
  <c r="L1458" i="1"/>
  <c r="K1458" i="1"/>
  <c r="K1462" i="1" s="1"/>
  <c r="J1458" i="1"/>
  <c r="L1455" i="1"/>
  <c r="K1455" i="1"/>
  <c r="H1455" i="1" s="1"/>
  <c r="J1455" i="1"/>
  <c r="L1454" i="1"/>
  <c r="K1454" i="1"/>
  <c r="J1454" i="1"/>
  <c r="H1454" i="1" s="1"/>
  <c r="L1453" i="1"/>
  <c r="K1453" i="1"/>
  <c r="H1453" i="1" s="1"/>
  <c r="J1453" i="1"/>
  <c r="L1452" i="1"/>
  <c r="K1452" i="1"/>
  <c r="J1452" i="1"/>
  <c r="H1452" i="1" s="1"/>
  <c r="L1451" i="1"/>
  <c r="J1451" i="1"/>
  <c r="H1451" i="1" s="1"/>
  <c r="L1450" i="1"/>
  <c r="K1450" i="1"/>
  <c r="J1450" i="1"/>
  <c r="L1449" i="1"/>
  <c r="K1449" i="1"/>
  <c r="H1449" i="1" s="1"/>
  <c r="J1449" i="1"/>
  <c r="L1448" i="1"/>
  <c r="K1448" i="1"/>
  <c r="J1448" i="1"/>
  <c r="L1447" i="1"/>
  <c r="K1447" i="1"/>
  <c r="J1447" i="1"/>
  <c r="L1446" i="1"/>
  <c r="J1446" i="1"/>
  <c r="H1446" i="1" s="1"/>
  <c r="L1445" i="1"/>
  <c r="J1445" i="1"/>
  <c r="H1445" i="1"/>
  <c r="L1444" i="1"/>
  <c r="K1444" i="1"/>
  <c r="J1444" i="1"/>
  <c r="L1443" i="1"/>
  <c r="J1443" i="1"/>
  <c r="H1443" i="1" s="1"/>
  <c r="L1442" i="1"/>
  <c r="K1442" i="1"/>
  <c r="J1442" i="1"/>
  <c r="H1442" i="1" s="1"/>
  <c r="L1441" i="1"/>
  <c r="K1441" i="1"/>
  <c r="H1441" i="1" s="1"/>
  <c r="J1441" i="1"/>
  <c r="L1440" i="1"/>
  <c r="J1440" i="1"/>
  <c r="H1440" i="1" s="1"/>
  <c r="L1439" i="1"/>
  <c r="J1439" i="1"/>
  <c r="H1439" i="1" s="1"/>
  <c r="L1438" i="1"/>
  <c r="K1438" i="1"/>
  <c r="J1438" i="1"/>
  <c r="L1437" i="1"/>
  <c r="K1437" i="1"/>
  <c r="J1437" i="1"/>
  <c r="L1436" i="1"/>
  <c r="K1436" i="1"/>
  <c r="J1436" i="1"/>
  <c r="L1435" i="1"/>
  <c r="K1435" i="1"/>
  <c r="J1435" i="1"/>
  <c r="L1434" i="1"/>
  <c r="K1434" i="1"/>
  <c r="H1434" i="1" s="1"/>
  <c r="J1434" i="1"/>
  <c r="L1433" i="1"/>
  <c r="K1433" i="1"/>
  <c r="J1433" i="1"/>
  <c r="H1433" i="1" s="1"/>
  <c r="L1432" i="1"/>
  <c r="K1432" i="1"/>
  <c r="J1432" i="1"/>
  <c r="L1431" i="1"/>
  <c r="K1431" i="1"/>
  <c r="J1431" i="1"/>
  <c r="L1430" i="1"/>
  <c r="K1430" i="1"/>
  <c r="J1430" i="1"/>
  <c r="L1429" i="1"/>
  <c r="K1429" i="1"/>
  <c r="J1429" i="1"/>
  <c r="H1429" i="1" s="1"/>
  <c r="L1428" i="1"/>
  <c r="J1428" i="1"/>
  <c r="H1428" i="1" s="1"/>
  <c r="L1427" i="1"/>
  <c r="K1427" i="1"/>
  <c r="J1427" i="1"/>
  <c r="H1427" i="1" s="1"/>
  <c r="L1424" i="1"/>
  <c r="K1424" i="1"/>
  <c r="J1424" i="1"/>
  <c r="L1423" i="1"/>
  <c r="K1423" i="1"/>
  <c r="J1423" i="1"/>
  <c r="H1423" i="1" s="1"/>
  <c r="L1422" i="1"/>
  <c r="K1422" i="1"/>
  <c r="J1422" i="1"/>
  <c r="H1422" i="1" s="1"/>
  <c r="J1421" i="1"/>
  <c r="L1420" i="1"/>
  <c r="J1420" i="1"/>
  <c r="H1420" i="1" s="1"/>
  <c r="L1419" i="1"/>
  <c r="K1419" i="1"/>
  <c r="H1419" i="1" s="1"/>
  <c r="J1419" i="1"/>
  <c r="L1418" i="1"/>
  <c r="K1418" i="1"/>
  <c r="H1418" i="1" s="1"/>
  <c r="J1418" i="1"/>
  <c r="L1417" i="1"/>
  <c r="K1417" i="1"/>
  <c r="J1417" i="1"/>
  <c r="H1417" i="1" s="1"/>
  <c r="L1416" i="1"/>
  <c r="K1416" i="1"/>
  <c r="J1416" i="1"/>
  <c r="H1416" i="1" s="1"/>
  <c r="L1415" i="1"/>
  <c r="K1415" i="1"/>
  <c r="J1415" i="1"/>
  <c r="H1415" i="1" s="1"/>
  <c r="F1415" i="1"/>
  <c r="L1414" i="1"/>
  <c r="J1414" i="1"/>
  <c r="H1414" i="1" s="1"/>
  <c r="J1413" i="1"/>
  <c r="L1412" i="1"/>
  <c r="K1412" i="1"/>
  <c r="J1412" i="1"/>
  <c r="H1412" i="1" s="1"/>
  <c r="L1411" i="1"/>
  <c r="K1411" i="1"/>
  <c r="J1411" i="1"/>
  <c r="L1410" i="1"/>
  <c r="K1410" i="1"/>
  <c r="J1410" i="1"/>
  <c r="L1409" i="1"/>
  <c r="K1409" i="1"/>
  <c r="J1409" i="1"/>
  <c r="H1409" i="1" s="1"/>
  <c r="L1408" i="1"/>
  <c r="J1408" i="1"/>
  <c r="H1408" i="1"/>
  <c r="L1407" i="1"/>
  <c r="K1407" i="1"/>
  <c r="J1407" i="1"/>
  <c r="L1406" i="1"/>
  <c r="K1406" i="1"/>
  <c r="J1406" i="1"/>
  <c r="H1406" i="1" s="1"/>
  <c r="L1405" i="1"/>
  <c r="K1405" i="1"/>
  <c r="J1405" i="1"/>
  <c r="H1405" i="1"/>
  <c r="L1404" i="1"/>
  <c r="K1404" i="1"/>
  <c r="J1404" i="1"/>
  <c r="L1403" i="1"/>
  <c r="K1403" i="1"/>
  <c r="J1403" i="1"/>
  <c r="L1402" i="1"/>
  <c r="K1402" i="1"/>
  <c r="J1402" i="1"/>
  <c r="L1401" i="1"/>
  <c r="K1401" i="1"/>
  <c r="H1401" i="1" s="1"/>
  <c r="L1400" i="1"/>
  <c r="K1400" i="1"/>
  <c r="L1399" i="1"/>
  <c r="H1399" i="1"/>
  <c r="L1396" i="1"/>
  <c r="K1396" i="1"/>
  <c r="J1396" i="1"/>
  <c r="H1396" i="1" s="1"/>
  <c r="L1395" i="1"/>
  <c r="K1395" i="1"/>
  <c r="J1395" i="1"/>
  <c r="H1395" i="1" s="1"/>
  <c r="L1394" i="1"/>
  <c r="K1394" i="1"/>
  <c r="J1394" i="1"/>
  <c r="L1393" i="1"/>
  <c r="K1393" i="1"/>
  <c r="J1393" i="1"/>
  <c r="H1393" i="1" s="1"/>
  <c r="L1392" i="1"/>
  <c r="J1392" i="1"/>
  <c r="H1392" i="1" s="1"/>
  <c r="L1391" i="1"/>
  <c r="J1391" i="1"/>
  <c r="H1391" i="1" s="1"/>
  <c r="L1390" i="1"/>
  <c r="K1390" i="1"/>
  <c r="J1390" i="1"/>
  <c r="L1389" i="1"/>
  <c r="K1389" i="1"/>
  <c r="J1389" i="1"/>
  <c r="L1388" i="1"/>
  <c r="K1388" i="1"/>
  <c r="J1388" i="1"/>
  <c r="L1387" i="1"/>
  <c r="J1387" i="1"/>
  <c r="H1387" i="1"/>
  <c r="L1386" i="1"/>
  <c r="K1386" i="1"/>
  <c r="J1386" i="1"/>
  <c r="L1385" i="1"/>
  <c r="K1385" i="1"/>
  <c r="J1385" i="1"/>
  <c r="L1384" i="1"/>
  <c r="K1384" i="1"/>
  <c r="J1384" i="1"/>
  <c r="H1384" i="1" s="1"/>
  <c r="L1383" i="1"/>
  <c r="K1383" i="1"/>
  <c r="J1383" i="1"/>
  <c r="L1382" i="1"/>
  <c r="K1382" i="1"/>
  <c r="J1382" i="1"/>
  <c r="L1379" i="1"/>
  <c r="K1379" i="1"/>
  <c r="J1379" i="1"/>
  <c r="L1378" i="1"/>
  <c r="J1378" i="1"/>
  <c r="H1378" i="1" s="1"/>
  <c r="L1377" i="1"/>
  <c r="K1377" i="1"/>
  <c r="H1377" i="1"/>
  <c r="L1376" i="1"/>
  <c r="K1376" i="1"/>
  <c r="J1376" i="1"/>
  <c r="L1375" i="1"/>
  <c r="K1375" i="1"/>
  <c r="J1375" i="1"/>
  <c r="H1375" i="1" s="1"/>
  <c r="L1374" i="1"/>
  <c r="K1374" i="1"/>
  <c r="H1374" i="1" s="1"/>
  <c r="J1374" i="1"/>
  <c r="L1373" i="1"/>
  <c r="K1373" i="1"/>
  <c r="J1373" i="1"/>
  <c r="L1372" i="1"/>
  <c r="K1372" i="1"/>
  <c r="J1372" i="1"/>
  <c r="L1371" i="1"/>
  <c r="K1371" i="1"/>
  <c r="J1371" i="1"/>
  <c r="L1370" i="1"/>
  <c r="K1370" i="1"/>
  <c r="J1370" i="1"/>
  <c r="L1369" i="1"/>
  <c r="K1369" i="1"/>
  <c r="J1369" i="1"/>
  <c r="L1368" i="1"/>
  <c r="K1368" i="1"/>
  <c r="J1368" i="1"/>
  <c r="L1365" i="1"/>
  <c r="J1365" i="1"/>
  <c r="H1365" i="1" s="1"/>
  <c r="L1364" i="1"/>
  <c r="J1364" i="1"/>
  <c r="H1364" i="1" s="1"/>
  <c r="L1363" i="1"/>
  <c r="K1363" i="1"/>
  <c r="J1363" i="1"/>
  <c r="H1363" i="1" s="1"/>
  <c r="L1362" i="1"/>
  <c r="K1362" i="1"/>
  <c r="J1362" i="1"/>
  <c r="L1361" i="1"/>
  <c r="J1361" i="1"/>
  <c r="H1361" i="1" s="1"/>
  <c r="L1360" i="1"/>
  <c r="J1360" i="1"/>
  <c r="H1360" i="1" s="1"/>
  <c r="L1359" i="1"/>
  <c r="K1359" i="1"/>
  <c r="J1359" i="1"/>
  <c r="L1358" i="1"/>
  <c r="K1358" i="1"/>
  <c r="J1358" i="1"/>
  <c r="H1358" i="1" s="1"/>
  <c r="L1357" i="1"/>
  <c r="K1357" i="1"/>
  <c r="H1357" i="1" s="1"/>
  <c r="J1357" i="1"/>
  <c r="L1356" i="1"/>
  <c r="J1356" i="1"/>
  <c r="H1356" i="1" s="1"/>
  <c r="L1355" i="1"/>
  <c r="K1355" i="1"/>
  <c r="J1355" i="1"/>
  <c r="L1354" i="1"/>
  <c r="J1354" i="1"/>
  <c r="H1354" i="1" s="1"/>
  <c r="J1353" i="1"/>
  <c r="L1352" i="1"/>
  <c r="K1352" i="1"/>
  <c r="J1352" i="1"/>
  <c r="L1351" i="1"/>
  <c r="K1351" i="1"/>
  <c r="H1351" i="1" s="1"/>
  <c r="J1351" i="1"/>
  <c r="L1350" i="1"/>
  <c r="K1350" i="1"/>
  <c r="J1350" i="1"/>
  <c r="L1349" i="1"/>
  <c r="K1349" i="1"/>
  <c r="J1349" i="1"/>
  <c r="L1348" i="1"/>
  <c r="K1348" i="1"/>
  <c r="H1348" i="1" s="1"/>
  <c r="J1348" i="1"/>
  <c r="L1347" i="1"/>
  <c r="K1347" i="1"/>
  <c r="J1347" i="1"/>
  <c r="L1346" i="1"/>
  <c r="K1346" i="1"/>
  <c r="K1366" i="1" s="1"/>
  <c r="L1345" i="1"/>
  <c r="K1345" i="1"/>
  <c r="H1345" i="1" s="1"/>
  <c r="L1344" i="1"/>
  <c r="K1344" i="1"/>
  <c r="J1344" i="1"/>
  <c r="L1343" i="1"/>
  <c r="K1343" i="1"/>
  <c r="J1343" i="1"/>
  <c r="L1340" i="1"/>
  <c r="J1340" i="1"/>
  <c r="H1340" i="1"/>
  <c r="L1339" i="1"/>
  <c r="K1339" i="1"/>
  <c r="H1339" i="1" s="1"/>
  <c r="J1339" i="1"/>
  <c r="L1338" i="1"/>
  <c r="J1338" i="1"/>
  <c r="H1338" i="1" s="1"/>
  <c r="L1337" i="1"/>
  <c r="K1337" i="1"/>
  <c r="J1337" i="1"/>
  <c r="L1336" i="1"/>
  <c r="K1336" i="1"/>
  <c r="J1336" i="1"/>
  <c r="J1335" i="1"/>
  <c r="L1334" i="1"/>
  <c r="K1334" i="1"/>
  <c r="J1334" i="1"/>
  <c r="L1333" i="1"/>
  <c r="K1333" i="1"/>
  <c r="J1333" i="1"/>
  <c r="L1332" i="1"/>
  <c r="K1332" i="1"/>
  <c r="J1332" i="1"/>
  <c r="L1331" i="1"/>
  <c r="K1331" i="1"/>
  <c r="J1331" i="1"/>
  <c r="H1331" i="1" s="1"/>
  <c r="L1330" i="1"/>
  <c r="L1341" i="1" s="1"/>
  <c r="J1330" i="1"/>
  <c r="L1327" i="1"/>
  <c r="J1327" i="1"/>
  <c r="H1327" i="1" s="1"/>
  <c r="L1326" i="1"/>
  <c r="J1326" i="1"/>
  <c r="H1326" i="1" s="1"/>
  <c r="L1325" i="1"/>
  <c r="J1325" i="1"/>
  <c r="L1324" i="1"/>
  <c r="J1324" i="1"/>
  <c r="H1324" i="1" s="1"/>
  <c r="L1323" i="1"/>
  <c r="K1323" i="1"/>
  <c r="J1323" i="1"/>
  <c r="H1323" i="1" s="1"/>
  <c r="L1322" i="1"/>
  <c r="K1322" i="1"/>
  <c r="J1322" i="1"/>
  <c r="L1321" i="1"/>
  <c r="K1321" i="1"/>
  <c r="H1321" i="1" s="1"/>
  <c r="J1321" i="1"/>
  <c r="L1320" i="1"/>
  <c r="K1320" i="1"/>
  <c r="J1320" i="1"/>
  <c r="H1320" i="1"/>
  <c r="L1319" i="1"/>
  <c r="K1319" i="1"/>
  <c r="J1319" i="1"/>
  <c r="L1318" i="1"/>
  <c r="J1318" i="1"/>
  <c r="H1318" i="1" s="1"/>
  <c r="L1317" i="1"/>
  <c r="K1317" i="1"/>
  <c r="J1317" i="1"/>
  <c r="H1317" i="1" s="1"/>
  <c r="L1316" i="1"/>
  <c r="K1316" i="1"/>
  <c r="J1316" i="1"/>
  <c r="H1316" i="1"/>
  <c r="L1315" i="1"/>
  <c r="K1315" i="1"/>
  <c r="J1315" i="1"/>
  <c r="L1314" i="1"/>
  <c r="K1314" i="1"/>
  <c r="J1314" i="1"/>
  <c r="H1314" i="1" s="1"/>
  <c r="L1313" i="1"/>
  <c r="K1313" i="1"/>
  <c r="J1313" i="1"/>
  <c r="F1313" i="1"/>
  <c r="L1312" i="1"/>
  <c r="K1312" i="1"/>
  <c r="J1312" i="1"/>
  <c r="L1311" i="1"/>
  <c r="K1311" i="1"/>
  <c r="J1311" i="1"/>
  <c r="L1310" i="1"/>
  <c r="K1310" i="1"/>
  <c r="H1310" i="1" s="1"/>
  <c r="L1309" i="1"/>
  <c r="K1309" i="1"/>
  <c r="H1309" i="1" s="1"/>
  <c r="L1308" i="1"/>
  <c r="J1308" i="1"/>
  <c r="H1308" i="1" s="1"/>
  <c r="L1307" i="1"/>
  <c r="K1307" i="1"/>
  <c r="J1307" i="1"/>
  <c r="H1307" i="1"/>
  <c r="L1304" i="1"/>
  <c r="K1304" i="1"/>
  <c r="J1304" i="1"/>
  <c r="H1304" i="1"/>
  <c r="L1303" i="1"/>
  <c r="K1303" i="1"/>
  <c r="J1303" i="1"/>
  <c r="H1303" i="1"/>
  <c r="L1302" i="1"/>
  <c r="J1302" i="1"/>
  <c r="H1302" i="1" s="1"/>
  <c r="L1301" i="1"/>
  <c r="J1301" i="1"/>
  <c r="H1301" i="1"/>
  <c r="L1300" i="1"/>
  <c r="J1300" i="1"/>
  <c r="K1298" i="1"/>
  <c r="J1298" i="1"/>
  <c r="L1297" i="1"/>
  <c r="L1298" i="1" s="1"/>
  <c r="J1297" i="1"/>
  <c r="H1297" i="1" s="1"/>
  <c r="K1295" i="1"/>
  <c r="L1294" i="1"/>
  <c r="L1295" i="1" s="1"/>
  <c r="J1294" i="1"/>
  <c r="J1295" i="1" s="1"/>
  <c r="H1294" i="1"/>
  <c r="K1292" i="1"/>
  <c r="L1291" i="1"/>
  <c r="J1291" i="1"/>
  <c r="H1291" i="1" s="1"/>
  <c r="L1290" i="1"/>
  <c r="J1290" i="1"/>
  <c r="H1290" i="1" s="1"/>
  <c r="L1289" i="1"/>
  <c r="J1289" i="1"/>
  <c r="H1289" i="1" s="1"/>
  <c r="L1288" i="1"/>
  <c r="J1288" i="1"/>
  <c r="H1288" i="1" s="1"/>
  <c r="L1287" i="1"/>
  <c r="J1287" i="1"/>
  <c r="L1286" i="1"/>
  <c r="J1286" i="1"/>
  <c r="H1286" i="1" s="1"/>
  <c r="L1285" i="1"/>
  <c r="K1285" i="1"/>
  <c r="J1285" i="1"/>
  <c r="H1285" i="1"/>
  <c r="L1284" i="1"/>
  <c r="J1284" i="1"/>
  <c r="H1284" i="1" s="1"/>
  <c r="L1281" i="1"/>
  <c r="J1281" i="1"/>
  <c r="H1281" i="1" s="1"/>
  <c r="L1280" i="1"/>
  <c r="K1280" i="1"/>
  <c r="J1280" i="1"/>
  <c r="H1280" i="1" s="1"/>
  <c r="L1279" i="1"/>
  <c r="K1279" i="1"/>
  <c r="J1279" i="1"/>
  <c r="J1282" i="1" s="1"/>
  <c r="F1279" i="1"/>
  <c r="L1276" i="1"/>
  <c r="J1276" i="1"/>
  <c r="H1276" i="1" s="1"/>
  <c r="L1275" i="1"/>
  <c r="K1275" i="1"/>
  <c r="H1275" i="1" s="1"/>
  <c r="J1275" i="1"/>
  <c r="L1274" i="1"/>
  <c r="K1274" i="1"/>
  <c r="J1274" i="1"/>
  <c r="L1273" i="1"/>
  <c r="K1273" i="1"/>
  <c r="J1273" i="1"/>
  <c r="L1272" i="1"/>
  <c r="K1272" i="1"/>
  <c r="H1272" i="1" s="1"/>
  <c r="J1272" i="1"/>
  <c r="L1271" i="1"/>
  <c r="K1271" i="1"/>
  <c r="H1271" i="1" s="1"/>
  <c r="J1271" i="1"/>
  <c r="L1270" i="1"/>
  <c r="K1270" i="1"/>
  <c r="J1270" i="1"/>
  <c r="L1269" i="1"/>
  <c r="K1269" i="1"/>
  <c r="J1269" i="1"/>
  <c r="F1269" i="1"/>
  <c r="L1268" i="1"/>
  <c r="J1268" i="1"/>
  <c r="H1268" i="1"/>
  <c r="L1267" i="1"/>
  <c r="K1267" i="1"/>
  <c r="J1267" i="1"/>
  <c r="L1266" i="1"/>
  <c r="J1266" i="1"/>
  <c r="H1266" i="1" s="1"/>
  <c r="L1265" i="1"/>
  <c r="J1265" i="1"/>
  <c r="H1265" i="1" s="1"/>
  <c r="L1264" i="1"/>
  <c r="J1264" i="1"/>
  <c r="H1264" i="1" s="1"/>
  <c r="L1263" i="1"/>
  <c r="J1263" i="1"/>
  <c r="L1262" i="1"/>
  <c r="J1262" i="1"/>
  <c r="L1261" i="1"/>
  <c r="K1261" i="1"/>
  <c r="J1261" i="1"/>
  <c r="L1258" i="1"/>
  <c r="K1258" i="1"/>
  <c r="J1258" i="1"/>
  <c r="L1257" i="1"/>
  <c r="J1257" i="1"/>
  <c r="H1257" i="1" s="1"/>
  <c r="L1256" i="1"/>
  <c r="K1256" i="1"/>
  <c r="J1256" i="1"/>
  <c r="L1255" i="1"/>
  <c r="K1255" i="1"/>
  <c r="J1255" i="1"/>
  <c r="H1255" i="1" s="1"/>
  <c r="L1254" i="1"/>
  <c r="K1254" i="1"/>
  <c r="J1254" i="1"/>
  <c r="L1253" i="1"/>
  <c r="K1253" i="1"/>
  <c r="J1253" i="1"/>
  <c r="L1252" i="1"/>
  <c r="K1252" i="1"/>
  <c r="J1252" i="1"/>
  <c r="L1251" i="1"/>
  <c r="K1251" i="1"/>
  <c r="J1251" i="1"/>
  <c r="H1251" i="1" s="1"/>
  <c r="L1250" i="1"/>
  <c r="K1250" i="1"/>
  <c r="J1250" i="1"/>
  <c r="H1250" i="1" s="1"/>
  <c r="L1249" i="1"/>
  <c r="K1249" i="1"/>
  <c r="H1249" i="1" s="1"/>
  <c r="L1248" i="1"/>
  <c r="K1248" i="1"/>
  <c r="H1248" i="1" s="1"/>
  <c r="L1247" i="1"/>
  <c r="K1247" i="1"/>
  <c r="J1247" i="1"/>
  <c r="H1247" i="1" s="1"/>
  <c r="L1246" i="1"/>
  <c r="K1246" i="1"/>
  <c r="H1246" i="1"/>
  <c r="L1242" i="1"/>
  <c r="K1242" i="1"/>
  <c r="H1242" i="1" s="1"/>
  <c r="J1242" i="1"/>
  <c r="L1241" i="1"/>
  <c r="J1241" i="1"/>
  <c r="H1241" i="1" s="1"/>
  <c r="L1240" i="1"/>
  <c r="K1240" i="1"/>
  <c r="J1240" i="1"/>
  <c r="L1239" i="1"/>
  <c r="K1239" i="1"/>
  <c r="J1239" i="1"/>
  <c r="L1238" i="1"/>
  <c r="K1238" i="1"/>
  <c r="J1238" i="1"/>
  <c r="H1238" i="1" s="1"/>
  <c r="L1237" i="1"/>
  <c r="J1237" i="1"/>
  <c r="H1237" i="1"/>
  <c r="L1236" i="1"/>
  <c r="K1236" i="1"/>
  <c r="J1236" i="1"/>
  <c r="L1235" i="1"/>
  <c r="J1235" i="1"/>
  <c r="H1235" i="1" s="1"/>
  <c r="L1234" i="1"/>
  <c r="K1234" i="1"/>
  <c r="J1234" i="1"/>
  <c r="L1233" i="1"/>
  <c r="K1233" i="1"/>
  <c r="J1233" i="1"/>
  <c r="H1233" i="1"/>
  <c r="L1232" i="1"/>
  <c r="K1232" i="1"/>
  <c r="J1232" i="1"/>
  <c r="L1229" i="1"/>
  <c r="K1229" i="1"/>
  <c r="J1229" i="1"/>
  <c r="H1229" i="1" s="1"/>
  <c r="L1228" i="1"/>
  <c r="J1228" i="1"/>
  <c r="H1228" i="1" s="1"/>
  <c r="L1227" i="1"/>
  <c r="K1227" i="1"/>
  <c r="J1227" i="1"/>
  <c r="L1226" i="1"/>
  <c r="K1226" i="1"/>
  <c r="J1226" i="1"/>
  <c r="H1226" i="1" s="1"/>
  <c r="L1225" i="1"/>
  <c r="K1225" i="1"/>
  <c r="J1225" i="1"/>
  <c r="L1224" i="1"/>
  <c r="K1224" i="1"/>
  <c r="J1224" i="1"/>
  <c r="L1223" i="1"/>
  <c r="K1223" i="1"/>
  <c r="J1223" i="1"/>
  <c r="H1223" i="1"/>
  <c r="L1222" i="1"/>
  <c r="K1222" i="1"/>
  <c r="J1222" i="1"/>
  <c r="L1221" i="1"/>
  <c r="K1221" i="1"/>
  <c r="J1221" i="1"/>
  <c r="L1220" i="1"/>
  <c r="K1220" i="1"/>
  <c r="J1220" i="1"/>
  <c r="H1220" i="1" s="1"/>
  <c r="L1219" i="1"/>
  <c r="K1219" i="1"/>
  <c r="J1219" i="1"/>
  <c r="L1218" i="1"/>
  <c r="K1218" i="1"/>
  <c r="J1218" i="1"/>
  <c r="L1217" i="1"/>
  <c r="K1217" i="1"/>
  <c r="J1217" i="1"/>
  <c r="L1216" i="1"/>
  <c r="J1216" i="1"/>
  <c r="L1213" i="1"/>
  <c r="K1213" i="1"/>
  <c r="H1213" i="1" s="1"/>
  <c r="J1213" i="1"/>
  <c r="L1212" i="1"/>
  <c r="J1212" i="1"/>
  <c r="H1212" i="1" s="1"/>
  <c r="L1211" i="1"/>
  <c r="J1211" i="1"/>
  <c r="H1211" i="1" s="1"/>
  <c r="L1210" i="1"/>
  <c r="K1210" i="1"/>
  <c r="J1210" i="1"/>
  <c r="L1209" i="1"/>
  <c r="K1209" i="1"/>
  <c r="J1209" i="1"/>
  <c r="L1208" i="1"/>
  <c r="J1208" i="1"/>
  <c r="H1208" i="1"/>
  <c r="L1207" i="1"/>
  <c r="K1207" i="1"/>
  <c r="J1207" i="1"/>
  <c r="L1206" i="1"/>
  <c r="K1206" i="1"/>
  <c r="J1206" i="1"/>
  <c r="H1206" i="1" s="1"/>
  <c r="L1205" i="1"/>
  <c r="K1205" i="1"/>
  <c r="J1205" i="1"/>
  <c r="H1205" i="1" s="1"/>
  <c r="L1204" i="1"/>
  <c r="K1204" i="1"/>
  <c r="J1204" i="1"/>
  <c r="L1203" i="1"/>
  <c r="K1203" i="1"/>
  <c r="J1203" i="1"/>
  <c r="H1203" i="1" s="1"/>
  <c r="L1202" i="1"/>
  <c r="K1202" i="1"/>
  <c r="J1202" i="1"/>
  <c r="H1202" i="1" s="1"/>
  <c r="L1201" i="1"/>
  <c r="J1201" i="1"/>
  <c r="H1201" i="1" s="1"/>
  <c r="L1198" i="1"/>
  <c r="K1198" i="1"/>
  <c r="J1198" i="1"/>
  <c r="L1197" i="1"/>
  <c r="K1197" i="1"/>
  <c r="J1197" i="1"/>
  <c r="H1197" i="1" s="1"/>
  <c r="L1196" i="1"/>
  <c r="K1196" i="1"/>
  <c r="H1196" i="1" s="1"/>
  <c r="J1196" i="1"/>
  <c r="F1196" i="1"/>
  <c r="L1195" i="1"/>
  <c r="J1195" i="1"/>
  <c r="H1195" i="1" s="1"/>
  <c r="L1194" i="1"/>
  <c r="K1194" i="1"/>
  <c r="H1194" i="1" s="1"/>
  <c r="J1194" i="1"/>
  <c r="L1193" i="1"/>
  <c r="K1193" i="1"/>
  <c r="J1193" i="1"/>
  <c r="H1193" i="1" s="1"/>
  <c r="L1192" i="1"/>
  <c r="K1192" i="1"/>
  <c r="J1192" i="1"/>
  <c r="L1191" i="1"/>
  <c r="K1191" i="1"/>
  <c r="J1191" i="1"/>
  <c r="L1190" i="1"/>
  <c r="K1190" i="1"/>
  <c r="J1190" i="1"/>
  <c r="H1190" i="1" s="1"/>
  <c r="L1189" i="1"/>
  <c r="K1189" i="1"/>
  <c r="J1189" i="1"/>
  <c r="L1188" i="1"/>
  <c r="K1188" i="1"/>
  <c r="J1188" i="1"/>
  <c r="L1187" i="1"/>
  <c r="K1187" i="1"/>
  <c r="J1187" i="1"/>
  <c r="H1187" i="1" s="1"/>
  <c r="L1186" i="1"/>
  <c r="J1186" i="1"/>
  <c r="H1186" i="1" s="1"/>
  <c r="L1185" i="1"/>
  <c r="K1185" i="1"/>
  <c r="J1185" i="1"/>
  <c r="L1184" i="1"/>
  <c r="K1184" i="1"/>
  <c r="J1184" i="1"/>
  <c r="L1183" i="1"/>
  <c r="J1183" i="1"/>
  <c r="H1183" i="1" s="1"/>
  <c r="L1180" i="1"/>
  <c r="K1180" i="1"/>
  <c r="J1180" i="1"/>
  <c r="H1180" i="1" s="1"/>
  <c r="L1179" i="1"/>
  <c r="K1179" i="1"/>
  <c r="J1179" i="1"/>
  <c r="H1179" i="1" s="1"/>
  <c r="F1179" i="1"/>
  <c r="L1178" i="1"/>
  <c r="J1178" i="1"/>
  <c r="H1178" i="1" s="1"/>
  <c r="L1177" i="1"/>
  <c r="K1177" i="1"/>
  <c r="J1177" i="1"/>
  <c r="L1176" i="1"/>
  <c r="K1176" i="1"/>
  <c r="J1176" i="1"/>
  <c r="H1176" i="1" s="1"/>
  <c r="L1175" i="1"/>
  <c r="K1175" i="1"/>
  <c r="J1175" i="1"/>
  <c r="L1174" i="1"/>
  <c r="K1174" i="1"/>
  <c r="J1174" i="1"/>
  <c r="L1173" i="1"/>
  <c r="K1173" i="1"/>
  <c r="J1173" i="1"/>
  <c r="L1172" i="1"/>
  <c r="K1172" i="1"/>
  <c r="J1172" i="1"/>
  <c r="F1172" i="1"/>
  <c r="L1171" i="1"/>
  <c r="K1171" i="1"/>
  <c r="J1171" i="1"/>
  <c r="H1171" i="1"/>
  <c r="F1171" i="1"/>
  <c r="L1170" i="1"/>
  <c r="K1170" i="1"/>
  <c r="J1170" i="1"/>
  <c r="L1169" i="1"/>
  <c r="K1169" i="1"/>
  <c r="J1169" i="1"/>
  <c r="H1169" i="1" s="1"/>
  <c r="L1168" i="1"/>
  <c r="J1168" i="1"/>
  <c r="H1168" i="1" s="1"/>
  <c r="L1167" i="1"/>
  <c r="K1167" i="1"/>
  <c r="H1167" i="1"/>
  <c r="L1166" i="1"/>
  <c r="K1166" i="1"/>
  <c r="H1166" i="1" s="1"/>
  <c r="L1165" i="1"/>
  <c r="K1165" i="1"/>
  <c r="J1165" i="1"/>
  <c r="H1165" i="1" s="1"/>
  <c r="L1164" i="1"/>
  <c r="J1164" i="1"/>
  <c r="H1164" i="1" s="1"/>
  <c r="L1161" i="1"/>
  <c r="K1161" i="1"/>
  <c r="J1161" i="1"/>
  <c r="H1161" i="1" s="1"/>
  <c r="L1160" i="1"/>
  <c r="J1160" i="1"/>
  <c r="H1160" i="1" s="1"/>
  <c r="L1159" i="1"/>
  <c r="K1159" i="1"/>
  <c r="J1159" i="1"/>
  <c r="L1158" i="1"/>
  <c r="K1158" i="1"/>
  <c r="J1158" i="1"/>
  <c r="H1158" i="1" s="1"/>
  <c r="L1157" i="1"/>
  <c r="J1157" i="1"/>
  <c r="H1157" i="1" s="1"/>
  <c r="L1156" i="1"/>
  <c r="K1156" i="1"/>
  <c r="J1156" i="1"/>
  <c r="L1155" i="1"/>
  <c r="K1155" i="1"/>
  <c r="J1155" i="1"/>
  <c r="H1155" i="1" s="1"/>
  <c r="L1154" i="1"/>
  <c r="K1154" i="1"/>
  <c r="H1154" i="1" s="1"/>
  <c r="J1154" i="1"/>
  <c r="L1153" i="1"/>
  <c r="K1153" i="1"/>
  <c r="H1153" i="1" s="1"/>
  <c r="J1153" i="1"/>
  <c r="L1152" i="1"/>
  <c r="K1152" i="1"/>
  <c r="J1152" i="1"/>
  <c r="H1152" i="1" s="1"/>
  <c r="L1151" i="1"/>
  <c r="J1151" i="1"/>
  <c r="H1151" i="1" s="1"/>
  <c r="L1150" i="1"/>
  <c r="K1150" i="1"/>
  <c r="J1150" i="1"/>
  <c r="H1150" i="1" s="1"/>
  <c r="L1149" i="1"/>
  <c r="K1149" i="1"/>
  <c r="J1149" i="1"/>
  <c r="L1148" i="1"/>
  <c r="J1148" i="1"/>
  <c r="H1148" i="1" s="1"/>
  <c r="L1147" i="1"/>
  <c r="K1147" i="1"/>
  <c r="H1147" i="1" s="1"/>
  <c r="L1146" i="1"/>
  <c r="J1146" i="1"/>
  <c r="L1145" i="1"/>
  <c r="K1145" i="1"/>
  <c r="J1145" i="1"/>
  <c r="H1145" i="1" s="1"/>
  <c r="L1144" i="1"/>
  <c r="K1144" i="1"/>
  <c r="J1144" i="1"/>
  <c r="L1143" i="1"/>
  <c r="K1143" i="1"/>
  <c r="J1143" i="1"/>
  <c r="L1142" i="1"/>
  <c r="K1142" i="1"/>
  <c r="H1142" i="1" s="1"/>
  <c r="J1142" i="1"/>
  <c r="L1141" i="1"/>
  <c r="J1141" i="1"/>
  <c r="H1141" i="1"/>
  <c r="L1138" i="1"/>
  <c r="L1139" i="1" s="1"/>
  <c r="K1138" i="1"/>
  <c r="J1138" i="1"/>
  <c r="L1137" i="1"/>
  <c r="K1137" i="1"/>
  <c r="K1139" i="1" s="1"/>
  <c r="J1137" i="1"/>
  <c r="L1134" i="1"/>
  <c r="K1134" i="1"/>
  <c r="G1134" i="1"/>
  <c r="F1134" i="1"/>
  <c r="B1134" i="1"/>
  <c r="A1134" i="1"/>
  <c r="J1134" i="1" s="1"/>
  <c r="H1134" i="1" s="1"/>
  <c r="L1133" i="1"/>
  <c r="J1133" i="1"/>
  <c r="L1132" i="1"/>
  <c r="K1132" i="1"/>
  <c r="J1132" i="1"/>
  <c r="F1132" i="1"/>
  <c r="L1131" i="1"/>
  <c r="K1131" i="1"/>
  <c r="J1131" i="1"/>
  <c r="H1131" i="1" s="1"/>
  <c r="L1130" i="1"/>
  <c r="K1130" i="1"/>
  <c r="J1130" i="1"/>
  <c r="H1130" i="1" s="1"/>
  <c r="L1129" i="1"/>
  <c r="J1129" i="1"/>
  <c r="H1129" i="1" s="1"/>
  <c r="L1128" i="1"/>
  <c r="K1128" i="1"/>
  <c r="J1128" i="1"/>
  <c r="H1128" i="1" s="1"/>
  <c r="L1127" i="1"/>
  <c r="K1127" i="1"/>
  <c r="J1127" i="1"/>
  <c r="H1127" i="1" s="1"/>
  <c r="L1126" i="1"/>
  <c r="K1126" i="1"/>
  <c r="J1126" i="1"/>
  <c r="L1125" i="1"/>
  <c r="J1125" i="1"/>
  <c r="L1124" i="1"/>
  <c r="K1124" i="1"/>
  <c r="J1124" i="1"/>
  <c r="L1123" i="1"/>
  <c r="J1123" i="1"/>
  <c r="H1123" i="1" s="1"/>
  <c r="L1122" i="1"/>
  <c r="K1122" i="1"/>
  <c r="J1122" i="1"/>
  <c r="H1122" i="1" s="1"/>
  <c r="L1121" i="1"/>
  <c r="K1121" i="1"/>
  <c r="J1121" i="1"/>
  <c r="H1121" i="1"/>
  <c r="L1120" i="1"/>
  <c r="J1120" i="1"/>
  <c r="H1120" i="1" s="1"/>
  <c r="L1119" i="1"/>
  <c r="J1119" i="1"/>
  <c r="L1116" i="1"/>
  <c r="K1116" i="1"/>
  <c r="J1116" i="1"/>
  <c r="L1115" i="1"/>
  <c r="K1115" i="1"/>
  <c r="J1115" i="1"/>
  <c r="H1115" i="1" s="1"/>
  <c r="L1114" i="1"/>
  <c r="K1114" i="1"/>
  <c r="H1114" i="1" s="1"/>
  <c r="J1114" i="1"/>
  <c r="L1113" i="1"/>
  <c r="J1113" i="1"/>
  <c r="H1113" i="1" s="1"/>
  <c r="L1112" i="1"/>
  <c r="K1112" i="1"/>
  <c r="H1112" i="1" s="1"/>
  <c r="J1112" i="1"/>
  <c r="L1111" i="1"/>
  <c r="J1111" i="1"/>
  <c r="H1111" i="1"/>
  <c r="L1110" i="1"/>
  <c r="K1110" i="1"/>
  <c r="J1110" i="1"/>
  <c r="H1110" i="1"/>
  <c r="L1109" i="1"/>
  <c r="K1109" i="1"/>
  <c r="J1109" i="1"/>
  <c r="H1109" i="1" s="1"/>
  <c r="L1108" i="1"/>
  <c r="K1108" i="1"/>
  <c r="H1108" i="1" s="1"/>
  <c r="J1108" i="1"/>
  <c r="L1107" i="1"/>
  <c r="K1107" i="1"/>
  <c r="J1107" i="1"/>
  <c r="H1107" i="1"/>
  <c r="L1106" i="1"/>
  <c r="K1106" i="1"/>
  <c r="J1106" i="1"/>
  <c r="L1105" i="1"/>
  <c r="K1105" i="1"/>
  <c r="H1105" i="1" s="1"/>
  <c r="J1105" i="1"/>
  <c r="L1104" i="1"/>
  <c r="K1104" i="1"/>
  <c r="J1104" i="1"/>
  <c r="H1104" i="1"/>
  <c r="L1103" i="1"/>
  <c r="K1103" i="1"/>
  <c r="H1103" i="1" s="1"/>
  <c r="J1103" i="1"/>
  <c r="L1102" i="1"/>
  <c r="K1102" i="1"/>
  <c r="H1102" i="1" s="1"/>
  <c r="J1102" i="1"/>
  <c r="L1101" i="1"/>
  <c r="J1101" i="1"/>
  <c r="L1100" i="1"/>
  <c r="K1100" i="1"/>
  <c r="H1100" i="1"/>
  <c r="L1099" i="1"/>
  <c r="K1099" i="1"/>
  <c r="H1099" i="1"/>
  <c r="L1098" i="1"/>
  <c r="K1098" i="1"/>
  <c r="H1098" i="1"/>
  <c r="L1095" i="1"/>
  <c r="K1095" i="1"/>
  <c r="J1095" i="1"/>
  <c r="L1094" i="1"/>
  <c r="J1094" i="1"/>
  <c r="L1093" i="1"/>
  <c r="K1093" i="1"/>
  <c r="J1093" i="1"/>
  <c r="L1092" i="1"/>
  <c r="L1096" i="1" s="1"/>
  <c r="K1092" i="1"/>
  <c r="J1092" i="1"/>
  <c r="L1090" i="1"/>
  <c r="K1090" i="1"/>
  <c r="J1089" i="1"/>
  <c r="J1088" i="1"/>
  <c r="J1087" i="1"/>
  <c r="J1086" i="1"/>
  <c r="J1085" i="1"/>
  <c r="J1084" i="1"/>
  <c r="J1083" i="1"/>
  <c r="J1082" i="1"/>
  <c r="J1081" i="1"/>
  <c r="J1080" i="1"/>
  <c r="J1079" i="1"/>
  <c r="J1078" i="1"/>
  <c r="L1075" i="1"/>
  <c r="K1075" i="1"/>
  <c r="J1075" i="1"/>
  <c r="J1074" i="1"/>
  <c r="L1073" i="1"/>
  <c r="K1073" i="1"/>
  <c r="H1073" i="1" s="1"/>
  <c r="J1073" i="1"/>
  <c r="F1073" i="1"/>
  <c r="L1072" i="1"/>
  <c r="K1072" i="1"/>
  <c r="J1072" i="1"/>
  <c r="H1072" i="1" s="1"/>
  <c r="L1071" i="1"/>
  <c r="K1071" i="1"/>
  <c r="J1071" i="1"/>
  <c r="L1070" i="1"/>
  <c r="K1070" i="1"/>
  <c r="J1070" i="1"/>
  <c r="H1070" i="1" s="1"/>
  <c r="L1069" i="1"/>
  <c r="K1069" i="1"/>
  <c r="J1069" i="1"/>
  <c r="H1069" i="1" s="1"/>
  <c r="L1068" i="1"/>
  <c r="K1068" i="1"/>
  <c r="J1068" i="1"/>
  <c r="H1068" i="1" s="1"/>
  <c r="L1067" i="1"/>
  <c r="K1067" i="1"/>
  <c r="J1067" i="1"/>
  <c r="L1066" i="1"/>
  <c r="K1066" i="1"/>
  <c r="J1066" i="1"/>
  <c r="H1066" i="1" s="1"/>
  <c r="L1065" i="1"/>
  <c r="K1065" i="1"/>
  <c r="J1065" i="1"/>
  <c r="H1065" i="1" s="1"/>
  <c r="L1064" i="1"/>
  <c r="K1064" i="1"/>
  <c r="J1064" i="1"/>
  <c r="H1064" i="1" s="1"/>
  <c r="L1063" i="1"/>
  <c r="K1063" i="1"/>
  <c r="J1063" i="1"/>
  <c r="L1062" i="1"/>
  <c r="K1062" i="1"/>
  <c r="J1062" i="1"/>
  <c r="H1062" i="1" s="1"/>
  <c r="L1061" i="1"/>
  <c r="K1061" i="1"/>
  <c r="J1061" i="1"/>
  <c r="H1061" i="1" s="1"/>
  <c r="L1060" i="1"/>
  <c r="K1060" i="1"/>
  <c r="J1060" i="1"/>
  <c r="H1060" i="1" s="1"/>
  <c r="L1059" i="1"/>
  <c r="J1059" i="1"/>
  <c r="H1059" i="1" s="1"/>
  <c r="L1058" i="1"/>
  <c r="K1058" i="1"/>
  <c r="J1058" i="1"/>
  <c r="L1057" i="1"/>
  <c r="K1057" i="1"/>
  <c r="J1057" i="1"/>
  <c r="H1057" i="1" s="1"/>
  <c r="L1056" i="1"/>
  <c r="K1056" i="1"/>
  <c r="J1056" i="1"/>
  <c r="L1055" i="1"/>
  <c r="J1055" i="1"/>
  <c r="H1055" i="1" s="1"/>
  <c r="L1054" i="1"/>
  <c r="K1054" i="1"/>
  <c r="H1054" i="1" s="1"/>
  <c r="J1054" i="1"/>
  <c r="L1053" i="1"/>
  <c r="K1053" i="1"/>
  <c r="J1053" i="1"/>
  <c r="H1053" i="1" s="1"/>
  <c r="L1052" i="1"/>
  <c r="K1052" i="1"/>
  <c r="J1052" i="1"/>
  <c r="H1052" i="1" s="1"/>
  <c r="L1051" i="1"/>
  <c r="K1051" i="1"/>
  <c r="J1051" i="1"/>
  <c r="H1051" i="1" s="1"/>
  <c r="L1050" i="1"/>
  <c r="K1050" i="1"/>
  <c r="J1050" i="1"/>
  <c r="H1050" i="1" s="1"/>
  <c r="L1049" i="1"/>
  <c r="K1049" i="1"/>
  <c r="J1049" i="1"/>
  <c r="L1048" i="1"/>
  <c r="K1048" i="1"/>
  <c r="J1048" i="1"/>
  <c r="H1048" i="1"/>
  <c r="L1047" i="1"/>
  <c r="K1047" i="1"/>
  <c r="J1047" i="1"/>
  <c r="L1046" i="1"/>
  <c r="K1046" i="1"/>
  <c r="J1046" i="1"/>
  <c r="L1045" i="1"/>
  <c r="K1045" i="1"/>
  <c r="J1045" i="1"/>
  <c r="H1045" i="1"/>
  <c r="L1044" i="1"/>
  <c r="K1044" i="1"/>
  <c r="J1044" i="1"/>
  <c r="L1043" i="1"/>
  <c r="K1043" i="1"/>
  <c r="J1043" i="1"/>
  <c r="H1043" i="1" s="1"/>
  <c r="L1042" i="1"/>
  <c r="J1042" i="1"/>
  <c r="H1042" i="1"/>
  <c r="L1041" i="1"/>
  <c r="K1041" i="1"/>
  <c r="J1041" i="1"/>
  <c r="L1040" i="1"/>
  <c r="K1040" i="1"/>
  <c r="J1040" i="1"/>
  <c r="L1039" i="1"/>
  <c r="K1039" i="1"/>
  <c r="J1039" i="1"/>
  <c r="H1039" i="1" s="1"/>
  <c r="L1038" i="1"/>
  <c r="K1038" i="1"/>
  <c r="H1038" i="1" s="1"/>
  <c r="L1037" i="1"/>
  <c r="K1037" i="1"/>
  <c r="H1037" i="1" s="1"/>
  <c r="L1036" i="1"/>
  <c r="K1036" i="1"/>
  <c r="H1036" i="1" s="1"/>
  <c r="L1035" i="1"/>
  <c r="J1035" i="1"/>
  <c r="L1032" i="1"/>
  <c r="K1032" i="1"/>
  <c r="K1033" i="1" s="1"/>
  <c r="J1032" i="1"/>
  <c r="L1031" i="1"/>
  <c r="L1033" i="1" s="1"/>
  <c r="J1031" i="1"/>
  <c r="H1031" i="1" s="1"/>
  <c r="L1028" i="1"/>
  <c r="K1028" i="1"/>
  <c r="J1028" i="1"/>
  <c r="L1027" i="1"/>
  <c r="K1027" i="1"/>
  <c r="H1027" i="1" s="1"/>
  <c r="J1027" i="1"/>
  <c r="L1026" i="1"/>
  <c r="J1026" i="1"/>
  <c r="H1026" i="1" s="1"/>
  <c r="L1025" i="1"/>
  <c r="K1025" i="1"/>
  <c r="J1025" i="1"/>
  <c r="L1024" i="1"/>
  <c r="J1024" i="1"/>
  <c r="H1024" i="1"/>
  <c r="L1023" i="1"/>
  <c r="J1023" i="1"/>
  <c r="L1022" i="1"/>
  <c r="K1022" i="1"/>
  <c r="J1022" i="1"/>
  <c r="H1022" i="1" s="1"/>
  <c r="L1021" i="1"/>
  <c r="K1021" i="1"/>
  <c r="J1021" i="1"/>
  <c r="L1020" i="1"/>
  <c r="J1020" i="1"/>
  <c r="H1020" i="1" s="1"/>
  <c r="L1019" i="1"/>
  <c r="K1019" i="1"/>
  <c r="H1019" i="1" s="1"/>
  <c r="J1019" i="1"/>
  <c r="L1018" i="1"/>
  <c r="K1018" i="1"/>
  <c r="J1018" i="1"/>
  <c r="H1018" i="1" s="1"/>
  <c r="L1017" i="1"/>
  <c r="J1017" i="1"/>
  <c r="L1016" i="1"/>
  <c r="K1016" i="1"/>
  <c r="H1016" i="1" s="1"/>
  <c r="J1016" i="1"/>
  <c r="L1015" i="1"/>
  <c r="K1015" i="1"/>
  <c r="J1015" i="1"/>
  <c r="L1014" i="1"/>
  <c r="K1014" i="1"/>
  <c r="J1014" i="1"/>
  <c r="L1013" i="1"/>
  <c r="J1013" i="1"/>
  <c r="J1029" i="1" s="1"/>
  <c r="L1012" i="1"/>
  <c r="J1012" i="1"/>
  <c r="H1012" i="1"/>
  <c r="K1010" i="1"/>
  <c r="L1009" i="1"/>
  <c r="L1010" i="1" s="1"/>
  <c r="J1009" i="1"/>
  <c r="J1010" i="1" s="1"/>
  <c r="L1006" i="1"/>
  <c r="K1006" i="1"/>
  <c r="J1006" i="1"/>
  <c r="L1005" i="1"/>
  <c r="J1005" i="1"/>
  <c r="H1005" i="1" s="1"/>
  <c r="L1004" i="1"/>
  <c r="K1004" i="1"/>
  <c r="J1004" i="1"/>
  <c r="H1004" i="1" s="1"/>
  <c r="L1003" i="1"/>
  <c r="K1003" i="1"/>
  <c r="J1003" i="1"/>
  <c r="H1003" i="1" s="1"/>
  <c r="L1002" i="1"/>
  <c r="K1002" i="1"/>
  <c r="J1002" i="1"/>
  <c r="H1002" i="1" s="1"/>
  <c r="L1001" i="1"/>
  <c r="K1001" i="1"/>
  <c r="J1001" i="1"/>
  <c r="L1000" i="1"/>
  <c r="K1000" i="1"/>
  <c r="J1000" i="1"/>
  <c r="H1000" i="1"/>
  <c r="L999" i="1"/>
  <c r="J999" i="1"/>
  <c r="L998" i="1"/>
  <c r="K998" i="1"/>
  <c r="J998" i="1"/>
  <c r="H998" i="1" s="1"/>
  <c r="L997" i="1"/>
  <c r="J997" i="1"/>
  <c r="H997" i="1" s="1"/>
  <c r="L996" i="1"/>
  <c r="K996" i="1"/>
  <c r="J996" i="1"/>
  <c r="L995" i="1"/>
  <c r="K995" i="1"/>
  <c r="H995" i="1" s="1"/>
  <c r="J995" i="1"/>
  <c r="L994" i="1"/>
  <c r="K994" i="1"/>
  <c r="J994" i="1"/>
  <c r="L993" i="1"/>
  <c r="J993" i="1"/>
  <c r="H993" i="1" s="1"/>
  <c r="L992" i="1"/>
  <c r="K992" i="1"/>
  <c r="J992" i="1"/>
  <c r="L991" i="1"/>
  <c r="K991" i="1"/>
  <c r="J991" i="1"/>
  <c r="L990" i="1"/>
  <c r="J990" i="1"/>
  <c r="H990" i="1"/>
  <c r="L989" i="1"/>
  <c r="K989" i="1"/>
  <c r="J989" i="1"/>
  <c r="H989" i="1" s="1"/>
  <c r="L988" i="1"/>
  <c r="K988" i="1"/>
  <c r="J988" i="1"/>
  <c r="L987" i="1"/>
  <c r="K987" i="1"/>
  <c r="H987" i="1" s="1"/>
  <c r="L986" i="1"/>
  <c r="K986" i="1"/>
  <c r="H986" i="1" s="1"/>
  <c r="L985" i="1"/>
  <c r="L1007" i="1" s="1"/>
  <c r="K985" i="1"/>
  <c r="J985" i="1"/>
  <c r="L982" i="1"/>
  <c r="J982" i="1"/>
  <c r="H982" i="1"/>
  <c r="L981" i="1"/>
  <c r="K981" i="1"/>
  <c r="H981" i="1" s="1"/>
  <c r="J981" i="1"/>
  <c r="L980" i="1"/>
  <c r="K980" i="1"/>
  <c r="J980" i="1"/>
  <c r="H980" i="1" s="1"/>
  <c r="L979" i="1"/>
  <c r="K979" i="1"/>
  <c r="H979" i="1" s="1"/>
  <c r="J979" i="1"/>
  <c r="L978" i="1"/>
  <c r="K978" i="1"/>
  <c r="J978" i="1"/>
  <c r="H978" i="1" s="1"/>
  <c r="L977" i="1"/>
  <c r="K977" i="1"/>
  <c r="J977" i="1"/>
  <c r="H977" i="1"/>
  <c r="L976" i="1"/>
  <c r="K976" i="1"/>
  <c r="J976" i="1"/>
  <c r="L975" i="1"/>
  <c r="J975" i="1"/>
  <c r="H975" i="1" s="1"/>
  <c r="L974" i="1"/>
  <c r="K974" i="1"/>
  <c r="J974" i="1"/>
  <c r="L973" i="1"/>
  <c r="K973" i="1"/>
  <c r="J973" i="1"/>
  <c r="L972" i="1"/>
  <c r="K972" i="1"/>
  <c r="J972" i="1"/>
  <c r="L971" i="1"/>
  <c r="K971" i="1"/>
  <c r="J971" i="1"/>
  <c r="H971" i="1" s="1"/>
  <c r="L970" i="1"/>
  <c r="J970" i="1"/>
  <c r="H970" i="1" s="1"/>
  <c r="L969" i="1"/>
  <c r="K969" i="1"/>
  <c r="J969" i="1"/>
  <c r="L968" i="1"/>
  <c r="K968" i="1"/>
  <c r="H968" i="1" s="1"/>
  <c r="J968" i="1"/>
  <c r="L967" i="1"/>
  <c r="K967" i="1"/>
  <c r="J967" i="1"/>
  <c r="L966" i="1"/>
  <c r="K966" i="1"/>
  <c r="J966" i="1"/>
  <c r="L965" i="1"/>
  <c r="K965" i="1"/>
  <c r="J965" i="1"/>
  <c r="H965" i="1"/>
  <c r="L964" i="1"/>
  <c r="K964" i="1"/>
  <c r="J964" i="1"/>
  <c r="H964" i="1" s="1"/>
  <c r="L963" i="1"/>
  <c r="K963" i="1"/>
  <c r="H963" i="1" s="1"/>
  <c r="J963" i="1"/>
  <c r="L962" i="1"/>
  <c r="K962" i="1"/>
  <c r="J962" i="1"/>
  <c r="L961" i="1"/>
  <c r="H961" i="1"/>
  <c r="J958" i="1"/>
  <c r="G958" i="1"/>
  <c r="B958" i="1"/>
  <c r="A958" i="1"/>
  <c r="L958" i="1" s="1"/>
  <c r="L957" i="1"/>
  <c r="K957" i="1"/>
  <c r="J957" i="1"/>
  <c r="H957" i="1" s="1"/>
  <c r="L956" i="1"/>
  <c r="K956" i="1"/>
  <c r="J956" i="1"/>
  <c r="H956" i="1" s="1"/>
  <c r="L955" i="1"/>
  <c r="K955" i="1"/>
  <c r="J955" i="1"/>
  <c r="L954" i="1"/>
  <c r="J954" i="1"/>
  <c r="H954" i="1" s="1"/>
  <c r="L953" i="1"/>
  <c r="K953" i="1"/>
  <c r="J953" i="1"/>
  <c r="F953" i="1"/>
  <c r="L952" i="1"/>
  <c r="K952" i="1"/>
  <c r="J952" i="1"/>
  <c r="L951" i="1"/>
  <c r="J951" i="1"/>
  <c r="H951" i="1"/>
  <c r="L950" i="1"/>
  <c r="K950" i="1"/>
  <c r="H950" i="1" s="1"/>
  <c r="J950" i="1"/>
  <c r="L949" i="1"/>
  <c r="K949" i="1"/>
  <c r="H949" i="1" s="1"/>
  <c r="J949" i="1"/>
  <c r="L948" i="1"/>
  <c r="J948" i="1"/>
  <c r="H948" i="1" s="1"/>
  <c r="L947" i="1"/>
  <c r="K947" i="1"/>
  <c r="J947" i="1"/>
  <c r="L946" i="1"/>
  <c r="K946" i="1"/>
  <c r="J946" i="1"/>
  <c r="L945" i="1"/>
  <c r="K945" i="1"/>
  <c r="J945" i="1"/>
  <c r="H945" i="1" s="1"/>
  <c r="L944" i="1"/>
  <c r="K944" i="1"/>
  <c r="J944" i="1"/>
  <c r="L943" i="1"/>
  <c r="K943" i="1"/>
  <c r="J943" i="1"/>
  <c r="L942" i="1"/>
  <c r="K942" i="1"/>
  <c r="J942" i="1"/>
  <c r="F942" i="1"/>
  <c r="L941" i="1"/>
  <c r="K941" i="1"/>
  <c r="H941" i="1" s="1"/>
  <c r="J941" i="1"/>
  <c r="L940" i="1"/>
  <c r="K940" i="1"/>
  <c r="H940" i="1" s="1"/>
  <c r="J940" i="1"/>
  <c r="L939" i="1"/>
  <c r="J939" i="1"/>
  <c r="H939" i="1" s="1"/>
  <c r="L938" i="1"/>
  <c r="K938" i="1"/>
  <c r="H938" i="1" s="1"/>
  <c r="L937" i="1"/>
  <c r="K937" i="1"/>
  <c r="H937" i="1"/>
  <c r="L936" i="1"/>
  <c r="H936" i="1"/>
  <c r="L935" i="1"/>
  <c r="H935" i="1"/>
  <c r="L932" i="1"/>
  <c r="J932" i="1"/>
  <c r="H932" i="1"/>
  <c r="L931" i="1"/>
  <c r="K931" i="1"/>
  <c r="H931" i="1" s="1"/>
  <c r="J931" i="1"/>
  <c r="L930" i="1"/>
  <c r="J930" i="1"/>
  <c r="H930" i="1" s="1"/>
  <c r="L929" i="1"/>
  <c r="J929" i="1"/>
  <c r="H929" i="1" s="1"/>
  <c r="L928" i="1"/>
  <c r="J928" i="1"/>
  <c r="H928" i="1" s="1"/>
  <c r="L927" i="1"/>
  <c r="K927" i="1"/>
  <c r="J927" i="1"/>
  <c r="L926" i="1"/>
  <c r="K926" i="1"/>
  <c r="J926" i="1"/>
  <c r="H926" i="1" s="1"/>
  <c r="L925" i="1"/>
  <c r="K925" i="1"/>
  <c r="J925" i="1"/>
  <c r="L924" i="1"/>
  <c r="K924" i="1"/>
  <c r="J924" i="1"/>
  <c r="H924" i="1" s="1"/>
  <c r="L923" i="1"/>
  <c r="J923" i="1"/>
  <c r="H923" i="1" s="1"/>
  <c r="L922" i="1"/>
  <c r="J922" i="1"/>
  <c r="H922" i="1" s="1"/>
  <c r="L921" i="1"/>
  <c r="K921" i="1"/>
  <c r="J921" i="1"/>
  <c r="L920" i="1"/>
  <c r="K920" i="1"/>
  <c r="J920" i="1"/>
  <c r="L919" i="1"/>
  <c r="K919" i="1"/>
  <c r="J919" i="1"/>
  <c r="L918" i="1"/>
  <c r="K918" i="1"/>
  <c r="H918" i="1" s="1"/>
  <c r="L917" i="1"/>
  <c r="K917" i="1"/>
  <c r="J917" i="1"/>
  <c r="L916" i="1"/>
  <c r="K916" i="1"/>
  <c r="J916" i="1"/>
  <c r="L915" i="1"/>
  <c r="K915" i="1"/>
  <c r="J915" i="1"/>
  <c r="L914" i="1"/>
  <c r="J914" i="1"/>
  <c r="H914" i="1" s="1"/>
  <c r="L913" i="1"/>
  <c r="K913" i="1"/>
  <c r="J913" i="1"/>
  <c r="L910" i="1"/>
  <c r="K910" i="1"/>
  <c r="H910" i="1" s="1"/>
  <c r="J910" i="1"/>
  <c r="L909" i="1"/>
  <c r="J909" i="1"/>
  <c r="H909" i="1" s="1"/>
  <c r="L908" i="1"/>
  <c r="J908" i="1"/>
  <c r="H908" i="1" s="1"/>
  <c r="L907" i="1"/>
  <c r="K907" i="1"/>
  <c r="J907" i="1"/>
  <c r="H907" i="1" s="1"/>
  <c r="L906" i="1"/>
  <c r="K906" i="1"/>
  <c r="H906" i="1" s="1"/>
  <c r="J906" i="1"/>
  <c r="L905" i="1"/>
  <c r="K905" i="1"/>
  <c r="H905" i="1" s="1"/>
  <c r="J905" i="1"/>
  <c r="L904" i="1"/>
  <c r="K904" i="1"/>
  <c r="J904" i="1"/>
  <c r="L903" i="1"/>
  <c r="K903" i="1"/>
  <c r="J903" i="1"/>
  <c r="L902" i="1"/>
  <c r="K902" i="1"/>
  <c r="H902" i="1" s="1"/>
  <c r="J902" i="1"/>
  <c r="L901" i="1"/>
  <c r="K901" i="1"/>
  <c r="J901" i="1"/>
  <c r="L900" i="1"/>
  <c r="J900" i="1"/>
  <c r="H900" i="1" s="1"/>
  <c r="L899" i="1"/>
  <c r="K899" i="1"/>
  <c r="J899" i="1"/>
  <c r="H899" i="1" s="1"/>
  <c r="L898" i="1"/>
  <c r="K898" i="1"/>
  <c r="J898" i="1"/>
  <c r="H898" i="1" s="1"/>
  <c r="L897" i="1"/>
  <c r="K897" i="1"/>
  <c r="J897" i="1"/>
  <c r="L896" i="1"/>
  <c r="K896" i="1"/>
  <c r="J896" i="1"/>
  <c r="L895" i="1"/>
  <c r="K895" i="1"/>
  <c r="J895" i="1"/>
  <c r="H895" i="1" s="1"/>
  <c r="L894" i="1"/>
  <c r="J894" i="1"/>
  <c r="H894" i="1" s="1"/>
  <c r="L893" i="1"/>
  <c r="K893" i="1"/>
  <c r="J893" i="1"/>
  <c r="H893" i="1" s="1"/>
  <c r="L892" i="1"/>
  <c r="J892" i="1"/>
  <c r="H892" i="1" s="1"/>
  <c r="L891" i="1"/>
  <c r="K891" i="1"/>
  <c r="J891" i="1"/>
  <c r="L890" i="1"/>
  <c r="K890" i="1"/>
  <c r="J890" i="1"/>
  <c r="L889" i="1"/>
  <c r="K889" i="1"/>
  <c r="J889" i="1"/>
  <c r="H889" i="1" s="1"/>
  <c r="L888" i="1"/>
  <c r="J888" i="1"/>
  <c r="L887" i="1"/>
  <c r="K887" i="1"/>
  <c r="J887" i="1"/>
  <c r="H887" i="1" s="1"/>
  <c r="L886" i="1"/>
  <c r="K886" i="1"/>
  <c r="J886" i="1"/>
  <c r="L885" i="1"/>
  <c r="K885" i="1"/>
  <c r="H885" i="1" s="1"/>
  <c r="L884" i="1"/>
  <c r="K884" i="1"/>
  <c r="H884" i="1" s="1"/>
  <c r="L883" i="1"/>
  <c r="K883" i="1"/>
  <c r="H883" i="1"/>
  <c r="L882" i="1"/>
  <c r="K882" i="1"/>
  <c r="J882" i="1"/>
  <c r="J911" i="1" s="1"/>
  <c r="L877" i="1"/>
  <c r="L878" i="1" s="1"/>
  <c r="K877" i="1"/>
  <c r="K878" i="1" s="1"/>
  <c r="J877" i="1"/>
  <c r="J878" i="1" s="1"/>
  <c r="L874" i="1"/>
  <c r="J874" i="1"/>
  <c r="H874" i="1" s="1"/>
  <c r="L873" i="1"/>
  <c r="K873" i="1"/>
  <c r="J873" i="1"/>
  <c r="L872" i="1"/>
  <c r="K872" i="1"/>
  <c r="J872" i="1"/>
  <c r="L871" i="1"/>
  <c r="K871" i="1"/>
  <c r="H871" i="1" s="1"/>
  <c r="J871" i="1"/>
  <c r="L870" i="1"/>
  <c r="J870" i="1"/>
  <c r="H870" i="1" s="1"/>
  <c r="L869" i="1"/>
  <c r="J869" i="1"/>
  <c r="H869" i="1" s="1"/>
  <c r="L868" i="1"/>
  <c r="J868" i="1"/>
  <c r="H868" i="1" s="1"/>
  <c r="L867" i="1"/>
  <c r="K867" i="1"/>
  <c r="J867" i="1"/>
  <c r="K865" i="1"/>
  <c r="L864" i="1"/>
  <c r="J864" i="1"/>
  <c r="H864" i="1" s="1"/>
  <c r="J863" i="1"/>
  <c r="L862" i="1"/>
  <c r="J862" i="1"/>
  <c r="H862" i="1"/>
  <c r="L861" i="1"/>
  <c r="J861" i="1"/>
  <c r="H861" i="1" s="1"/>
  <c r="L860" i="1"/>
  <c r="J860" i="1"/>
  <c r="H860" i="1"/>
  <c r="K858" i="1"/>
  <c r="L857" i="1"/>
  <c r="J857" i="1"/>
  <c r="H857" i="1"/>
  <c r="L856" i="1"/>
  <c r="L858" i="1" s="1"/>
  <c r="J856" i="1"/>
  <c r="H856" i="1"/>
  <c r="K854" i="1"/>
  <c r="L853" i="1"/>
  <c r="L854" i="1" s="1"/>
  <c r="J853" i="1"/>
  <c r="J854" i="1" s="1"/>
  <c r="H854" i="1" s="1"/>
  <c r="K851" i="1"/>
  <c r="J851" i="1"/>
  <c r="H851" i="1" s="1"/>
  <c r="L850" i="1"/>
  <c r="L851" i="1" s="1"/>
  <c r="J850" i="1"/>
  <c r="H850" i="1" s="1"/>
  <c r="K848" i="1"/>
  <c r="L847" i="1"/>
  <c r="J847" i="1"/>
  <c r="H847" i="1"/>
  <c r="L846" i="1"/>
  <c r="J846" i="1"/>
  <c r="H846" i="1"/>
  <c r="L845" i="1"/>
  <c r="J845" i="1"/>
  <c r="H845" i="1" s="1"/>
  <c r="K843" i="1"/>
  <c r="J842" i="1"/>
  <c r="J841" i="1"/>
  <c r="L840" i="1"/>
  <c r="J840" i="1"/>
  <c r="H840" i="1" s="1"/>
  <c r="L839" i="1"/>
  <c r="J839" i="1"/>
  <c r="H839" i="1" s="1"/>
  <c r="L838" i="1"/>
  <c r="J838" i="1"/>
  <c r="H838" i="1" s="1"/>
  <c r="F838" i="1"/>
  <c r="L837" i="1"/>
  <c r="J837" i="1"/>
  <c r="F837" i="1"/>
  <c r="L836" i="1"/>
  <c r="J836" i="1"/>
  <c r="H836" i="1" s="1"/>
  <c r="L835" i="1"/>
  <c r="J835" i="1"/>
  <c r="H835" i="1" s="1"/>
  <c r="L834" i="1"/>
  <c r="J834" i="1"/>
  <c r="H834" i="1" s="1"/>
  <c r="L833" i="1"/>
  <c r="J833" i="1"/>
  <c r="L832" i="1"/>
  <c r="J832" i="1"/>
  <c r="H832" i="1" s="1"/>
  <c r="L831" i="1"/>
  <c r="J831" i="1"/>
  <c r="H831" i="1" s="1"/>
  <c r="L830" i="1"/>
  <c r="J830" i="1"/>
  <c r="H830" i="1" s="1"/>
  <c r="L829" i="1"/>
  <c r="J829" i="1"/>
  <c r="H829" i="1" s="1"/>
  <c r="L828" i="1"/>
  <c r="J828" i="1"/>
  <c r="H828" i="1" s="1"/>
  <c r="L827" i="1"/>
  <c r="J827" i="1"/>
  <c r="H827" i="1" s="1"/>
  <c r="L826" i="1"/>
  <c r="J826" i="1"/>
  <c r="H826" i="1"/>
  <c r="L825" i="1"/>
  <c r="J825" i="1"/>
  <c r="H825" i="1"/>
  <c r="L824" i="1"/>
  <c r="J824" i="1"/>
  <c r="H824" i="1" s="1"/>
  <c r="L821" i="1"/>
  <c r="J821" i="1"/>
  <c r="H821" i="1" s="1"/>
  <c r="L820" i="1"/>
  <c r="K820" i="1"/>
  <c r="K822" i="1" s="1"/>
  <c r="J820" i="1"/>
  <c r="L819" i="1"/>
  <c r="L822" i="1" s="1"/>
  <c r="J819" i="1"/>
  <c r="H819" i="1" s="1"/>
  <c r="K817" i="1"/>
  <c r="L816" i="1"/>
  <c r="J816" i="1"/>
  <c r="H816" i="1"/>
  <c r="L815" i="1"/>
  <c r="J815" i="1"/>
  <c r="H815" i="1" s="1"/>
  <c r="L814" i="1"/>
  <c r="J814" i="1"/>
  <c r="H814" i="1"/>
  <c r="F814" i="1"/>
  <c r="L813" i="1"/>
  <c r="L817" i="1" s="1"/>
  <c r="J813" i="1"/>
  <c r="H813" i="1"/>
  <c r="K811" i="1"/>
  <c r="L810" i="1"/>
  <c r="L811" i="1" s="1"/>
  <c r="K810" i="1"/>
  <c r="J810" i="1"/>
  <c r="J811" i="1" s="1"/>
  <c r="L807" i="1"/>
  <c r="J807" i="1"/>
  <c r="H807" i="1" s="1"/>
  <c r="L806" i="1"/>
  <c r="K806" i="1"/>
  <c r="J806" i="1"/>
  <c r="L805" i="1"/>
  <c r="J805" i="1"/>
  <c r="H805" i="1" s="1"/>
  <c r="J804" i="1"/>
  <c r="L803" i="1"/>
  <c r="K803" i="1"/>
  <c r="K808" i="1" s="1"/>
  <c r="J803" i="1"/>
  <c r="L802" i="1"/>
  <c r="K802" i="1"/>
  <c r="J802" i="1"/>
  <c r="L799" i="1"/>
  <c r="K799" i="1"/>
  <c r="J799" i="1"/>
  <c r="H799" i="1" s="1"/>
  <c r="L798" i="1"/>
  <c r="K798" i="1"/>
  <c r="H798" i="1" s="1"/>
  <c r="J798" i="1"/>
  <c r="L797" i="1"/>
  <c r="K797" i="1"/>
  <c r="J797" i="1"/>
  <c r="L796" i="1"/>
  <c r="J796" i="1"/>
  <c r="H796" i="1" s="1"/>
  <c r="L795" i="1"/>
  <c r="K795" i="1"/>
  <c r="J795" i="1"/>
  <c r="L792" i="1"/>
  <c r="K792" i="1"/>
  <c r="J792" i="1"/>
  <c r="H792" i="1" s="1"/>
  <c r="J791" i="1"/>
  <c r="L790" i="1"/>
  <c r="K790" i="1"/>
  <c r="J790" i="1"/>
  <c r="L789" i="1"/>
  <c r="K789" i="1"/>
  <c r="K793" i="1" s="1"/>
  <c r="J789" i="1"/>
  <c r="J793" i="1" s="1"/>
  <c r="H793" i="1" s="1"/>
  <c r="L787" i="1"/>
  <c r="K787" i="1"/>
  <c r="J786" i="1"/>
  <c r="J785" i="1"/>
  <c r="J784" i="1"/>
  <c r="L781" i="1"/>
  <c r="K781" i="1"/>
  <c r="J781" i="1"/>
  <c r="L780" i="1"/>
  <c r="K780" i="1"/>
  <c r="J780" i="1"/>
  <c r="H780" i="1" s="1"/>
  <c r="L779" i="1"/>
  <c r="K779" i="1"/>
  <c r="J779" i="1"/>
  <c r="H779" i="1" s="1"/>
  <c r="L778" i="1"/>
  <c r="K778" i="1"/>
  <c r="J778" i="1"/>
  <c r="L777" i="1"/>
  <c r="K777" i="1"/>
  <c r="J777" i="1"/>
  <c r="H777" i="1" s="1"/>
  <c r="L776" i="1"/>
  <c r="K776" i="1"/>
  <c r="H776" i="1" s="1"/>
  <c r="J776" i="1"/>
  <c r="L773" i="1"/>
  <c r="K773" i="1"/>
  <c r="J773" i="1"/>
  <c r="H773" i="1" s="1"/>
  <c r="L772" i="1"/>
  <c r="K772" i="1"/>
  <c r="H772" i="1" s="1"/>
  <c r="J772" i="1"/>
  <c r="L771" i="1"/>
  <c r="K771" i="1"/>
  <c r="J771" i="1"/>
  <c r="H771" i="1" s="1"/>
  <c r="L770" i="1"/>
  <c r="K770" i="1"/>
  <c r="J770" i="1"/>
  <c r="H770" i="1" s="1"/>
  <c r="L769" i="1"/>
  <c r="K769" i="1"/>
  <c r="J769" i="1"/>
  <c r="H769" i="1" s="1"/>
  <c r="L768" i="1"/>
  <c r="K768" i="1"/>
  <c r="J768" i="1"/>
  <c r="H768" i="1" s="1"/>
  <c r="L767" i="1"/>
  <c r="K767" i="1"/>
  <c r="J767" i="1"/>
  <c r="L766" i="1"/>
  <c r="K766" i="1"/>
  <c r="H766" i="1" s="1"/>
  <c r="J766" i="1"/>
  <c r="L765" i="1"/>
  <c r="J765" i="1"/>
  <c r="G765" i="1"/>
  <c r="F765" i="1"/>
  <c r="B765" i="1"/>
  <c r="A765" i="1"/>
  <c r="K765" i="1" s="1"/>
  <c r="L764" i="1"/>
  <c r="K764" i="1"/>
  <c r="J764" i="1"/>
  <c r="H764" i="1"/>
  <c r="L763" i="1"/>
  <c r="K763" i="1"/>
  <c r="J763" i="1"/>
  <c r="L762" i="1"/>
  <c r="K762" i="1"/>
  <c r="J762" i="1"/>
  <c r="H762" i="1" s="1"/>
  <c r="L761" i="1"/>
  <c r="K761" i="1"/>
  <c r="J761" i="1"/>
  <c r="H761" i="1" s="1"/>
  <c r="L760" i="1"/>
  <c r="K760" i="1"/>
  <c r="J760" i="1"/>
  <c r="L759" i="1"/>
  <c r="K759" i="1"/>
  <c r="J759" i="1"/>
  <c r="L758" i="1"/>
  <c r="K758" i="1"/>
  <c r="J758" i="1"/>
  <c r="H758" i="1" s="1"/>
  <c r="L757" i="1"/>
  <c r="K757" i="1"/>
  <c r="J757" i="1"/>
  <c r="H757" i="1" s="1"/>
  <c r="L756" i="1"/>
  <c r="K756" i="1"/>
  <c r="J756" i="1"/>
  <c r="H756" i="1" s="1"/>
  <c r="L755" i="1"/>
  <c r="K755" i="1"/>
  <c r="H755" i="1" s="1"/>
  <c r="J755" i="1"/>
  <c r="L754" i="1"/>
  <c r="K754" i="1"/>
  <c r="J754" i="1"/>
  <c r="H754" i="1" s="1"/>
  <c r="L753" i="1"/>
  <c r="K753" i="1"/>
  <c r="J753" i="1"/>
  <c r="L752" i="1"/>
  <c r="J752" i="1"/>
  <c r="J751" i="1"/>
  <c r="L750" i="1"/>
  <c r="K750" i="1"/>
  <c r="J750" i="1"/>
  <c r="L747" i="1"/>
  <c r="K747" i="1"/>
  <c r="J747" i="1"/>
  <c r="H747" i="1" s="1"/>
  <c r="L746" i="1"/>
  <c r="K746" i="1"/>
  <c r="J746" i="1"/>
  <c r="H746" i="1" s="1"/>
  <c r="L745" i="1"/>
  <c r="K745" i="1"/>
  <c r="J745" i="1"/>
  <c r="L742" i="1"/>
  <c r="K742" i="1"/>
  <c r="J742" i="1"/>
  <c r="H742" i="1" s="1"/>
  <c r="L741" i="1"/>
  <c r="L743" i="1" s="1"/>
  <c r="J741" i="1"/>
  <c r="H741" i="1" s="1"/>
  <c r="L740" i="1"/>
  <c r="K740" i="1"/>
  <c r="J740" i="1"/>
  <c r="L737" i="1"/>
  <c r="K737" i="1"/>
  <c r="J737" i="1"/>
  <c r="L736" i="1"/>
  <c r="K736" i="1"/>
  <c r="J736" i="1"/>
  <c r="H736" i="1" s="1"/>
  <c r="L735" i="1"/>
  <c r="K735" i="1"/>
  <c r="H735" i="1" s="1"/>
  <c r="J735" i="1"/>
  <c r="L734" i="1"/>
  <c r="K734" i="1"/>
  <c r="J734" i="1"/>
  <c r="H734" i="1" s="1"/>
  <c r="L733" i="1"/>
  <c r="K733" i="1"/>
  <c r="J733" i="1"/>
  <c r="L732" i="1"/>
  <c r="K732" i="1"/>
  <c r="J732" i="1"/>
  <c r="H732" i="1"/>
  <c r="L731" i="1"/>
  <c r="K731" i="1"/>
  <c r="J731" i="1"/>
  <c r="J738" i="1" s="1"/>
  <c r="J729" i="1"/>
  <c r="L728" i="1"/>
  <c r="L729" i="1" s="1"/>
  <c r="K728" i="1"/>
  <c r="H728" i="1" s="1"/>
  <c r="J728" i="1"/>
  <c r="L725" i="1"/>
  <c r="K725" i="1"/>
  <c r="J725" i="1"/>
  <c r="H725" i="1"/>
  <c r="L724" i="1"/>
  <c r="K724" i="1"/>
  <c r="J724" i="1"/>
  <c r="H724" i="1" s="1"/>
  <c r="L723" i="1"/>
  <c r="K723" i="1"/>
  <c r="H723" i="1" s="1"/>
  <c r="J723" i="1"/>
  <c r="L722" i="1"/>
  <c r="K722" i="1"/>
  <c r="J722" i="1"/>
  <c r="L721" i="1"/>
  <c r="K721" i="1"/>
  <c r="J721" i="1"/>
  <c r="H721" i="1" s="1"/>
  <c r="L720" i="1"/>
  <c r="K720" i="1"/>
  <c r="J720" i="1"/>
  <c r="L719" i="1"/>
  <c r="K719" i="1"/>
  <c r="J719" i="1"/>
  <c r="L718" i="1"/>
  <c r="K718" i="1"/>
  <c r="J718" i="1"/>
  <c r="L715" i="1"/>
  <c r="K715" i="1"/>
  <c r="J715" i="1"/>
  <c r="H715" i="1" s="1"/>
  <c r="L714" i="1"/>
  <c r="K714" i="1"/>
  <c r="J714" i="1"/>
  <c r="H714" i="1" s="1"/>
  <c r="L713" i="1"/>
  <c r="K713" i="1"/>
  <c r="J713" i="1"/>
  <c r="L712" i="1"/>
  <c r="K712" i="1"/>
  <c r="J712" i="1"/>
  <c r="H712" i="1" s="1"/>
  <c r="L711" i="1"/>
  <c r="K711" i="1"/>
  <c r="J711" i="1"/>
  <c r="H711" i="1" s="1"/>
  <c r="J710" i="1"/>
  <c r="L709" i="1"/>
  <c r="K709" i="1"/>
  <c r="H709" i="1" s="1"/>
  <c r="J709" i="1"/>
  <c r="L708" i="1"/>
  <c r="K708" i="1"/>
  <c r="H708" i="1" s="1"/>
  <c r="J708" i="1"/>
  <c r="L707" i="1"/>
  <c r="K707" i="1"/>
  <c r="J707" i="1"/>
  <c r="H707" i="1" s="1"/>
  <c r="L706" i="1"/>
  <c r="J706" i="1"/>
  <c r="J716" i="1" s="1"/>
  <c r="L705" i="1"/>
  <c r="K705" i="1"/>
  <c r="J705" i="1"/>
  <c r="H705" i="1" s="1"/>
  <c r="L704" i="1"/>
  <c r="J704" i="1"/>
  <c r="H704" i="1" s="1"/>
  <c r="L703" i="1"/>
  <c r="K703" i="1"/>
  <c r="J703" i="1"/>
  <c r="H703" i="1"/>
  <c r="L702" i="1"/>
  <c r="K702" i="1"/>
  <c r="H702" i="1" s="1"/>
  <c r="J702" i="1"/>
  <c r="L701" i="1"/>
  <c r="K701" i="1"/>
  <c r="J701" i="1"/>
  <c r="L700" i="1"/>
  <c r="K700" i="1"/>
  <c r="H700" i="1" s="1"/>
  <c r="J700" i="1"/>
  <c r="L697" i="1"/>
  <c r="K697" i="1"/>
  <c r="J697" i="1"/>
  <c r="L696" i="1"/>
  <c r="K696" i="1"/>
  <c r="J696" i="1"/>
  <c r="H696" i="1" s="1"/>
  <c r="L695" i="1"/>
  <c r="K695" i="1"/>
  <c r="J695" i="1"/>
  <c r="H695" i="1" s="1"/>
  <c r="L694" i="1"/>
  <c r="J694" i="1"/>
  <c r="H694" i="1" s="1"/>
  <c r="L693" i="1"/>
  <c r="J693" i="1"/>
  <c r="H693" i="1" s="1"/>
  <c r="L692" i="1"/>
  <c r="K692" i="1"/>
  <c r="J692" i="1"/>
  <c r="L691" i="1"/>
  <c r="K691" i="1"/>
  <c r="J691" i="1"/>
  <c r="H691" i="1" s="1"/>
  <c r="L690" i="1"/>
  <c r="K690" i="1"/>
  <c r="J690" i="1"/>
  <c r="H690" i="1" s="1"/>
  <c r="L689" i="1"/>
  <c r="K689" i="1"/>
  <c r="H689" i="1" s="1"/>
  <c r="J689" i="1"/>
  <c r="L688" i="1"/>
  <c r="J688" i="1"/>
  <c r="H688" i="1" s="1"/>
  <c r="L687" i="1"/>
  <c r="K687" i="1"/>
  <c r="J687" i="1"/>
  <c r="L686" i="1"/>
  <c r="K686" i="1"/>
  <c r="J686" i="1"/>
  <c r="H686" i="1" s="1"/>
  <c r="L685" i="1"/>
  <c r="J685" i="1"/>
  <c r="H685" i="1"/>
  <c r="L684" i="1"/>
  <c r="K684" i="1"/>
  <c r="J684" i="1"/>
  <c r="L683" i="1"/>
  <c r="J683" i="1"/>
  <c r="H683" i="1" s="1"/>
  <c r="L682" i="1"/>
  <c r="K682" i="1"/>
  <c r="J682" i="1"/>
  <c r="L679" i="1"/>
  <c r="K679" i="1"/>
  <c r="J679" i="1"/>
  <c r="H679" i="1" s="1"/>
  <c r="L678" i="1"/>
  <c r="K678" i="1"/>
  <c r="J678" i="1"/>
  <c r="L677" i="1"/>
  <c r="K677" i="1"/>
  <c r="J677" i="1"/>
  <c r="L676" i="1"/>
  <c r="J676" i="1"/>
  <c r="H676" i="1" s="1"/>
  <c r="L675" i="1"/>
  <c r="J675" i="1"/>
  <c r="L674" i="1"/>
  <c r="K674" i="1"/>
  <c r="J674" i="1"/>
  <c r="L673" i="1"/>
  <c r="K673" i="1"/>
  <c r="J673" i="1"/>
  <c r="L672" i="1"/>
  <c r="K672" i="1"/>
  <c r="J672" i="1"/>
  <c r="H672" i="1" s="1"/>
  <c r="L669" i="1"/>
  <c r="K669" i="1"/>
  <c r="J669" i="1"/>
  <c r="H669" i="1" s="1"/>
  <c r="L668" i="1"/>
  <c r="K668" i="1"/>
  <c r="J668" i="1"/>
  <c r="H668" i="1" s="1"/>
  <c r="L667" i="1"/>
  <c r="L670" i="1" s="1"/>
  <c r="K667" i="1"/>
  <c r="J667" i="1"/>
  <c r="L666" i="1"/>
  <c r="K666" i="1"/>
  <c r="J666" i="1"/>
  <c r="L665" i="1"/>
  <c r="K665" i="1"/>
  <c r="J665" i="1"/>
  <c r="L664" i="1"/>
  <c r="K664" i="1"/>
  <c r="J664" i="1"/>
  <c r="L661" i="1"/>
  <c r="K661" i="1"/>
  <c r="J661" i="1"/>
  <c r="L660" i="1"/>
  <c r="K660" i="1"/>
  <c r="J660" i="1"/>
  <c r="J662" i="1" s="1"/>
  <c r="L657" i="1"/>
  <c r="K657" i="1"/>
  <c r="J657" i="1"/>
  <c r="L656" i="1"/>
  <c r="L658" i="1" s="1"/>
  <c r="K656" i="1"/>
  <c r="K658" i="1" s="1"/>
  <c r="J656" i="1"/>
  <c r="J658" i="1" s="1"/>
  <c r="L654" i="1"/>
  <c r="K654" i="1"/>
  <c r="L653" i="1"/>
  <c r="K653" i="1"/>
  <c r="J653" i="1"/>
  <c r="L652" i="1"/>
  <c r="J652" i="1"/>
  <c r="H652" i="1" s="1"/>
  <c r="L651" i="1"/>
  <c r="J651" i="1"/>
  <c r="L649" i="1"/>
  <c r="L648" i="1"/>
  <c r="K648" i="1"/>
  <c r="K649" i="1" s="1"/>
  <c r="J648" i="1"/>
  <c r="J649" i="1" s="1"/>
  <c r="L645" i="1"/>
  <c r="J645" i="1"/>
  <c r="H645" i="1" s="1"/>
  <c r="L644" i="1"/>
  <c r="L646" i="1" s="1"/>
  <c r="K644" i="1"/>
  <c r="K646" i="1" s="1"/>
  <c r="J644" i="1"/>
  <c r="J643" i="1"/>
  <c r="J642" i="1"/>
  <c r="L639" i="1"/>
  <c r="L640" i="1" s="1"/>
  <c r="K639" i="1"/>
  <c r="K640" i="1" s="1"/>
  <c r="J639" i="1"/>
  <c r="K637" i="1"/>
  <c r="L636" i="1"/>
  <c r="L637" i="1" s="1"/>
  <c r="J636" i="1"/>
  <c r="J637" i="1" s="1"/>
  <c r="H637" i="1" s="1"/>
  <c r="H636" i="1"/>
  <c r="L633" i="1"/>
  <c r="K633" i="1"/>
  <c r="K634" i="1" s="1"/>
  <c r="J633" i="1"/>
  <c r="J632" i="1"/>
  <c r="J634" i="1" s="1"/>
  <c r="L631" i="1"/>
  <c r="L634" i="1" s="1"/>
  <c r="J631" i="1"/>
  <c r="H631" i="1" s="1"/>
  <c r="K629" i="1"/>
  <c r="J629" i="1"/>
  <c r="L628" i="1"/>
  <c r="L629" i="1" s="1"/>
  <c r="K628" i="1"/>
  <c r="J628" i="1"/>
  <c r="H628" i="1" s="1"/>
  <c r="J626" i="1"/>
  <c r="L625" i="1"/>
  <c r="K625" i="1"/>
  <c r="J625" i="1"/>
  <c r="H625" i="1" s="1"/>
  <c r="L624" i="1"/>
  <c r="K624" i="1"/>
  <c r="J624" i="1"/>
  <c r="H624" i="1" s="1"/>
  <c r="L622" i="1"/>
  <c r="J622" i="1"/>
  <c r="L621" i="1"/>
  <c r="K621" i="1"/>
  <c r="K622" i="1" s="1"/>
  <c r="J621" i="1"/>
  <c r="H621" i="1" s="1"/>
  <c r="K619" i="1"/>
  <c r="L618" i="1"/>
  <c r="L619" i="1" s="1"/>
  <c r="K618" i="1"/>
  <c r="J618" i="1"/>
  <c r="J619" i="1" s="1"/>
  <c r="L615" i="1"/>
  <c r="J615" i="1"/>
  <c r="H615" i="1"/>
  <c r="L614" i="1"/>
  <c r="K614" i="1"/>
  <c r="K616" i="1" s="1"/>
  <c r="J614" i="1"/>
  <c r="L613" i="1"/>
  <c r="L616" i="1" s="1"/>
  <c r="J613" i="1"/>
  <c r="H613" i="1" s="1"/>
  <c r="L610" i="1"/>
  <c r="L611" i="1" s="1"/>
  <c r="K610" i="1"/>
  <c r="K611" i="1" s="1"/>
  <c r="J610" i="1"/>
  <c r="L607" i="1"/>
  <c r="K607" i="1"/>
  <c r="J607" i="1"/>
  <c r="H607" i="1" s="1"/>
  <c r="L606" i="1"/>
  <c r="J606" i="1"/>
  <c r="H606" i="1"/>
  <c r="L605" i="1"/>
  <c r="J605" i="1"/>
  <c r="H605" i="1" s="1"/>
  <c r="L604" i="1"/>
  <c r="L608" i="1" s="1"/>
  <c r="K604" i="1"/>
  <c r="K608" i="1" s="1"/>
  <c r="J604" i="1"/>
  <c r="L601" i="1"/>
  <c r="L602" i="1" s="1"/>
  <c r="K601" i="1"/>
  <c r="K602" i="1" s="1"/>
  <c r="J601" i="1"/>
  <c r="J602" i="1" s="1"/>
  <c r="L598" i="1"/>
  <c r="J598" i="1"/>
  <c r="H598" i="1" s="1"/>
  <c r="L597" i="1"/>
  <c r="J597" i="1"/>
  <c r="H597" i="1" s="1"/>
  <c r="L596" i="1"/>
  <c r="K596" i="1"/>
  <c r="J596" i="1"/>
  <c r="L595" i="1"/>
  <c r="K595" i="1"/>
  <c r="J595" i="1"/>
  <c r="H595" i="1" s="1"/>
  <c r="L594" i="1"/>
  <c r="K594" i="1"/>
  <c r="J594" i="1"/>
  <c r="L593" i="1"/>
  <c r="J593" i="1"/>
  <c r="L592" i="1"/>
  <c r="K592" i="1"/>
  <c r="J592" i="1"/>
  <c r="L591" i="1"/>
  <c r="K591" i="1"/>
  <c r="J591" i="1"/>
  <c r="H591" i="1"/>
  <c r="L590" i="1"/>
  <c r="K590" i="1"/>
  <c r="K599" i="1" s="1"/>
  <c r="J590" i="1"/>
  <c r="K588" i="1"/>
  <c r="L587" i="1"/>
  <c r="L588" i="1" s="1"/>
  <c r="J587" i="1"/>
  <c r="H587" i="1" s="1"/>
  <c r="L584" i="1"/>
  <c r="K584" i="1"/>
  <c r="J584" i="1"/>
  <c r="L583" i="1"/>
  <c r="K583" i="1"/>
  <c r="J583" i="1"/>
  <c r="H583" i="1" s="1"/>
  <c r="L582" i="1"/>
  <c r="J582" i="1"/>
  <c r="H582" i="1"/>
  <c r="L581" i="1"/>
  <c r="K581" i="1"/>
  <c r="K585" i="1" s="1"/>
  <c r="J581" i="1"/>
  <c r="L580" i="1"/>
  <c r="K580" i="1"/>
  <c r="J580" i="1"/>
  <c r="L579" i="1"/>
  <c r="J579" i="1"/>
  <c r="L578" i="1"/>
  <c r="J578" i="1"/>
  <c r="H578" i="1"/>
  <c r="L577" i="1"/>
  <c r="K577" i="1"/>
  <c r="J577" i="1"/>
  <c r="H577" i="1" s="1"/>
  <c r="L576" i="1"/>
  <c r="K576" i="1"/>
  <c r="J576" i="1"/>
  <c r="K574" i="1"/>
  <c r="J573" i="1"/>
  <c r="L572" i="1"/>
  <c r="J572" i="1"/>
  <c r="H572" i="1" s="1"/>
  <c r="L571" i="1"/>
  <c r="J571" i="1"/>
  <c r="H571" i="1" s="1"/>
  <c r="L570" i="1"/>
  <c r="J570" i="1"/>
  <c r="H570" i="1" s="1"/>
  <c r="L569" i="1"/>
  <c r="J569" i="1"/>
  <c r="H569" i="1" s="1"/>
  <c r="L568" i="1"/>
  <c r="L574" i="1" s="1"/>
  <c r="J568" i="1"/>
  <c r="H568" i="1"/>
  <c r="L567" i="1"/>
  <c r="J567" i="1"/>
  <c r="H567" i="1" s="1"/>
  <c r="J566" i="1"/>
  <c r="J565" i="1"/>
  <c r="J564" i="1"/>
  <c r="J561" i="1"/>
  <c r="J560" i="1"/>
  <c r="J559" i="1"/>
  <c r="J558" i="1"/>
  <c r="J557" i="1"/>
  <c r="J556" i="1"/>
  <c r="L555" i="1"/>
  <c r="K555" i="1"/>
  <c r="K562" i="1" s="1"/>
  <c r="J555" i="1"/>
  <c r="F555" i="1"/>
  <c r="J554" i="1"/>
  <c r="J553" i="1"/>
  <c r="L552" i="1"/>
  <c r="J552" i="1"/>
  <c r="L551" i="1"/>
  <c r="K551" i="1"/>
  <c r="J551" i="1"/>
  <c r="H551" i="1" s="1"/>
  <c r="L548" i="1"/>
  <c r="J548" i="1"/>
  <c r="H548" i="1" s="1"/>
  <c r="L547" i="1"/>
  <c r="K547" i="1"/>
  <c r="J547" i="1"/>
  <c r="H547" i="1"/>
  <c r="L546" i="1"/>
  <c r="K546" i="1"/>
  <c r="J546" i="1"/>
  <c r="L545" i="1"/>
  <c r="K545" i="1"/>
  <c r="H545" i="1" s="1"/>
  <c r="J545" i="1"/>
  <c r="L544" i="1"/>
  <c r="K544" i="1"/>
  <c r="J544" i="1"/>
  <c r="H544" i="1"/>
  <c r="L543" i="1"/>
  <c r="K543" i="1"/>
  <c r="J543" i="1"/>
  <c r="L542" i="1"/>
  <c r="K542" i="1"/>
  <c r="H542" i="1" s="1"/>
  <c r="J542" i="1"/>
  <c r="L541" i="1"/>
  <c r="J541" i="1"/>
  <c r="H541" i="1" s="1"/>
  <c r="L540" i="1"/>
  <c r="L549" i="1" s="1"/>
  <c r="K540" i="1"/>
  <c r="J540" i="1"/>
  <c r="H540" i="1" s="1"/>
  <c r="L539" i="1"/>
  <c r="K539" i="1"/>
  <c r="J539" i="1"/>
  <c r="L536" i="1"/>
  <c r="J536" i="1"/>
  <c r="H536" i="1" s="1"/>
  <c r="L535" i="1"/>
  <c r="K535" i="1"/>
  <c r="J535" i="1"/>
  <c r="L534" i="1"/>
  <c r="K534" i="1"/>
  <c r="J534" i="1"/>
  <c r="L533" i="1"/>
  <c r="K533" i="1"/>
  <c r="J533" i="1"/>
  <c r="L532" i="1"/>
  <c r="K532" i="1"/>
  <c r="J532" i="1"/>
  <c r="L531" i="1"/>
  <c r="K531" i="1"/>
  <c r="H531" i="1" s="1"/>
  <c r="J531" i="1"/>
  <c r="L530" i="1"/>
  <c r="K530" i="1"/>
  <c r="J530" i="1"/>
  <c r="L529" i="1"/>
  <c r="K529" i="1"/>
  <c r="J529" i="1"/>
  <c r="H529" i="1" s="1"/>
  <c r="L528" i="1"/>
  <c r="J528" i="1"/>
  <c r="H528" i="1" s="1"/>
  <c r="L527" i="1"/>
  <c r="K527" i="1"/>
  <c r="J527" i="1"/>
  <c r="H527" i="1" s="1"/>
  <c r="L526" i="1"/>
  <c r="K526" i="1"/>
  <c r="H526" i="1" s="1"/>
  <c r="J526" i="1"/>
  <c r="L523" i="1"/>
  <c r="J523" i="1"/>
  <c r="H523" i="1"/>
  <c r="L522" i="1"/>
  <c r="K522" i="1"/>
  <c r="J522" i="1"/>
  <c r="L521" i="1"/>
  <c r="K521" i="1"/>
  <c r="J521" i="1"/>
  <c r="H521" i="1"/>
  <c r="L520" i="1"/>
  <c r="K520" i="1"/>
  <c r="J520" i="1"/>
  <c r="L519" i="1"/>
  <c r="K519" i="1"/>
  <c r="J519" i="1"/>
  <c r="L518" i="1"/>
  <c r="K518" i="1"/>
  <c r="H518" i="1" s="1"/>
  <c r="J518" i="1"/>
  <c r="L517" i="1"/>
  <c r="K517" i="1"/>
  <c r="J517" i="1"/>
  <c r="H517" i="1" s="1"/>
  <c r="L516" i="1"/>
  <c r="K516" i="1"/>
  <c r="J516" i="1"/>
  <c r="L515" i="1"/>
  <c r="K515" i="1"/>
  <c r="H515" i="1" s="1"/>
  <c r="J515" i="1"/>
  <c r="L514" i="1"/>
  <c r="J514" i="1"/>
  <c r="H514" i="1" s="1"/>
  <c r="L513" i="1"/>
  <c r="K513" i="1"/>
  <c r="J513" i="1"/>
  <c r="H513" i="1" s="1"/>
  <c r="L512" i="1"/>
  <c r="K512" i="1"/>
  <c r="J512" i="1"/>
  <c r="L511" i="1"/>
  <c r="K511" i="1"/>
  <c r="J511" i="1"/>
  <c r="L508" i="1"/>
  <c r="J508" i="1"/>
  <c r="H508" i="1" s="1"/>
  <c r="L507" i="1"/>
  <c r="K507" i="1"/>
  <c r="J507" i="1"/>
  <c r="H507" i="1" s="1"/>
  <c r="L506" i="1"/>
  <c r="K506" i="1"/>
  <c r="H506" i="1" s="1"/>
  <c r="J506" i="1"/>
  <c r="L505" i="1"/>
  <c r="K505" i="1"/>
  <c r="J505" i="1"/>
  <c r="H505" i="1" s="1"/>
  <c r="L504" i="1"/>
  <c r="K504" i="1"/>
  <c r="J504" i="1"/>
  <c r="H504" i="1"/>
  <c r="L503" i="1"/>
  <c r="K503" i="1"/>
  <c r="J503" i="1"/>
  <c r="L502" i="1"/>
  <c r="K502" i="1"/>
  <c r="J502" i="1"/>
  <c r="L501" i="1"/>
  <c r="K501" i="1"/>
  <c r="J501" i="1"/>
  <c r="L500" i="1"/>
  <c r="K500" i="1"/>
  <c r="J500" i="1"/>
  <c r="H500" i="1" s="1"/>
  <c r="L499" i="1"/>
  <c r="K499" i="1"/>
  <c r="J499" i="1"/>
  <c r="L498" i="1"/>
  <c r="J498" i="1"/>
  <c r="H498" i="1" s="1"/>
  <c r="L497" i="1"/>
  <c r="K497" i="1"/>
  <c r="J497" i="1"/>
  <c r="H497" i="1" s="1"/>
  <c r="L496" i="1"/>
  <c r="K496" i="1"/>
  <c r="J496" i="1"/>
  <c r="L493" i="1"/>
  <c r="J493" i="1"/>
  <c r="H493" i="1" s="1"/>
  <c r="L492" i="1"/>
  <c r="K492" i="1"/>
  <c r="H492" i="1" s="1"/>
  <c r="J492" i="1"/>
  <c r="L491" i="1"/>
  <c r="K491" i="1"/>
  <c r="J491" i="1"/>
  <c r="H491" i="1" s="1"/>
  <c r="L490" i="1"/>
  <c r="K490" i="1"/>
  <c r="H490" i="1" s="1"/>
  <c r="J490" i="1"/>
  <c r="L489" i="1"/>
  <c r="K489" i="1"/>
  <c r="H489" i="1" s="1"/>
  <c r="J489" i="1"/>
  <c r="L488" i="1"/>
  <c r="K488" i="1"/>
  <c r="J488" i="1"/>
  <c r="L487" i="1"/>
  <c r="K487" i="1"/>
  <c r="J487" i="1"/>
  <c r="L486" i="1"/>
  <c r="K486" i="1"/>
  <c r="H486" i="1" s="1"/>
  <c r="J486" i="1"/>
  <c r="L485" i="1"/>
  <c r="K485" i="1"/>
  <c r="J485" i="1"/>
  <c r="L484" i="1"/>
  <c r="K484" i="1"/>
  <c r="J484" i="1"/>
  <c r="L483" i="1"/>
  <c r="K483" i="1"/>
  <c r="J483" i="1"/>
  <c r="H483" i="1" s="1"/>
  <c r="L482" i="1"/>
  <c r="J482" i="1"/>
  <c r="H482" i="1" s="1"/>
  <c r="L481" i="1"/>
  <c r="K481" i="1"/>
  <c r="J481" i="1"/>
  <c r="L480" i="1"/>
  <c r="K480" i="1"/>
  <c r="J480" i="1"/>
  <c r="L477" i="1"/>
  <c r="J477" i="1"/>
  <c r="H477" i="1" s="1"/>
  <c r="L476" i="1"/>
  <c r="K476" i="1"/>
  <c r="J476" i="1"/>
  <c r="H476" i="1" s="1"/>
  <c r="L475" i="1"/>
  <c r="K475" i="1"/>
  <c r="J475" i="1"/>
  <c r="H475" i="1" s="1"/>
  <c r="L474" i="1"/>
  <c r="K474" i="1"/>
  <c r="J474" i="1"/>
  <c r="L473" i="1"/>
  <c r="K473" i="1"/>
  <c r="J473" i="1"/>
  <c r="H473" i="1" s="1"/>
  <c r="L472" i="1"/>
  <c r="K472" i="1"/>
  <c r="J472" i="1"/>
  <c r="H472" i="1" s="1"/>
  <c r="L471" i="1"/>
  <c r="K471" i="1"/>
  <c r="J471" i="1"/>
  <c r="L470" i="1"/>
  <c r="K470" i="1"/>
  <c r="H470" i="1" s="1"/>
  <c r="J470" i="1"/>
  <c r="L469" i="1"/>
  <c r="K469" i="1"/>
  <c r="J469" i="1"/>
  <c r="L468" i="1"/>
  <c r="J468" i="1"/>
  <c r="H468" i="1"/>
  <c r="L467" i="1"/>
  <c r="K467" i="1"/>
  <c r="J467" i="1"/>
  <c r="H467" i="1" s="1"/>
  <c r="L466" i="1"/>
  <c r="K466" i="1"/>
  <c r="J466" i="1"/>
  <c r="H466" i="1" s="1"/>
  <c r="L465" i="1"/>
  <c r="K465" i="1"/>
  <c r="J465" i="1"/>
  <c r="L462" i="1"/>
  <c r="J462" i="1"/>
  <c r="H462" i="1" s="1"/>
  <c r="L461" i="1"/>
  <c r="K461" i="1"/>
  <c r="J461" i="1"/>
  <c r="L460" i="1"/>
  <c r="K460" i="1"/>
  <c r="J460" i="1"/>
  <c r="H460" i="1" s="1"/>
  <c r="L459" i="1"/>
  <c r="K459" i="1"/>
  <c r="H459" i="1" s="1"/>
  <c r="J459" i="1"/>
  <c r="L458" i="1"/>
  <c r="K458" i="1"/>
  <c r="J458" i="1"/>
  <c r="L457" i="1"/>
  <c r="K457" i="1"/>
  <c r="J457" i="1"/>
  <c r="L456" i="1"/>
  <c r="K456" i="1"/>
  <c r="J456" i="1"/>
  <c r="L455" i="1"/>
  <c r="K455" i="1"/>
  <c r="J455" i="1"/>
  <c r="L454" i="1"/>
  <c r="K454" i="1"/>
  <c r="J454" i="1"/>
  <c r="H454" i="1"/>
  <c r="L453" i="1"/>
  <c r="K453" i="1"/>
  <c r="J453" i="1"/>
  <c r="L452" i="1"/>
  <c r="J452" i="1"/>
  <c r="H452" i="1" s="1"/>
  <c r="L451" i="1"/>
  <c r="K451" i="1"/>
  <c r="J451" i="1"/>
  <c r="L450" i="1"/>
  <c r="K450" i="1"/>
  <c r="H450" i="1" s="1"/>
  <c r="J450" i="1"/>
  <c r="L449" i="1"/>
  <c r="L463" i="1" s="1"/>
  <c r="K449" i="1"/>
  <c r="J449" i="1"/>
  <c r="L446" i="1"/>
  <c r="J446" i="1"/>
  <c r="H446" i="1" s="1"/>
  <c r="L445" i="1"/>
  <c r="K445" i="1"/>
  <c r="J445" i="1"/>
  <c r="H445" i="1" s="1"/>
  <c r="L444" i="1"/>
  <c r="K444" i="1"/>
  <c r="J444" i="1"/>
  <c r="H444" i="1" s="1"/>
  <c r="L443" i="1"/>
  <c r="K443" i="1"/>
  <c r="J443" i="1"/>
  <c r="L442" i="1"/>
  <c r="K442" i="1"/>
  <c r="J442" i="1"/>
  <c r="H442" i="1"/>
  <c r="L441" i="1"/>
  <c r="K441" i="1"/>
  <c r="J441" i="1"/>
  <c r="H441" i="1"/>
  <c r="L440" i="1"/>
  <c r="K440" i="1"/>
  <c r="J440" i="1"/>
  <c r="L439" i="1"/>
  <c r="K439" i="1"/>
  <c r="J439" i="1"/>
  <c r="L438" i="1"/>
  <c r="K438" i="1"/>
  <c r="J438" i="1"/>
  <c r="H438" i="1" s="1"/>
  <c r="L437" i="1"/>
  <c r="K437" i="1"/>
  <c r="J437" i="1"/>
  <c r="H437" i="1" s="1"/>
  <c r="L436" i="1"/>
  <c r="J436" i="1"/>
  <c r="H436" i="1" s="1"/>
  <c r="L435" i="1"/>
  <c r="K435" i="1"/>
  <c r="J435" i="1"/>
  <c r="H435" i="1" s="1"/>
  <c r="L434" i="1"/>
  <c r="K434" i="1"/>
  <c r="J434" i="1"/>
  <c r="H434" i="1" s="1"/>
  <c r="L431" i="1"/>
  <c r="J431" i="1"/>
  <c r="H431" i="1" s="1"/>
  <c r="L430" i="1"/>
  <c r="K430" i="1"/>
  <c r="J430" i="1"/>
  <c r="L429" i="1"/>
  <c r="K429" i="1"/>
  <c r="J429" i="1"/>
  <c r="H429" i="1"/>
  <c r="L428" i="1"/>
  <c r="K428" i="1"/>
  <c r="J428" i="1"/>
  <c r="H428" i="1"/>
  <c r="L427" i="1"/>
  <c r="K427" i="1"/>
  <c r="J427" i="1"/>
  <c r="H427" i="1" s="1"/>
  <c r="L426" i="1"/>
  <c r="K426" i="1"/>
  <c r="J426" i="1"/>
  <c r="H426" i="1"/>
  <c r="L425" i="1"/>
  <c r="K425" i="1"/>
  <c r="J425" i="1"/>
  <c r="L424" i="1"/>
  <c r="K424" i="1"/>
  <c r="H424" i="1" s="1"/>
  <c r="J424" i="1"/>
  <c r="L423" i="1"/>
  <c r="K423" i="1"/>
  <c r="J423" i="1"/>
  <c r="L422" i="1"/>
  <c r="J422" i="1"/>
  <c r="H422" i="1"/>
  <c r="L421" i="1"/>
  <c r="K421" i="1"/>
  <c r="J421" i="1"/>
  <c r="H421" i="1" s="1"/>
  <c r="L420" i="1"/>
  <c r="K420" i="1"/>
  <c r="J420" i="1"/>
  <c r="L419" i="1"/>
  <c r="K419" i="1"/>
  <c r="H419" i="1" s="1"/>
  <c r="J419" i="1"/>
  <c r="L416" i="1"/>
  <c r="J416" i="1"/>
  <c r="H416" i="1" s="1"/>
  <c r="L415" i="1"/>
  <c r="K415" i="1"/>
  <c r="J415" i="1"/>
  <c r="H415" i="1" s="1"/>
  <c r="L414" i="1"/>
  <c r="K414" i="1"/>
  <c r="J414" i="1"/>
  <c r="H414" i="1" s="1"/>
  <c r="L413" i="1"/>
  <c r="K413" i="1"/>
  <c r="J413" i="1"/>
  <c r="H413" i="1"/>
  <c r="L412" i="1"/>
  <c r="K412" i="1"/>
  <c r="J412" i="1"/>
  <c r="L411" i="1"/>
  <c r="K411" i="1"/>
  <c r="H411" i="1" s="1"/>
  <c r="J411" i="1"/>
  <c r="L410" i="1"/>
  <c r="K410" i="1"/>
  <c r="J410" i="1"/>
  <c r="H410" i="1" s="1"/>
  <c r="L409" i="1"/>
  <c r="K409" i="1"/>
  <c r="J409" i="1"/>
  <c r="H409" i="1" s="1"/>
  <c r="L408" i="1"/>
  <c r="K408" i="1"/>
  <c r="J408" i="1"/>
  <c r="L407" i="1"/>
  <c r="J407" i="1"/>
  <c r="H407" i="1" s="1"/>
  <c r="L406" i="1"/>
  <c r="K406" i="1"/>
  <c r="J406" i="1"/>
  <c r="L405" i="1"/>
  <c r="K405" i="1"/>
  <c r="J405" i="1"/>
  <c r="H405" i="1" s="1"/>
  <c r="L404" i="1"/>
  <c r="K404" i="1"/>
  <c r="J404" i="1"/>
  <c r="H404" i="1"/>
  <c r="L401" i="1"/>
  <c r="L402" i="1" s="1"/>
  <c r="K401" i="1"/>
  <c r="K402" i="1" s="1"/>
  <c r="J401" i="1"/>
  <c r="J402" i="1" s="1"/>
  <c r="K399" i="1"/>
  <c r="L398" i="1"/>
  <c r="L399" i="1" s="1"/>
  <c r="J398" i="1"/>
  <c r="J399" i="1" s="1"/>
  <c r="L396" i="1"/>
  <c r="K396" i="1"/>
  <c r="L395" i="1"/>
  <c r="J395" i="1"/>
  <c r="J396" i="1" s="1"/>
  <c r="K393" i="1"/>
  <c r="L392" i="1"/>
  <c r="L393" i="1" s="1"/>
  <c r="J392" i="1"/>
  <c r="J393" i="1" s="1"/>
  <c r="H393" i="1" s="1"/>
  <c r="H392" i="1"/>
  <c r="L390" i="1"/>
  <c r="L389" i="1"/>
  <c r="K389" i="1"/>
  <c r="K390" i="1" s="1"/>
  <c r="J389" i="1"/>
  <c r="J390" i="1" s="1"/>
  <c r="L386" i="1"/>
  <c r="K386" i="1"/>
  <c r="J386" i="1"/>
  <c r="L385" i="1"/>
  <c r="K385" i="1"/>
  <c r="J385" i="1"/>
  <c r="H385" i="1" s="1"/>
  <c r="L384" i="1"/>
  <c r="K384" i="1"/>
  <c r="K387" i="1" s="1"/>
  <c r="J384" i="1"/>
  <c r="L383" i="1"/>
  <c r="J383" i="1"/>
  <c r="H383" i="1" s="1"/>
  <c r="L381" i="1"/>
  <c r="L380" i="1"/>
  <c r="K380" i="1"/>
  <c r="J380" i="1"/>
  <c r="H380" i="1" s="1"/>
  <c r="L379" i="1"/>
  <c r="K379" i="1"/>
  <c r="K381" i="1" s="1"/>
  <c r="J379" i="1"/>
  <c r="L376" i="1"/>
  <c r="J376" i="1"/>
  <c r="H376" i="1" s="1"/>
  <c r="L375" i="1"/>
  <c r="K375" i="1"/>
  <c r="J375" i="1"/>
  <c r="H375" i="1" s="1"/>
  <c r="L374" i="1"/>
  <c r="K374" i="1"/>
  <c r="J374" i="1"/>
  <c r="H374" i="1" s="1"/>
  <c r="L373" i="1"/>
  <c r="K373" i="1"/>
  <c r="J373" i="1"/>
  <c r="H373" i="1" s="1"/>
  <c r="L372" i="1"/>
  <c r="K372" i="1"/>
  <c r="J372" i="1"/>
  <c r="L371" i="1"/>
  <c r="K371" i="1"/>
  <c r="J371" i="1"/>
  <c r="H371" i="1" s="1"/>
  <c r="L370" i="1"/>
  <c r="K370" i="1"/>
  <c r="J370" i="1"/>
  <c r="L367" i="1"/>
  <c r="J367" i="1"/>
  <c r="H367" i="1"/>
  <c r="L366" i="1"/>
  <c r="K366" i="1"/>
  <c r="J366" i="1"/>
  <c r="H366" i="1" s="1"/>
  <c r="L365" i="1"/>
  <c r="K365" i="1"/>
  <c r="J365" i="1"/>
  <c r="L364" i="1"/>
  <c r="K364" i="1"/>
  <c r="H364" i="1" s="1"/>
  <c r="J364" i="1"/>
  <c r="L363" i="1"/>
  <c r="K363" i="1"/>
  <c r="J363" i="1"/>
  <c r="L362" i="1"/>
  <c r="K362" i="1"/>
  <c r="J362" i="1"/>
  <c r="H362" i="1" s="1"/>
  <c r="L361" i="1"/>
  <c r="K361" i="1"/>
  <c r="J361" i="1"/>
  <c r="H361" i="1" s="1"/>
  <c r="L360" i="1"/>
  <c r="J360" i="1"/>
  <c r="H360" i="1" s="1"/>
  <c r="L359" i="1"/>
  <c r="K359" i="1"/>
  <c r="J359" i="1"/>
  <c r="L358" i="1"/>
  <c r="K358" i="1"/>
  <c r="J358" i="1"/>
  <c r="L355" i="1"/>
  <c r="K355" i="1"/>
  <c r="J355" i="1"/>
  <c r="L354" i="1"/>
  <c r="K354" i="1"/>
  <c r="J354" i="1"/>
  <c r="L353" i="1"/>
  <c r="K353" i="1"/>
  <c r="J353" i="1"/>
  <c r="H353" i="1"/>
  <c r="J352" i="1"/>
  <c r="L351" i="1"/>
  <c r="K351" i="1"/>
  <c r="J351" i="1"/>
  <c r="H351" i="1" s="1"/>
  <c r="L350" i="1"/>
  <c r="K350" i="1"/>
  <c r="J350" i="1"/>
  <c r="J356" i="1" s="1"/>
  <c r="L347" i="1"/>
  <c r="K347" i="1"/>
  <c r="J347" i="1"/>
  <c r="L346" i="1"/>
  <c r="K346" i="1"/>
  <c r="J346" i="1"/>
  <c r="L345" i="1"/>
  <c r="K345" i="1"/>
  <c r="J345" i="1"/>
  <c r="H345" i="1" s="1"/>
  <c r="L344" i="1"/>
  <c r="K344" i="1"/>
  <c r="J344" i="1"/>
  <c r="H344" i="1" s="1"/>
  <c r="L343" i="1"/>
  <c r="K343" i="1"/>
  <c r="J343" i="1"/>
  <c r="L342" i="1"/>
  <c r="J342" i="1"/>
  <c r="H342" i="1" s="1"/>
  <c r="L341" i="1"/>
  <c r="K341" i="1"/>
  <c r="J341" i="1"/>
  <c r="L340" i="1"/>
  <c r="K340" i="1"/>
  <c r="J340" i="1"/>
  <c r="H340" i="1" s="1"/>
  <c r="L339" i="1"/>
  <c r="K339" i="1"/>
  <c r="J339" i="1"/>
  <c r="H339" i="1" s="1"/>
  <c r="L338" i="1"/>
  <c r="K338" i="1"/>
  <c r="J338" i="1"/>
  <c r="L337" i="1"/>
  <c r="K337" i="1"/>
  <c r="J337" i="1"/>
  <c r="K335" i="1"/>
  <c r="J335" i="1"/>
  <c r="L334" i="1"/>
  <c r="L335" i="1" s="1"/>
  <c r="J334" i="1"/>
  <c r="L331" i="1"/>
  <c r="L332" i="1" s="1"/>
  <c r="K331" i="1"/>
  <c r="K332" i="1" s="1"/>
  <c r="J331" i="1"/>
  <c r="J332" i="1" s="1"/>
  <c r="H332" i="1" s="1"/>
  <c r="K329" i="1"/>
  <c r="L328" i="1"/>
  <c r="L329" i="1" s="1"/>
  <c r="J328" i="1"/>
  <c r="J329" i="1" s="1"/>
  <c r="H329" i="1" s="1"/>
  <c r="H328" i="1"/>
  <c r="L325" i="1"/>
  <c r="K325" i="1"/>
  <c r="J325" i="1"/>
  <c r="H325" i="1"/>
  <c r="L324" i="1"/>
  <c r="J324" i="1"/>
  <c r="H324" i="1" s="1"/>
  <c r="L323" i="1"/>
  <c r="J323" i="1"/>
  <c r="H323" i="1" s="1"/>
  <c r="L322" i="1"/>
  <c r="L326" i="1" s="1"/>
  <c r="K322" i="1"/>
  <c r="K326" i="1" s="1"/>
  <c r="J322" i="1"/>
  <c r="J326" i="1" s="1"/>
  <c r="H326" i="1" s="1"/>
  <c r="L319" i="1"/>
  <c r="J319" i="1"/>
  <c r="H319" i="1"/>
  <c r="L318" i="1"/>
  <c r="K318" i="1"/>
  <c r="J318" i="1"/>
  <c r="L317" i="1"/>
  <c r="K317" i="1"/>
  <c r="J317" i="1"/>
  <c r="H317" i="1" s="1"/>
  <c r="L316" i="1"/>
  <c r="K316" i="1"/>
  <c r="K320" i="1" s="1"/>
  <c r="J316" i="1"/>
  <c r="L313" i="1"/>
  <c r="J313" i="1"/>
  <c r="H313" i="1"/>
  <c r="L312" i="1"/>
  <c r="J312" i="1"/>
  <c r="H312" i="1"/>
  <c r="L311" i="1"/>
  <c r="J311" i="1"/>
  <c r="H311" i="1" s="1"/>
  <c r="L310" i="1"/>
  <c r="L314" i="1" s="1"/>
  <c r="K310" i="1"/>
  <c r="K314" i="1" s="1"/>
  <c r="J310" i="1"/>
  <c r="J314" i="1" s="1"/>
  <c r="H314" i="1" s="1"/>
  <c r="L307" i="1"/>
  <c r="K307" i="1"/>
  <c r="J307" i="1"/>
  <c r="H307" i="1" s="1"/>
  <c r="L306" i="1"/>
  <c r="K306" i="1"/>
  <c r="J306" i="1"/>
  <c r="H306" i="1" s="1"/>
  <c r="L305" i="1"/>
  <c r="K305" i="1"/>
  <c r="K308" i="1" s="1"/>
  <c r="J305" i="1"/>
  <c r="J308" i="1" s="1"/>
  <c r="J303" i="1"/>
  <c r="L302" i="1"/>
  <c r="L303" i="1" s="1"/>
  <c r="K302" i="1"/>
  <c r="K303" i="1" s="1"/>
  <c r="J302" i="1"/>
  <c r="K300" i="1"/>
  <c r="L299" i="1"/>
  <c r="L300" i="1" s="1"/>
  <c r="J299" i="1"/>
  <c r="K297" i="1"/>
  <c r="L296" i="1"/>
  <c r="J296" i="1"/>
  <c r="J297" i="1" s="1"/>
  <c r="H297" i="1" s="1"/>
  <c r="L295" i="1"/>
  <c r="L297" i="1" s="1"/>
  <c r="K295" i="1"/>
  <c r="J295" i="1"/>
  <c r="L292" i="1"/>
  <c r="K292" i="1"/>
  <c r="J292" i="1"/>
  <c r="L291" i="1"/>
  <c r="K291" i="1"/>
  <c r="H291" i="1" s="1"/>
  <c r="J291" i="1"/>
  <c r="L290" i="1"/>
  <c r="J290" i="1"/>
  <c r="H290" i="1" s="1"/>
  <c r="L289" i="1"/>
  <c r="K289" i="1"/>
  <c r="J289" i="1"/>
  <c r="L288" i="1"/>
  <c r="K288" i="1"/>
  <c r="J288" i="1"/>
  <c r="H288" i="1" s="1"/>
  <c r="L287" i="1"/>
  <c r="J287" i="1"/>
  <c r="L286" i="1"/>
  <c r="K286" i="1"/>
  <c r="J286" i="1"/>
  <c r="H286" i="1"/>
  <c r="L285" i="1"/>
  <c r="K285" i="1"/>
  <c r="J285" i="1"/>
  <c r="L284" i="1"/>
  <c r="K284" i="1"/>
  <c r="J284" i="1"/>
  <c r="H284" i="1" s="1"/>
  <c r="L283" i="1"/>
  <c r="J283" i="1"/>
  <c r="H283" i="1"/>
  <c r="L282" i="1"/>
  <c r="J282" i="1"/>
  <c r="H282" i="1" s="1"/>
  <c r="L281" i="1"/>
  <c r="J281" i="1"/>
  <c r="H281" i="1" s="1"/>
  <c r="L280" i="1"/>
  <c r="K280" i="1"/>
  <c r="J280" i="1"/>
  <c r="H280" i="1" s="1"/>
  <c r="L279" i="1"/>
  <c r="K279" i="1"/>
  <c r="J279" i="1"/>
  <c r="H279" i="1" s="1"/>
  <c r="L278" i="1"/>
  <c r="K278" i="1"/>
  <c r="J278" i="1"/>
  <c r="K276" i="1"/>
  <c r="J276" i="1"/>
  <c r="H276" i="1" s="1"/>
  <c r="L275" i="1"/>
  <c r="L276" i="1" s="1"/>
  <c r="J275" i="1"/>
  <c r="H275" i="1"/>
  <c r="G272" i="1"/>
  <c r="F272" i="1"/>
  <c r="B272" i="1"/>
  <c r="A272" i="1"/>
  <c r="L272" i="1" s="1"/>
  <c r="L271" i="1"/>
  <c r="J271" i="1"/>
  <c r="L268" i="1"/>
  <c r="J268" i="1"/>
  <c r="H268" i="1" s="1"/>
  <c r="L267" i="1"/>
  <c r="J267" i="1"/>
  <c r="H267" i="1" s="1"/>
  <c r="L266" i="1"/>
  <c r="K266" i="1"/>
  <c r="J266" i="1"/>
  <c r="L265" i="1"/>
  <c r="K265" i="1"/>
  <c r="J265" i="1"/>
  <c r="H265" i="1" s="1"/>
  <c r="L264" i="1"/>
  <c r="K264" i="1"/>
  <c r="J264" i="1"/>
  <c r="H264" i="1" s="1"/>
  <c r="L263" i="1"/>
  <c r="K263" i="1"/>
  <c r="J263" i="1"/>
  <c r="H263" i="1" s="1"/>
  <c r="L262" i="1"/>
  <c r="K262" i="1"/>
  <c r="J262" i="1"/>
  <c r="L261" i="1"/>
  <c r="K261" i="1"/>
  <c r="J261" i="1"/>
  <c r="H261" i="1" s="1"/>
  <c r="L260" i="1"/>
  <c r="K260" i="1"/>
  <c r="K269" i="1" s="1"/>
  <c r="J260" i="1"/>
  <c r="H260" i="1" s="1"/>
  <c r="L259" i="1"/>
  <c r="K259" i="1"/>
  <c r="J259" i="1"/>
  <c r="H259" i="1" s="1"/>
  <c r="L258" i="1"/>
  <c r="L269" i="1" s="1"/>
  <c r="K258" i="1"/>
  <c r="J258" i="1"/>
  <c r="L255" i="1"/>
  <c r="J255" i="1"/>
  <c r="H255" i="1" s="1"/>
  <c r="J254" i="1"/>
  <c r="L253" i="1"/>
  <c r="J253" i="1"/>
  <c r="L252" i="1"/>
  <c r="K252" i="1"/>
  <c r="J252" i="1"/>
  <c r="H252" i="1" s="1"/>
  <c r="L251" i="1"/>
  <c r="K251" i="1"/>
  <c r="J251" i="1"/>
  <c r="L250" i="1"/>
  <c r="K250" i="1"/>
  <c r="H250" i="1" s="1"/>
  <c r="J250" i="1"/>
  <c r="L249" i="1"/>
  <c r="K249" i="1"/>
  <c r="J249" i="1"/>
  <c r="L248" i="1"/>
  <c r="K248" i="1"/>
  <c r="J248" i="1"/>
  <c r="L247" i="1"/>
  <c r="K247" i="1"/>
  <c r="J247" i="1"/>
  <c r="L246" i="1"/>
  <c r="K246" i="1"/>
  <c r="J246" i="1"/>
  <c r="L245" i="1"/>
  <c r="K245" i="1"/>
  <c r="H245" i="1" s="1"/>
  <c r="J245" i="1"/>
  <c r="L244" i="1"/>
  <c r="K244" i="1"/>
  <c r="J244" i="1"/>
  <c r="J256" i="1" s="1"/>
  <c r="L241" i="1"/>
  <c r="J241" i="1"/>
  <c r="H241" i="1" s="1"/>
  <c r="L240" i="1"/>
  <c r="L242" i="1" s="1"/>
  <c r="K240" i="1"/>
  <c r="K242" i="1" s="1"/>
  <c r="J240" i="1"/>
  <c r="L237" i="1"/>
  <c r="K237" i="1"/>
  <c r="J237" i="1"/>
  <c r="H237" i="1"/>
  <c r="L236" i="1"/>
  <c r="J236" i="1"/>
  <c r="H236" i="1" s="1"/>
  <c r="L235" i="1"/>
  <c r="K235" i="1"/>
  <c r="H235" i="1" s="1"/>
  <c r="J235" i="1"/>
  <c r="L234" i="1"/>
  <c r="J234" i="1"/>
  <c r="H234" i="1" s="1"/>
  <c r="L233" i="1"/>
  <c r="K233" i="1"/>
  <c r="J233" i="1"/>
  <c r="L232" i="1"/>
  <c r="K232" i="1"/>
  <c r="J232" i="1"/>
  <c r="L231" i="1"/>
  <c r="K231" i="1"/>
  <c r="J231" i="1"/>
  <c r="H231" i="1" s="1"/>
  <c r="L230" i="1"/>
  <c r="K230" i="1"/>
  <c r="J230" i="1"/>
  <c r="H230" i="1" s="1"/>
  <c r="L229" i="1"/>
  <c r="K229" i="1"/>
  <c r="J229" i="1"/>
  <c r="L228" i="1"/>
  <c r="K228" i="1"/>
  <c r="J228" i="1"/>
  <c r="L227" i="1"/>
  <c r="K227" i="1"/>
  <c r="J227" i="1"/>
  <c r="L226" i="1"/>
  <c r="K226" i="1"/>
  <c r="J226" i="1"/>
  <c r="H226" i="1" s="1"/>
  <c r="L225" i="1"/>
  <c r="K225" i="1"/>
  <c r="J225" i="1"/>
  <c r="H225" i="1"/>
  <c r="L222" i="1"/>
  <c r="L223" i="1" s="1"/>
  <c r="K222" i="1"/>
  <c r="K223" i="1" s="1"/>
  <c r="J222" i="1"/>
  <c r="J223" i="1" s="1"/>
  <c r="K220" i="1"/>
  <c r="J220" i="1"/>
  <c r="L219" i="1"/>
  <c r="L220" i="1" s="1"/>
  <c r="J219" i="1"/>
  <c r="K217" i="1"/>
  <c r="L216" i="1"/>
  <c r="L217" i="1" s="1"/>
  <c r="J216" i="1"/>
  <c r="H216" i="1" s="1"/>
  <c r="L214" i="1"/>
  <c r="L213" i="1"/>
  <c r="K213" i="1"/>
  <c r="K214" i="1" s="1"/>
  <c r="J213" i="1"/>
  <c r="J214" i="1" s="1"/>
  <c r="L210" i="1"/>
  <c r="K210" i="1"/>
  <c r="K211" i="1" s="1"/>
  <c r="J210" i="1"/>
  <c r="L209" i="1"/>
  <c r="J209" i="1"/>
  <c r="H209" i="1" s="1"/>
  <c r="L208" i="1"/>
  <c r="J208" i="1"/>
  <c r="H208" i="1" s="1"/>
  <c r="L207" i="1"/>
  <c r="J207" i="1"/>
  <c r="H207" i="1"/>
  <c r="K205" i="1"/>
  <c r="L204" i="1"/>
  <c r="J204" i="1"/>
  <c r="H204" i="1"/>
  <c r="L203" i="1"/>
  <c r="L205" i="1" s="1"/>
  <c r="J203" i="1"/>
  <c r="K201" i="1"/>
  <c r="L200" i="1"/>
  <c r="L201" i="1" s="1"/>
  <c r="J200" i="1"/>
  <c r="K198" i="1"/>
  <c r="L197" i="1"/>
  <c r="J197" i="1"/>
  <c r="H197" i="1" s="1"/>
  <c r="L196" i="1"/>
  <c r="J196" i="1"/>
  <c r="H196" i="1" s="1"/>
  <c r="L195" i="1"/>
  <c r="J195" i="1"/>
  <c r="H195" i="1" s="1"/>
  <c r="L194" i="1"/>
  <c r="J194" i="1"/>
  <c r="H194" i="1" s="1"/>
  <c r="L193" i="1"/>
  <c r="J193" i="1"/>
  <c r="H193" i="1" s="1"/>
  <c r="L192" i="1"/>
  <c r="J192" i="1"/>
  <c r="H192" i="1" s="1"/>
  <c r="K190" i="1"/>
  <c r="J190" i="1"/>
  <c r="H190" i="1" s="1"/>
  <c r="L189" i="1"/>
  <c r="L190" i="1" s="1"/>
  <c r="J189" i="1"/>
  <c r="H189" i="1"/>
  <c r="L186" i="1"/>
  <c r="J186" i="1"/>
  <c r="H186" i="1" s="1"/>
  <c r="L185" i="1"/>
  <c r="K185" i="1"/>
  <c r="H185" i="1" s="1"/>
  <c r="J185" i="1"/>
  <c r="L184" i="1"/>
  <c r="L187" i="1" s="1"/>
  <c r="J184" i="1"/>
  <c r="L181" i="1"/>
  <c r="K181" i="1"/>
  <c r="J181" i="1"/>
  <c r="L180" i="1"/>
  <c r="K180" i="1"/>
  <c r="J180" i="1"/>
  <c r="H180" i="1" s="1"/>
  <c r="L179" i="1"/>
  <c r="K179" i="1"/>
  <c r="J179" i="1"/>
  <c r="H179" i="1" s="1"/>
  <c r="L178" i="1"/>
  <c r="K178" i="1"/>
  <c r="K182" i="1" s="1"/>
  <c r="J178" i="1"/>
  <c r="L177" i="1"/>
  <c r="J177" i="1"/>
  <c r="H177" i="1" s="1"/>
  <c r="L176" i="1"/>
  <c r="K176" i="1"/>
  <c r="J176" i="1"/>
  <c r="K174" i="1"/>
  <c r="L173" i="1"/>
  <c r="L174" i="1" s="1"/>
  <c r="K173" i="1"/>
  <c r="J173" i="1"/>
  <c r="J174" i="1" s="1"/>
  <c r="L171" i="1"/>
  <c r="K171" i="1"/>
  <c r="L170" i="1"/>
  <c r="L169" i="1"/>
  <c r="J169" i="1"/>
  <c r="J171" i="1" s="1"/>
  <c r="L166" i="1"/>
  <c r="J166" i="1"/>
  <c r="H166" i="1" s="1"/>
  <c r="L165" i="1"/>
  <c r="K165" i="1"/>
  <c r="K167" i="1" s="1"/>
  <c r="J165" i="1"/>
  <c r="J167" i="1" s="1"/>
  <c r="H167" i="1" s="1"/>
  <c r="L164" i="1"/>
  <c r="L167" i="1" s="1"/>
  <c r="J164" i="1"/>
  <c r="H164" i="1" s="1"/>
  <c r="L161" i="1"/>
  <c r="L162" i="1" s="1"/>
  <c r="K161" i="1"/>
  <c r="K162" i="1" s="1"/>
  <c r="J161" i="1"/>
  <c r="J162" i="1" s="1"/>
  <c r="J159" i="1"/>
  <c r="L158" i="1"/>
  <c r="L159" i="1" s="1"/>
  <c r="K158" i="1"/>
  <c r="K159" i="1" s="1"/>
  <c r="J158" i="1"/>
  <c r="K156" i="1"/>
  <c r="J155" i="1"/>
  <c r="L154" i="1"/>
  <c r="J154" i="1"/>
  <c r="H154" i="1" s="1"/>
  <c r="L153" i="1"/>
  <c r="L156" i="1" s="1"/>
  <c r="J153" i="1"/>
  <c r="H153" i="1" s="1"/>
  <c r="K151" i="1"/>
  <c r="L150" i="1"/>
  <c r="L151" i="1" s="1"/>
  <c r="J150" i="1"/>
  <c r="J151" i="1" s="1"/>
  <c r="L147" i="1"/>
  <c r="K147" i="1"/>
  <c r="J147" i="1"/>
  <c r="L146" i="1"/>
  <c r="K146" i="1"/>
  <c r="J146" i="1"/>
  <c r="L145" i="1"/>
  <c r="K145" i="1"/>
  <c r="J145" i="1"/>
  <c r="H145" i="1" s="1"/>
  <c r="L144" i="1"/>
  <c r="K144" i="1"/>
  <c r="H144" i="1" s="1"/>
  <c r="J144" i="1"/>
  <c r="L143" i="1"/>
  <c r="K143" i="1"/>
  <c r="H143" i="1" s="1"/>
  <c r="J143" i="1"/>
  <c r="L140" i="1"/>
  <c r="K140" i="1"/>
  <c r="J140" i="1"/>
  <c r="L139" i="1"/>
  <c r="K139" i="1"/>
  <c r="J139" i="1"/>
  <c r="L138" i="1"/>
  <c r="K138" i="1"/>
  <c r="J138" i="1"/>
  <c r="L137" i="1"/>
  <c r="K137" i="1"/>
  <c r="J137" i="1"/>
  <c r="L136" i="1"/>
  <c r="J136" i="1"/>
  <c r="H136" i="1"/>
  <c r="L135" i="1"/>
  <c r="K135" i="1"/>
  <c r="J135" i="1"/>
  <c r="L134" i="1"/>
  <c r="L141" i="1" s="1"/>
  <c r="K134" i="1"/>
  <c r="J134" i="1"/>
  <c r="L133" i="1"/>
  <c r="J133" i="1"/>
  <c r="K127" i="1"/>
  <c r="J127" i="1"/>
  <c r="H127" i="1"/>
  <c r="L126" i="1"/>
  <c r="L127" i="1" s="1"/>
  <c r="J126" i="1"/>
  <c r="H126" i="1" s="1"/>
  <c r="L123" i="1"/>
  <c r="J123" i="1"/>
  <c r="H123" i="1" s="1"/>
  <c r="L122" i="1"/>
  <c r="J122" i="1"/>
  <c r="H122" i="1" s="1"/>
  <c r="L121" i="1"/>
  <c r="J121" i="1"/>
  <c r="H121" i="1" s="1"/>
  <c r="L120" i="1"/>
  <c r="J120" i="1"/>
  <c r="H120" i="1"/>
  <c r="L119" i="1"/>
  <c r="J119" i="1"/>
  <c r="H119" i="1" s="1"/>
  <c r="L118" i="1"/>
  <c r="K118" i="1"/>
  <c r="J118" i="1"/>
  <c r="H118" i="1" s="1"/>
  <c r="L117" i="1"/>
  <c r="J117" i="1"/>
  <c r="H117" i="1" s="1"/>
  <c r="L116" i="1"/>
  <c r="K116" i="1"/>
  <c r="J116" i="1"/>
  <c r="H116" i="1"/>
  <c r="L115" i="1"/>
  <c r="J115" i="1"/>
  <c r="H115" i="1" s="1"/>
  <c r="L114" i="1"/>
  <c r="J114" i="1"/>
  <c r="H114" i="1" s="1"/>
  <c r="L113" i="1"/>
  <c r="J113" i="1"/>
  <c r="H113" i="1" s="1"/>
  <c r="L112" i="1"/>
  <c r="J112" i="1"/>
  <c r="H112" i="1" s="1"/>
  <c r="L111" i="1"/>
  <c r="J111" i="1"/>
  <c r="H111" i="1"/>
  <c r="L110" i="1"/>
  <c r="J110" i="1"/>
  <c r="H110" i="1" s="1"/>
  <c r="L109" i="1"/>
  <c r="J109" i="1"/>
  <c r="H109" i="1" s="1"/>
  <c r="L108" i="1"/>
  <c r="J108" i="1"/>
  <c r="H108" i="1"/>
  <c r="L107" i="1"/>
  <c r="J107" i="1"/>
  <c r="H107" i="1" s="1"/>
  <c r="L106" i="1"/>
  <c r="J106" i="1"/>
  <c r="L105" i="1"/>
  <c r="J105" i="1"/>
  <c r="H105" i="1" s="1"/>
  <c r="L104" i="1"/>
  <c r="J104" i="1"/>
  <c r="H104" i="1"/>
  <c r="L103" i="1"/>
  <c r="J103" i="1"/>
  <c r="H103" i="1"/>
  <c r="L102" i="1"/>
  <c r="J102" i="1"/>
  <c r="H102" i="1" s="1"/>
  <c r="L101" i="1"/>
  <c r="J101" i="1"/>
  <c r="H101" i="1" s="1"/>
  <c r="J100" i="1"/>
  <c r="L99" i="1"/>
  <c r="J99" i="1"/>
  <c r="H99" i="1" s="1"/>
  <c r="L98" i="1"/>
  <c r="J98" i="1"/>
  <c r="H98" i="1"/>
  <c r="L97" i="1"/>
  <c r="J97" i="1"/>
  <c r="H97" i="1" s="1"/>
  <c r="L96" i="1"/>
  <c r="J96" i="1"/>
  <c r="H96" i="1" s="1"/>
  <c r="L95" i="1"/>
  <c r="J95" i="1"/>
  <c r="H95" i="1" s="1"/>
  <c r="L94" i="1"/>
  <c r="J94" i="1"/>
  <c r="H94" i="1" s="1"/>
  <c r="L93" i="1"/>
  <c r="J93" i="1"/>
  <c r="H93" i="1" s="1"/>
  <c r="L92" i="1"/>
  <c r="J92" i="1"/>
  <c r="H92" i="1" s="1"/>
  <c r="J91" i="1"/>
  <c r="L90" i="1"/>
  <c r="K90" i="1"/>
  <c r="J90" i="1"/>
  <c r="L89" i="1"/>
  <c r="J89" i="1"/>
  <c r="L88" i="1"/>
  <c r="K88" i="1"/>
  <c r="J88" i="1"/>
  <c r="H88" i="1" s="1"/>
  <c r="L87" i="1"/>
  <c r="K87" i="1"/>
  <c r="J87" i="1"/>
  <c r="H87" i="1" s="1"/>
  <c r="L86" i="1"/>
  <c r="J86" i="1"/>
  <c r="H86" i="1" s="1"/>
  <c r="L85" i="1"/>
  <c r="J85" i="1"/>
  <c r="H85" i="1" s="1"/>
  <c r="K83" i="1"/>
  <c r="L82" i="1"/>
  <c r="L83" i="1" s="1"/>
  <c r="J82" i="1"/>
  <c r="J83" i="1" s="1"/>
  <c r="L79" i="1"/>
  <c r="J79" i="1"/>
  <c r="H79" i="1" s="1"/>
  <c r="L78" i="1"/>
  <c r="J78" i="1"/>
  <c r="H78" i="1"/>
  <c r="L77" i="1"/>
  <c r="J77" i="1"/>
  <c r="H77" i="1"/>
  <c r="L76" i="1"/>
  <c r="K76" i="1"/>
  <c r="K80" i="1" s="1"/>
  <c r="J76" i="1"/>
  <c r="L75" i="1"/>
  <c r="K75" i="1"/>
  <c r="H75" i="1" s="1"/>
  <c r="J75" i="1"/>
  <c r="L74" i="1"/>
  <c r="J74" i="1"/>
  <c r="H74" i="1" s="1"/>
  <c r="L73" i="1"/>
  <c r="J73" i="1"/>
  <c r="H73" i="1" s="1"/>
  <c r="L72" i="1"/>
  <c r="J72" i="1"/>
  <c r="H72" i="1" s="1"/>
  <c r="L71" i="1"/>
  <c r="J71" i="1"/>
  <c r="H71" i="1"/>
  <c r="L70" i="1"/>
  <c r="J70" i="1"/>
  <c r="H70" i="1" s="1"/>
  <c r="L69" i="1"/>
  <c r="J69" i="1"/>
  <c r="H69" i="1" s="1"/>
  <c r="L68" i="1"/>
  <c r="J68" i="1"/>
  <c r="H68" i="1" s="1"/>
  <c r="L67" i="1"/>
  <c r="J67" i="1"/>
  <c r="L66" i="1"/>
  <c r="J66" i="1"/>
  <c r="H66" i="1" s="1"/>
  <c r="L65" i="1"/>
  <c r="J65" i="1"/>
  <c r="H65" i="1" s="1"/>
  <c r="L64" i="1"/>
  <c r="J64" i="1"/>
  <c r="H64" i="1" s="1"/>
  <c r="L63" i="1"/>
  <c r="J63" i="1"/>
  <c r="H63" i="1" s="1"/>
  <c r="L62" i="1"/>
  <c r="J62" i="1"/>
  <c r="H62" i="1"/>
  <c r="L61" i="1"/>
  <c r="J61" i="1"/>
  <c r="H61" i="1" s="1"/>
  <c r="L60" i="1"/>
  <c r="J60" i="1"/>
  <c r="H60" i="1" s="1"/>
  <c r="L59" i="1"/>
  <c r="J59" i="1"/>
  <c r="H59" i="1" s="1"/>
  <c r="L58" i="1"/>
  <c r="J58" i="1"/>
  <c r="H58" i="1"/>
  <c r="L57" i="1"/>
  <c r="J57" i="1"/>
  <c r="H57" i="1" s="1"/>
  <c r="L56" i="1"/>
  <c r="J56" i="1"/>
  <c r="L55" i="1"/>
  <c r="K55" i="1"/>
  <c r="J55" i="1"/>
  <c r="H55" i="1" s="1"/>
  <c r="L54" i="1"/>
  <c r="J54" i="1"/>
  <c r="H54" i="1" s="1"/>
  <c r="L53" i="1"/>
  <c r="K53" i="1"/>
  <c r="J53" i="1"/>
  <c r="L52" i="1"/>
  <c r="K52" i="1"/>
  <c r="J52" i="1"/>
  <c r="L51" i="1"/>
  <c r="J51" i="1"/>
  <c r="H51" i="1"/>
  <c r="L50" i="1"/>
  <c r="J50" i="1"/>
  <c r="H50" i="1"/>
  <c r="L48" i="1"/>
  <c r="K48" i="1"/>
  <c r="L47" i="1"/>
  <c r="J47" i="1"/>
  <c r="H47" i="1" s="1"/>
  <c r="L44" i="1"/>
  <c r="K44" i="1"/>
  <c r="J44" i="1"/>
  <c r="L43" i="1"/>
  <c r="K43" i="1"/>
  <c r="J43" i="1"/>
  <c r="H43" i="1" s="1"/>
  <c r="L42" i="1"/>
  <c r="K42" i="1"/>
  <c r="J42" i="1"/>
  <c r="H42" i="1" s="1"/>
  <c r="L41" i="1"/>
  <c r="J41" i="1"/>
  <c r="H41" i="1" s="1"/>
  <c r="L40" i="1"/>
  <c r="J40" i="1"/>
  <c r="H40" i="1" s="1"/>
  <c r="L39" i="1"/>
  <c r="J39" i="1"/>
  <c r="H39" i="1"/>
  <c r="L38" i="1"/>
  <c r="K38" i="1"/>
  <c r="J38" i="1"/>
  <c r="L37" i="1"/>
  <c r="J37" i="1"/>
  <c r="H37" i="1" s="1"/>
  <c r="L36" i="1"/>
  <c r="J36" i="1"/>
  <c r="H36" i="1"/>
  <c r="L35" i="1"/>
  <c r="J35" i="1"/>
  <c r="H35" i="1"/>
  <c r="L34" i="1"/>
  <c r="J34" i="1"/>
  <c r="H34" i="1" s="1"/>
  <c r="L33" i="1"/>
  <c r="J33" i="1"/>
  <c r="L32" i="1"/>
  <c r="J32" i="1"/>
  <c r="H32" i="1" s="1"/>
  <c r="L31" i="1"/>
  <c r="J31" i="1"/>
  <c r="H31" i="1" s="1"/>
  <c r="L30" i="1"/>
  <c r="K30" i="1"/>
  <c r="H30" i="1" s="1"/>
  <c r="J30" i="1"/>
  <c r="L29" i="1"/>
  <c r="K29" i="1"/>
  <c r="J29" i="1"/>
  <c r="H29" i="1" s="1"/>
  <c r="L28" i="1"/>
  <c r="K28" i="1"/>
  <c r="J28" i="1"/>
  <c r="L27" i="1"/>
  <c r="K27" i="1"/>
  <c r="H27" i="1" s="1"/>
  <c r="J27" i="1"/>
  <c r="L26" i="1"/>
  <c r="J26" i="1"/>
  <c r="L25" i="1"/>
  <c r="J25" i="1"/>
  <c r="H25" i="1"/>
  <c r="L24" i="1"/>
  <c r="J24" i="1"/>
  <c r="H24" i="1"/>
  <c r="L23" i="1"/>
  <c r="K23" i="1"/>
  <c r="H23" i="1" s="1"/>
  <c r="J23" i="1"/>
  <c r="L22" i="1"/>
  <c r="J22" i="1"/>
  <c r="H22" i="1" s="1"/>
  <c r="L21" i="1"/>
  <c r="K21" i="1"/>
  <c r="J21" i="1"/>
  <c r="L20" i="1"/>
  <c r="K20" i="1"/>
  <c r="J20" i="1"/>
  <c r="H20" i="1" s="1"/>
  <c r="L19" i="1"/>
  <c r="K19" i="1"/>
  <c r="J19" i="1"/>
  <c r="L18" i="1"/>
  <c r="K18" i="1"/>
  <c r="J18" i="1"/>
  <c r="H18" i="1" s="1"/>
  <c r="L17" i="1"/>
  <c r="K17" i="1"/>
  <c r="J17" i="1"/>
  <c r="H17" i="1" s="1"/>
  <c r="L16" i="1"/>
  <c r="J16" i="1"/>
  <c r="L15" i="1"/>
  <c r="K15" i="1"/>
  <c r="J15" i="1"/>
  <c r="H15" i="1" s="1"/>
  <c r="L14" i="1"/>
  <c r="J14" i="1"/>
  <c r="H14" i="1"/>
  <c r="L13" i="1"/>
  <c r="K13" i="1"/>
  <c r="J13" i="1"/>
  <c r="H13" i="1" s="1"/>
  <c r="L12" i="1"/>
  <c r="K12" i="1"/>
  <c r="J12" i="1"/>
  <c r="H12" i="1"/>
  <c r="L11" i="1"/>
  <c r="J11" i="1"/>
  <c r="H11" i="1" s="1"/>
  <c r="L10" i="1"/>
  <c r="K10" i="1"/>
  <c r="J10" i="1"/>
  <c r="L9" i="1"/>
  <c r="K9" i="1"/>
  <c r="J9" i="1"/>
  <c r="L8" i="1"/>
  <c r="J8" i="1"/>
  <c r="H8" i="1" s="1"/>
  <c r="L7" i="1"/>
  <c r="J7" i="1"/>
  <c r="H7" i="1" s="1"/>
  <c r="H10" i="1" l="1"/>
  <c r="H296" i="1"/>
  <c r="H379" i="1"/>
  <c r="J494" i="1"/>
  <c r="H602" i="1"/>
  <c r="H53" i="1"/>
  <c r="L148" i="1"/>
  <c r="L308" i="1"/>
  <c r="J417" i="1"/>
  <c r="H417" i="1" s="1"/>
  <c r="K417" i="1"/>
  <c r="J80" i="1"/>
  <c r="H80" i="1" s="1"/>
  <c r="H52" i="1"/>
  <c r="H19" i="1"/>
  <c r="K124" i="1"/>
  <c r="H150" i="1"/>
  <c r="J242" i="1"/>
  <c r="H246" i="1"/>
  <c r="H278" i="1"/>
  <c r="L293" i="1"/>
  <c r="K463" i="1"/>
  <c r="H356" i="1"/>
  <c r="J377" i="1"/>
  <c r="L417" i="1"/>
  <c r="J300" i="1"/>
  <c r="H300" i="1" s="1"/>
  <c r="H299" i="1"/>
  <c r="K356" i="1"/>
  <c r="J1499" i="1"/>
  <c r="H1464" i="1"/>
  <c r="H200" i="1"/>
  <c r="J201" i="1"/>
  <c r="J124" i="1"/>
  <c r="J182" i="1"/>
  <c r="H182" i="1" s="1"/>
  <c r="H292" i="1"/>
  <c r="L80" i="1"/>
  <c r="J478" i="1"/>
  <c r="H28" i="1"/>
  <c r="J45" i="1"/>
  <c r="H9" i="1"/>
  <c r="H135" i="1"/>
  <c r="J320" i="1"/>
  <c r="H320" i="1" s="1"/>
  <c r="H316" i="1"/>
  <c r="J348" i="1"/>
  <c r="H406" i="1"/>
  <c r="J432" i="1"/>
  <c r="H432" i="1" s="1"/>
  <c r="H925" i="1"/>
  <c r="K348" i="1"/>
  <c r="H348" i="1" s="1"/>
  <c r="H76" i="1"/>
  <c r="H83" i="1"/>
  <c r="H178" i="1"/>
  <c r="J187" i="1"/>
  <c r="H232" i="1"/>
  <c r="H285" i="1"/>
  <c r="L320" i="1"/>
  <c r="H346" i="1"/>
  <c r="K368" i="1"/>
  <c r="H474" i="1"/>
  <c r="H480" i="1"/>
  <c r="K478" i="1"/>
  <c r="L509" i="1"/>
  <c r="L537" i="1"/>
  <c r="H535" i="1"/>
  <c r="L599" i="1"/>
  <c r="J616" i="1"/>
  <c r="H697" i="1"/>
  <c r="L782" i="1"/>
  <c r="L875" i="1"/>
  <c r="K911" i="1"/>
  <c r="H911" i="1" s="1"/>
  <c r="H891" i="1"/>
  <c r="J933" i="1"/>
  <c r="H917" i="1"/>
  <c r="H969" i="1"/>
  <c r="H973" i="1"/>
  <c r="H1032" i="1"/>
  <c r="H1046" i="1"/>
  <c r="K1117" i="1"/>
  <c r="H1124" i="1"/>
  <c r="H1132" i="1"/>
  <c r="H1143" i="1"/>
  <c r="H1156" i="1"/>
  <c r="L1214" i="1"/>
  <c r="H1253" i="1"/>
  <c r="H1336" i="1"/>
  <c r="H1346" i="1"/>
  <c r="H1350" i="1"/>
  <c r="H1359" i="1"/>
  <c r="K2229" i="1"/>
  <c r="H146" i="1"/>
  <c r="H248" i="1"/>
  <c r="K293" i="1"/>
  <c r="L447" i="1"/>
  <c r="L793" i="1"/>
  <c r="K933" i="1"/>
  <c r="H933" i="1" s="1"/>
  <c r="K1007" i="1"/>
  <c r="K1096" i="1"/>
  <c r="L1545" i="1"/>
  <c r="H140" i="1"/>
  <c r="L368" i="1"/>
  <c r="H390" i="1"/>
  <c r="H469" i="1"/>
  <c r="J670" i="1"/>
  <c r="H44" i="1"/>
  <c r="L182" i="1"/>
  <c r="H181" i="1"/>
  <c r="K238" i="1"/>
  <c r="H229" i="1"/>
  <c r="H233" i="1"/>
  <c r="L256" i="1"/>
  <c r="H302" i="1"/>
  <c r="H347" i="1"/>
  <c r="H359" i="1"/>
  <c r="H372" i="1"/>
  <c r="L387" i="1"/>
  <c r="L432" i="1"/>
  <c r="H456" i="1"/>
  <c r="H487" i="1"/>
  <c r="H584" i="1"/>
  <c r="K626" i="1"/>
  <c r="K662" i="1"/>
  <c r="H662" i="1" s="1"/>
  <c r="J698" i="1"/>
  <c r="J726" i="1"/>
  <c r="K743" i="1"/>
  <c r="J808" i="1"/>
  <c r="H808" i="1" s="1"/>
  <c r="H903" i="1"/>
  <c r="L933" i="1"/>
  <c r="H953" i="1"/>
  <c r="H962" i="1"/>
  <c r="H994" i="1"/>
  <c r="K1029" i="1"/>
  <c r="H1029" i="1" s="1"/>
  <c r="H1189" i="1"/>
  <c r="K1214" i="1"/>
  <c r="L1230" i="1"/>
  <c r="K1305" i="1"/>
  <c r="H1355" i="1"/>
  <c r="J1548" i="1"/>
  <c r="J1936" i="1"/>
  <c r="J238" i="1"/>
  <c r="K256" i="1"/>
  <c r="H256" i="1" s="1"/>
  <c r="J148" i="1"/>
  <c r="J205" i="1"/>
  <c r="H205" i="1" s="1"/>
  <c r="L211" i="1"/>
  <c r="L238" i="1"/>
  <c r="H249" i="1"/>
  <c r="H289" i="1"/>
  <c r="H310" i="1"/>
  <c r="J368" i="1"/>
  <c r="H368" i="1" s="1"/>
  <c r="L377" i="1"/>
  <c r="H384" i="1"/>
  <c r="H453" i="1"/>
  <c r="H522" i="1"/>
  <c r="H532" i="1"/>
  <c r="L562" i="1"/>
  <c r="J585" i="1"/>
  <c r="H585" i="1" s="1"/>
  <c r="J608" i="1"/>
  <c r="H608" i="1" s="1"/>
  <c r="L626" i="1"/>
  <c r="H648" i="1"/>
  <c r="L662" i="1"/>
  <c r="H722" i="1"/>
  <c r="H733" i="1"/>
  <c r="K782" i="1"/>
  <c r="H790" i="1"/>
  <c r="J858" i="1"/>
  <c r="H858" i="1" s="1"/>
  <c r="L983" i="1"/>
  <c r="H974" i="1"/>
  <c r="J1033" i="1"/>
  <c r="H1033" i="1" s="1"/>
  <c r="H1047" i="1"/>
  <c r="H1058" i="1"/>
  <c r="K1135" i="1"/>
  <c r="H1149" i="1"/>
  <c r="H1185" i="1"/>
  <c r="H1217" i="1"/>
  <c r="K1425" i="1"/>
  <c r="H1400" i="1"/>
  <c r="K1545" i="1"/>
  <c r="H430" i="1"/>
  <c r="H443" i="1"/>
  <c r="H449" i="1"/>
  <c r="H457" i="1"/>
  <c r="H461" i="1"/>
  <c r="H484" i="1"/>
  <c r="H488" i="1"/>
  <c r="H596" i="1"/>
  <c r="H661" i="1"/>
  <c r="H667" i="1"/>
  <c r="K680" i="1"/>
  <c r="H677" i="1"/>
  <c r="L698" i="1"/>
  <c r="L726" i="1"/>
  <c r="H737" i="1"/>
  <c r="L774" i="1"/>
  <c r="H759" i="1"/>
  <c r="H778" i="1"/>
  <c r="K800" i="1"/>
  <c r="L808" i="1"/>
  <c r="L911" i="1"/>
  <c r="H896" i="1"/>
  <c r="H904" i="1"/>
  <c r="H919" i="1"/>
  <c r="H927" i="1"/>
  <c r="H942" i="1"/>
  <c r="H946" i="1"/>
  <c r="H991" i="1"/>
  <c r="H1010" i="1"/>
  <c r="H1015" i="1"/>
  <c r="H1300" i="1"/>
  <c r="J1305" i="1"/>
  <c r="J1602" i="1"/>
  <c r="K2411" i="1"/>
  <c r="H2362" i="1"/>
  <c r="H511" i="1"/>
  <c r="L680" i="1"/>
  <c r="H687" i="1"/>
  <c r="L716" i="1"/>
  <c r="H713" i="1"/>
  <c r="J748" i="1"/>
  <c r="H763" i="1"/>
  <c r="J782" i="1"/>
  <c r="L800" i="1"/>
  <c r="H915" i="1"/>
  <c r="J1076" i="1"/>
  <c r="H1040" i="1"/>
  <c r="H1044" i="1"/>
  <c r="H1063" i="1"/>
  <c r="H1067" i="1"/>
  <c r="H1071" i="1"/>
  <c r="J1117" i="1"/>
  <c r="H1117" i="1" s="1"/>
  <c r="H1126" i="1"/>
  <c r="L1181" i="1"/>
  <c r="H1172" i="1"/>
  <c r="H1207" i="1"/>
  <c r="H1221" i="1"/>
  <c r="H1225" i="1"/>
  <c r="K1243" i="1"/>
  <c r="H1274" i="1"/>
  <c r="L1366" i="1"/>
  <c r="J574" i="1"/>
  <c r="H574" i="1" s="1"/>
  <c r="H633" i="1"/>
  <c r="J680" i="1"/>
  <c r="J787" i="1"/>
  <c r="L1076" i="1"/>
  <c r="K1277" i="1"/>
  <c r="H341" i="1"/>
  <c r="H355" i="1"/>
  <c r="H458" i="1"/>
  <c r="L524" i="1"/>
  <c r="H533" i="1"/>
  <c r="K549" i="1"/>
  <c r="J588" i="1"/>
  <c r="H678" i="1"/>
  <c r="K716" i="1"/>
  <c r="H716" i="1" s="1"/>
  <c r="H740" i="1"/>
  <c r="L748" i="1"/>
  <c r="H760" i="1"/>
  <c r="L843" i="1"/>
  <c r="L848" i="1"/>
  <c r="J875" i="1"/>
  <c r="H897" i="1"/>
  <c r="H901" i="1"/>
  <c r="H920" i="1"/>
  <c r="H943" i="1"/>
  <c r="H947" i="1"/>
  <c r="H955" i="1"/>
  <c r="H992" i="1"/>
  <c r="H996" i="1"/>
  <c r="H1028" i="1"/>
  <c r="J1090" i="1"/>
  <c r="H1116" i="1"/>
  <c r="J1162" i="1"/>
  <c r="H1159" i="1"/>
  <c r="H1173" i="1"/>
  <c r="H1198" i="1"/>
  <c r="H1204" i="1"/>
  <c r="H1218" i="1"/>
  <c r="H1236" i="1"/>
  <c r="H1240" i="1"/>
  <c r="K1259" i="1"/>
  <c r="H1315" i="1"/>
  <c r="H1319" i="1"/>
  <c r="K1568" i="1"/>
  <c r="H634" i="1"/>
  <c r="J774" i="1"/>
  <c r="K875" i="1"/>
  <c r="K1076" i="1"/>
  <c r="J1292" i="1"/>
  <c r="H1292" i="1" s="1"/>
  <c r="K1380" i="1"/>
  <c r="J1655" i="1"/>
  <c r="H1655" i="1" s="1"/>
  <c r="L1674" i="1"/>
  <c r="J1975" i="1"/>
  <c r="L348" i="1"/>
  <c r="K377" i="1"/>
  <c r="K447" i="1"/>
  <c r="H503" i="1"/>
  <c r="K524" i="1"/>
  <c r="H520" i="1"/>
  <c r="J654" i="1"/>
  <c r="H654" i="1" s="1"/>
  <c r="K698" i="1"/>
  <c r="H692" i="1"/>
  <c r="K726" i="1"/>
  <c r="K738" i="1"/>
  <c r="H738" i="1" s="1"/>
  <c r="K748" i="1"/>
  <c r="J843" i="1"/>
  <c r="H843" i="1" s="1"/>
  <c r="H890" i="1"/>
  <c r="H916" i="1"/>
  <c r="H952" i="1"/>
  <c r="K958" i="1"/>
  <c r="H958" i="1" s="1"/>
  <c r="H972" i="1"/>
  <c r="H976" i="1"/>
  <c r="H985" i="1"/>
  <c r="H1025" i="1"/>
  <c r="H1056" i="1"/>
  <c r="J1096" i="1"/>
  <c r="H1106" i="1"/>
  <c r="J1135" i="1"/>
  <c r="H1191" i="1"/>
  <c r="H1219" i="1"/>
  <c r="H1252" i="1"/>
  <c r="H1256" i="1"/>
  <c r="J1341" i="1"/>
  <c r="H1349" i="1"/>
  <c r="L1380" i="1"/>
  <c r="H1383" i="1"/>
  <c r="K1504" i="1"/>
  <c r="H1504" i="1" s="1"/>
  <c r="H21" i="1"/>
  <c r="H38" i="1"/>
  <c r="L124" i="1"/>
  <c r="L198" i="1"/>
  <c r="J211" i="1"/>
  <c r="H211" i="1" s="1"/>
  <c r="H247" i="1"/>
  <c r="H251" i="1"/>
  <c r="J269" i="1"/>
  <c r="H269" i="1" s="1"/>
  <c r="H262" i="1"/>
  <c r="H266" i="1"/>
  <c r="H318" i="1"/>
  <c r="H338" i="1"/>
  <c r="L356" i="1"/>
  <c r="H365" i="1"/>
  <c r="H386" i="1"/>
  <c r="H408" i="1"/>
  <c r="H412" i="1"/>
  <c r="H451" i="1"/>
  <c r="J509" i="1"/>
  <c r="H530" i="1"/>
  <c r="H534" i="1"/>
  <c r="H590" i="1"/>
  <c r="H594" i="1"/>
  <c r="H657" i="1"/>
  <c r="H665" i="1"/>
  <c r="L738" i="1"/>
  <c r="H767" i="1"/>
  <c r="J800" i="1"/>
  <c r="L865" i="1"/>
  <c r="H872" i="1"/>
  <c r="H886" i="1"/>
  <c r="H921" i="1"/>
  <c r="L959" i="1"/>
  <c r="L3749" i="1" s="1"/>
  <c r="H944" i="1"/>
  <c r="H1001" i="1"/>
  <c r="L1029" i="1"/>
  <c r="H1049" i="1"/>
  <c r="L1117" i="1"/>
  <c r="L1135" i="1"/>
  <c r="H1174" i="1"/>
  <c r="H1369" i="1"/>
  <c r="H1898" i="1"/>
  <c r="K1899" i="1"/>
  <c r="H1372" i="1"/>
  <c r="H1382" i="1"/>
  <c r="H1386" i="1"/>
  <c r="H1390" i="1"/>
  <c r="H1394" i="1"/>
  <c r="H1437" i="1"/>
  <c r="H1489" i="1"/>
  <c r="H1510" i="1"/>
  <c r="H1525" i="1"/>
  <c r="H1540" i="1"/>
  <c r="H1552" i="1"/>
  <c r="H1557" i="1"/>
  <c r="H1565" i="1"/>
  <c r="K1602" i="1"/>
  <c r="H1584" i="1"/>
  <c r="H1588" i="1"/>
  <c r="H1606" i="1"/>
  <c r="H1635" i="1"/>
  <c r="H1672" i="1"/>
  <c r="H1679" i="1"/>
  <c r="H1755" i="1"/>
  <c r="H1793" i="1"/>
  <c r="K1812" i="1"/>
  <c r="H1833" i="1"/>
  <c r="H1841" i="1"/>
  <c r="H1864" i="1"/>
  <c r="H1884" i="1"/>
  <c r="L1936" i="1"/>
  <c r="L1975" i="1"/>
  <c r="L2012" i="1"/>
  <c r="H2059" i="1"/>
  <c r="L2091" i="1"/>
  <c r="H2093" i="1"/>
  <c r="H2104" i="1"/>
  <c r="H2111" i="1"/>
  <c r="H2126" i="1"/>
  <c r="L2229" i="1"/>
  <c r="H2190" i="1"/>
  <c r="H2226" i="1"/>
  <c r="J2268" i="1"/>
  <c r="H2268" i="1" s="1"/>
  <c r="H2264" i="1"/>
  <c r="H2270" i="1"/>
  <c r="K2322" i="1"/>
  <c r="H2336" i="1"/>
  <c r="H2341" i="1"/>
  <c r="H2371" i="1"/>
  <c r="H2401" i="1"/>
  <c r="H2405" i="1"/>
  <c r="L2422" i="1"/>
  <c r="H2468" i="1"/>
  <c r="H3186" i="1"/>
  <c r="K1936" i="1"/>
  <c r="H1424" i="1"/>
  <c r="H1430" i="1"/>
  <c r="H1438" i="1"/>
  <c r="H1447" i="1"/>
  <c r="K1499" i="1"/>
  <c r="H1482" i="1"/>
  <c r="J1519" i="1"/>
  <c r="L1519" i="1"/>
  <c r="H1533" i="1"/>
  <c r="H1589" i="1"/>
  <c r="H1614" i="1"/>
  <c r="J1629" i="1"/>
  <c r="H1636" i="1"/>
  <c r="L1655" i="1"/>
  <c r="H1644" i="1"/>
  <c r="H1648" i="1"/>
  <c r="H1652" i="1"/>
  <c r="H1668" i="1"/>
  <c r="H1680" i="1"/>
  <c r="L1710" i="1"/>
  <c r="H1701" i="1"/>
  <c r="H1705" i="1"/>
  <c r="H1741" i="1"/>
  <c r="H1745" i="1"/>
  <c r="H1764" i="1"/>
  <c r="J1795" i="1"/>
  <c r="H1800" i="1"/>
  <c r="L1895" i="1"/>
  <c r="H1880" i="1"/>
  <c r="H1889" i="1"/>
  <c r="H1901" i="1"/>
  <c r="K1975" i="1"/>
  <c r="L2001" i="1"/>
  <c r="H1989" i="1"/>
  <c r="H2004" i="1"/>
  <c r="J2033" i="1"/>
  <c r="H2038" i="1"/>
  <c r="H2042" i="1"/>
  <c r="H2064" i="1"/>
  <c r="H2087" i="1"/>
  <c r="H2171" i="1"/>
  <c r="H2179" i="1"/>
  <c r="H2183" i="1"/>
  <c r="H2187" i="1"/>
  <c r="H2191" i="1"/>
  <c r="H2223" i="1"/>
  <c r="H2241" i="1"/>
  <c r="L2268" i="1"/>
  <c r="H2265" i="1"/>
  <c r="L2285" i="1"/>
  <c r="J2322" i="1"/>
  <c r="H2327" i="1"/>
  <c r="H2398" i="1"/>
  <c r="H2419" i="1"/>
  <c r="H2455" i="1"/>
  <c r="H2465" i="1"/>
  <c r="L1795" i="1"/>
  <c r="K1825" i="1"/>
  <c r="J1948" i="1"/>
  <c r="L1956" i="1"/>
  <c r="H2271" i="1"/>
  <c r="L2322" i="1"/>
  <c r="H1511" i="1"/>
  <c r="J1729" i="1"/>
  <c r="H1729" i="1" s="1"/>
  <c r="H1794" i="1"/>
  <c r="L1825" i="1"/>
  <c r="K2001" i="1"/>
  <c r="H2105" i="1"/>
  <c r="H2127" i="1"/>
  <c r="H2233" i="1"/>
  <c r="H2296" i="1"/>
  <c r="H2406" i="1"/>
  <c r="H1075" i="1"/>
  <c r="H1144" i="1"/>
  <c r="H1175" i="1"/>
  <c r="H1184" i="1"/>
  <c r="H1209" i="1"/>
  <c r="H1227" i="1"/>
  <c r="L1305" i="1"/>
  <c r="H1311" i="1"/>
  <c r="H1322" i="1"/>
  <c r="H1332" i="1"/>
  <c r="H1337" i="1"/>
  <c r="H1347" i="1"/>
  <c r="H1431" i="1"/>
  <c r="H1435" i="1"/>
  <c r="H1483" i="1"/>
  <c r="H1554" i="1"/>
  <c r="H1563" i="1"/>
  <c r="H1641" i="1"/>
  <c r="H1645" i="1"/>
  <c r="H1649" i="1"/>
  <c r="K1674" i="1"/>
  <c r="H1674" i="1" s="1"/>
  <c r="H1665" i="1"/>
  <c r="H1669" i="1"/>
  <c r="L1694" i="1"/>
  <c r="H1698" i="1"/>
  <c r="H1706" i="1"/>
  <c r="H1742" i="1"/>
  <c r="L1768" i="1"/>
  <c r="H1757" i="1"/>
  <c r="H1765" i="1"/>
  <c r="H1874" i="1"/>
  <c r="J1902" i="1"/>
  <c r="H1931" i="1"/>
  <c r="K1956" i="1"/>
  <c r="H1986" i="1"/>
  <c r="H2009" i="1"/>
  <c r="H2057" i="1"/>
  <c r="H2061" i="1"/>
  <c r="H2180" i="1"/>
  <c r="H2184" i="1"/>
  <c r="H2188" i="1"/>
  <c r="H2200" i="1"/>
  <c r="H2204" i="1"/>
  <c r="H2258" i="1"/>
  <c r="H2262" i="1"/>
  <c r="H2266" i="1"/>
  <c r="J2275" i="1"/>
  <c r="H2348" i="1"/>
  <c r="L2359" i="1"/>
  <c r="H2399" i="1"/>
  <c r="H2416" i="1"/>
  <c r="K2576" i="1"/>
  <c r="H2575" i="1"/>
  <c r="H1388" i="1"/>
  <c r="J1456" i="1"/>
  <c r="H1444" i="1"/>
  <c r="H1472" i="1"/>
  <c r="H1479" i="1"/>
  <c r="H1559" i="1"/>
  <c r="H1582" i="1"/>
  <c r="H1586" i="1"/>
  <c r="K1629" i="1"/>
  <c r="K1710" i="1"/>
  <c r="K1895" i="1"/>
  <c r="H1897" i="1"/>
  <c r="J1913" i="1"/>
  <c r="H1913" i="1" s="1"/>
  <c r="H1968" i="1"/>
  <c r="H1979" i="1"/>
  <c r="J2164" i="1"/>
  <c r="J2246" i="1"/>
  <c r="H2250" i="1"/>
  <c r="H2255" i="1"/>
  <c r="K2275" i="1"/>
  <c r="J2285" i="1"/>
  <c r="H2297" i="1"/>
  <c r="H2452" i="1"/>
  <c r="L2483" i="1"/>
  <c r="L2902" i="1"/>
  <c r="K1519" i="1"/>
  <c r="L1568" i="1"/>
  <c r="K1615" i="1"/>
  <c r="H1615" i="1" s="1"/>
  <c r="L1629" i="1"/>
  <c r="H1716" i="1"/>
  <c r="J1750" i="1"/>
  <c r="L1812" i="1"/>
  <c r="J1825" i="1"/>
  <c r="L1845" i="1"/>
  <c r="H1904" i="1"/>
  <c r="K2164" i="1"/>
  <c r="L2339" i="1"/>
  <c r="L2349" i="1"/>
  <c r="H3002" i="1"/>
  <c r="J3006" i="1"/>
  <c r="H3006" i="1" s="1"/>
  <c r="J3128" i="1"/>
  <c r="H3119" i="1"/>
  <c r="K3136" i="1"/>
  <c r="H3291" i="1"/>
  <c r="K3337" i="1"/>
  <c r="H1210" i="1"/>
  <c r="H1224" i="1"/>
  <c r="H1234" i="1"/>
  <c r="H1258" i="1"/>
  <c r="H1269" i="1"/>
  <c r="H1273" i="1"/>
  <c r="K1328" i="1"/>
  <c r="H1312" i="1"/>
  <c r="H1333" i="1"/>
  <c r="H1344" i="1"/>
  <c r="H1352" i="1"/>
  <c r="H1379" i="1"/>
  <c r="H1403" i="1"/>
  <c r="H1410" i="1"/>
  <c r="L1456" i="1"/>
  <c r="H1432" i="1"/>
  <c r="H1436" i="1"/>
  <c r="J1462" i="1"/>
  <c r="H1462" i="1" s="1"/>
  <c r="H1539" i="1"/>
  <c r="H1551" i="1"/>
  <c r="L1615" i="1"/>
  <c r="H1638" i="1"/>
  <c r="H1642" i="1"/>
  <c r="H1646" i="1"/>
  <c r="H1650" i="1"/>
  <c r="H1666" i="1"/>
  <c r="H1699" i="1"/>
  <c r="H1723" i="1"/>
  <c r="L1750" i="1"/>
  <c r="H1754" i="1"/>
  <c r="H1766" i="1"/>
  <c r="H1780" i="1"/>
  <c r="H1810" i="1"/>
  <c r="H1828" i="1"/>
  <c r="H1859" i="1"/>
  <c r="H1875" i="1"/>
  <c r="L1899" i="1"/>
  <c r="H1983" i="1"/>
  <c r="H2048" i="1"/>
  <c r="H2052" i="1"/>
  <c r="H2058" i="1"/>
  <c r="L2164" i="1"/>
  <c r="H2181" i="1"/>
  <c r="H2185" i="1"/>
  <c r="H2189" i="1"/>
  <c r="H2205" i="1"/>
  <c r="H2209" i="1"/>
  <c r="H2263" i="1"/>
  <c r="H2274" i="1"/>
  <c r="H2309" i="1"/>
  <c r="J2339" i="1"/>
  <c r="H2339" i="1" s="1"/>
  <c r="H2351" i="1"/>
  <c r="H2511" i="1"/>
  <c r="H3239" i="1"/>
  <c r="K2079" i="1"/>
  <c r="L2242" i="1"/>
  <c r="H2251" i="1"/>
  <c r="J2411" i="1"/>
  <c r="H2411" i="1" s="1"/>
  <c r="K2459" i="1"/>
  <c r="H3554" i="1"/>
  <c r="J3555" i="1"/>
  <c r="H3555" i="1" s="1"/>
  <c r="L1282" i="1"/>
  <c r="H1298" i="1"/>
  <c r="H1362" i="1"/>
  <c r="H1371" i="1"/>
  <c r="H1385" i="1"/>
  <c r="H1389" i="1"/>
  <c r="H1407" i="1"/>
  <c r="H1411" i="1"/>
  <c r="L1462" i="1"/>
  <c r="L1499" i="1"/>
  <c r="H1469" i="1"/>
  <c r="H1495" i="1"/>
  <c r="H1509" i="1"/>
  <c r="H1514" i="1"/>
  <c r="J1545" i="1"/>
  <c r="H1544" i="1"/>
  <c r="H1661" i="1"/>
  <c r="H1684" i="1"/>
  <c r="J1726" i="1"/>
  <c r="H1717" i="1"/>
  <c r="K1750" i="1"/>
  <c r="H1736" i="1"/>
  <c r="K1795" i="1"/>
  <c r="H1788" i="1"/>
  <c r="H1818" i="1"/>
  <c r="H1822" i="1"/>
  <c r="H1851" i="1"/>
  <c r="L1908" i="1"/>
  <c r="H1953" i="1"/>
  <c r="H1965" i="1"/>
  <c r="H1984" i="1"/>
  <c r="H1988" i="1"/>
  <c r="H1993" i="1"/>
  <c r="H2063" i="1"/>
  <c r="H2096" i="1"/>
  <c r="H2103" i="1"/>
  <c r="H2117" i="1"/>
  <c r="H2125" i="1"/>
  <c r="H2132" i="1"/>
  <c r="H2166" i="1"/>
  <c r="H2194" i="1"/>
  <c r="H2202" i="1"/>
  <c r="J2242" i="1"/>
  <c r="H2242" i="1" s="1"/>
  <c r="H2298" i="1"/>
  <c r="H2302" i="1"/>
  <c r="J2349" i="1"/>
  <c r="H2349" i="1" s="1"/>
  <c r="L2411" i="1"/>
  <c r="H2385" i="1"/>
  <c r="H2408" i="1"/>
  <c r="H2414" i="1"/>
  <c r="H2418" i="1"/>
  <c r="L2459" i="1"/>
  <c r="H2429" i="1"/>
  <c r="J3117" i="1"/>
  <c r="H3117" i="1" s="1"/>
  <c r="L3496" i="1"/>
  <c r="H2461" i="1"/>
  <c r="H2476" i="1"/>
  <c r="J2504" i="1"/>
  <c r="H2490" i="1"/>
  <c r="H2551" i="1"/>
  <c r="J2560" i="1"/>
  <c r="H2601" i="1"/>
  <c r="H2691" i="1"/>
  <c r="H2711" i="1"/>
  <c r="H2719" i="1"/>
  <c r="H2724" i="1"/>
  <c r="H2782" i="1"/>
  <c r="H2868" i="1"/>
  <c r="H2916" i="1"/>
  <c r="L2954" i="1"/>
  <c r="H2946" i="1"/>
  <c r="H2977" i="1"/>
  <c r="H2982" i="1"/>
  <c r="J3059" i="1"/>
  <c r="H3059" i="1" s="1"/>
  <c r="J3081" i="1"/>
  <c r="H3084" i="1"/>
  <c r="L3117" i="1"/>
  <c r="H3105" i="1"/>
  <c r="H3109" i="1"/>
  <c r="K3128" i="1"/>
  <c r="L3136" i="1"/>
  <c r="H3195" i="1"/>
  <c r="H3217" i="1"/>
  <c r="H3235" i="1"/>
  <c r="H3246" i="1"/>
  <c r="H3259" i="1"/>
  <c r="H3304" i="1"/>
  <c r="H3319" i="1"/>
  <c r="L3342" i="1"/>
  <c r="H3371" i="1"/>
  <c r="H3452" i="1"/>
  <c r="H3456" i="1"/>
  <c r="H3460" i="1"/>
  <c r="H3476" i="1"/>
  <c r="H3516" i="1"/>
  <c r="H3520" i="1"/>
  <c r="K3552" i="1"/>
  <c r="J3610" i="1"/>
  <c r="L3641" i="1"/>
  <c r="H3646" i="1"/>
  <c r="H3651" i="1"/>
  <c r="H3660" i="1"/>
  <c r="L3716" i="1"/>
  <c r="K2483" i="1"/>
  <c r="J2541" i="1"/>
  <c r="H2541" i="1" s="1"/>
  <c r="J2608" i="1"/>
  <c r="H2647" i="1"/>
  <c r="J2707" i="1"/>
  <c r="H2729" i="1"/>
  <c r="H2734" i="1"/>
  <c r="L2773" i="1"/>
  <c r="H2778" i="1"/>
  <c r="H2792" i="1"/>
  <c r="H2960" i="1"/>
  <c r="H3011" i="1"/>
  <c r="K3076" i="1"/>
  <c r="K3081" i="1"/>
  <c r="H3097" i="1"/>
  <c r="H3114" i="1"/>
  <c r="H3135" i="1"/>
  <c r="H3145" i="1"/>
  <c r="H3174" i="1"/>
  <c r="J3408" i="1"/>
  <c r="L3416" i="1"/>
  <c r="J3528" i="1"/>
  <c r="L3538" i="1"/>
  <c r="H3573" i="1"/>
  <c r="H3577" i="1"/>
  <c r="H3581" i="1"/>
  <c r="H3585" i="1"/>
  <c r="H3589" i="1"/>
  <c r="H3593" i="1"/>
  <c r="H3597" i="1"/>
  <c r="K3632" i="1"/>
  <c r="H3710" i="1"/>
  <c r="J3726" i="1"/>
  <c r="H3726" i="1" s="1"/>
  <c r="H3740" i="1"/>
  <c r="L2504" i="1"/>
  <c r="L2541" i="1"/>
  <c r="L2548" i="1" s="1"/>
  <c r="L3755" i="1" s="1"/>
  <c r="K2608" i="1"/>
  <c r="L2707" i="1"/>
  <c r="J2773" i="1"/>
  <c r="L3059" i="1"/>
  <c r="L3081" i="1"/>
  <c r="K3117" i="1"/>
  <c r="K3276" i="1"/>
  <c r="K3283" i="1" s="1"/>
  <c r="J3337" i="1"/>
  <c r="H3337" i="1" s="1"/>
  <c r="K3342" i="1"/>
  <c r="L3381" i="1"/>
  <c r="K3408" i="1"/>
  <c r="H3481" i="1"/>
  <c r="K3528" i="1"/>
  <c r="H3545" i="1"/>
  <c r="L3637" i="1"/>
  <c r="J3692" i="1"/>
  <c r="H2539" i="1"/>
  <c r="L2608" i="1"/>
  <c r="K2773" i="1"/>
  <c r="H2750" i="1"/>
  <c r="H2809" i="1"/>
  <c r="H2923" i="1"/>
  <c r="J3000" i="1"/>
  <c r="H3000" i="1" s="1"/>
  <c r="H2997" i="1"/>
  <c r="H3028" i="1"/>
  <c r="H3054" i="1"/>
  <c r="L3276" i="1"/>
  <c r="L3283" i="1" s="1"/>
  <c r="K3468" i="1"/>
  <c r="L3528" i="1"/>
  <c r="H3616" i="1"/>
  <c r="L3692" i="1"/>
  <c r="H3725" i="1"/>
  <c r="H2370" i="1"/>
  <c r="H2374" i="1"/>
  <c r="H2393" i="1"/>
  <c r="H2424" i="1"/>
  <c r="H2469" i="1"/>
  <c r="H2481" i="1"/>
  <c r="H2525" i="1"/>
  <c r="J2535" i="1"/>
  <c r="H2535" i="1" s="1"/>
  <c r="H2543" i="1"/>
  <c r="H2625" i="1"/>
  <c r="H2629" i="1"/>
  <c r="H2638" i="1"/>
  <c r="H2652" i="1"/>
  <c r="H2657" i="1"/>
  <c r="K2707" i="1"/>
  <c r="H2707" i="1" s="1"/>
  <c r="H2684" i="1"/>
  <c r="H2764" i="1"/>
  <c r="H2769" i="1"/>
  <c r="H2784" i="1"/>
  <c r="H2793" i="1"/>
  <c r="K2850" i="1"/>
  <c r="H2833" i="1"/>
  <c r="H2861" i="1"/>
  <c r="H2961" i="1"/>
  <c r="H2983" i="1"/>
  <c r="J3016" i="1"/>
  <c r="H3016" i="1" s="1"/>
  <c r="L3050" i="1"/>
  <c r="J3076" i="1"/>
  <c r="H3076" i="1" s="1"/>
  <c r="L3091" i="1"/>
  <c r="H3098" i="1"/>
  <c r="H3102" i="1"/>
  <c r="J3136" i="1"/>
  <c r="H3136" i="1" s="1"/>
  <c r="H3142" i="1"/>
  <c r="H3146" i="1"/>
  <c r="H3150" i="1"/>
  <c r="J3168" i="1"/>
  <c r="H3168" i="1" s="1"/>
  <c r="L3228" i="1"/>
  <c r="H3175" i="1"/>
  <c r="H3179" i="1"/>
  <c r="H3218" i="1"/>
  <c r="H3222" i="1"/>
  <c r="H3330" i="1"/>
  <c r="H3347" i="1"/>
  <c r="H3351" i="1"/>
  <c r="H3355" i="1"/>
  <c r="H3359" i="1"/>
  <c r="H3374" i="1"/>
  <c r="K3381" i="1"/>
  <c r="H3425" i="1"/>
  <c r="H3433" i="1"/>
  <c r="H3574" i="1"/>
  <c r="H3578" i="1"/>
  <c r="H3582" i="1"/>
  <c r="H3590" i="1"/>
  <c r="H3594" i="1"/>
  <c r="H3598" i="1"/>
  <c r="K3618" i="1"/>
  <c r="H3629" i="1"/>
  <c r="J3641" i="1"/>
  <c r="H3652" i="1"/>
  <c r="H2529" i="1"/>
  <c r="H2540" i="1"/>
  <c r="H2583" i="1"/>
  <c r="H2613" i="1"/>
  <c r="H2680" i="1"/>
  <c r="H2751" i="1"/>
  <c r="H2760" i="1"/>
  <c r="J2806" i="1"/>
  <c r="H2802" i="1"/>
  <c r="L2850" i="1"/>
  <c r="H2919" i="1"/>
  <c r="H2979" i="1"/>
  <c r="K3022" i="1"/>
  <c r="H3029" i="1"/>
  <c r="H3126" i="1"/>
  <c r="H3197" i="1"/>
  <c r="H3201" i="1"/>
  <c r="H3205" i="1"/>
  <c r="H3233" i="1"/>
  <c r="H3275" i="1"/>
  <c r="H3282" i="1"/>
  <c r="H3302" i="1"/>
  <c r="H3326" i="1"/>
  <c r="H3365" i="1"/>
  <c r="H3376" i="1"/>
  <c r="H3430" i="1"/>
  <c r="H3462" i="1"/>
  <c r="H3482" i="1"/>
  <c r="H3493" i="1"/>
  <c r="H3526" i="1"/>
  <c r="H3542" i="1"/>
  <c r="H3546" i="1"/>
  <c r="J3587" i="1"/>
  <c r="K3600" i="1"/>
  <c r="L3726" i="1"/>
  <c r="L2672" i="1"/>
  <c r="K2806" i="1"/>
  <c r="L2876" i="1"/>
  <c r="J2926" i="1"/>
  <c r="L3154" i="1"/>
  <c r="J3162" i="1"/>
  <c r="L3168" i="1"/>
  <c r="K3561" i="1"/>
  <c r="L3587" i="1"/>
  <c r="H3617" i="1"/>
  <c r="H3623" i="1"/>
  <c r="L3664" i="1"/>
  <c r="H3653" i="1"/>
  <c r="H3658" i="1"/>
  <c r="H3676" i="1"/>
  <c r="H2457" i="1"/>
  <c r="H2470" i="1"/>
  <c r="H2474" i="1"/>
  <c r="H2493" i="1"/>
  <c r="J2576" i="1"/>
  <c r="H2580" i="1"/>
  <c r="H2599" i="1"/>
  <c r="H2622" i="1"/>
  <c r="H2639" i="1"/>
  <c r="J2672" i="1"/>
  <c r="H2649" i="1"/>
  <c r="K2742" i="1"/>
  <c r="L2806" i="1"/>
  <c r="H2789" i="1"/>
  <c r="H2826" i="1"/>
  <c r="H2834" i="1"/>
  <c r="H2847" i="1"/>
  <c r="H2854" i="1"/>
  <c r="H3019" i="1"/>
  <c r="H3074" i="1"/>
  <c r="J3154" i="1"/>
  <c r="H3147" i="1"/>
  <c r="H3176" i="1"/>
  <c r="H3219" i="1"/>
  <c r="H3230" i="1"/>
  <c r="H3253" i="1"/>
  <c r="H3261" i="1"/>
  <c r="H3272" i="1"/>
  <c r="H3278" i="1"/>
  <c r="L3337" i="1"/>
  <c r="H3322" i="1"/>
  <c r="H3344" i="1"/>
  <c r="H3348" i="1"/>
  <c r="H3352" i="1"/>
  <c r="H3356" i="1"/>
  <c r="L3376" i="1"/>
  <c r="J3416" i="1"/>
  <c r="H3416" i="1" s="1"/>
  <c r="H3426" i="1"/>
  <c r="H3442" i="1"/>
  <c r="H3467" i="1"/>
  <c r="H3564" i="1"/>
  <c r="H3571" i="1"/>
  <c r="H3575" i="1"/>
  <c r="H3579" i="1"/>
  <c r="K3664" i="1"/>
  <c r="K2672" i="1"/>
  <c r="L2742" i="1"/>
  <c r="L2814" i="1"/>
  <c r="H3241" i="1"/>
  <c r="J3299" i="1"/>
  <c r="H3299" i="1" s="1"/>
  <c r="K3363" i="1"/>
  <c r="L3363" i="1"/>
  <c r="L3408" i="1"/>
  <c r="K3587" i="1"/>
  <c r="H3599" i="1"/>
  <c r="K3692" i="1"/>
  <c r="H3692" i="1" s="1"/>
  <c r="J3707" i="1"/>
  <c r="L3734" i="1"/>
  <c r="L3748" i="1"/>
  <c r="H2534" i="1"/>
  <c r="H2588" i="1"/>
  <c r="K2642" i="1"/>
  <c r="H2614" i="1"/>
  <c r="H2663" i="1"/>
  <c r="H2737" i="1"/>
  <c r="H2803" i="1"/>
  <c r="H2980" i="1"/>
  <c r="L3016" i="1"/>
  <c r="J3050" i="1"/>
  <c r="H3050" i="1" s="1"/>
  <c r="L3128" i="1"/>
  <c r="H3166" i="1"/>
  <c r="H3181" i="1"/>
  <c r="H3212" i="1"/>
  <c r="H3216" i="1"/>
  <c r="H3220" i="1"/>
  <c r="K3241" i="1"/>
  <c r="L3299" i="1"/>
  <c r="H3308" i="1"/>
  <c r="H3318" i="1"/>
  <c r="H3389" i="1"/>
  <c r="H3412" i="1"/>
  <c r="L3468" i="1"/>
  <c r="H3519" i="1"/>
  <c r="J3664" i="1"/>
  <c r="H3664" i="1" s="1"/>
  <c r="H3654" i="1"/>
  <c r="H3677" i="1"/>
  <c r="H3713" i="1"/>
  <c r="H2454" i="1"/>
  <c r="H2489" i="1"/>
  <c r="H2494" i="1"/>
  <c r="H2498" i="1"/>
  <c r="H2510" i="1"/>
  <c r="H2523" i="1"/>
  <c r="H2592" i="1"/>
  <c r="L2642" i="1"/>
  <c r="H2650" i="1"/>
  <c r="H2704" i="1"/>
  <c r="H2777" i="1"/>
  <c r="H2795" i="1"/>
  <c r="H2812" i="1"/>
  <c r="H2855" i="1"/>
  <c r="H2886" i="1"/>
  <c r="H2890" i="1"/>
  <c r="L2926" i="1"/>
  <c r="H3010" i="1"/>
  <c r="L3033" i="1"/>
  <c r="H3031" i="1"/>
  <c r="L3076" i="1"/>
  <c r="J3091" i="1"/>
  <c r="H3091" i="1" s="1"/>
  <c r="H3130" i="1"/>
  <c r="H3140" i="1"/>
  <c r="H3144" i="1"/>
  <c r="H3173" i="1"/>
  <c r="H3177" i="1"/>
  <c r="L3241" i="1"/>
  <c r="H3313" i="1"/>
  <c r="H3323" i="1"/>
  <c r="H3339" i="1"/>
  <c r="H3345" i="1"/>
  <c r="H3349" i="1"/>
  <c r="H3353" i="1"/>
  <c r="H3357" i="1"/>
  <c r="H3384" i="1"/>
  <c r="K3416" i="1"/>
  <c r="H3443" i="1"/>
  <c r="J3496" i="1"/>
  <c r="H3495" i="1"/>
  <c r="H3572" i="1"/>
  <c r="H3576" i="1"/>
  <c r="H3580" i="1"/>
  <c r="H3584" i="1"/>
  <c r="H3592" i="1"/>
  <c r="H3614" i="1"/>
  <c r="H3631" i="1"/>
  <c r="H3669" i="1"/>
  <c r="J3716" i="1"/>
  <c r="H3716" i="1" s="1"/>
  <c r="H308" i="1"/>
  <c r="L273" i="1"/>
  <c r="H509" i="1"/>
  <c r="H303" i="1"/>
  <c r="J48" i="1"/>
  <c r="H48" i="1" s="1"/>
  <c r="J141" i="1"/>
  <c r="K148" i="1"/>
  <c r="H148" i="1" s="1"/>
  <c r="H184" i="1"/>
  <c r="K187" i="1"/>
  <c r="H187" i="1" s="1"/>
  <c r="J217" i="1"/>
  <c r="H217" i="1" s="1"/>
  <c r="H322" i="1"/>
  <c r="H337" i="1"/>
  <c r="H370" i="1"/>
  <c r="H389" i="1"/>
  <c r="H420" i="1"/>
  <c r="K494" i="1"/>
  <c r="H494" i="1" s="1"/>
  <c r="K537" i="1"/>
  <c r="H680" i="1"/>
  <c r="H16" i="1"/>
  <c r="K141" i="1"/>
  <c r="K3754" i="1" s="1"/>
  <c r="H161" i="1"/>
  <c r="H258" i="1"/>
  <c r="H331" i="1"/>
  <c r="H496" i="1"/>
  <c r="H626" i="1"/>
  <c r="J646" i="1"/>
  <c r="H646" i="1" s="1"/>
  <c r="H875" i="1"/>
  <c r="L494" i="1"/>
  <c r="J537" i="1"/>
  <c r="K670" i="1"/>
  <c r="H664" i="1"/>
  <c r="H90" i="1"/>
  <c r="H244" i="1"/>
  <c r="J381" i="1"/>
  <c r="H381" i="1" s="1"/>
  <c r="J463" i="1"/>
  <c r="H463" i="1" s="1"/>
  <c r="K509" i="1"/>
  <c r="H519" i="1"/>
  <c r="H546" i="1"/>
  <c r="H1135" i="1"/>
  <c r="H82" i="1"/>
  <c r="J156" i="1"/>
  <c r="H156" i="1" s="1"/>
  <c r="J198" i="1"/>
  <c r="H198" i="1" s="1"/>
  <c r="J293" i="1"/>
  <c r="H293" i="1" s="1"/>
  <c r="H512" i="1"/>
  <c r="H516" i="1"/>
  <c r="J549" i="1"/>
  <c r="H549" i="1" s="1"/>
  <c r="H539" i="1"/>
  <c r="H543" i="1"/>
  <c r="H616" i="1"/>
  <c r="H465" i="1"/>
  <c r="K45" i="1"/>
  <c r="K3753" i="1" s="1"/>
  <c r="L45" i="1"/>
  <c r="L128" i="1" s="1"/>
  <c r="K128" i="1"/>
  <c r="J272" i="1"/>
  <c r="H272" i="1" s="1"/>
  <c r="H440" i="1"/>
  <c r="H610" i="1"/>
  <c r="J611" i="1"/>
  <c r="H670" i="1"/>
  <c r="K272" i="1"/>
  <c r="K273" i="1" s="1"/>
  <c r="H305" i="1"/>
  <c r="H358" i="1"/>
  <c r="J447" i="1"/>
  <c r="H447" i="1" s="1"/>
  <c r="J524" i="1"/>
  <c r="H133" i="1"/>
  <c r="H176" i="1"/>
  <c r="H354" i="1"/>
  <c r="J387" i="1"/>
  <c r="H387" i="1" s="1"/>
  <c r="L478" i="1"/>
  <c r="J562" i="1"/>
  <c r="H562" i="1" s="1"/>
  <c r="L585" i="1"/>
  <c r="K774" i="1"/>
  <c r="H774" i="1" s="1"/>
  <c r="K432" i="1"/>
  <c r="J599" i="1"/>
  <c r="H599" i="1" s="1"/>
  <c r="H592" i="1"/>
  <c r="H639" i="1"/>
  <c r="J640" i="1"/>
  <c r="H765" i="1"/>
  <c r="H271" i="1"/>
  <c r="H343" i="1"/>
  <c r="H401" i="1"/>
  <c r="H423" i="1"/>
  <c r="H481" i="1"/>
  <c r="H499" i="1"/>
  <c r="H555" i="1"/>
  <c r="H782" i="1"/>
  <c r="H1076" i="1"/>
  <c r="H718" i="1"/>
  <c r="H795" i="1"/>
  <c r="H853" i="1"/>
  <c r="H1035" i="1"/>
  <c r="L1162" i="1"/>
  <c r="K1162" i="1"/>
  <c r="H1162" i="1" s="1"/>
  <c r="H1177" i="1"/>
  <c r="H1192" i="1"/>
  <c r="H1239" i="1"/>
  <c r="H1254" i="1"/>
  <c r="K1282" i="1"/>
  <c r="H1282" i="1" s="1"/>
  <c r="K1456" i="1"/>
  <c r="H1456" i="1" s="1"/>
  <c r="H1750" i="1"/>
  <c r="H1825" i="1"/>
  <c r="H684" i="1"/>
  <c r="H701" i="1"/>
  <c r="J743" i="1"/>
  <c r="J1007" i="1"/>
  <c r="H1007" i="1" s="1"/>
  <c r="K1230" i="1"/>
  <c r="H1334" i="1"/>
  <c r="H604" i="1"/>
  <c r="H673" i="1"/>
  <c r="H753" i="1"/>
  <c r="J848" i="1"/>
  <c r="H848" i="1" s="1"/>
  <c r="J959" i="1"/>
  <c r="H1013" i="1"/>
  <c r="J1139" i="1"/>
  <c r="K1199" i="1"/>
  <c r="J1230" i="1"/>
  <c r="H1230" i="1" s="1"/>
  <c r="J1243" i="1"/>
  <c r="H1243" i="1" s="1"/>
  <c r="L1259" i="1"/>
  <c r="J1277" i="1"/>
  <c r="H1277" i="1" s="1"/>
  <c r="H1270" i="1"/>
  <c r="H1341" i="1"/>
  <c r="H1499" i="1"/>
  <c r="J817" i="1"/>
  <c r="H817" i="1" s="1"/>
  <c r="J983" i="1"/>
  <c r="H983" i="1" s="1"/>
  <c r="K1181" i="1"/>
  <c r="L1328" i="1"/>
  <c r="H1376" i="1"/>
  <c r="L1425" i="1"/>
  <c r="H1545" i="1"/>
  <c r="H1726" i="1"/>
  <c r="H618" i="1"/>
  <c r="K729" i="1"/>
  <c r="H745" i="1"/>
  <c r="J822" i="1"/>
  <c r="H822" i="1" s="1"/>
  <c r="K983" i="1"/>
  <c r="H1009" i="1"/>
  <c r="H1101" i="1"/>
  <c r="J1214" i="1"/>
  <c r="L1243" i="1"/>
  <c r="L1277" i="1"/>
  <c r="H1267" i="1"/>
  <c r="H1975" i="1"/>
  <c r="H1014" i="1"/>
  <c r="J1181" i="1"/>
  <c r="K1341" i="1"/>
  <c r="L1397" i="1"/>
  <c r="H601" i="1"/>
  <c r="H682" i="1"/>
  <c r="H731" i="1"/>
  <c r="J1199" i="1"/>
  <c r="H1373" i="1"/>
  <c r="H720" i="1"/>
  <c r="H750" i="1"/>
  <c r="H789" i="1"/>
  <c r="H797" i="1"/>
  <c r="J865" i="1"/>
  <c r="H865" i="1" s="1"/>
  <c r="L1199" i="1"/>
  <c r="H706" i="1"/>
  <c r="H1305" i="1"/>
  <c r="J1366" i="1"/>
  <c r="H1366" i="1" s="1"/>
  <c r="H1119" i="1"/>
  <c r="H1370" i="1"/>
  <c r="J1425" i="1"/>
  <c r="H1425" i="1" s="1"/>
  <c r="H1448" i="1"/>
  <c r="L1292" i="1"/>
  <c r="H1343" i="1"/>
  <c r="J1380" i="1"/>
  <c r="H1380" i="1" s="1"/>
  <c r="H1402" i="1"/>
  <c r="H1657" i="1"/>
  <c r="J2001" i="1"/>
  <c r="H2001" i="1" s="1"/>
  <c r="H2504" i="1"/>
  <c r="H2560" i="1"/>
  <c r="H1368" i="1"/>
  <c r="J1397" i="1"/>
  <c r="H1508" i="1"/>
  <c r="J1568" i="1"/>
  <c r="H1568" i="1" s="1"/>
  <c r="H1634" i="1"/>
  <c r="J1812" i="1"/>
  <c r="H1812" i="1" s="1"/>
  <c r="H2608" i="1"/>
  <c r="J1259" i="1"/>
  <c r="H1259" i="1" s="1"/>
  <c r="K1397" i="1"/>
  <c r="H1605" i="1"/>
  <c r="H1678" i="1"/>
  <c r="H1713" i="1"/>
  <c r="H1821" i="1"/>
  <c r="H1916" i="1"/>
  <c r="H1961" i="1"/>
  <c r="H2773" i="1"/>
  <c r="J1328" i="1"/>
  <c r="J1768" i="1"/>
  <c r="H1768" i="1" s="1"/>
  <c r="J1845" i="1"/>
  <c r="H1845" i="1" s="1"/>
  <c r="J2012" i="1"/>
  <c r="H2012" i="1" s="1"/>
  <c r="H2003" i="1"/>
  <c r="K2140" i="1"/>
  <c r="H1521" i="1"/>
  <c r="J1895" i="1"/>
  <c r="H1895" i="1" s="1"/>
  <c r="J1899" i="1"/>
  <c r="H1999" i="1"/>
  <c r="L2033" i="1"/>
  <c r="H2088" i="1"/>
  <c r="L2140" i="1"/>
  <c r="H2352" i="1"/>
  <c r="H1279" i="1"/>
  <c r="H1917" i="1"/>
  <c r="J1956" i="1"/>
  <c r="H1956" i="1" s="1"/>
  <c r="H2422" i="1"/>
  <c r="K2548" i="1"/>
  <c r="H2806" i="1"/>
  <c r="H1287" i="1"/>
  <c r="H1330" i="1"/>
  <c r="H1770" i="1"/>
  <c r="H1815" i="1"/>
  <c r="H1458" i="1"/>
  <c r="H1571" i="1"/>
  <c r="H1575" i="1"/>
  <c r="H1905" i="1"/>
  <c r="H2085" i="1"/>
  <c r="H2089" i="1"/>
  <c r="H2576" i="1"/>
  <c r="J1710" i="1"/>
  <c r="H1710" i="1" s="1"/>
  <c r="J2079" i="1"/>
  <c r="L2079" i="1"/>
  <c r="H2073" i="1"/>
  <c r="H2081" i="1"/>
  <c r="J2091" i="1"/>
  <c r="H2091" i="1" s="1"/>
  <c r="H2086" i="1"/>
  <c r="H2246" i="1"/>
  <c r="H2285" i="1"/>
  <c r="J2342" i="1"/>
  <c r="H2342" i="1" s="1"/>
  <c r="H2361" i="1"/>
  <c r="H2808" i="1"/>
  <c r="H2838" i="1"/>
  <c r="H2873" i="1"/>
  <c r="H3128" i="1"/>
  <c r="H3538" i="1"/>
  <c r="H3552" i="1"/>
  <c r="J2459" i="1"/>
  <c r="H2459" i="1" s="1"/>
  <c r="H2775" i="1"/>
  <c r="J2991" i="1"/>
  <c r="H3742" i="1"/>
  <c r="J2355" i="1"/>
  <c r="H2355" i="1" s="1"/>
  <c r="J2552" i="1"/>
  <c r="H2552" i="1" s="1"/>
  <c r="J2850" i="1"/>
  <c r="H2850" i="1" s="1"/>
  <c r="H2870" i="1"/>
  <c r="K2926" i="1"/>
  <c r="H2987" i="1"/>
  <c r="H3372" i="1"/>
  <c r="H3528" i="1"/>
  <c r="J2229" i="1"/>
  <c r="H2229" i="1" s="1"/>
  <c r="J2483" i="1"/>
  <c r="H2483" i="1" s="1"/>
  <c r="J2642" i="1"/>
  <c r="J2742" i="1"/>
  <c r="J3228" i="1"/>
  <c r="H3600" i="1"/>
  <c r="J2508" i="1"/>
  <c r="H2508" i="1" s="1"/>
  <c r="H2797" i="1"/>
  <c r="H3018" i="1"/>
  <c r="J2131" i="1"/>
  <c r="H2131" i="1" s="1"/>
  <c r="H2279" i="1"/>
  <c r="K2504" i="1"/>
  <c r="K2902" i="1"/>
  <c r="L2991" i="1"/>
  <c r="H2984" i="1"/>
  <c r="J2876" i="1"/>
  <c r="H2578" i="1"/>
  <c r="J2814" i="1"/>
  <c r="H2881" i="1"/>
  <c r="H2889" i="1"/>
  <c r="J2940" i="1"/>
  <c r="H2940" i="1" s="1"/>
  <c r="K2991" i="1"/>
  <c r="L3000" i="1"/>
  <c r="H3162" i="1"/>
  <c r="J3283" i="1"/>
  <c r="H3366" i="1"/>
  <c r="H3748" i="1"/>
  <c r="K2814" i="1"/>
  <c r="H2853" i="1"/>
  <c r="H2907" i="1"/>
  <c r="J2954" i="1"/>
  <c r="H2954" i="1" s="1"/>
  <c r="H2995" i="1"/>
  <c r="K3016" i="1"/>
  <c r="H2236" i="1"/>
  <c r="H2287" i="1"/>
  <c r="H2346" i="1"/>
  <c r="H2645" i="1"/>
  <c r="H2745" i="1"/>
  <c r="K2876" i="1"/>
  <c r="H3026" i="1"/>
  <c r="J2902" i="1"/>
  <c r="L3632" i="1"/>
  <c r="H3096" i="1"/>
  <c r="K3188" i="1"/>
  <c r="K3228" i="1" s="1"/>
  <c r="H3301" i="1"/>
  <c r="H3386" i="1"/>
  <c r="H3411" i="1"/>
  <c r="J3468" i="1"/>
  <c r="H3468" i="1" s="1"/>
  <c r="K3496" i="1"/>
  <c r="H3496" i="1" s="1"/>
  <c r="J3381" i="1"/>
  <c r="H3644" i="1"/>
  <c r="H3666" i="1"/>
  <c r="H3718" i="1"/>
  <c r="H3724" i="1"/>
  <c r="H2942" i="1"/>
  <c r="J3035" i="1"/>
  <c r="H3035" i="1" s="1"/>
  <c r="H3170" i="1"/>
  <c r="H3340" i="1"/>
  <c r="J3363" i="1"/>
  <c r="H3363" i="1" s="1"/>
  <c r="H3498" i="1"/>
  <c r="H3540" i="1"/>
  <c r="H3544" i="1"/>
  <c r="J3561" i="1"/>
  <c r="J3618" i="1"/>
  <c r="H3618" i="1" s="1"/>
  <c r="J3737" i="1"/>
  <c r="H3737" i="1" s="1"/>
  <c r="H3139" i="1"/>
  <c r="H3470" i="1"/>
  <c r="H3244" i="1"/>
  <c r="H3383" i="1"/>
  <c r="H3744" i="1"/>
  <c r="J3022" i="1"/>
  <c r="H3022" i="1" s="1"/>
  <c r="H3730" i="1"/>
  <c r="H3027" i="1"/>
  <c r="H3285" i="1"/>
  <c r="K3033" i="1"/>
  <c r="H3033" i="1" s="1"/>
  <c r="K3162" i="1"/>
  <c r="K3154" i="1"/>
  <c r="H3154" i="1" s="1"/>
  <c r="J3626" i="1"/>
  <c r="H3626" i="1" s="1"/>
  <c r="J3637" i="1"/>
  <c r="H3637" i="1" s="1"/>
  <c r="H3709" i="1"/>
  <c r="H3164" i="1"/>
  <c r="H3530" i="1"/>
  <c r="H2994" i="1"/>
  <c r="K959" i="1" l="1"/>
  <c r="K3749" i="1" s="1"/>
  <c r="K3752" i="1" s="1"/>
  <c r="H524" i="1"/>
  <c r="H45" i="1"/>
  <c r="H377" i="1"/>
  <c r="H2814" i="1"/>
  <c r="H1328" i="1"/>
  <c r="H124" i="1"/>
  <c r="H2672" i="1"/>
  <c r="H1519" i="1"/>
  <c r="H2926" i="1"/>
  <c r="L3754" i="1"/>
  <c r="H141" i="1"/>
  <c r="H3587" i="1"/>
  <c r="H800" i="1"/>
  <c r="H2322" i="1"/>
  <c r="H238" i="1"/>
  <c r="H2079" i="1"/>
  <c r="L879" i="1"/>
  <c r="H3381" i="1"/>
  <c r="H1899" i="1"/>
  <c r="H1795" i="1"/>
  <c r="H1936" i="1"/>
  <c r="H1602" i="1"/>
  <c r="K879" i="1"/>
  <c r="K3756" i="1" s="1"/>
  <c r="K3757" i="1" s="1"/>
  <c r="H3283" i="1"/>
  <c r="H1397" i="1"/>
  <c r="H1214" i="1"/>
  <c r="J128" i="1"/>
  <c r="J2548" i="1"/>
  <c r="H2548" i="1" s="1"/>
  <c r="H2742" i="1"/>
  <c r="H3276" i="1"/>
  <c r="H2642" i="1"/>
  <c r="H726" i="1"/>
  <c r="H2991" i="1"/>
  <c r="H698" i="1"/>
  <c r="H478" i="1"/>
  <c r="L3756" i="1"/>
  <c r="L3757" i="1" s="1"/>
  <c r="H3188" i="1"/>
  <c r="H3228" i="1"/>
  <c r="J2140" i="1"/>
  <c r="H2140" i="1" s="1"/>
  <c r="H1181" i="1"/>
  <c r="H537" i="1"/>
  <c r="J3749" i="1"/>
  <c r="J3755" i="1"/>
  <c r="H2902" i="1"/>
  <c r="H1199" i="1"/>
  <c r="J879" i="1"/>
  <c r="H879" i="1" s="1"/>
  <c r="J273" i="1"/>
  <c r="H273" i="1" s="1"/>
  <c r="J3632" i="1"/>
  <c r="H3632" i="1" s="1"/>
  <c r="H2876" i="1"/>
  <c r="K3755" i="1" l="1"/>
  <c r="H959" i="1"/>
  <c r="H3749" i="1"/>
  <c r="J3766" i="1"/>
  <c r="J3754" i="1"/>
  <c r="J3756" i="1"/>
  <c r="J3757" i="1" s="1"/>
</calcChain>
</file>

<file path=xl/sharedStrings.xml><?xml version="1.0" encoding="utf-8"?>
<sst xmlns="http://schemas.openxmlformats.org/spreadsheetml/2006/main" count="7787" uniqueCount="1973">
  <si>
    <t>מנהל הגזברות</t>
  </si>
  <si>
    <t xml:space="preserve">                    עיריית חולון</t>
  </si>
  <si>
    <t>אגף תקציבים</t>
  </si>
  <si>
    <t>הצעת   התקציב   הרגיל   לשנת   2026   בש"ח</t>
  </si>
  <si>
    <t>מספר
מאוחד</t>
  </si>
  <si>
    <t>סעיף</t>
  </si>
  <si>
    <t>פרק</t>
  </si>
  <si>
    <t>ספר</t>
  </si>
  <si>
    <t>שם</t>
  </si>
  <si>
    <t>סוג</t>
  </si>
  <si>
    <t>אחוז השינוי מול 2025</t>
  </si>
  <si>
    <t>סעיפים חדשים</t>
  </si>
  <si>
    <t xml:space="preserve">           הצעה            2026</t>
  </si>
  <si>
    <t>הצעה
2025</t>
  </si>
  <si>
    <t>ביצוע
2024</t>
  </si>
  <si>
    <t xml:space="preserve"> </t>
  </si>
  <si>
    <r>
      <t xml:space="preserve">תקציבי עזר </t>
    </r>
    <r>
      <rPr>
        <b/>
        <i/>
        <sz val="13"/>
        <rFont val="David"/>
        <family val="2"/>
        <charset val="177"/>
      </rPr>
      <t xml:space="preserve">       </t>
    </r>
  </si>
  <si>
    <t>000</t>
  </si>
  <si>
    <t>090000</t>
  </si>
  <si>
    <t xml:space="preserve">תקציבי עזר        </t>
  </si>
  <si>
    <t>092000</t>
  </si>
  <si>
    <t>השכר הקובע-תקציבית</t>
  </si>
  <si>
    <t>שכר</t>
  </si>
  <si>
    <t xml:space="preserve">השכר הקובע-צוברת  </t>
  </si>
  <si>
    <t xml:space="preserve">ביגוד             </t>
  </si>
  <si>
    <t xml:space="preserve">דמי הבראה         </t>
  </si>
  <si>
    <t xml:space="preserve">שעות נוספות       </t>
  </si>
  <si>
    <t>השתתפות באחזקת רכב</t>
  </si>
  <si>
    <t xml:space="preserve">השתתפות בועד בית  </t>
  </si>
  <si>
    <t>קשיח</t>
  </si>
  <si>
    <t xml:space="preserve">כיבוי אש          </t>
  </si>
  <si>
    <t xml:space="preserve">תחזוקת מבנה       </t>
  </si>
  <si>
    <t xml:space="preserve">חשמל              </t>
  </si>
  <si>
    <t xml:space="preserve">מים               </t>
  </si>
  <si>
    <t xml:space="preserve">חומרי נקיון       </t>
  </si>
  <si>
    <t xml:space="preserve">חיטוי והדברה      </t>
  </si>
  <si>
    <t xml:space="preserve">אחזקת מזגנים      </t>
  </si>
  <si>
    <t>גמיש</t>
  </si>
  <si>
    <t xml:space="preserve">אחזקת אזעקה       </t>
  </si>
  <si>
    <t xml:space="preserve">בטוח ורשוי קשר    </t>
  </si>
  <si>
    <t xml:space="preserve">השכרת איתוריות    </t>
  </si>
  <si>
    <t>אחזקת תמי 4</t>
  </si>
  <si>
    <t>אחזקת דפיברילטור</t>
  </si>
  <si>
    <t xml:space="preserve">אחזקת מכונות משרד </t>
  </si>
  <si>
    <t xml:space="preserve">שרות למעליות      </t>
  </si>
  <si>
    <t xml:space="preserve">אחזקת גנרטור      </t>
  </si>
  <si>
    <t xml:space="preserve">שתיה לעובדים      </t>
  </si>
  <si>
    <t xml:space="preserve">הוצאות טלפון      </t>
  </si>
  <si>
    <t xml:space="preserve">טלפונים סלולריים  </t>
  </si>
  <si>
    <t xml:space="preserve">הובלות והסעות     </t>
  </si>
  <si>
    <t>חמרים-תחזוקת מבנים</t>
  </si>
  <si>
    <t>חמרים-תחזוקה עצמית</t>
  </si>
  <si>
    <t xml:space="preserve">כלים וציוד        </t>
  </si>
  <si>
    <t xml:space="preserve">עבודות קבלניות    </t>
  </si>
  <si>
    <t xml:space="preserve">נקיון בקבלנות     </t>
  </si>
  <si>
    <t xml:space="preserve">שמירה בקבלנות     </t>
  </si>
  <si>
    <t>אבטחת בית רותר</t>
  </si>
  <si>
    <t>אבטחה בניין מלט"ב</t>
  </si>
  <si>
    <t xml:space="preserve">השתתפות בעזר 094  </t>
  </si>
  <si>
    <t xml:space="preserve">רכישת ציוד        </t>
  </si>
  <si>
    <t>אג' טלוויזיה וכבלים</t>
  </si>
  <si>
    <t>רכישות/פע' חד-פעמי</t>
  </si>
  <si>
    <t>092000  סך הכל</t>
  </si>
  <si>
    <t>משרד הרשות ושרותים</t>
  </si>
  <si>
    <t>092100</t>
  </si>
  <si>
    <t xml:space="preserve">העמסת בית העירייה </t>
  </si>
  <si>
    <t xml:space="preserve">השתתפות בעזר 092  </t>
  </si>
  <si>
    <t>092100  סך הכל</t>
  </si>
  <si>
    <t>094000</t>
  </si>
  <si>
    <t xml:space="preserve">אפסנאות מחסנים    </t>
  </si>
  <si>
    <t>עובדים חיצוניים</t>
  </si>
  <si>
    <t xml:space="preserve">מכשירי כתיבה      </t>
  </si>
  <si>
    <t xml:space="preserve">אירוח וכיבוד      </t>
  </si>
  <si>
    <t xml:space="preserve">פירסומים          </t>
  </si>
  <si>
    <t xml:space="preserve">שיכפולים          </t>
  </si>
  <si>
    <t xml:space="preserve">מיכון וענ"א       </t>
  </si>
  <si>
    <t xml:space="preserve">השתתפות בעזר 096  </t>
  </si>
  <si>
    <t xml:space="preserve">פינויים           </t>
  </si>
  <si>
    <t xml:space="preserve">רכישות חד פעמיות  </t>
  </si>
  <si>
    <t>אביזרי בטיחות</t>
  </si>
  <si>
    <t>094000  סך הכל</t>
  </si>
  <si>
    <t>094100</t>
  </si>
  <si>
    <t xml:space="preserve">העמסת מחסנים    </t>
  </si>
  <si>
    <t>094100  סך הכל</t>
  </si>
  <si>
    <t>096000</t>
  </si>
  <si>
    <t xml:space="preserve">מוסך  ורכב        </t>
  </si>
  <si>
    <t>חדש</t>
  </si>
  <si>
    <t xml:space="preserve">ביטוח רכב         </t>
  </si>
  <si>
    <t xml:space="preserve">נסיעות ואש"ל      </t>
  </si>
  <si>
    <t>הדרכות</t>
  </si>
  <si>
    <t xml:space="preserve">ספרים ועיתונים    </t>
  </si>
  <si>
    <t xml:space="preserve">שמאות             </t>
  </si>
  <si>
    <t>עבודות קבלניות-רכב</t>
  </si>
  <si>
    <t xml:space="preserve">בנזין             </t>
  </si>
  <si>
    <t>נוהל 6</t>
  </si>
  <si>
    <t xml:space="preserve">סולר              </t>
  </si>
  <si>
    <t xml:space="preserve">שמנים ומשחות      </t>
  </si>
  <si>
    <t xml:space="preserve">אגרת רשוי רכב     </t>
  </si>
  <si>
    <t xml:space="preserve">השתתפות עצמית     </t>
  </si>
  <si>
    <t>שטיפת רכבים</t>
  </si>
  <si>
    <t>אחזקת איתורן</t>
  </si>
  <si>
    <t xml:space="preserve">טיפול ברכב        </t>
  </si>
  <si>
    <t xml:space="preserve">שיפוצים           </t>
  </si>
  <si>
    <t xml:space="preserve">פחחות וצבע        </t>
  </si>
  <si>
    <t>יועצים</t>
  </si>
  <si>
    <t>096000  סך הכל</t>
  </si>
  <si>
    <t>096100</t>
  </si>
  <si>
    <t xml:space="preserve">העמסת מוסך  ורכב        </t>
  </si>
  <si>
    <t>096100  סך הכל</t>
  </si>
  <si>
    <t>סה"כ  תקציבי עזר</t>
  </si>
  <si>
    <t>תקבולים</t>
  </si>
  <si>
    <t>מיסים ומענק כללי</t>
  </si>
  <si>
    <t xml:space="preserve">ארנונות           </t>
  </si>
  <si>
    <t xml:space="preserve">ארנונה כללית      </t>
  </si>
  <si>
    <t xml:space="preserve">ארנונה - מ.ג.ע.ר    </t>
  </si>
  <si>
    <t xml:space="preserve">אגרות משפט        </t>
  </si>
  <si>
    <t>החזר הוצאות משפט</t>
  </si>
  <si>
    <t>גביות שונות לחלוקה</t>
  </si>
  <si>
    <t xml:space="preserve">גביות - קו פתוח   </t>
  </si>
  <si>
    <t>כרט' אשראי-קו פתוח</t>
  </si>
  <si>
    <t>ארנונה מחסני ערכות מגן</t>
  </si>
  <si>
    <t>110000  סך הכל</t>
  </si>
  <si>
    <t xml:space="preserve">הנחות לזכאים      </t>
  </si>
  <si>
    <t xml:space="preserve">הכנסה משחרורים    </t>
  </si>
  <si>
    <t>החזר הנחות מימון</t>
  </si>
  <si>
    <t>פטורים מארנונה</t>
  </si>
  <si>
    <t>פטורים - מוסדות</t>
  </si>
  <si>
    <t>הנחות פטור קורונה</t>
  </si>
  <si>
    <t>115000  סך הכל</t>
  </si>
  <si>
    <t xml:space="preserve">אגרות             </t>
  </si>
  <si>
    <t xml:space="preserve">תעודות ואשורים    </t>
  </si>
  <si>
    <t>121000  סך הכל</t>
  </si>
  <si>
    <t xml:space="preserve">תעודות ואישורים   </t>
  </si>
  <si>
    <t>אג' רישיונות שלטים</t>
  </si>
  <si>
    <t>אגרת רשיונות שלטים</t>
  </si>
  <si>
    <t>החזר אג' משפט-שילוט</t>
  </si>
  <si>
    <t>אגרת רישיונות שלטים שנים קודמות</t>
  </si>
  <si>
    <t>שינוי שם</t>
  </si>
  <si>
    <t>122000  סך הכל</t>
  </si>
  <si>
    <t xml:space="preserve">מודעות ופירסומים  </t>
  </si>
  <si>
    <t xml:space="preserve">מודעות על לוחות   </t>
  </si>
  <si>
    <t>124000  סך הכל</t>
  </si>
  <si>
    <t xml:space="preserve">אגרות שונות       </t>
  </si>
  <si>
    <t xml:space="preserve">אגרת חניה  מוניות </t>
  </si>
  <si>
    <t>129000  סך הכל</t>
  </si>
  <si>
    <t xml:space="preserve">הכנסות מימון      </t>
  </si>
  <si>
    <t>כביש-תאו'בניה-מלוה</t>
  </si>
  <si>
    <t>תעול היתר בניה-מלו</t>
  </si>
  <si>
    <t>החזר מילוות-השבחה</t>
  </si>
  <si>
    <t>160000  סך הכל</t>
  </si>
  <si>
    <t xml:space="preserve">מענקים כללים      </t>
  </si>
  <si>
    <t>מענק רזרבת שר הפנים</t>
  </si>
  <si>
    <t>שיפוי משרד הפנים</t>
  </si>
  <si>
    <t>192000  סך הכל</t>
  </si>
  <si>
    <t xml:space="preserve">מענקים חד-פעמיים  </t>
  </si>
  <si>
    <t xml:space="preserve">מענקים אחרים      </t>
  </si>
  <si>
    <t>בחירות:רשות מקומית</t>
  </si>
  <si>
    <t>196100  סך הכל</t>
  </si>
  <si>
    <t xml:space="preserve">אסוף וביעור אשפה  </t>
  </si>
  <si>
    <t>אריזות כתומים-הפרדה במקור</t>
  </si>
  <si>
    <t xml:space="preserve">מכירת מיכלי אשפה  </t>
  </si>
  <si>
    <t>הכנסות סילוק פסולת עיסקית</t>
  </si>
  <si>
    <t>מכירת נייר</t>
  </si>
  <si>
    <t>מכירת קרטון למיחזור</t>
  </si>
  <si>
    <t>קרטון - תאגיד תמיר</t>
  </si>
  <si>
    <t>212300  סך הכל</t>
  </si>
  <si>
    <t>תחנת המעבר</t>
  </si>
  <si>
    <t>הכנסות שמירה</t>
  </si>
  <si>
    <t>חניית משאיות</t>
  </si>
  <si>
    <t>החזר חשמל מקבלן אשפה</t>
  </si>
  <si>
    <t>212600  סך הכל</t>
  </si>
  <si>
    <t xml:space="preserve">פיקוח תברואי      </t>
  </si>
  <si>
    <t xml:space="preserve">רישוי עסקים       </t>
  </si>
  <si>
    <t>213300  סך הכל</t>
  </si>
  <si>
    <t>פיקוח-עסקים+מוסדות</t>
  </si>
  <si>
    <t xml:space="preserve">שרות וטרינרי      </t>
  </si>
  <si>
    <t>אג'רישוי/חיסון כלב ואג' עופות</t>
  </si>
  <si>
    <t>הובלה ושהייה בכלביה</t>
  </si>
  <si>
    <t>החזקת בע"ח/בעלי כנף</t>
  </si>
  <si>
    <t>הסגר כלבים ביתי</t>
  </si>
  <si>
    <t xml:space="preserve">בדיקת בשר ודגים   </t>
  </si>
  <si>
    <t>עיקור חתולים וכלבים</t>
  </si>
  <si>
    <t>214000  סך הכל</t>
  </si>
  <si>
    <t xml:space="preserve">הג"א              </t>
  </si>
  <si>
    <t xml:space="preserve">שכר דירה ממקלטים  </t>
  </si>
  <si>
    <t>223000  סך הכל</t>
  </si>
  <si>
    <t xml:space="preserve">תכנון בנין עיר    </t>
  </si>
  <si>
    <t>משרד מהנדס הרשות</t>
  </si>
  <si>
    <t>אג.בגין מסירת מידע</t>
  </si>
  <si>
    <t>231000  סך הכל</t>
  </si>
  <si>
    <t xml:space="preserve">משרד מהנדס הרשות  </t>
  </si>
  <si>
    <t>רשוי+פקוח על הבניה</t>
  </si>
  <si>
    <t xml:space="preserve">רשיונות בניה-כללי </t>
  </si>
  <si>
    <t>היטל השבחה מפיתוח</t>
  </si>
  <si>
    <t>קנסות מנהליים-חריגות בניה</t>
  </si>
  <si>
    <t>הכנסות מבנים מסוכנים</t>
  </si>
  <si>
    <t>233000  סך הכל</t>
  </si>
  <si>
    <t>מערך דרכים</t>
  </si>
  <si>
    <t>חילוט  ערבות-חול</t>
  </si>
  <si>
    <t>242000  סך הכל</t>
  </si>
  <si>
    <t>מחלקת מאור</t>
  </si>
  <si>
    <t xml:space="preserve">השתת' במאור שלטים </t>
  </si>
  <si>
    <t>243000  סך הכל</t>
  </si>
  <si>
    <t xml:space="preserve">גנים ונטיעות      </t>
  </si>
  <si>
    <t xml:space="preserve">פינת ליטוף        </t>
  </si>
  <si>
    <t>246100  סך הכל</t>
  </si>
  <si>
    <t>גנים ציבוריים ונוף</t>
  </si>
  <si>
    <t xml:space="preserve">שרותים שונים      </t>
  </si>
  <si>
    <t>הכנסות מתביעות ביטוח</t>
  </si>
  <si>
    <t>267000  סך הכל</t>
  </si>
  <si>
    <t>ביטוח אלמנטרי לרשות</t>
  </si>
  <si>
    <t xml:space="preserve">הכנסות שונות      </t>
  </si>
  <si>
    <t>רישום מטלטלין מילגם</t>
  </si>
  <si>
    <t>עיקולי בנק מילגם</t>
  </si>
  <si>
    <t>רישום עיקול בטאבו</t>
  </si>
  <si>
    <t>דרישות ידניות - מילגם</t>
  </si>
  <si>
    <t>עיקול בנק מגער</t>
  </si>
  <si>
    <t>עיקול ברישום מגער</t>
  </si>
  <si>
    <t>עיקול בפועל מגער</t>
  </si>
  <si>
    <t>עיקול מקרקעין מגער</t>
  </si>
  <si>
    <t>דרישה פרטנית מגער</t>
  </si>
  <si>
    <t>רש"ת- הצבת אנטנות בבי"ס</t>
  </si>
  <si>
    <t>עיקולי בנק</t>
  </si>
  <si>
    <t xml:space="preserve">אגרת מסירת מידע   </t>
  </si>
  <si>
    <t>הכנסות מעמד האשה</t>
  </si>
  <si>
    <t>269000  סך הכל</t>
  </si>
  <si>
    <t xml:space="preserve">שונות             </t>
  </si>
  <si>
    <t>צילום מסמכים לצבור</t>
  </si>
  <si>
    <t xml:space="preserve">מכירת מכרזים      </t>
  </si>
  <si>
    <t>269100  סך הכל</t>
  </si>
  <si>
    <t xml:space="preserve">פיקוח עירוני      </t>
  </si>
  <si>
    <t>מגער פיקוח דרישה ראשונה</t>
  </si>
  <si>
    <t>מגער פיקוח דרישה שניה</t>
  </si>
  <si>
    <t>עיקול בנק מגער פיקוח</t>
  </si>
  <si>
    <t>עיקול ברישום מגער פיקוח</t>
  </si>
  <si>
    <t>עיקול בפועל מגער פיקוח</t>
  </si>
  <si>
    <t>קנסות ברירת משפט</t>
  </si>
  <si>
    <t>עמלות אכיפת גבייה</t>
  </si>
  <si>
    <t>אגרות קנסות ברירת משפט</t>
  </si>
  <si>
    <t>אגרות פיקוח מילגם</t>
  </si>
  <si>
    <t>אכיפה לדו גלגלי חשמלי</t>
  </si>
  <si>
    <t>גרירות</t>
  </si>
  <si>
    <t>281100  סך הכל</t>
  </si>
  <si>
    <t xml:space="preserve">רשות חניה         </t>
  </si>
  <si>
    <t>מגער חניה דרישה ראשונה</t>
  </si>
  <si>
    <t>מגער חניה דרישה שניה</t>
  </si>
  <si>
    <t>עיקול בנק מגער חניה</t>
  </si>
  <si>
    <t>עיקול ברישום מגער חניה</t>
  </si>
  <si>
    <t>עיקול בפועל מגער חניה</t>
  </si>
  <si>
    <t xml:space="preserve">קנסות  רשות חניה  </t>
  </si>
  <si>
    <t>עמלות מילגם-לא כולל מע"מ</t>
  </si>
  <si>
    <t>עמלות מילגם-כולל מע"מ</t>
  </si>
  <si>
    <t>אגרות אכיפה קנסות מילגם</t>
  </si>
  <si>
    <t>קנסות דיגיטלי  ונתצ"ים</t>
  </si>
  <si>
    <t>הכנסות חנייה בכחול לבן</t>
  </si>
  <si>
    <t>281200  סך הכל</t>
  </si>
  <si>
    <t>השיטור העירוני</t>
  </si>
  <si>
    <t>אגרת השיטור העירוני</t>
  </si>
  <si>
    <t>281300  סך הכל</t>
  </si>
  <si>
    <t xml:space="preserve">בית המשפט העירוני </t>
  </si>
  <si>
    <t xml:space="preserve">קנסות בית המשפט   </t>
  </si>
  <si>
    <t>282000  סך הכל</t>
  </si>
  <si>
    <t xml:space="preserve">שרותים ממלכתיים   </t>
  </si>
  <si>
    <t>הכנסות מרכז טכנולוגי</t>
  </si>
  <si>
    <t>הכנ' בגין ילדי חוץ</t>
  </si>
  <si>
    <t>הכנסות שמ"ש</t>
  </si>
  <si>
    <t>מזנונים - אגף אירגון</t>
  </si>
  <si>
    <t>מזנונים - בתי ספר</t>
  </si>
  <si>
    <t>מחשב לכל ילד</t>
  </si>
  <si>
    <t>הכנסות כנגד הוצאות</t>
  </si>
  <si>
    <t>חדשנות - פעולות</t>
  </si>
  <si>
    <t>חדשנות אתחלא-השכרת חדרים</t>
  </si>
  <si>
    <t>הכנסות שנים קודמות-חינוך</t>
  </si>
  <si>
    <t>השתת'מ'החנוך בקב"ס</t>
  </si>
  <si>
    <t xml:space="preserve">החזר גימלה        </t>
  </si>
  <si>
    <t>הכ' מש' החינוך-מרכז טכנולוגי</t>
  </si>
  <si>
    <t>הכנסות מ. קודמות - מ.חינוך</t>
  </si>
  <si>
    <t>מערכת גפ"ן</t>
  </si>
  <si>
    <t>311100  סך הכל</t>
  </si>
  <si>
    <t>מינהלת הח' הפורמלי</t>
  </si>
  <si>
    <t>יוזמות פדגוגיות</t>
  </si>
  <si>
    <t xml:space="preserve">קרן קרב           </t>
  </si>
  <si>
    <t>עיר פעילה ובריאה</t>
  </si>
  <si>
    <t>311200  סך הכל</t>
  </si>
  <si>
    <t>יוזמות מינהל חינוך</t>
  </si>
  <si>
    <t>יוזמות מהכנסות תלמידי חוץ</t>
  </si>
  <si>
    <t>311300  סך הכל</t>
  </si>
  <si>
    <t>יוזמות יסודי</t>
  </si>
  <si>
    <t>הכנסות מרכז מצטיינים</t>
  </si>
  <si>
    <t>311305  סך הכל</t>
  </si>
  <si>
    <t>מניעת אלימות וסמים</t>
  </si>
  <si>
    <t>משרד החינוך</t>
  </si>
  <si>
    <t>הכנסות משנים קודמות</t>
  </si>
  <si>
    <t>המשרד לביטחון פנים</t>
  </si>
  <si>
    <t>311400  סך הכל</t>
  </si>
  <si>
    <t xml:space="preserve">חינוך קדם יסודי   </t>
  </si>
  <si>
    <t>מסיבות כיתתיות</t>
  </si>
  <si>
    <t>סל תרבות</t>
  </si>
  <si>
    <t xml:space="preserve">עוזרות לגננות     </t>
  </si>
  <si>
    <t>מעונות יום ממונה + הדרכה</t>
  </si>
  <si>
    <t>312200  סך הכל</t>
  </si>
  <si>
    <t xml:space="preserve">גנ"י לגיל חובה    </t>
  </si>
  <si>
    <t>גנ"י - חינוך מיוחד</t>
  </si>
  <si>
    <t>השת'מ'חינוך-רכישות</t>
  </si>
  <si>
    <t xml:space="preserve">השתתפות בהזנה     </t>
  </si>
  <si>
    <t>חינוך מיוחד-חופשות</t>
  </si>
  <si>
    <t>שרותי הקף - יול"א ח.מ</t>
  </si>
  <si>
    <t>312210  סך הכל</t>
  </si>
  <si>
    <t xml:space="preserve">גני ילדים         </t>
  </si>
  <si>
    <t xml:space="preserve">שכ"ל גני ילדים    </t>
  </si>
  <si>
    <t>החזר שכל"מ ממשלה</t>
  </si>
  <si>
    <t>סייעת שניה לגילאי  3-4</t>
  </si>
  <si>
    <t>העשרת הסביבה</t>
  </si>
  <si>
    <t>312300  סך הכל</t>
  </si>
  <si>
    <t xml:space="preserve">בגובה העיניים     </t>
  </si>
  <si>
    <t>312330  סך הכל</t>
  </si>
  <si>
    <t xml:space="preserve">ריתמוסיקה         </t>
  </si>
  <si>
    <t>312360  סך הכל</t>
  </si>
  <si>
    <t>תיאטרון בובות</t>
  </si>
  <si>
    <t>תוכנית העשרה</t>
  </si>
  <si>
    <t>312370  סך הכל</t>
  </si>
  <si>
    <t xml:space="preserve">תיאטרון בובות         </t>
  </si>
  <si>
    <t xml:space="preserve">חינוך יסודי       </t>
  </si>
  <si>
    <t>הכנסות גפ"ן בית ספרי</t>
  </si>
  <si>
    <t xml:space="preserve">מזכירות           </t>
  </si>
  <si>
    <t xml:space="preserve">שרתים             </t>
  </si>
  <si>
    <t xml:space="preserve">השתת הממשלה בקב"ט </t>
  </si>
  <si>
    <t xml:space="preserve">קבוצות טפוליות    </t>
  </si>
  <si>
    <t>השת' ממשלה-פרוייקט</t>
  </si>
  <si>
    <t>מחוננים</t>
  </si>
  <si>
    <t>שרת'/מז' ניהול עצמי</t>
  </si>
  <si>
    <t>ציוד ומכשירי חנ"ג</t>
  </si>
  <si>
    <t>גפ"ן בית ספרי יסודי</t>
  </si>
  <si>
    <t>313200  סך הכל</t>
  </si>
  <si>
    <t xml:space="preserve">בתי ספר יסודיים   </t>
  </si>
  <si>
    <t>בתי ספר של קיץ + ניצנים</t>
  </si>
  <si>
    <t>הזנה - הורים</t>
  </si>
  <si>
    <t>גביה מהורים - ניצנים יסודי</t>
  </si>
  <si>
    <t>הכנסות תקורות צהרונים</t>
  </si>
  <si>
    <t>צהרונים - ניצנים ממשה"ח</t>
  </si>
  <si>
    <t>מסגרות חינוכיות בחופשות</t>
  </si>
  <si>
    <t>מסגרות קיץ - משה"ח</t>
  </si>
  <si>
    <t>313201  סך הכל</t>
  </si>
  <si>
    <t>בתי ספר של קיץ</t>
  </si>
  <si>
    <t xml:space="preserve">חינוך מיוחד       </t>
  </si>
  <si>
    <t>השתת' מוסד'ילד חוץ</t>
  </si>
  <si>
    <t xml:space="preserve">סייעות טיפוליות   </t>
  </si>
  <si>
    <t xml:space="preserve">לבורנט וספרן - חלץ </t>
  </si>
  <si>
    <t xml:space="preserve">השת' בהזנה        </t>
  </si>
  <si>
    <t>השתתפות משרד החינוך</t>
  </si>
  <si>
    <t>שרתים+מזכיר'-מתי"א</t>
  </si>
  <si>
    <t>שרותי הקף-יול"א ח.מ</t>
  </si>
  <si>
    <t>313300  סך הכל</t>
  </si>
  <si>
    <t xml:space="preserve">בי"ס ע"ש הרצפלד   </t>
  </si>
  <si>
    <t xml:space="preserve">השתתפות מוסדות    </t>
  </si>
  <si>
    <t xml:space="preserve">מזכירות ושרתים    </t>
  </si>
  <si>
    <t>313310  סך הכל</t>
  </si>
  <si>
    <t xml:space="preserve">חוה חקלאית        </t>
  </si>
  <si>
    <t xml:space="preserve">הצטיידות          </t>
  </si>
  <si>
    <t xml:space="preserve">שרת ומזכירה       </t>
  </si>
  <si>
    <t>313700  סך הכל</t>
  </si>
  <si>
    <t xml:space="preserve">חינוך על-יסודי    </t>
  </si>
  <si>
    <t>מענק קרן ידידי העיר חולון</t>
  </si>
  <si>
    <t>השאלת ספרים חט"ב</t>
  </si>
  <si>
    <t>פרויקטים בהשתתפות משה"ח</t>
  </si>
  <si>
    <t>משלחות ספורט</t>
  </si>
  <si>
    <t>315100  סך הכל</t>
  </si>
  <si>
    <t xml:space="preserve">השתתפויות במוסדות </t>
  </si>
  <si>
    <t>יוזמות - נבון</t>
  </si>
  <si>
    <t>אומ"ץ - משה"ח</t>
  </si>
  <si>
    <t>315110  סך הכל</t>
  </si>
  <si>
    <t>יוזמות - הרצוג</t>
  </si>
  <si>
    <t>315130  סך הכל</t>
  </si>
  <si>
    <t>יוזמות - איילון</t>
  </si>
  <si>
    <t>315150  סך הכל</t>
  </si>
  <si>
    <t>יוזמות - יבנה</t>
  </si>
  <si>
    <t>315160  סך הכל</t>
  </si>
  <si>
    <t>יוזמות - עתידים</t>
  </si>
  <si>
    <t>315180  סך הכל</t>
  </si>
  <si>
    <t xml:space="preserve">בי"ס ע"י ומקיפים  </t>
  </si>
  <si>
    <t>פר' קשישים-משתתפים</t>
  </si>
  <si>
    <t>השתתפות עירונית בגפ"ן</t>
  </si>
  <si>
    <t>השתת' ממשלה - חט"ע</t>
  </si>
  <si>
    <t>השתת' ממשלה - חט"ב</t>
  </si>
  <si>
    <t xml:space="preserve">שעורי עזר לעולים  </t>
  </si>
  <si>
    <t xml:space="preserve">שעורי עזר לנכים   </t>
  </si>
  <si>
    <t xml:space="preserve">קרן השתלמות לשכ"ל </t>
  </si>
  <si>
    <t xml:space="preserve">ליווי לטיולים     </t>
  </si>
  <si>
    <t>עוז לתמורה</t>
  </si>
  <si>
    <t>גמול בגרות אחוזי</t>
  </si>
  <si>
    <t>315710  סך הכל</t>
  </si>
  <si>
    <t xml:space="preserve">חטיבת ביניים-נבון </t>
  </si>
  <si>
    <t xml:space="preserve">בי"ס תיכון קוגל   </t>
  </si>
  <si>
    <t>השת' הממשלה בשכל"מ</t>
  </si>
  <si>
    <t>315720  סך הכל</t>
  </si>
  <si>
    <t xml:space="preserve">תיכון ע"ש הרצוג   </t>
  </si>
  <si>
    <t xml:space="preserve">השאלת מורים לחט"ב </t>
  </si>
  <si>
    <t>315730  סך הכל</t>
  </si>
  <si>
    <t xml:space="preserve">תיכון קרית - שרת  </t>
  </si>
  <si>
    <t>315740  סך הכל</t>
  </si>
  <si>
    <t xml:space="preserve">בי"ס תיכון אילון  </t>
  </si>
  <si>
    <t>315750  סך הכל</t>
  </si>
  <si>
    <t xml:space="preserve">בי"ס תיכון יבנה   </t>
  </si>
  <si>
    <t>שעות רב</t>
  </si>
  <si>
    <t>315760  סך הכל</t>
  </si>
  <si>
    <t>גמנסיה למדעים-קציר</t>
  </si>
  <si>
    <t xml:space="preserve">אשכולות פיס       </t>
  </si>
  <si>
    <t>315770  סך הכל</t>
  </si>
  <si>
    <t>בי"ס תיכון עתידים</t>
  </si>
  <si>
    <t>השתת' הממשלה-חט"ב</t>
  </si>
  <si>
    <t>315800  סך הכל</t>
  </si>
  <si>
    <t>שש שנתי עתידים</t>
  </si>
  <si>
    <t>בי"ס תיכון הייטק - היי</t>
  </si>
  <si>
    <t>315810  סך הכל</t>
  </si>
  <si>
    <t>תיכון חרדי לווית  חן</t>
  </si>
  <si>
    <t>שעורי עזר לנכים</t>
  </si>
  <si>
    <t>315820  סך הכל</t>
  </si>
  <si>
    <t>315830</t>
  </si>
  <si>
    <t>תיכון חנקין</t>
  </si>
  <si>
    <t>שיעורי עזר לנכים</t>
  </si>
  <si>
    <t>קרן השתלמות לשכל"מ</t>
  </si>
  <si>
    <t xml:space="preserve">ליווי טיולים     </t>
  </si>
  <si>
    <t>315840</t>
  </si>
  <si>
    <t>בית ספר חרדי חב"ד</t>
  </si>
  <si>
    <t>312</t>
  </si>
  <si>
    <t>440</t>
  </si>
  <si>
    <t>452</t>
  </si>
  <si>
    <t>920</t>
  </si>
  <si>
    <t>923</t>
  </si>
  <si>
    <t>שעורי עזר לכנים</t>
  </si>
  <si>
    <t>925</t>
  </si>
  <si>
    <t>928</t>
  </si>
  <si>
    <t>930</t>
  </si>
  <si>
    <t>932</t>
  </si>
  <si>
    <t>953</t>
  </si>
  <si>
    <t>סך הכל  315840</t>
  </si>
  <si>
    <t xml:space="preserve">שרותים נוספים     </t>
  </si>
  <si>
    <t>אג' חנוך גני ילדים</t>
  </si>
  <si>
    <t xml:space="preserve">אגרת שירותים      </t>
  </si>
  <si>
    <t>ביטוח תלמידי תיכון</t>
  </si>
  <si>
    <t>הכנסות השאלת ספרים</t>
  </si>
  <si>
    <t>שמירה - חברות בנות</t>
  </si>
  <si>
    <t xml:space="preserve">השתתפות בשיכפול   </t>
  </si>
  <si>
    <t xml:space="preserve">סל לעולים         </t>
  </si>
  <si>
    <t>השת' מ'חינוך באגרה</t>
  </si>
  <si>
    <t>השת' הממשלה בשמירה</t>
  </si>
  <si>
    <t>317000  סך הכל</t>
  </si>
  <si>
    <t xml:space="preserve">מרכזיה פדגוגית    </t>
  </si>
  <si>
    <t>הכנסות משרד החינוך</t>
  </si>
  <si>
    <t>317210  סך הכל</t>
  </si>
  <si>
    <t>שרותים פסיכולוגיים</t>
  </si>
  <si>
    <t>הש'-יוזמות ואיבחון</t>
  </si>
  <si>
    <t xml:space="preserve">שרות משלים        </t>
  </si>
  <si>
    <t>הכלה שפ"מ</t>
  </si>
  <si>
    <t>לקויות למידה בשפח</t>
  </si>
  <si>
    <t xml:space="preserve">שרות פסיכולוגי    </t>
  </si>
  <si>
    <t>יוזמות שפ"י</t>
  </si>
  <si>
    <t xml:space="preserve">השתל' והדרכה משה"ח   </t>
  </si>
  <si>
    <t>הכנסות ביטוח לאומי מרכז טראומה</t>
  </si>
  <si>
    <t>מלגות</t>
  </si>
  <si>
    <t>317300  סך הכל</t>
  </si>
  <si>
    <t xml:space="preserve">רווחה חינוכית     </t>
  </si>
  <si>
    <t>מגשרת בוכרית+אתיופית</t>
  </si>
  <si>
    <t>317600  סך הכל</t>
  </si>
  <si>
    <t>הכנסות מהסעת ילדים</t>
  </si>
  <si>
    <t xml:space="preserve">השת' הורים בהסעות </t>
  </si>
  <si>
    <t>השת' הממשלה בהסעות</t>
  </si>
  <si>
    <t>מלווים בהסעים</t>
  </si>
  <si>
    <t>הסעות מסגרות קיץ</t>
  </si>
  <si>
    <t>317800  סך הכל</t>
  </si>
  <si>
    <t xml:space="preserve">תיאטרון סל-תרבות  </t>
  </si>
  <si>
    <t xml:space="preserve">הכנסות מתיאטרון   </t>
  </si>
  <si>
    <t>317930  סך הכל</t>
  </si>
  <si>
    <t xml:space="preserve">חינוך מבוגרים     </t>
  </si>
  <si>
    <t>הכנסות ממחלקת  צעירים</t>
  </si>
  <si>
    <t>תרבות תורנית</t>
  </si>
  <si>
    <t>מש' החינוך - תרבות תורנית</t>
  </si>
  <si>
    <t>322200  סך הכל</t>
  </si>
  <si>
    <t xml:space="preserve">פעולות תרבותיות   </t>
  </si>
  <si>
    <t xml:space="preserve">ספריות            </t>
  </si>
  <si>
    <t>ביטוח כנגד הוצאות</t>
  </si>
  <si>
    <t>323000  סך הכל</t>
  </si>
  <si>
    <t xml:space="preserve">תיאטרון חולון     </t>
  </si>
  <si>
    <t xml:space="preserve">ביטוח-כנגד הוצאות             </t>
  </si>
  <si>
    <t>326100  סך הכל</t>
  </si>
  <si>
    <t>מוזיאון עולמות ילד</t>
  </si>
  <si>
    <t xml:space="preserve">שכר דירה    </t>
  </si>
  <si>
    <t>326300  סך הכל</t>
  </si>
  <si>
    <t>מתנ"ס ע"ש שטיינברג</t>
  </si>
  <si>
    <t>326400  סך הכל</t>
  </si>
  <si>
    <t xml:space="preserve">המחלקה לארועים    </t>
  </si>
  <si>
    <t>הכנס'מחלקת אירועים</t>
  </si>
  <si>
    <t>מופעי קיץ</t>
  </si>
  <si>
    <t>תוכנית סל"ע מ.תרבות</t>
  </si>
  <si>
    <t>326500  סך הכל</t>
  </si>
  <si>
    <t>מרכז סירקין</t>
  </si>
  <si>
    <t>הכנסות ממשרד התרבות</t>
  </si>
  <si>
    <t>326700  סך הכל</t>
  </si>
  <si>
    <t>מוזיאון העיצוב</t>
  </si>
  <si>
    <t>326800  סך הכל</t>
  </si>
  <si>
    <t xml:space="preserve">נוער וצעירים </t>
  </si>
  <si>
    <t>תוכנית פיס חוסן קהילתי</t>
  </si>
  <si>
    <t>מפעל הפיס נוער וצעירים</t>
  </si>
  <si>
    <t>מעשים טובים-הרוח הטובה</t>
  </si>
  <si>
    <t>הכנ' משרד החינוך</t>
  </si>
  <si>
    <t>328100  סך הכל</t>
  </si>
  <si>
    <t>מינהלת מחלקת הנוער וצעירים</t>
  </si>
  <si>
    <t xml:space="preserve">קידום נוער        </t>
  </si>
  <si>
    <t>328120  סך הכל</t>
  </si>
  <si>
    <t>אגף קהילה</t>
  </si>
  <si>
    <t>הכנסות ממחלקת צעירים</t>
  </si>
  <si>
    <t>הכנסות אירוע התנדבות</t>
  </si>
  <si>
    <t>השת' משרד הביטחון</t>
  </si>
  <si>
    <t>328130  סך הכל</t>
  </si>
  <si>
    <t xml:space="preserve">המח' לקהילה ופנאי </t>
  </si>
  <si>
    <t>העברה לבתי ספר</t>
  </si>
  <si>
    <t>328200  סך הכל</t>
  </si>
  <si>
    <t xml:space="preserve">המרכז לאומנויות   </t>
  </si>
  <si>
    <t>חשמל - אומנות דיגיטלית</t>
  </si>
  <si>
    <t>328240  סך הכל</t>
  </si>
  <si>
    <t xml:space="preserve">ספורט             </t>
  </si>
  <si>
    <t xml:space="preserve">דמי שימוש באולם   </t>
  </si>
  <si>
    <t>מועדוני ספ' תרבות</t>
  </si>
  <si>
    <t xml:space="preserve">סל ספורט          </t>
  </si>
  <si>
    <t>מרכזי מצוינות</t>
  </si>
  <si>
    <t>329100  סך הכל</t>
  </si>
  <si>
    <t xml:space="preserve">מינהל הספורט      </t>
  </si>
  <si>
    <t xml:space="preserve">רווחה             </t>
  </si>
  <si>
    <t xml:space="preserve">הכנסות עבור יעוץ  </t>
  </si>
  <si>
    <t>בטל"א-תחזוקה</t>
  </si>
  <si>
    <t>פעולות ארגוניות</t>
  </si>
  <si>
    <t xml:space="preserve">שכר עובדים </t>
  </si>
  <si>
    <t>מאבטחים - רווחה</t>
  </si>
  <si>
    <t>הערכות לחירום</t>
  </si>
  <si>
    <t>חליפת מיגון</t>
  </si>
  <si>
    <t>341000  סך הכל</t>
  </si>
  <si>
    <t xml:space="preserve">מינהל הרווחה      </t>
  </si>
  <si>
    <t>רווחת הפרט והמשפחה</t>
  </si>
  <si>
    <t xml:space="preserve">השתתפות פונים     </t>
  </si>
  <si>
    <t>השת'-טיפול באלימות</t>
  </si>
  <si>
    <t>אג'לשיקום האסיר50%</t>
  </si>
  <si>
    <t>משפ' במצוקה</t>
  </si>
  <si>
    <t xml:space="preserve">עולים מצ'  </t>
  </si>
  <si>
    <t>פגיעות מיניות</t>
  </si>
  <si>
    <t xml:space="preserve">שכר משפחה  </t>
  </si>
  <si>
    <t>טיפול בשורדות זנות</t>
  </si>
  <si>
    <t>מרכז קשר</t>
  </si>
  <si>
    <t>שירותים בקהילה</t>
  </si>
  <si>
    <t xml:space="preserve">דרי רחוב   </t>
  </si>
  <si>
    <t>מרכז טיפול באלימות</t>
  </si>
  <si>
    <t xml:space="preserve">מקלט לנשים מוכות  </t>
  </si>
  <si>
    <t>תרגום שפה-פגישות חוק נוער</t>
  </si>
  <si>
    <t>חומש אתיופים-פעולות</t>
  </si>
  <si>
    <t>טיפול באובדן ושכול</t>
  </si>
  <si>
    <t>342500  סך הכל</t>
  </si>
  <si>
    <t xml:space="preserve">טיפול במשפחה      </t>
  </si>
  <si>
    <t>שרותים לילד ולנוער</t>
  </si>
  <si>
    <t xml:space="preserve">ילד בפנימיות </t>
  </si>
  <si>
    <t>הכנסות פנדה</t>
  </si>
  <si>
    <t>נוער חרדי</t>
  </si>
  <si>
    <t>ילדי פנימיות-עולים</t>
  </si>
  <si>
    <t xml:space="preserve">ילד במעונות </t>
  </si>
  <si>
    <t>משפחות וילדים בקהילה</t>
  </si>
  <si>
    <t xml:space="preserve">מפתן מקומי </t>
  </si>
  <si>
    <t>תכנית לילדים בסיכון</t>
  </si>
  <si>
    <t>חולון 360 שנים קודמות</t>
  </si>
  <si>
    <t>תוכנית "אל הגן "</t>
  </si>
  <si>
    <t>תוכניות טיפול בעולים</t>
  </si>
  <si>
    <t>מועד'משותפ'</t>
  </si>
  <si>
    <t xml:space="preserve">הפנים לקהילה </t>
  </si>
  <si>
    <t>טיפול במשפחות אומנה</t>
  </si>
  <si>
    <t>טיפול בפגיעות מיניות</t>
  </si>
  <si>
    <t>343800  סך הכל</t>
  </si>
  <si>
    <t xml:space="preserve">טיפול בילד ובנוער </t>
  </si>
  <si>
    <t xml:space="preserve">שרותים לקשיש      </t>
  </si>
  <si>
    <t>השתתפות קשישים</t>
  </si>
  <si>
    <t>פרוייקט אשל</t>
  </si>
  <si>
    <t>השת' קשישים-מעונות</t>
  </si>
  <si>
    <t>תכנית אב לאזרחים ותיקים</t>
  </si>
  <si>
    <t>סיוע לאזרחים ותיקים</t>
  </si>
  <si>
    <t xml:space="preserve">אח'במעונות </t>
  </si>
  <si>
    <t>הזדקנות מיטבית בקהילה</t>
  </si>
  <si>
    <t>שרותים לניצולי שואה</t>
  </si>
  <si>
    <t>344300  סך הכל</t>
  </si>
  <si>
    <t xml:space="preserve">טיפול בזקן        </t>
  </si>
  <si>
    <t>תעס'+מרכז יום קשיש</t>
  </si>
  <si>
    <t>מועדוני קשיש</t>
  </si>
  <si>
    <t>344500  סך הכל</t>
  </si>
  <si>
    <t xml:space="preserve">שרות למוגבלים שכה"ת-קהילתי </t>
  </si>
  <si>
    <t>השתתפויות</t>
  </si>
  <si>
    <t xml:space="preserve">מעונות יום </t>
  </si>
  <si>
    <t>מע' יום טיפולים</t>
  </si>
  <si>
    <t>הסעות למוגבלים שכה"ת</t>
  </si>
  <si>
    <t xml:space="preserve">סידור מוסד </t>
  </si>
  <si>
    <t xml:space="preserve">מוסדות ממש </t>
  </si>
  <si>
    <t>סביבה תומכת לבוגרים</t>
  </si>
  <si>
    <t>345300  סך הכל</t>
  </si>
  <si>
    <t xml:space="preserve">ש. למוגבלים שכה"ת-קהילתי </t>
  </si>
  <si>
    <t>מרכז קש"ת</t>
  </si>
  <si>
    <t xml:space="preserve">השתתפות צד-שלישי  </t>
  </si>
  <si>
    <t xml:space="preserve">חניכים הסעות      </t>
  </si>
  <si>
    <t xml:space="preserve">מע"ש ממשלה </t>
  </si>
  <si>
    <t>345400  סך הכל</t>
  </si>
  <si>
    <t xml:space="preserve">שרותי שיקום       </t>
  </si>
  <si>
    <t>מועדון חברתי לבוגרים</t>
  </si>
  <si>
    <t xml:space="preserve">ילדים במוסדות </t>
  </si>
  <si>
    <t>הדרכת עיוורים</t>
  </si>
  <si>
    <t>346200  סך הכל</t>
  </si>
  <si>
    <t xml:space="preserve">טיפול בעיוור       </t>
  </si>
  <si>
    <t xml:space="preserve">שיקום נכים        </t>
  </si>
  <si>
    <t>מרכזי איבחון ושיקום</t>
  </si>
  <si>
    <t xml:space="preserve">הסעות נכים </t>
  </si>
  <si>
    <t>שיקום מוגבלויות</t>
  </si>
  <si>
    <t>פעולות קיץ לאוטיסטים</t>
  </si>
  <si>
    <t>מרכז נוער לשיקום</t>
  </si>
  <si>
    <t>נכים קשים בקהילה</t>
  </si>
  <si>
    <t>תעסוקה מוגנת למוגבל</t>
  </si>
  <si>
    <t>הסעות למעונות יום</t>
  </si>
  <si>
    <t>קהילה תומכת</t>
  </si>
  <si>
    <t>מלווים למעונות יום</t>
  </si>
  <si>
    <t>תכניות תעסוקה</t>
  </si>
  <si>
    <t>נפגעי ראש</t>
  </si>
  <si>
    <t>מ.יום שיקומי</t>
  </si>
  <si>
    <t>טיפול בילד חריג</t>
  </si>
  <si>
    <t>מעונות ממשלתיים-נכים</t>
  </si>
  <si>
    <t>הסעות לאוטיסטים</t>
  </si>
  <si>
    <t>אוטיסטים</t>
  </si>
  <si>
    <t>נופשונים מש"ה ושיקום</t>
  </si>
  <si>
    <t>מרכז למשפחה</t>
  </si>
  <si>
    <t>נכים בפנימיה</t>
  </si>
  <si>
    <t xml:space="preserve">נכה באומנה </t>
  </si>
  <si>
    <t>346500  סך הכל</t>
  </si>
  <si>
    <t xml:space="preserve">שרותי תיקון       </t>
  </si>
  <si>
    <t xml:space="preserve">מע' חסות   </t>
  </si>
  <si>
    <t>נוצץ שירותים בקהילה</t>
  </si>
  <si>
    <t>חוץ ביתי נוצץ</t>
  </si>
  <si>
    <t>תכנית מית"ר</t>
  </si>
  <si>
    <t>תכנית "יתד"</t>
  </si>
  <si>
    <t>תכנית ניצוץ</t>
  </si>
  <si>
    <t>347100  סך הכל</t>
  </si>
  <si>
    <t xml:space="preserve">נוער מצוקה        </t>
  </si>
  <si>
    <t>347200  סך הכל</t>
  </si>
  <si>
    <t xml:space="preserve">מלחמה בסמים       </t>
  </si>
  <si>
    <t>השתתפות נפגעי סמים</t>
  </si>
  <si>
    <t>טיפול במשפחות מכורים</t>
  </si>
  <si>
    <t>טיפול בנגמלים חוץ ביתי</t>
  </si>
  <si>
    <t>טיפול בהתמכרויות</t>
  </si>
  <si>
    <t>347300  סך הכל</t>
  </si>
  <si>
    <t xml:space="preserve">עבודה קהילתית     </t>
  </si>
  <si>
    <t>השת' למשפחות בקהילה</t>
  </si>
  <si>
    <t xml:space="preserve">פע' התנדבות </t>
  </si>
  <si>
    <t>פרוייקט עוצמה</t>
  </si>
  <si>
    <t>אחז'מרכ'קהל</t>
  </si>
  <si>
    <t>לשכת יעוץ לאזרח</t>
  </si>
  <si>
    <t>348100  סך הכל</t>
  </si>
  <si>
    <t xml:space="preserve">קליטת עליה        </t>
  </si>
  <si>
    <t xml:space="preserve">הכנסות מארועים    </t>
  </si>
  <si>
    <t xml:space="preserve">אולפני סוכנות     </t>
  </si>
  <si>
    <t>תוכנית מחוברים</t>
  </si>
  <si>
    <t>משרד הקליטה - שכר עובדים</t>
  </si>
  <si>
    <t>הכנסות משרד ממשלה</t>
  </si>
  <si>
    <t>משרד הקליטה-ארועים</t>
  </si>
  <si>
    <t>368000  סך הכל</t>
  </si>
  <si>
    <t xml:space="preserve">אולפנים לעברית    </t>
  </si>
  <si>
    <t>שרותים לקליטת עליה</t>
  </si>
  <si>
    <t>הכנסות מארועים</t>
  </si>
  <si>
    <t>369000  סך הכל</t>
  </si>
  <si>
    <t xml:space="preserve">איכות הסביבה      </t>
  </si>
  <si>
    <t>השתתפות מועצת אזור</t>
  </si>
  <si>
    <t xml:space="preserve">מש' איכות הסביבה  </t>
  </si>
  <si>
    <t>קרן לשמירת הנקיון-מ'איכות</t>
  </si>
  <si>
    <t>379000  סך הכל</t>
  </si>
  <si>
    <t xml:space="preserve">יח' לאיכות סביבה  </t>
  </si>
  <si>
    <t xml:space="preserve">מפעלים            </t>
  </si>
  <si>
    <t xml:space="preserve">אספקת מים גביה    </t>
  </si>
  <si>
    <t>גביה - חב' מילגם</t>
  </si>
  <si>
    <t>שרותים לתאגיד</t>
  </si>
  <si>
    <t>412000  סך הכל</t>
  </si>
  <si>
    <t>מים גבייה</t>
  </si>
  <si>
    <t xml:space="preserve">נכסים             </t>
  </si>
  <si>
    <t>שכ"ד - בית קפה "בובו"710</t>
  </si>
  <si>
    <t>בית קפה-גן בח' - 300</t>
  </si>
  <si>
    <t>חשמל - בית קפה "בובו"</t>
  </si>
  <si>
    <t>שכ"ד - חכ"ל  686</t>
  </si>
  <si>
    <t>דמ"ח חכ"ל - 716</t>
  </si>
  <si>
    <t>שכ"ד - משען  683</t>
  </si>
  <si>
    <t>שכ"ד-מכון טכנולוגי  684</t>
  </si>
  <si>
    <t>שכ"ד - אג"ד  555</t>
  </si>
  <si>
    <t>שכ"ד - תלפיות 685</t>
  </si>
  <si>
    <t>שכ"ד - עמותת אל"י</t>
  </si>
  <si>
    <t>שכ"ד - נכס אילון פינת גולדה</t>
  </si>
  <si>
    <t>שכ"ד - דן 105</t>
  </si>
  <si>
    <t>דמ"ח מרפאות בריאות כללית</t>
  </si>
  <si>
    <t>הכנסות חניות עזריאלי</t>
  </si>
  <si>
    <t>דמי שימוש גב ים</t>
  </si>
  <si>
    <t>שכ"ד עמותת אושר למען ילדי חינוך המיוחד</t>
  </si>
  <si>
    <t>הכנסות דמי שימוש שונות</t>
  </si>
  <si>
    <t>433000  סך הכל</t>
  </si>
  <si>
    <t xml:space="preserve">משרדים ועסקים     </t>
  </si>
  <si>
    <t xml:space="preserve">דמי זיכיון        </t>
  </si>
  <si>
    <t>דמי שימוש בקרקע ציבורית</t>
  </si>
  <si>
    <t>דמ"ז - ח' לבידור  556</t>
  </si>
  <si>
    <t xml:space="preserve">דמי זכיון  משלטים        </t>
  </si>
  <si>
    <t>439000  סך הכל</t>
  </si>
  <si>
    <t xml:space="preserve">מפעל הביוב        </t>
  </si>
  <si>
    <t xml:space="preserve">אג' ביוב-איגוד ערים         </t>
  </si>
  <si>
    <t>472000  סך הכל</t>
  </si>
  <si>
    <t xml:space="preserve">ביוב עירוני       </t>
  </si>
  <si>
    <t xml:space="preserve">תקבולים לא רגילים </t>
  </si>
  <si>
    <t xml:space="preserve">רבית ודיוידנדים   </t>
  </si>
  <si>
    <t>511000  סך הכל</t>
  </si>
  <si>
    <t xml:space="preserve">ריבית ודיווידנדים </t>
  </si>
  <si>
    <t>ריבית מהקדמת תשלום</t>
  </si>
  <si>
    <t xml:space="preserve">רבית מהקדמת תשלום </t>
  </si>
  <si>
    <t>הנחות מימון אשפה</t>
  </si>
  <si>
    <t>512000  סך הכל</t>
  </si>
  <si>
    <t>החזרים-שנים קודמות</t>
  </si>
  <si>
    <t>הכנסות-שנים קודמות</t>
  </si>
  <si>
    <t>העברה מעודף מצטבר</t>
  </si>
  <si>
    <t>הכנסות ש.ק.מ.טכנולוגי (אנטנות)</t>
  </si>
  <si>
    <t>הכנסות שונות מפעל הפיס</t>
  </si>
  <si>
    <t>הכנסות שנים קודמות-ממשלה</t>
  </si>
  <si>
    <t>513000  סך הכל</t>
  </si>
  <si>
    <t xml:space="preserve">הכנסות מיוחדות    </t>
  </si>
  <si>
    <t>חדרי שנאים חברת חשמל-נת"ע</t>
  </si>
  <si>
    <t>תקב'-הביטוח הלאומי</t>
  </si>
  <si>
    <t xml:space="preserve">השתתפות בגימלה    </t>
  </si>
  <si>
    <t xml:space="preserve">החזר הוצ' משפטיות </t>
  </si>
  <si>
    <t>חשמל - מוזיאון הקריקטורות</t>
  </si>
  <si>
    <t xml:space="preserve">הכנסות משכ"ל    </t>
  </si>
  <si>
    <t>קרן ארנונה</t>
  </si>
  <si>
    <t>594000  סך הכל</t>
  </si>
  <si>
    <t>העברות</t>
  </si>
  <si>
    <t>העברת יתרות</t>
  </si>
  <si>
    <t>599300  סך הכל</t>
  </si>
  <si>
    <t>סה"כ  תקבולים</t>
  </si>
  <si>
    <t>תשלומים</t>
  </si>
  <si>
    <t xml:space="preserve">הנהלה כללית       </t>
  </si>
  <si>
    <t xml:space="preserve">עובדים חיצוניים   </t>
  </si>
  <si>
    <t>ליסינג</t>
  </si>
  <si>
    <t xml:space="preserve">הוצאות </t>
  </si>
  <si>
    <t>הוצאות רכב</t>
  </si>
  <si>
    <t>בטוח אחריות בכירים</t>
  </si>
  <si>
    <t xml:space="preserve">הוצאות דאר        </t>
  </si>
  <si>
    <t>דוברות</t>
  </si>
  <si>
    <t>הסברה</t>
  </si>
  <si>
    <t>צלמים</t>
  </si>
  <si>
    <t>כתיבת טקסטים</t>
  </si>
  <si>
    <t xml:space="preserve">הדפסות            </t>
  </si>
  <si>
    <t xml:space="preserve">הדפסת פרטיכלים    </t>
  </si>
  <si>
    <t>השכרת פרומפטר</t>
  </si>
  <si>
    <t>611100  סך הכל</t>
  </si>
  <si>
    <t xml:space="preserve">ראש  הרשות וסגניו </t>
  </si>
  <si>
    <t xml:space="preserve">מבקר הרשות        </t>
  </si>
  <si>
    <t>ליסינג 272-41-803</t>
  </si>
  <si>
    <t>הוצאות  272-41-803</t>
  </si>
  <si>
    <t xml:space="preserve">אחזקת מכונות      </t>
  </si>
  <si>
    <t>השתלמות עובדים</t>
  </si>
  <si>
    <t>סקרים ויעוץ חיצוני</t>
  </si>
  <si>
    <t>פעולות סמנכ''ל</t>
  </si>
  <si>
    <t>612000  סך הכל</t>
  </si>
  <si>
    <t>ליסינג 688-75-403</t>
  </si>
  <si>
    <t>חוזר מנכ''ל</t>
  </si>
  <si>
    <t xml:space="preserve">פעולות שונות      </t>
  </si>
  <si>
    <t>שיווק והסברה דיגיטלים</t>
  </si>
  <si>
    <t>ניהול הרשות במדיה החברתית</t>
  </si>
  <si>
    <t>שיח ברשתות החברתיות</t>
  </si>
  <si>
    <t>סיורים מקצועיים+סיורים בשכונות</t>
  </si>
  <si>
    <t>613100  סך הכל</t>
  </si>
  <si>
    <t>משרד מנכ"ל העירייה</t>
  </si>
  <si>
    <t>מז' תיפעול  ומינהל</t>
  </si>
  <si>
    <t>ליסינג 548-86-802</t>
  </si>
  <si>
    <t>הוצאות  548-86-802</t>
  </si>
  <si>
    <t xml:space="preserve">משלוחים           </t>
  </si>
  <si>
    <t xml:space="preserve">סקר חשמל  </t>
  </si>
  <si>
    <t>פעולות סמנכ"ל</t>
  </si>
  <si>
    <t>613200  סך הכל</t>
  </si>
  <si>
    <t>האגף למערכות מידע ותקשוב</t>
  </si>
  <si>
    <t>ליסינג 596-85-003</t>
  </si>
  <si>
    <t>הוצאות  596-85-003</t>
  </si>
  <si>
    <t xml:space="preserve">תחזוקת תוכנה      </t>
  </si>
  <si>
    <t xml:space="preserve">תחזוקת חומרה-חוזה </t>
  </si>
  <si>
    <t>שאילתות מינהל האוכלוסין</t>
  </si>
  <si>
    <t xml:space="preserve">השתלמויות עובדים  </t>
  </si>
  <si>
    <t>אבטחת מידע</t>
  </si>
  <si>
    <t xml:space="preserve">חומרים אוזלים     </t>
  </si>
  <si>
    <t>תוכניתנים חיצוניים</t>
  </si>
  <si>
    <t xml:space="preserve">רכישות            </t>
  </si>
  <si>
    <t>613220  סך הכל</t>
  </si>
  <si>
    <t>אגף למע' מידע ותקשוב</t>
  </si>
  <si>
    <t xml:space="preserve">שרותי מיכון וענ"א </t>
  </si>
  <si>
    <t>613221  סך הכל</t>
  </si>
  <si>
    <t xml:space="preserve">גנזך ומוזיאון     </t>
  </si>
  <si>
    <t xml:space="preserve">השתת במס ועד בית  </t>
  </si>
  <si>
    <t>ביטוח</t>
  </si>
  <si>
    <t>שרותי גניזה</t>
  </si>
  <si>
    <t>613300  סך הכל</t>
  </si>
  <si>
    <t xml:space="preserve">רשום תכולה        </t>
  </si>
  <si>
    <t>613400  סך הכל</t>
  </si>
  <si>
    <t>משאבי אנוש</t>
  </si>
  <si>
    <t>עובדי חברות כח-אדם</t>
  </si>
  <si>
    <t>מ"מ עובדים חיצוניים</t>
  </si>
  <si>
    <t>ליסינג 599-35-703</t>
  </si>
  <si>
    <t>מועדון לקוחות</t>
  </si>
  <si>
    <t>השתלמויות-ימי עיון</t>
  </si>
  <si>
    <t xml:space="preserve">השתתפות באירגונים </t>
  </si>
  <si>
    <t xml:space="preserve">קורסים מקצועיים   </t>
  </si>
  <si>
    <t xml:space="preserve">השתת' בשכר לימוד  </t>
  </si>
  <si>
    <t>חברות-עמותות השתל'</t>
  </si>
  <si>
    <t>עובדים שרותיים ומוערכים</t>
  </si>
  <si>
    <t>בדיקות פסיכוטכניות</t>
  </si>
  <si>
    <t xml:space="preserve">בדיקות רפואיות    </t>
  </si>
  <si>
    <t>יעוץ משפטי</t>
  </si>
  <si>
    <t>שרותי סיוע לנושאי פנסיה</t>
  </si>
  <si>
    <t>ארועים לעובדים</t>
  </si>
  <si>
    <t xml:space="preserve">טיפול  בפנסיונרים </t>
  </si>
  <si>
    <t xml:space="preserve">עובד מצטיין       </t>
  </si>
  <si>
    <t>השתלמות מקצועית לעובדים</t>
  </si>
  <si>
    <t>שי לעובדים חדשים</t>
  </si>
  <si>
    <t>קבוצות ספורט-עיריית חולון</t>
  </si>
  <si>
    <t>פיתוח משאבי אנוש</t>
  </si>
  <si>
    <t>יום עיון לעובדים חדשים</t>
  </si>
  <si>
    <t>אימהות יחידניות</t>
  </si>
  <si>
    <t>615000  סך הכל</t>
  </si>
  <si>
    <t xml:space="preserve">מחלקת שכר         </t>
  </si>
  <si>
    <t>הוצאות דואר</t>
  </si>
  <si>
    <t>ארכיבאות מגנטית</t>
  </si>
  <si>
    <t>לשכת שירות חישוב שכר</t>
  </si>
  <si>
    <t>שרותי סליקה פנסיונית</t>
  </si>
  <si>
    <t>615100  סך הכל</t>
  </si>
  <si>
    <t>אגף איכות ותהלכי עבודה</t>
  </si>
  <si>
    <t>616000  סך הכל</t>
  </si>
  <si>
    <t xml:space="preserve">שרות משפטי        </t>
  </si>
  <si>
    <t>ליסינג לשני רכבים</t>
  </si>
  <si>
    <t>הוצאות לשני רכבים</t>
  </si>
  <si>
    <t>רכישת תוכנות וידע</t>
  </si>
  <si>
    <t xml:space="preserve">ייעוץ משפטי       </t>
  </si>
  <si>
    <t xml:space="preserve">הוצאות משפטיות    </t>
  </si>
  <si>
    <t>617000  סך הכל</t>
  </si>
  <si>
    <t>תכנון אסטרטגי+מידע</t>
  </si>
  <si>
    <t xml:space="preserve">שנתון סטטיסטי     </t>
  </si>
  <si>
    <t xml:space="preserve">סקרים             </t>
  </si>
  <si>
    <t>ריכוז נתונים ומידע</t>
  </si>
  <si>
    <t xml:space="preserve">תוכניות עבודה </t>
  </si>
  <si>
    <t>618000  סך הכל</t>
  </si>
  <si>
    <t>שכר בחירות</t>
  </si>
  <si>
    <t>619000  סך הכל</t>
  </si>
  <si>
    <t xml:space="preserve">מינהל כספי        </t>
  </si>
  <si>
    <t>ליסינג 523-32-003</t>
  </si>
  <si>
    <t>הוצאות 523-32-003</t>
  </si>
  <si>
    <t>פרסומים</t>
  </si>
  <si>
    <t xml:space="preserve">יעוץ כלכלי        </t>
  </si>
  <si>
    <t>תגבור פעולות</t>
  </si>
  <si>
    <t>621100  סך הכל</t>
  </si>
  <si>
    <t>משרד גזבר העירייה</t>
  </si>
  <si>
    <t>תקציבים ובקרה</t>
  </si>
  <si>
    <t xml:space="preserve">עובד חיצוני       </t>
  </si>
  <si>
    <t>621200  סך הכל</t>
  </si>
  <si>
    <t xml:space="preserve">הנה"ח המרכזית     </t>
  </si>
  <si>
    <t xml:space="preserve">עובדת חברה        </t>
  </si>
  <si>
    <t xml:space="preserve">הדפסת דוחות       </t>
  </si>
  <si>
    <t xml:space="preserve">יעוץ חיצוני       </t>
  </si>
  <si>
    <t xml:space="preserve">שרותי הנה"ח       </t>
  </si>
  <si>
    <t>621300  סך הכל</t>
  </si>
  <si>
    <t>בדיקת מצבת גימלאים</t>
  </si>
  <si>
    <t>621500  סך הכל</t>
  </si>
  <si>
    <t>מכרזים והתקשרויות</t>
  </si>
  <si>
    <t>621800  סך הכל</t>
  </si>
  <si>
    <t xml:space="preserve">שומה              </t>
  </si>
  <si>
    <t>ליסינג 661-36-602</t>
  </si>
  <si>
    <t>הוצאות 661-36-602</t>
  </si>
  <si>
    <t>הוצ' משפטיות - ועדת ערר</t>
  </si>
  <si>
    <t>הוצ' חברי ועדת ערר</t>
  </si>
  <si>
    <t>רז' פעולות ורכישות</t>
  </si>
  <si>
    <t>622000  סך הכל</t>
  </si>
  <si>
    <t xml:space="preserve">גביה              </t>
  </si>
  <si>
    <t xml:space="preserve">אגף ההכנסות     </t>
  </si>
  <si>
    <t>דמי סליקה לוטרינריה</t>
  </si>
  <si>
    <t>623100  סך הכל</t>
  </si>
  <si>
    <t xml:space="preserve">מענה קולי         </t>
  </si>
  <si>
    <t xml:space="preserve">אכיפת גביה        </t>
  </si>
  <si>
    <t>אכיפת גביה - חניה</t>
  </si>
  <si>
    <t>אכיפת קנסות ברירת משפט</t>
  </si>
  <si>
    <t>623200  סך הכל</t>
  </si>
  <si>
    <t xml:space="preserve">הקופה             </t>
  </si>
  <si>
    <t xml:space="preserve">ביטוח כספים       </t>
  </si>
  <si>
    <t>623700  סך הכל</t>
  </si>
  <si>
    <t xml:space="preserve">הוצאות מימון      </t>
  </si>
  <si>
    <t xml:space="preserve">עמלות תשלומי דלפק </t>
  </si>
  <si>
    <t>עמלות כרטיסי אשראי</t>
  </si>
  <si>
    <t xml:space="preserve">עמלת תשלום חוזרים </t>
  </si>
  <si>
    <t xml:space="preserve">עמלות הוראות קבע  </t>
  </si>
  <si>
    <t xml:space="preserve">דמי ניהול חשבון   </t>
  </si>
  <si>
    <t xml:space="preserve">העברות בין בנקים  </t>
  </si>
  <si>
    <t>עמלות בנק, דואר ואחרים</t>
  </si>
  <si>
    <t>החזר הצמדת פק' פינוי פסולת</t>
  </si>
  <si>
    <t>631000  סך הכל</t>
  </si>
  <si>
    <t>עמלות והוצ' בנקאיות</t>
  </si>
  <si>
    <t>ריבית על משיכת יתר</t>
  </si>
  <si>
    <t>632000  סך הכל</t>
  </si>
  <si>
    <t xml:space="preserve">הנחות למשלמי מס   </t>
  </si>
  <si>
    <t xml:space="preserve">הנחות למשלמים מראש   </t>
  </si>
  <si>
    <t>633000  סך הכל</t>
  </si>
  <si>
    <t xml:space="preserve">פרעון מלוות       </t>
  </si>
  <si>
    <t xml:space="preserve">תשלומים ע"ח הקרן  </t>
  </si>
  <si>
    <t>תשלומים ע"ח הריבית</t>
  </si>
  <si>
    <t>תש' ע"ח הצמדה וערך</t>
  </si>
  <si>
    <t>קרן - הלוואה  לממשלה</t>
  </si>
  <si>
    <t>ריבית - הלוואה  לממשלה</t>
  </si>
  <si>
    <t>648000  סך הכל</t>
  </si>
  <si>
    <t>פרעון מלוות - עצמי</t>
  </si>
  <si>
    <t xml:space="preserve">שרותים מקומיים    </t>
  </si>
  <si>
    <t>ליסינג 363-92-903</t>
  </si>
  <si>
    <t xml:space="preserve">הוצאות 363-92-903   </t>
  </si>
  <si>
    <t>711100  סך הכל</t>
  </si>
  <si>
    <t>אגף שפ"ע</t>
  </si>
  <si>
    <t xml:space="preserve">שרותי נקיון       </t>
  </si>
  <si>
    <t>עבודות קבלניות רכב</t>
  </si>
  <si>
    <t xml:space="preserve">שקיות אשפה        </t>
  </si>
  <si>
    <t>עבודות קבלניות</t>
  </si>
  <si>
    <t>הסרת גרפיטי מהמרחב הציבורי</t>
  </si>
  <si>
    <t>תיקון מבני מנהלי רובע</t>
  </si>
  <si>
    <t xml:space="preserve">נקוי רח'בקבלנות   </t>
  </si>
  <si>
    <t xml:space="preserve">פנוי גזם          </t>
  </si>
  <si>
    <t>712200  סך הכל</t>
  </si>
  <si>
    <t xml:space="preserve">נקוי רחובות       </t>
  </si>
  <si>
    <t xml:space="preserve">איסוף וביעור אשפה  </t>
  </si>
  <si>
    <t xml:space="preserve">אספקת עובדים      </t>
  </si>
  <si>
    <t xml:space="preserve">אספקת פועלים      </t>
  </si>
  <si>
    <t>כלכלה לעובדי תגבור</t>
  </si>
  <si>
    <t>פסולת בנין</t>
  </si>
  <si>
    <t xml:space="preserve">פינוי אשפה - פחים </t>
  </si>
  <si>
    <t>פינוי אריזות-כתומים במקור</t>
  </si>
  <si>
    <t>פנוי אשפה  בקבלנות</t>
  </si>
  <si>
    <t>פנוי אשפה (מהכנסה) עיסקית</t>
  </si>
  <si>
    <t xml:space="preserve">שינוע אשפה        </t>
  </si>
  <si>
    <t>איסוף נייר למיחזור</t>
  </si>
  <si>
    <t>השתת'באיגוד תברואה</t>
  </si>
  <si>
    <t>712300  סך הכל</t>
  </si>
  <si>
    <t>אח'שירותים צבוריים</t>
  </si>
  <si>
    <t>נקיון שרותים צבורי</t>
  </si>
  <si>
    <t xml:space="preserve">מסגרים חיצוניים   </t>
  </si>
  <si>
    <t xml:space="preserve">עבודות בטיחות ח"פ </t>
  </si>
  <si>
    <t>712500  סך הכל</t>
  </si>
  <si>
    <t xml:space="preserve">תחנת המעבר        </t>
  </si>
  <si>
    <t>אחזקת גנרטור ומשקל</t>
  </si>
  <si>
    <t>שמ' תחנה+מ'גרוטאות</t>
  </si>
  <si>
    <t>712600  סך הכל</t>
  </si>
  <si>
    <t>חבילת גלישה</t>
  </si>
  <si>
    <t>מעוף קידום עסקים</t>
  </si>
  <si>
    <t>דו"ח רשם החברות</t>
  </si>
  <si>
    <t>סקר שילוט</t>
  </si>
  <si>
    <t>משפטי שלוט</t>
  </si>
  <si>
    <t>מנגנון לסגירת עסקים</t>
  </si>
  <si>
    <t>סוכן AI לרישוי עסקים</t>
  </si>
  <si>
    <t>אח' והחלפת לוחות שכונתיים</t>
  </si>
  <si>
    <t>ציוד בטיחותי אישי</t>
  </si>
  <si>
    <t>התקנת ואחזקת שילוט</t>
  </si>
  <si>
    <t>713300  סך הכל</t>
  </si>
  <si>
    <t>פיקוח עסקים+מוסדות</t>
  </si>
  <si>
    <t xml:space="preserve">בדיקות בשר        </t>
  </si>
  <si>
    <t xml:space="preserve">חומר חיסון לכלבים </t>
  </si>
  <si>
    <t>מרפאות וטרינרית-חרום</t>
  </si>
  <si>
    <t xml:space="preserve">הסגרת כלבים       </t>
  </si>
  <si>
    <t xml:space="preserve">הסגר-בעלי חיים    </t>
  </si>
  <si>
    <t>מוקד ארצי לחיסונים</t>
  </si>
  <si>
    <t>ציוד וחומרים מרפאה ווטרינרית</t>
  </si>
  <si>
    <t>רכישות ציוד</t>
  </si>
  <si>
    <t>714000  סך הכל</t>
  </si>
  <si>
    <t xml:space="preserve">תברואה  מונעת     </t>
  </si>
  <si>
    <t xml:space="preserve">פעולות הסברה      </t>
  </si>
  <si>
    <t xml:space="preserve">פעולות הדברה      </t>
  </si>
  <si>
    <t>הדברה</t>
  </si>
  <si>
    <t>715300  סך הכל</t>
  </si>
  <si>
    <t xml:space="preserve">הדברת מזיקים      </t>
  </si>
  <si>
    <t>שמירה ובטחון</t>
  </si>
  <si>
    <t>ליסינג 508-02-003</t>
  </si>
  <si>
    <t>הוצאות 508-02-003</t>
  </si>
  <si>
    <t>לחצני מצוקה ומערכות טנולוגיות</t>
  </si>
  <si>
    <t>אגרת רישוי מכשירי קשר</t>
  </si>
  <si>
    <t>אגרת רישיון נשק</t>
  </si>
  <si>
    <t xml:space="preserve">ציוד חרום         </t>
  </si>
  <si>
    <t>מערכות מיגון אב"כ</t>
  </si>
  <si>
    <t xml:space="preserve">סדרי ביטחון+הדרכה      </t>
  </si>
  <si>
    <t xml:space="preserve">מטווחים           </t>
  </si>
  <si>
    <t>אבטחת אירועים עירוניים</t>
  </si>
  <si>
    <t>מתנדבים</t>
  </si>
  <si>
    <t>תיקון ליקויים</t>
  </si>
  <si>
    <t>רזרבה-מערכות אזעקה</t>
  </si>
  <si>
    <t xml:space="preserve">אגרה ותחזוקת נשק </t>
  </si>
  <si>
    <t>721000  סך הכל</t>
  </si>
  <si>
    <t>מינהל שמירה ובטחון</t>
  </si>
  <si>
    <t>מחלקת בטיחות</t>
  </si>
  <si>
    <t>השתלמויות והדרכות</t>
  </si>
  <si>
    <t>יעוץ בטיחות</t>
  </si>
  <si>
    <t>פעילות שוטפת</t>
  </si>
  <si>
    <t>721100  סך הכל</t>
  </si>
  <si>
    <t xml:space="preserve">שמירה ביטחונית    </t>
  </si>
  <si>
    <t>ארנונה משא"ז</t>
  </si>
  <si>
    <t xml:space="preserve">ארועים והסברה     </t>
  </si>
  <si>
    <t>תחזוקת משקי"ם</t>
  </si>
  <si>
    <t>מתנדבי השירות הלאומי</t>
  </si>
  <si>
    <t>כיתת כוננות</t>
  </si>
  <si>
    <t>722100  סך הכל</t>
  </si>
  <si>
    <t xml:space="preserve">משמר אזרחי        </t>
  </si>
  <si>
    <t>מערכת אזעקה</t>
  </si>
  <si>
    <t>אחז'מקלטים צבוריים</t>
  </si>
  <si>
    <t xml:space="preserve">הובלות            </t>
  </si>
  <si>
    <t xml:space="preserve">אחזקת ציוד        </t>
  </si>
  <si>
    <t xml:space="preserve">הסברה וארועים     </t>
  </si>
  <si>
    <t xml:space="preserve">תרגילים וארועים   </t>
  </si>
  <si>
    <t xml:space="preserve">השתת'בתקציב הג"א  </t>
  </si>
  <si>
    <t xml:space="preserve">הוצאות חד-פעמיות  </t>
  </si>
  <si>
    <t>723000  סך הכל</t>
  </si>
  <si>
    <t xml:space="preserve">כבוי אש           </t>
  </si>
  <si>
    <t>אגרת כיבוי אש</t>
  </si>
  <si>
    <t>724000  סך הכל</t>
  </si>
  <si>
    <t xml:space="preserve">מל"ח ופס"ח        </t>
  </si>
  <si>
    <t xml:space="preserve">השתלמויות לפס"ח   </t>
  </si>
  <si>
    <t>אחזקת ציוד לש'חרום</t>
  </si>
  <si>
    <t xml:space="preserve">רכישת ציוד לשע"ח   </t>
  </si>
  <si>
    <t>726100  סך הכל</t>
  </si>
  <si>
    <t xml:space="preserve">מל"ח              </t>
  </si>
  <si>
    <t xml:space="preserve">תכנון ובנין עיר   </t>
  </si>
  <si>
    <t>ליסינג 195-92-704</t>
  </si>
  <si>
    <t>הוצאות 195-92-704</t>
  </si>
  <si>
    <t>בטוח אחריות מקצועי</t>
  </si>
  <si>
    <t>הקלטה ותמלול ועדות הקצאה</t>
  </si>
  <si>
    <t xml:space="preserve">צילום מפות        </t>
  </si>
  <si>
    <t>נסחים והערות אזהרה</t>
  </si>
  <si>
    <t>הוצאות משפטיות</t>
  </si>
  <si>
    <t>נציג בעל דעה מייעצת</t>
  </si>
  <si>
    <t>הזנת נתונים למחשב</t>
  </si>
  <si>
    <t>אירוח לכנסים ויזמות</t>
  </si>
  <si>
    <t>731000  סך הכל</t>
  </si>
  <si>
    <t xml:space="preserve">משרד מהנדס הרשות </t>
  </si>
  <si>
    <t xml:space="preserve">תכנון עיר         </t>
  </si>
  <si>
    <t xml:space="preserve">תכניות            </t>
  </si>
  <si>
    <t>732000  סך הכל</t>
  </si>
  <si>
    <t>חזות העיר</t>
  </si>
  <si>
    <t xml:space="preserve">משפטי שילוט       </t>
  </si>
  <si>
    <t>732200  סך הכל</t>
  </si>
  <si>
    <t xml:space="preserve">הדבקת מודעות      </t>
  </si>
  <si>
    <t>הדבקת מודעות - קבלן</t>
  </si>
  <si>
    <t>732300  סך הכל</t>
  </si>
  <si>
    <t>אגף התנועה</t>
  </si>
  <si>
    <t>ליסינג 353-81-703</t>
  </si>
  <si>
    <t>ועדות תנועה</t>
  </si>
  <si>
    <t>בדיקת רופא - חנית נכים</t>
  </si>
  <si>
    <t>מדים וציוד</t>
  </si>
  <si>
    <t xml:space="preserve">אחזקת רמזורים     </t>
  </si>
  <si>
    <t>אח' תמרור : ג'-7 ה'-8</t>
  </si>
  <si>
    <t>732400  סך הכל</t>
  </si>
  <si>
    <t xml:space="preserve">רשוי בניה         </t>
  </si>
  <si>
    <t>ליסינג 174-52-804</t>
  </si>
  <si>
    <t>פירסומים ושילוט</t>
  </si>
  <si>
    <t xml:space="preserve">פרטיכל - משנה     </t>
  </si>
  <si>
    <t xml:space="preserve">שכ"ט שמאים        </t>
  </si>
  <si>
    <t xml:space="preserve">שכ"ט שמאים מכריעים        </t>
  </si>
  <si>
    <t>733000  סך הכל</t>
  </si>
  <si>
    <t xml:space="preserve">פיקוח על הבניה    </t>
  </si>
  <si>
    <t>ליסינג 489-03-303</t>
  </si>
  <si>
    <t>שרות מנעולן</t>
  </si>
  <si>
    <t>צילומי אויר</t>
  </si>
  <si>
    <t>הריסת מבנים</t>
  </si>
  <si>
    <t>733300  סך הכל</t>
  </si>
  <si>
    <t xml:space="preserve">בנית מבני ציבור   </t>
  </si>
  <si>
    <t>הסרת גרפיטי</t>
  </si>
  <si>
    <t>735000  סך הכל</t>
  </si>
  <si>
    <t>אח' נכסים ציבוריים</t>
  </si>
  <si>
    <t>אחזקת מעליות</t>
  </si>
  <si>
    <t>אחזקת גנרטור</t>
  </si>
  <si>
    <t>חומרים ותחזוקת מבנים</t>
  </si>
  <si>
    <t xml:space="preserve">ציוד חד פעמי      </t>
  </si>
  <si>
    <t>736000  סך הכל</t>
  </si>
  <si>
    <t>736100  סך הכל</t>
  </si>
  <si>
    <t xml:space="preserve">נכסים צבוריים     </t>
  </si>
  <si>
    <t>ליסינג  741-53-902</t>
  </si>
  <si>
    <t>הוצאות 741-53-902</t>
  </si>
  <si>
    <t>מפות</t>
  </si>
  <si>
    <t>תוכנת דקל - חב' כלכלית</t>
  </si>
  <si>
    <t>עבודות בטיחות</t>
  </si>
  <si>
    <t>741000  סך הכל</t>
  </si>
  <si>
    <t>מינהל נכס'ציבוריים</t>
  </si>
  <si>
    <t>אגף התשתיות</t>
  </si>
  <si>
    <t>ליסינג  596-85-003</t>
  </si>
  <si>
    <t>הוצאות 596-85-003</t>
  </si>
  <si>
    <t>741100  סך הכל</t>
  </si>
  <si>
    <t>יעוץ לטופס 4+5</t>
  </si>
  <si>
    <t>יעוץ ושרות למחלקת דרכים</t>
  </si>
  <si>
    <t>אחזקת סככות אוטובוס</t>
  </si>
  <si>
    <t>ייעוץ לממ"ש</t>
  </si>
  <si>
    <t>פיקוח על סככות אוטובוס</t>
  </si>
  <si>
    <t>שכירות רכב לימים גשומים</t>
  </si>
  <si>
    <t xml:space="preserve">מבצעי חורף        </t>
  </si>
  <si>
    <t>עבודת קבלני טרקטור</t>
  </si>
  <si>
    <t xml:space="preserve">הוצאות חד פעמיות  </t>
  </si>
  <si>
    <t>רזרבה-תחזוקה כללית</t>
  </si>
  <si>
    <t>742000  סך הכל</t>
  </si>
  <si>
    <t xml:space="preserve">פנסים ומנורות     </t>
  </si>
  <si>
    <t xml:space="preserve">תיקון נזקים       </t>
  </si>
  <si>
    <t xml:space="preserve">עבודות תאורה      </t>
  </si>
  <si>
    <t>תחזוקה - תשלום קבוע</t>
  </si>
  <si>
    <t>743000  סך הכל</t>
  </si>
  <si>
    <t xml:space="preserve">בטיחות בדרכים     </t>
  </si>
  <si>
    <t>השכר הקובע-צוברת</t>
  </si>
  <si>
    <t>ביגוד</t>
  </si>
  <si>
    <t>דמי הבראה</t>
  </si>
  <si>
    <t>שעות נוספות</t>
  </si>
  <si>
    <t xml:space="preserve">עב' בטיחות בדרכים </t>
  </si>
  <si>
    <t>744000  סך הכל</t>
  </si>
  <si>
    <t xml:space="preserve">תיעול ונקוז       </t>
  </si>
  <si>
    <t>אחזקת תחנות מטאורולוגיות</t>
  </si>
  <si>
    <t>תחז' תחנת שאיבה אילת 36</t>
  </si>
  <si>
    <t>אחזקת בקרת ניקוז</t>
  </si>
  <si>
    <t>אחזקת מאגר מים מכון טכנולוגי</t>
  </si>
  <si>
    <t>הערכות לחורף</t>
  </si>
  <si>
    <t xml:space="preserve">אחזקת תעלות       </t>
  </si>
  <si>
    <t>ניקוי מובלים</t>
  </si>
  <si>
    <t xml:space="preserve">רשות הניקוז-ירקון </t>
  </si>
  <si>
    <t>745000  סך הכל</t>
  </si>
  <si>
    <t>ליסינג  880-47-303</t>
  </si>
  <si>
    <t>שכר שעתיים</t>
  </si>
  <si>
    <t xml:space="preserve">פירסומים    </t>
  </si>
  <si>
    <t xml:space="preserve">צילומים והעתקות   </t>
  </si>
  <si>
    <t xml:space="preserve">יועצים-חיצוניים   </t>
  </si>
  <si>
    <t>סקר מדי מים</t>
  </si>
  <si>
    <t>רכישת צמחים ושתילים</t>
  </si>
  <si>
    <t>עבודות מסגרות</t>
  </si>
  <si>
    <t>אחז' גינון-שצ"פ עזריאלי</t>
  </si>
  <si>
    <t>גיזום עצים בקבלנות</t>
  </si>
  <si>
    <t xml:space="preserve">קבלני גינון גנים  </t>
  </si>
  <si>
    <t xml:space="preserve">עב" קבלניות שונות </t>
  </si>
  <si>
    <t>פינוי גזם</t>
  </si>
  <si>
    <t xml:space="preserve">תחרות קירייה יפה  </t>
  </si>
  <si>
    <t xml:space="preserve">אחזקת פינת ליטוף  </t>
  </si>
  <si>
    <t>עבודות הדברת מזיקים</t>
  </si>
  <si>
    <t>גן הקקטוסים</t>
  </si>
  <si>
    <t>תחז' אנדרטאות ופסלי משחק</t>
  </si>
  <si>
    <t>אחזקת מזרקות</t>
  </si>
  <si>
    <t>אחזקת מתקני משחק</t>
  </si>
  <si>
    <t>עבודות טכניות</t>
  </si>
  <si>
    <t>אחזקת ספסלים</t>
  </si>
  <si>
    <t>אחזקת מתקני כושר</t>
  </si>
  <si>
    <t>746100  סך הכל</t>
  </si>
  <si>
    <t>גינות צבוריות ונוף</t>
  </si>
  <si>
    <t>פארק פרס</t>
  </si>
  <si>
    <t>אחזקת פארק פרס</t>
  </si>
  <si>
    <t>אחזקת מגדל המים</t>
  </si>
  <si>
    <t>746700  סך הכל</t>
  </si>
  <si>
    <t xml:space="preserve">חגיגות מבצעים     </t>
  </si>
  <si>
    <t xml:space="preserve">הפקת ארועים       </t>
  </si>
  <si>
    <t>751000  סך הכל</t>
  </si>
  <si>
    <t>חגיגות יום העצמאות</t>
  </si>
  <si>
    <t>חגיגות+טכסים אחרים</t>
  </si>
  <si>
    <t xml:space="preserve">מתנות עירייה      </t>
  </si>
  <si>
    <t xml:space="preserve">ארועים            </t>
  </si>
  <si>
    <t>רכישות שונות</t>
  </si>
  <si>
    <t>752000  סך הכל</t>
  </si>
  <si>
    <t xml:space="preserve">קשרים בינלאומיים  </t>
  </si>
  <si>
    <t>משלח' נכנסות/יוצאות</t>
  </si>
  <si>
    <t>משלחות נוער</t>
  </si>
  <si>
    <t>טקס יקיר העיר</t>
  </si>
  <si>
    <t>754000  סך הכל</t>
  </si>
  <si>
    <t>השכר הקובע - שעתיים</t>
  </si>
  <si>
    <t>הוצאות</t>
  </si>
  <si>
    <t>פעילות שיל"תים</t>
  </si>
  <si>
    <t>בנק מסרונים</t>
  </si>
  <si>
    <t>דמי שימוש חודשיים במע' מוקד</t>
  </si>
  <si>
    <t>תשאולים והודעות</t>
  </si>
  <si>
    <t>העשרת צוות</t>
  </si>
  <si>
    <t>761000  סך הכל</t>
  </si>
  <si>
    <t>מוקד ויעוץ לאזרחים</t>
  </si>
  <si>
    <t>אגף שירות</t>
  </si>
  <si>
    <t>מע' שרות וניתוח נתונים</t>
  </si>
  <si>
    <t>עיצוב תהליכי שרות</t>
  </si>
  <si>
    <t>תוכנית הכשרה למוקד + אחמ"שים</t>
  </si>
  <si>
    <t xml:space="preserve">סדנאות שרות </t>
  </si>
  <si>
    <t>762000  סך הכל</t>
  </si>
  <si>
    <t xml:space="preserve">תרבות הדיור       </t>
  </si>
  <si>
    <t>764000  סך הכל</t>
  </si>
  <si>
    <t>השת' במוסדות+שונות</t>
  </si>
  <si>
    <t>הקצבה למרכז השלטון</t>
  </si>
  <si>
    <t>765000  סך הכל</t>
  </si>
  <si>
    <t>בטוח אלמנטרי לרשות</t>
  </si>
  <si>
    <t xml:space="preserve">קופת ביטוח        </t>
  </si>
  <si>
    <t xml:space="preserve">בטוח תושבים צד ג' </t>
  </si>
  <si>
    <t>השת' עצמית - גוף</t>
  </si>
  <si>
    <t>השת' עצמית - רכוש</t>
  </si>
  <si>
    <t xml:space="preserve">ביטוח חבות מעביד  </t>
  </si>
  <si>
    <t>ביטוח חבות מקצועית</t>
  </si>
  <si>
    <t>נאמנות עובדים</t>
  </si>
  <si>
    <t>ביטוח אש צד ג' ותאונות אישיות</t>
  </si>
  <si>
    <t xml:space="preserve">יעוץ לביטוח       </t>
  </si>
  <si>
    <t>טיפול משפטי</t>
  </si>
  <si>
    <t>767000  סך הכל</t>
  </si>
  <si>
    <t>בקרה - ועדת תמיכות</t>
  </si>
  <si>
    <t>עבודות קבלניות "נקודת חן"</t>
  </si>
  <si>
    <t>נקיון בית הוועד</t>
  </si>
  <si>
    <t xml:space="preserve">השתתפויות         </t>
  </si>
  <si>
    <t>מצגת יד לבנים</t>
  </si>
  <si>
    <t xml:space="preserve">תמלוגים-על מוסיקה </t>
  </si>
  <si>
    <t xml:space="preserve">קשר עם חיילים     </t>
  </si>
  <si>
    <t>מעמד האישה</t>
  </si>
  <si>
    <t>השת' עדה אתיופית</t>
  </si>
  <si>
    <t>קמחא דפסחא</t>
  </si>
  <si>
    <t>תמיכה לראש השנה</t>
  </si>
  <si>
    <t>טקס יצחק רבין</t>
  </si>
  <si>
    <t>הקצבה לועד הורים שכולים</t>
  </si>
  <si>
    <t xml:space="preserve">תמיכה במוסדות דת  </t>
  </si>
  <si>
    <t xml:space="preserve">ועדת תמיכות       </t>
  </si>
  <si>
    <t xml:space="preserve">שמות לאנדרטה      </t>
  </si>
  <si>
    <t>טקס למשפחות שכולות וכוחות הביטחון</t>
  </si>
  <si>
    <t>769000  סך הכל</t>
  </si>
  <si>
    <t xml:space="preserve">בית  הגימלאי        </t>
  </si>
  <si>
    <t xml:space="preserve">חומרים            </t>
  </si>
  <si>
    <t>נקיון בית העובד</t>
  </si>
  <si>
    <t xml:space="preserve">פעולות תרבות      </t>
  </si>
  <si>
    <t>769100  סך הכל</t>
  </si>
  <si>
    <t xml:space="preserve">פיתוח כלכלי       </t>
  </si>
  <si>
    <t>עבודות אחזקה</t>
  </si>
  <si>
    <t>קידום עסקים בחולון</t>
  </si>
  <si>
    <t>פעולות לעידוד א.ת.</t>
  </si>
  <si>
    <t>772100  סך הכל</t>
  </si>
  <si>
    <t>מינהלת תעשיה ומסחר</t>
  </si>
  <si>
    <t xml:space="preserve">חברה קבלנית       </t>
  </si>
  <si>
    <t xml:space="preserve">ליסינג </t>
  </si>
  <si>
    <t>דמי שכירות</t>
  </si>
  <si>
    <t>בטוח תאונות אישיות</t>
  </si>
  <si>
    <t>מכשירי קשר</t>
  </si>
  <si>
    <t>אגרות רחפנים</t>
  </si>
  <si>
    <t>תחזוקת רחפנים</t>
  </si>
  <si>
    <t>כיבוד-ארוע'עירונים</t>
  </si>
  <si>
    <t>ציוד לעררי חניה</t>
  </si>
  <si>
    <t>דמי מנוי לעמדת טעינה</t>
  </si>
  <si>
    <t xml:space="preserve">שמאות ומדידות     </t>
  </si>
  <si>
    <t xml:space="preserve">מדים וציוד אישי   </t>
  </si>
  <si>
    <t xml:space="preserve">גרירות            </t>
  </si>
  <si>
    <t>פעולות מיוחדות</t>
  </si>
  <si>
    <t xml:space="preserve">כביסה             </t>
  </si>
  <si>
    <t xml:space="preserve">רכישות חד-פעמיות  </t>
  </si>
  <si>
    <t>781100  סך הכל</t>
  </si>
  <si>
    <t xml:space="preserve">פיקוח  עירוני     </t>
  </si>
  <si>
    <t>עררים תשובה שלילית</t>
  </si>
  <si>
    <t xml:space="preserve">עיבוד נתונים      </t>
  </si>
  <si>
    <t>מסופוני חניה</t>
  </si>
  <si>
    <t>ניהול עררי חניה</t>
  </si>
  <si>
    <t>ניהול חיי דוח</t>
  </si>
  <si>
    <t>781200  סך הכל</t>
  </si>
  <si>
    <t>ליסינג  648-22-302</t>
  </si>
  <si>
    <t>הוצאות 648-22-302</t>
  </si>
  <si>
    <t>אחזקת אזעקה</t>
  </si>
  <si>
    <t>ביטוח קטנועים</t>
  </si>
  <si>
    <t>ביטוח מפקחים</t>
  </si>
  <si>
    <t>אחזקת מכשירי קשר</t>
  </si>
  <si>
    <t>אחזקת מסופונים</t>
  </si>
  <si>
    <t>כלכלה ( ארוחות )</t>
  </si>
  <si>
    <t>הכשרת מפקחים (קורסים מקצועיים)</t>
  </si>
  <si>
    <t>עבודות קבלניות - רכב</t>
  </si>
  <si>
    <t>דלק והוצאות</t>
  </si>
  <si>
    <t>מדים</t>
  </si>
  <si>
    <t>הפעלת השיטור העירוני</t>
  </si>
  <si>
    <t>מטווחים</t>
  </si>
  <si>
    <t>העברה לתב"ר הצטיידות 3 ש'</t>
  </si>
  <si>
    <t>העברה לתב"ר מבנה 5 ש'</t>
  </si>
  <si>
    <t>העברה לתב"ר הצטיידות 5 ש'</t>
  </si>
  <si>
    <t>העברה לתב"ר הצטיידות 10 ש'</t>
  </si>
  <si>
    <t>העברה לתב"ר מצלמות 6.7 ש'</t>
  </si>
  <si>
    <t>העברה לקרן שיטור עירוני</t>
  </si>
  <si>
    <t>אגרת טלוויזיה וכבלים</t>
  </si>
  <si>
    <t>781300  סך הכל</t>
  </si>
  <si>
    <t xml:space="preserve">שכר דירה ועד בית  </t>
  </si>
  <si>
    <t>מנוי למוקד</t>
  </si>
  <si>
    <t xml:space="preserve">קלדנית לשופטים    </t>
  </si>
  <si>
    <t xml:space="preserve">השתת' בשכר שופטים </t>
  </si>
  <si>
    <t>782000  סך הכל</t>
  </si>
  <si>
    <t xml:space="preserve">השכר הקובע        </t>
  </si>
  <si>
    <t>עובדי חברה</t>
  </si>
  <si>
    <t>אגף פרט</t>
  </si>
  <si>
    <t>השת' באחזקת מחשבים</t>
  </si>
  <si>
    <t>ממונה בטיחות מוס"ח</t>
  </si>
  <si>
    <t>שרותי הקלדה</t>
  </si>
  <si>
    <t xml:space="preserve">הובלות אינוונטר   </t>
  </si>
  <si>
    <t>מרכז טכנולוגי</t>
  </si>
  <si>
    <t>אחזקת מוסדות-בית רותר</t>
  </si>
  <si>
    <t>טכנאים למחשבים בגנ"י ובבי"ס</t>
  </si>
  <si>
    <t>ארועים-מינהל חינוך</t>
  </si>
  <si>
    <t>פעילות ועד הורים</t>
  </si>
  <si>
    <t>פעולות שונות</t>
  </si>
  <si>
    <t>דירת חיילים</t>
  </si>
  <si>
    <t>יועץ בטיחות למתקני ספורט</t>
  </si>
  <si>
    <t>בדיקת ואחז' מתקני ספורט</t>
  </si>
  <si>
    <t>חדשנות (מרכז אתחלא)</t>
  </si>
  <si>
    <t>חדשנות כנגד הכנסות</t>
  </si>
  <si>
    <t xml:space="preserve">מנהל מגמה מדעית הנסדאית </t>
  </si>
  <si>
    <t>יוזמות חינוך חרדי</t>
  </si>
  <si>
    <t>מלגות לפולין</t>
  </si>
  <si>
    <t xml:space="preserve">מלגות             </t>
  </si>
  <si>
    <t xml:space="preserve">מלגות למצטיינים            </t>
  </si>
  <si>
    <t>שבוע החינוך</t>
  </si>
  <si>
    <t>שמ"ש כללי</t>
  </si>
  <si>
    <t>מזנונים ( מהכנסות )</t>
  </si>
  <si>
    <t>העברה לבי"ס-ממזנונים</t>
  </si>
  <si>
    <t>מעליות</t>
  </si>
  <si>
    <t>חינוך - הוצאות משנים קודמות</t>
  </si>
  <si>
    <t>שמ"ש-ניהול עצמי</t>
  </si>
  <si>
    <t>מנב"סים</t>
  </si>
  <si>
    <t>הוצאות כנגד הכנסות</t>
  </si>
  <si>
    <t>811100  סך הכל</t>
  </si>
  <si>
    <t>מינהלת-חינוך פורמלי</t>
  </si>
  <si>
    <t xml:space="preserve">יוזמות חינוכיות   </t>
  </si>
  <si>
    <t>השתתפות בפרויקט תל''ן</t>
  </si>
  <si>
    <t>811200  סך הכל</t>
  </si>
  <si>
    <t>יוזמות ראש מינהל</t>
  </si>
  <si>
    <t>פעולות</t>
  </si>
  <si>
    <t>יוזמות מהכ' תלמדי חוץ</t>
  </si>
  <si>
    <t>הערכה ותהליכי למידה</t>
  </si>
  <si>
    <t>הכשרת מוסדות חינוך למ"פ</t>
  </si>
  <si>
    <t>יוזמות תשפ"ב</t>
  </si>
  <si>
    <t>מרכז איבחון בוקר-טיפולים</t>
  </si>
  <si>
    <t>מרכז איבחון</t>
  </si>
  <si>
    <t>811300  סך הכל</t>
  </si>
  <si>
    <t>יוזמות אגף אירגון</t>
  </si>
  <si>
    <t>דוחות חשמל במוסדות חינוך</t>
  </si>
  <si>
    <t>811301  סך הכל</t>
  </si>
  <si>
    <t>יוזמות גני ילדים</t>
  </si>
  <si>
    <t>פעולות כנגד הכנסות</t>
  </si>
  <si>
    <t>יוזמות - מובילות  גנ"י</t>
  </si>
  <si>
    <t>811304  סך הכל</t>
  </si>
  <si>
    <t>שכר עובדי הוראה</t>
  </si>
  <si>
    <t>השכר הקובע</t>
  </si>
  <si>
    <t>עובדי כח - אדם</t>
  </si>
  <si>
    <t>שרותי סייעות</t>
  </si>
  <si>
    <t>בתי"ס מוזיקליים</t>
  </si>
  <si>
    <t>אוריינות-בי"ס יחדיו</t>
  </si>
  <si>
    <t>יחודיות בית ספרית</t>
  </si>
  <si>
    <t>יוזמות-יסודי יחדיו</t>
  </si>
  <si>
    <t>יוזמות ניהול עצמי</t>
  </si>
  <si>
    <t>מרכז מצטיינים</t>
  </si>
  <si>
    <t>811305  סך הכל</t>
  </si>
  <si>
    <t>יוזמות פרט</t>
  </si>
  <si>
    <t>811306  סך הכל</t>
  </si>
  <si>
    <t>יוזמות נוער</t>
  </si>
  <si>
    <t>811309  סך הכל</t>
  </si>
  <si>
    <t>עיר ללא אלימות</t>
  </si>
  <si>
    <t>811400  סך הכל</t>
  </si>
  <si>
    <t>מכשרי כתיבה</t>
  </si>
  <si>
    <t>הדפסות לרישום גנים</t>
  </si>
  <si>
    <t xml:space="preserve">הדפסות  אוטומציה  </t>
  </si>
  <si>
    <t xml:space="preserve">הובלות  והסעות    </t>
  </si>
  <si>
    <t xml:space="preserve">חומרים לגנים      </t>
  </si>
  <si>
    <t>אחזקת מוסדות</t>
  </si>
  <si>
    <t>תוכנית תקשוב בגנ"י גוגלה</t>
  </si>
  <si>
    <t xml:space="preserve">שמירה וסדרנות     </t>
  </si>
  <si>
    <t>ע' לגננות+משלימות</t>
  </si>
  <si>
    <t>תחזוקת מתקני חצר</t>
  </si>
  <si>
    <t>תגבור סייעות גני ילדים</t>
  </si>
  <si>
    <t xml:space="preserve">משכורות לגננות    </t>
  </si>
  <si>
    <t>שחמט בגנ"י בג'סי כהן ובת"ג</t>
  </si>
  <si>
    <t>מחלקת לידה עד 3</t>
  </si>
  <si>
    <t>רכ' כנגד מש' חינוך</t>
  </si>
  <si>
    <t>העשרת הסביבה (מהמשרד)</t>
  </si>
  <si>
    <t>מעונות יום ממונה+ הדרכה</t>
  </si>
  <si>
    <t>812200  סך הכל</t>
  </si>
  <si>
    <t xml:space="preserve">חומרי ניקיון      </t>
  </si>
  <si>
    <t>תגבור סייעות חנ"מ גנ"י</t>
  </si>
  <si>
    <t xml:space="preserve">חומרים-ח"מ חופשות </t>
  </si>
  <si>
    <t>812210  סך הכל</t>
  </si>
  <si>
    <t xml:space="preserve">יוזמות גני ילדים  </t>
  </si>
  <si>
    <t>812300  סך הכל</t>
  </si>
  <si>
    <t xml:space="preserve">מרפ"ד הרצוג       </t>
  </si>
  <si>
    <t xml:space="preserve">פעולות            </t>
  </si>
  <si>
    <t>812310  סך הכל</t>
  </si>
  <si>
    <t>גובה עינים-אוסישקין</t>
  </si>
  <si>
    <t xml:space="preserve">בגובה העיניים ( הורים )    </t>
  </si>
  <si>
    <t>812330  סך הכל</t>
  </si>
  <si>
    <t xml:space="preserve">ריתמוסיקה ( הורים )    </t>
  </si>
  <si>
    <t>812360  סך הכל</t>
  </si>
  <si>
    <t xml:space="preserve">תיאטרון בובות ( הורים )    </t>
  </si>
  <si>
    <t>812370  סך הכל</t>
  </si>
  <si>
    <t xml:space="preserve">קבוצות טיפוליות   </t>
  </si>
  <si>
    <t xml:space="preserve">מ"מ מזכירה ושרתים </t>
  </si>
  <si>
    <t xml:space="preserve">עובדי חב' מוסדות  </t>
  </si>
  <si>
    <t>דמי שימוש אולם שמיר</t>
  </si>
  <si>
    <t>הוצאות גפ"ן בית ספרי</t>
  </si>
  <si>
    <t xml:space="preserve">שרות מערכת מנב"ס  </t>
  </si>
  <si>
    <t>יעוץ נהול עצמי</t>
  </si>
  <si>
    <t>מועדוניות שכונתיות</t>
  </si>
  <si>
    <t xml:space="preserve">פרויקט פר"ח       </t>
  </si>
  <si>
    <t xml:space="preserve">הקצבות מינהל עצמי </t>
  </si>
  <si>
    <t>העשרה למחוננים (מ' החינוך)</t>
  </si>
  <si>
    <t xml:space="preserve">מפי עוללים-חינוך  </t>
  </si>
  <si>
    <t xml:space="preserve">בית יוסף          </t>
  </si>
  <si>
    <t>בית דוד תיכון ט'</t>
  </si>
  <si>
    <t>בית דוד בנות</t>
  </si>
  <si>
    <t>בית דוד בנים</t>
  </si>
  <si>
    <t>בנות ציון</t>
  </si>
  <si>
    <t>ישיבת אדני זהב</t>
  </si>
  <si>
    <t xml:space="preserve">שלטים לבי"ס       </t>
  </si>
  <si>
    <t>תוס' דיפרנצ' נהול עצמי-מהכ'</t>
  </si>
  <si>
    <t>פרויקטים בהשת.מ.חנ</t>
  </si>
  <si>
    <t>שגרירי הל"ב מפתח הל"ב</t>
  </si>
  <si>
    <t>813200  סך הכל</t>
  </si>
  <si>
    <t>הוצאות תקורות צהרונים</t>
  </si>
  <si>
    <t>ניצנים יסודי - גביה מהורים</t>
  </si>
  <si>
    <t>פע' ביה"ס בחופשה הגדולה</t>
  </si>
  <si>
    <t>צהרונים - ניצנים  ממשה"ח</t>
  </si>
  <si>
    <t>השתתפות עירונית בקייטנות</t>
  </si>
  <si>
    <t>מסגרות קיץ (לרשת) ממשה"ח</t>
  </si>
  <si>
    <t>מסגרות קיץ - מוכש"ר</t>
  </si>
  <si>
    <t>ניקיון בצהרונים</t>
  </si>
  <si>
    <t>צהרונים יוזמות</t>
  </si>
  <si>
    <t>813201  סך הכל</t>
  </si>
  <si>
    <t>בתי ספר של הקיץ</t>
  </si>
  <si>
    <t xml:space="preserve">עובדי מינהלה      </t>
  </si>
  <si>
    <t>בי"ס לבעיות התנהגות</t>
  </si>
  <si>
    <t xml:space="preserve">הוצאות ייצור חלץ  </t>
  </si>
  <si>
    <t xml:space="preserve">מרכז טיפולי אפיק  </t>
  </si>
  <si>
    <t xml:space="preserve">ציוד ספורט        </t>
  </si>
  <si>
    <t>חוגים לחינוך מיוחד</t>
  </si>
  <si>
    <t>אתגרים</t>
  </si>
  <si>
    <t xml:space="preserve">הקצבה-מינהל עצמי  </t>
  </si>
  <si>
    <t xml:space="preserve">השתת.משרד החינוך  </t>
  </si>
  <si>
    <t>813300  סך הכל</t>
  </si>
  <si>
    <t xml:space="preserve">חומרים    </t>
  </si>
  <si>
    <t xml:space="preserve">עזרי לימוד וספורט </t>
  </si>
  <si>
    <t xml:space="preserve">ציוד וריהוט       </t>
  </si>
  <si>
    <t>813310  סך הכל</t>
  </si>
  <si>
    <t xml:space="preserve">החווה החקלאית     </t>
  </si>
  <si>
    <t xml:space="preserve">הסעת ילדים        </t>
  </si>
  <si>
    <t>הקצבה שוטפת</t>
  </si>
  <si>
    <t xml:space="preserve">הצטיידות-הכנסה משה"ח      </t>
  </si>
  <si>
    <t>813700  סך הכל</t>
  </si>
  <si>
    <t xml:space="preserve">השתת' בלימודי חוץ </t>
  </si>
  <si>
    <t>הש' לימודי חוץ - רגיל</t>
  </si>
  <si>
    <t xml:space="preserve">השת' בלימודי חוץ  </t>
  </si>
  <si>
    <t>813900  סך הכל</t>
  </si>
  <si>
    <t>חטיבות ביניים</t>
  </si>
  <si>
    <t>רכזי מהו"ת - קו"פ</t>
  </si>
  <si>
    <t>814100  סך הכל</t>
  </si>
  <si>
    <t xml:space="preserve">שעות תיגבור-נבון  </t>
  </si>
  <si>
    <t xml:space="preserve">שעות תיגבור-בגין  </t>
  </si>
  <si>
    <t xml:space="preserve">שעות תיגבור-הרצוג </t>
  </si>
  <si>
    <t xml:space="preserve">שעות תיגבור-ק"ש   </t>
  </si>
  <si>
    <t xml:space="preserve">שעות תיגבור-אילון </t>
  </si>
  <si>
    <t xml:space="preserve">שעות תיגבור-יבנה  </t>
  </si>
  <si>
    <t xml:space="preserve">שעות תיגבור-קציר  </t>
  </si>
  <si>
    <t>שע' תיגבור-הייטק היי</t>
  </si>
  <si>
    <t>שעות תיגבור-עתידים</t>
  </si>
  <si>
    <t>שעות תיגבור-ליוות חן</t>
  </si>
  <si>
    <t>שעות תיגבור בגרויות</t>
  </si>
  <si>
    <t>יוזמות על יסודי</t>
  </si>
  <si>
    <t xml:space="preserve">מ"מ תיכוניים      </t>
  </si>
  <si>
    <t>אומ"ץ - מרכז</t>
  </si>
  <si>
    <t xml:space="preserve">שכירת אולם        </t>
  </si>
  <si>
    <t>רזרבה לחשמל-חט"ע</t>
  </si>
  <si>
    <t>רזרבה למים-חט"ע</t>
  </si>
  <si>
    <t xml:space="preserve">השתלמויות         </t>
  </si>
  <si>
    <t>פירסומים</t>
  </si>
  <si>
    <t>הוצאות מיוחדות</t>
  </si>
  <si>
    <t>השת' בג' מוס' חוץ</t>
  </si>
  <si>
    <t>מענק לבגרויות</t>
  </si>
  <si>
    <t>פרוייקטים מערכתיים</t>
  </si>
  <si>
    <t>קשת ויוזמות</t>
  </si>
  <si>
    <t>צ' חד-פעמי ( מזוזות )</t>
  </si>
  <si>
    <t>בית להיות - מרכז השואה</t>
  </si>
  <si>
    <t>פעילות לחיילים</t>
  </si>
  <si>
    <t>משלחות בתי ספר</t>
  </si>
  <si>
    <t>815100  סך הכל</t>
  </si>
  <si>
    <t>אומ"ץ - מדריכים</t>
  </si>
  <si>
    <t>פעולות - אומ"ץ</t>
  </si>
  <si>
    <t>815110  סך הכל</t>
  </si>
  <si>
    <t>יוזמות - קוגל</t>
  </si>
  <si>
    <t>מענה</t>
  </si>
  <si>
    <t>815120  סך הכל</t>
  </si>
  <si>
    <t>815130  סך הכל</t>
  </si>
  <si>
    <t>יוזמות - ק"ש</t>
  </si>
  <si>
    <t>815140  סך הכל</t>
  </si>
  <si>
    <t>815150  סך הכל</t>
  </si>
  <si>
    <t>815160  סך הכל</t>
  </si>
  <si>
    <t>יוזמות - קציר</t>
  </si>
  <si>
    <t>815170  סך הכל</t>
  </si>
  <si>
    <t>815190  סך הכל</t>
  </si>
  <si>
    <t xml:space="preserve">שכר עובדי הוראה   </t>
  </si>
  <si>
    <t>שעורי עזר לתלמידים</t>
  </si>
  <si>
    <t>פרוייקט קשישים</t>
  </si>
  <si>
    <t>שעות השאלה למשה"ח</t>
  </si>
  <si>
    <t xml:space="preserve">ריהוט ואחזקתו     </t>
  </si>
  <si>
    <t>שע' שאילה-מ' חינוך</t>
  </si>
  <si>
    <t xml:space="preserve">חינוך חברתי       </t>
  </si>
  <si>
    <t>הקצבה לניהול עצמי</t>
  </si>
  <si>
    <t xml:space="preserve">תקורה             </t>
  </si>
  <si>
    <t>815710  סך הכל</t>
  </si>
  <si>
    <t xml:space="preserve">תיכון נבון </t>
  </si>
  <si>
    <t>פרוייקט לקשיש-קוגל</t>
  </si>
  <si>
    <t>עובדי חברת מוסדות</t>
  </si>
  <si>
    <t xml:space="preserve">שאילת מורים       </t>
  </si>
  <si>
    <t>העברה מקפה גן סיפור</t>
  </si>
  <si>
    <t>815720  סך הכל</t>
  </si>
  <si>
    <t xml:space="preserve">גמנסיה ע"ש הרצוג  </t>
  </si>
  <si>
    <t>815730  סך הכל</t>
  </si>
  <si>
    <t xml:space="preserve">בי"ס מקיף ק' שרת  </t>
  </si>
  <si>
    <t>פרוייקט קשישים-ק"ש</t>
  </si>
  <si>
    <t>ניהול חשבונאי</t>
  </si>
  <si>
    <t>815740  סך הכל</t>
  </si>
  <si>
    <t xml:space="preserve">תיכון אילון       </t>
  </si>
  <si>
    <t>קשישים - שוויון חברתי</t>
  </si>
  <si>
    <t>העשרת מחוננים</t>
  </si>
  <si>
    <t>815750  סך הכל</t>
  </si>
  <si>
    <t xml:space="preserve">תיכון יבנה        </t>
  </si>
  <si>
    <t>815760  סך הכל</t>
  </si>
  <si>
    <t xml:space="preserve">הפעלת אשכולות פיס </t>
  </si>
  <si>
    <t xml:space="preserve">אחזקת אשכול פיס   </t>
  </si>
  <si>
    <t>815770  סך הכל</t>
  </si>
  <si>
    <t xml:space="preserve">תיכון כרם שלמה    </t>
  </si>
  <si>
    <t>ישיבת בני עקיבא</t>
  </si>
  <si>
    <t>815780  סך הכל</t>
  </si>
  <si>
    <t>תיכון דמוקרטי (יחד)</t>
  </si>
  <si>
    <t>815790  סך הכל</t>
  </si>
  <si>
    <t>שעורי עזר לעולים</t>
  </si>
  <si>
    <t>פרוייקט גימלאים</t>
  </si>
  <si>
    <t>ליסינג  320-65-103</t>
  </si>
  <si>
    <t>הוצאות 320-65-103</t>
  </si>
  <si>
    <t>שעות שאילה - משה"ח</t>
  </si>
  <si>
    <t>תקורה</t>
  </si>
  <si>
    <t>815800  סך הכל</t>
  </si>
  <si>
    <t>תיכון הייטק - היי</t>
  </si>
  <si>
    <t>815810  סך הכל</t>
  </si>
  <si>
    <t xml:space="preserve">עובדי חברה </t>
  </si>
  <si>
    <t>815820  סך הכל</t>
  </si>
  <si>
    <t>שכר מורים</t>
  </si>
  <si>
    <t>815830  סך הכל</t>
  </si>
  <si>
    <t>815840</t>
  </si>
  <si>
    <t>118</t>
  </si>
  <si>
    <t>431</t>
  </si>
  <si>
    <t>432</t>
  </si>
  <si>
    <t>450</t>
  </si>
  <si>
    <t>511</t>
  </si>
  <si>
    <t>742</t>
  </si>
  <si>
    <t>780</t>
  </si>
  <si>
    <t>812</t>
  </si>
  <si>
    <t>989</t>
  </si>
  <si>
    <t>815840  סך הכל</t>
  </si>
  <si>
    <t>הפעלת פסג"ה</t>
  </si>
  <si>
    <t>פסג"ה-הכנ' משרד</t>
  </si>
  <si>
    <t>817210  סך הכל</t>
  </si>
  <si>
    <t>יוזמות כנגד הכנסות</t>
  </si>
  <si>
    <t xml:space="preserve">השתלמויות והדרכות </t>
  </si>
  <si>
    <t>שמירה בקבלנות</t>
  </si>
  <si>
    <t xml:space="preserve">יוזמות (מהכנסות)  </t>
  </si>
  <si>
    <t>שרות משלים(הכנסות)</t>
  </si>
  <si>
    <t>מניעת אובדנות-פסיכיאטר</t>
  </si>
  <si>
    <t>אבחונים ואפיונים</t>
  </si>
  <si>
    <t>מרכז טראומה מרחבים</t>
  </si>
  <si>
    <t>לקויות למידה שפ"ח</t>
  </si>
  <si>
    <t>פעולות ורכישות שונות</t>
  </si>
  <si>
    <t>שירות פסיכולוגי-משרו</t>
  </si>
  <si>
    <t>817300  סך הכל</t>
  </si>
  <si>
    <t>פעולות רווחה חינוכית</t>
  </si>
  <si>
    <t>817600  סך הכל</t>
  </si>
  <si>
    <t xml:space="preserve">הסעת תלמידים      </t>
  </si>
  <si>
    <t xml:space="preserve">השתתפות בכרטיסיות </t>
  </si>
  <si>
    <t>תוכנת בקרת היסעים</t>
  </si>
  <si>
    <t xml:space="preserve">מלווים בהסעים     </t>
  </si>
  <si>
    <t>817800  סך הכל</t>
  </si>
  <si>
    <t xml:space="preserve">אספקת ספרים וציוד </t>
  </si>
  <si>
    <t>ביטוח תאונות לתלמ'</t>
  </si>
  <si>
    <t xml:space="preserve">אספקת חומרי מלאכה </t>
  </si>
  <si>
    <t xml:space="preserve">אספקת ספרים       </t>
  </si>
  <si>
    <t>אבטחת מוסדות חינוך</t>
  </si>
  <si>
    <t xml:space="preserve">הקצבת שיכפול      </t>
  </si>
  <si>
    <t>תשלום ועד הורים</t>
  </si>
  <si>
    <t>817910  סך הכל</t>
  </si>
  <si>
    <t>תחנה לטיפול בדיבור</t>
  </si>
  <si>
    <t>817920  סך הכל</t>
  </si>
  <si>
    <t>השת' כרט' למוזיאון</t>
  </si>
  <si>
    <t xml:space="preserve">תיאטרון ילדים  </t>
  </si>
  <si>
    <t>817930  סך הכל</t>
  </si>
  <si>
    <t>קיזוז תקורות חינוך</t>
  </si>
  <si>
    <t>819999  סך הכל</t>
  </si>
  <si>
    <t xml:space="preserve">תרבות             </t>
  </si>
  <si>
    <t xml:space="preserve">תרבות תורנית      </t>
  </si>
  <si>
    <t>822200  סך הכל</t>
  </si>
  <si>
    <t xml:space="preserve">חוגי העשרה        </t>
  </si>
  <si>
    <t>822700  סך הכל</t>
  </si>
  <si>
    <t xml:space="preserve">ביטוח             </t>
  </si>
  <si>
    <t>העונה הישראלית לעיצוב</t>
  </si>
  <si>
    <t>השת' בהסכם קיבוצי החב' לפיתוח תאטרון</t>
  </si>
  <si>
    <t>גלריות</t>
  </si>
  <si>
    <t>השתתפות החברה לתאטרון</t>
  </si>
  <si>
    <t>הפעלת המדיטק</t>
  </si>
  <si>
    <t>השתתפות בסינימטק</t>
  </si>
  <si>
    <t>התחייבות הסכם קיבוצי - מדיטק</t>
  </si>
  <si>
    <t>ביטוח כנגד הכנסות</t>
  </si>
  <si>
    <t>הוצאות שנים קודמות</t>
  </si>
  <si>
    <t>823000  סך הכל</t>
  </si>
  <si>
    <t xml:space="preserve">מוסיקה ומחול      </t>
  </si>
  <si>
    <t xml:space="preserve">פע' דרך רשת קהילה </t>
  </si>
  <si>
    <t>שכר מנהלת להקות</t>
  </si>
  <si>
    <t xml:space="preserve">פעולות להקות      </t>
  </si>
  <si>
    <t>825500  סך הכל</t>
  </si>
  <si>
    <t xml:space="preserve">להקות  עירוניות   </t>
  </si>
  <si>
    <t xml:space="preserve">מוקדי תרבות       </t>
  </si>
  <si>
    <t>הש'-פעולות מיוחדות</t>
  </si>
  <si>
    <t>מרכז לתינוקות</t>
  </si>
  <si>
    <t xml:space="preserve">התחייבות הסכם קיבוצי </t>
  </si>
  <si>
    <t>ביטוח-כנגד הכנסות</t>
  </si>
  <si>
    <t>826100  סך הכל</t>
  </si>
  <si>
    <t>מוזיאון הקריקטורות</t>
  </si>
  <si>
    <t>השתתפות בהפעלה</t>
  </si>
  <si>
    <t>826120  סך הכל</t>
  </si>
  <si>
    <t xml:space="preserve">אומנויות ותערוכות  </t>
  </si>
  <si>
    <t>אחזקה גלריית החווה</t>
  </si>
  <si>
    <t>אירוע פתיחת עונה</t>
  </si>
  <si>
    <t xml:space="preserve">טכס יקיר חולון    </t>
  </si>
  <si>
    <t>ספר קומיקס</t>
  </si>
  <si>
    <t>פעולות גלריית המשכן</t>
  </si>
  <si>
    <t>להקות שברולט</t>
  </si>
  <si>
    <t>תערוכת חוצות גן המוזיאון</t>
  </si>
  <si>
    <t>פעולות גלריית חנקין</t>
  </si>
  <si>
    <t>פעולות גלריית החווה</t>
  </si>
  <si>
    <t>826200  סך הכל</t>
  </si>
  <si>
    <t>מוזיאון הילדים</t>
  </si>
  <si>
    <t xml:space="preserve">הקצבה לפעולות     </t>
  </si>
  <si>
    <t>בגובה העיניים</t>
  </si>
  <si>
    <t>שכר דירה</t>
  </si>
  <si>
    <t>השתתפות הזמנה לשקט</t>
  </si>
  <si>
    <t>השת' עד מאה ועשרים</t>
  </si>
  <si>
    <t>התחייבות הסכם קיבוצי</t>
  </si>
  <si>
    <t>826300  סך הכל</t>
  </si>
  <si>
    <t>להקות ייצוגיות</t>
  </si>
  <si>
    <t>מנהל מוסיקלי</t>
  </si>
  <si>
    <t>826400  סך הכל</t>
  </si>
  <si>
    <t xml:space="preserve">המחלקה לאירועים   </t>
  </si>
  <si>
    <t>ליסינג  782-26-002</t>
  </si>
  <si>
    <t>הוצאות 782-26-002</t>
  </si>
  <si>
    <t>תוכנית סל"ע (כנגד הכנסות)</t>
  </si>
  <si>
    <t>ארועים כנגד הכנסות</t>
  </si>
  <si>
    <t>826500  סך הכל</t>
  </si>
  <si>
    <t>מרכז  סירקין</t>
  </si>
  <si>
    <t>הוצאות (כנגד הכנסות)</t>
  </si>
  <si>
    <t>הפעלת סירקין</t>
  </si>
  <si>
    <t xml:space="preserve">פסטיבל בובות      </t>
  </si>
  <si>
    <t>בי"ס לבובות</t>
  </si>
  <si>
    <t>פסטיבל קוסמים</t>
  </si>
  <si>
    <t>קורס אומנות הקרנבל</t>
  </si>
  <si>
    <t>826700  סך הכל</t>
  </si>
  <si>
    <t>הפעלת מוז' העיצוב</t>
  </si>
  <si>
    <t>826800  סך הכל</t>
  </si>
  <si>
    <t>נוער וצעירים</t>
  </si>
  <si>
    <t>מורות חיילות</t>
  </si>
  <si>
    <t>השתתפות בשכר דירה</t>
  </si>
  <si>
    <t xml:space="preserve">נקיון מרכז הדרכה  </t>
  </si>
  <si>
    <t>גיזום מרכזי נוער</t>
  </si>
  <si>
    <t>מרכז נוער עולה</t>
  </si>
  <si>
    <t>פרוייקטים + קיץ</t>
  </si>
  <si>
    <t>פעילות צעירים</t>
  </si>
  <si>
    <t>תנועות נוער-ארועים עירוניים</t>
  </si>
  <si>
    <t>מנהיגות וקשרי חוץ</t>
  </si>
  <si>
    <t>תחום מניעה</t>
  </si>
  <si>
    <t xml:space="preserve">ארועי נוער </t>
  </si>
  <si>
    <t>קווי לילה לנוער</t>
  </si>
  <si>
    <t>כולנו ביתא ישראל</t>
  </si>
  <si>
    <t>מרכז הדרכה</t>
  </si>
  <si>
    <t xml:space="preserve">פעולות מהכנסות משה"ח    </t>
  </si>
  <si>
    <t>כנפיים של קרמבו</t>
  </si>
  <si>
    <t>יום המעשים הטובים</t>
  </si>
  <si>
    <t>תנועות נוער מחנות קיץ</t>
  </si>
  <si>
    <t xml:space="preserve">ארועי צעירים </t>
  </si>
  <si>
    <t>קשר עם חייל</t>
  </si>
  <si>
    <t xml:space="preserve">השתתפות בתנועות הנוער      </t>
  </si>
  <si>
    <t>השתתפות בשכר רכזים</t>
  </si>
  <si>
    <t>מרכז הדרכה ומנהיגות</t>
  </si>
  <si>
    <t>פעילות נוער חרדי בקיץ</t>
  </si>
  <si>
    <t>תמיכות באירגוני נוער</t>
  </si>
  <si>
    <t>תמיכה במכינות קד"צ</t>
  </si>
  <si>
    <t>מרכז מנשה</t>
  </si>
  <si>
    <t>מרכז בוקסר</t>
  </si>
  <si>
    <t>מרכז שטרודל</t>
  </si>
  <si>
    <t>מרכז קמפוס</t>
  </si>
  <si>
    <t>מרכז רחלה</t>
  </si>
  <si>
    <t>מרכז בנג'י</t>
  </si>
  <si>
    <t>מרכז שברולט</t>
  </si>
  <si>
    <t>תנועת נוער -חצ"ב</t>
  </si>
  <si>
    <t>פעילות חיילים</t>
  </si>
  <si>
    <t xml:space="preserve">מרכז ייעוץ לנוער  </t>
  </si>
  <si>
    <t>הכנה לצה"ל</t>
  </si>
  <si>
    <t>828100  סך הכל</t>
  </si>
  <si>
    <t>מחלקת נוער וצעירים</t>
  </si>
  <si>
    <t xml:space="preserve">פעולות קידום נוער </t>
  </si>
  <si>
    <t>828120  סך הכל</t>
  </si>
  <si>
    <t>אגף  קהילה</t>
  </si>
  <si>
    <t>ליסינג  766-09-503</t>
  </si>
  <si>
    <t>הוצאות 766-09-503</t>
  </si>
  <si>
    <t>שכ"ד הורות ומשפחה</t>
  </si>
  <si>
    <t>מכונות משרד</t>
  </si>
  <si>
    <t>שיתופי ציבור</t>
  </si>
  <si>
    <t>ארועים</t>
  </si>
  <si>
    <t>חוגי הורים</t>
  </si>
  <si>
    <t>אם לאם בקהילה</t>
  </si>
  <si>
    <t>פעילות הורות</t>
  </si>
  <si>
    <t>תחום התנדבות</t>
  </si>
  <si>
    <t>ארוע שנתי למתנדבים</t>
  </si>
  <si>
    <t>פעילות בקהילה</t>
  </si>
  <si>
    <t>תכנית פאזל</t>
  </si>
  <si>
    <t>התנדבות בחירים</t>
  </si>
  <si>
    <t>אירועים קהילתיים</t>
  </si>
  <si>
    <t>פרויקטים יוזמות</t>
  </si>
  <si>
    <t>הורים עושים חיל</t>
  </si>
  <si>
    <t>קשר עם חיילים</t>
  </si>
  <si>
    <t>828130  סך הכל</t>
  </si>
  <si>
    <t>מנהל שרות לתושב וקשרי קהילה</t>
  </si>
  <si>
    <t>ליסינג  766-11-303</t>
  </si>
  <si>
    <t>נסיעות</t>
  </si>
  <si>
    <t>דואר</t>
  </si>
  <si>
    <t>828140  סך הכל</t>
  </si>
  <si>
    <t xml:space="preserve">רשת קהילה ופנאי </t>
  </si>
  <si>
    <t>פרוייקט למידה ת"ג</t>
  </si>
  <si>
    <t>רכזת ספורט</t>
  </si>
  <si>
    <t>תחום נוער</t>
  </si>
  <si>
    <t>היפ הופ</t>
  </si>
  <si>
    <t>אומנויות לחימה קליין</t>
  </si>
  <si>
    <t>תוכנית מבוקר עד ערב</t>
  </si>
  <si>
    <t xml:space="preserve">השתתפות ברשת קו"פ </t>
  </si>
  <si>
    <t>תרבות תורנית-מקהלות</t>
  </si>
  <si>
    <t>למידה לזרוס</t>
  </si>
  <si>
    <t xml:space="preserve">השתתפות בקייטנות  </t>
  </si>
  <si>
    <t>קורס אומנות הקרנבל-וולפסון</t>
  </si>
  <si>
    <t>שברולט,שטרודל,אריות</t>
  </si>
  <si>
    <t>רכזת מורשת</t>
  </si>
  <si>
    <t xml:space="preserve">מועדון נכים-לזרוס </t>
  </si>
  <si>
    <t>תוכנית זהות בונה קהילה</t>
  </si>
  <si>
    <t>הזדמנות שווה</t>
  </si>
  <si>
    <t>המוזיאון העירוני</t>
  </si>
  <si>
    <t>מועדון עולי בוכרה</t>
  </si>
  <si>
    <t>מרכז  פסגות</t>
  </si>
  <si>
    <t>מרכז מורשת</t>
  </si>
  <si>
    <t>גוונים ניצנים-חיבורים</t>
  </si>
  <si>
    <t>מתנ"ס מקהלות</t>
  </si>
  <si>
    <t>הסעות טיולים חצ"ב</t>
  </si>
  <si>
    <t>רכזים ומדריכים</t>
  </si>
  <si>
    <t>דמי ניהול</t>
  </si>
  <si>
    <t>שחר און</t>
  </si>
  <si>
    <t>הסכם קיבוצי תוספת 2%</t>
  </si>
  <si>
    <t>השת' אולם ספורט דביר</t>
  </si>
  <si>
    <t>828200  סך הכל</t>
  </si>
  <si>
    <t>המרכז לאומנות דיגיטלית</t>
  </si>
  <si>
    <t>828240  סך הכל</t>
  </si>
  <si>
    <t>מועדון ספורט בי"ס</t>
  </si>
  <si>
    <t>אליפות בינ"ל</t>
  </si>
  <si>
    <t>תיפעול המחלקה</t>
  </si>
  <si>
    <t>השת' אולם ספורט שמיר</t>
  </si>
  <si>
    <t>השת' אולם ספורט שרון</t>
  </si>
  <si>
    <t>הפעלת סקייטפארק</t>
  </si>
  <si>
    <t>השתתפות בנופשונית</t>
  </si>
  <si>
    <t>השתתפות היכל הספורט</t>
  </si>
  <si>
    <t>ליגת הכוכבים</t>
  </si>
  <si>
    <t>תחזוקת מגרש אורט</t>
  </si>
  <si>
    <t>מרכז טניס עירוני</t>
  </si>
  <si>
    <t>פרוייקטים</t>
  </si>
  <si>
    <t>תיגבור חט"ב ק"ש (מאגוד')</t>
  </si>
  <si>
    <t>פעולות ספורט</t>
  </si>
  <si>
    <t>חוגי שחייה</t>
  </si>
  <si>
    <t>ביטוח - כנגד הכנסות</t>
  </si>
  <si>
    <t>מתחם הפועל</t>
  </si>
  <si>
    <t>829100  סך הכל</t>
  </si>
  <si>
    <t xml:space="preserve">מתקני ספורט       </t>
  </si>
  <si>
    <t>השתתפות בתק' הפעלה</t>
  </si>
  <si>
    <t>829200  סך הכל</t>
  </si>
  <si>
    <t>בית ספר ניצנים</t>
  </si>
  <si>
    <t>השתתפות בתקציב הפעלה</t>
  </si>
  <si>
    <t>829300  סך הכל</t>
  </si>
  <si>
    <t xml:space="preserve">מרכז פיס - ברקת   </t>
  </si>
  <si>
    <t>השתת' בתקציב הפעלה</t>
  </si>
  <si>
    <t>829500  סך הכל</t>
  </si>
  <si>
    <t xml:space="preserve">מרכז פיס קרית שרת </t>
  </si>
  <si>
    <t>הפעלת אולם בגין</t>
  </si>
  <si>
    <t>829600  סך הכל</t>
  </si>
  <si>
    <t xml:space="preserve">מרכז ספורט טיפולי </t>
  </si>
  <si>
    <t xml:space="preserve">הפעלת המרכז       </t>
  </si>
  <si>
    <t>איבחון - ספורט טיפולי</t>
  </si>
  <si>
    <t>829700  סך הכל</t>
  </si>
  <si>
    <t xml:space="preserve">מרכז ספורט קציר   </t>
  </si>
  <si>
    <t>829800  סך הכל</t>
  </si>
  <si>
    <t>תמיכות לאגודות ספורט</t>
  </si>
  <si>
    <t xml:space="preserve">בקרה תקציבית      </t>
  </si>
  <si>
    <t>עמותת ספורט בגין חולון</t>
  </si>
  <si>
    <t>תמיכות ספורט</t>
  </si>
  <si>
    <t>השגיות</t>
  </si>
  <si>
    <t>כוכב עולה נוער</t>
  </si>
  <si>
    <t>צפרירים  נוער</t>
  </si>
  <si>
    <t>ריקודים סלוניים</t>
  </si>
  <si>
    <t>פיסגה - אומנויות לחימה</t>
  </si>
  <si>
    <t>כדוריד חולון בוגרים</t>
  </si>
  <si>
    <t xml:space="preserve">אליצור כדורסל     </t>
  </si>
  <si>
    <t>סלעים איתנים-כדורסל בוגרים</t>
  </si>
  <si>
    <t>מועדון הנוער בכדורגל</t>
  </si>
  <si>
    <t>מכבי הת' אומנותית</t>
  </si>
  <si>
    <t>כדוריד חולון נוער</t>
  </si>
  <si>
    <t>אליצור-נער כוכבי על</t>
  </si>
  <si>
    <t xml:space="preserve">הפועל חולון-ענפים </t>
  </si>
  <si>
    <t>אייס חולון ע"ר</t>
  </si>
  <si>
    <t>באול 300 חולון</t>
  </si>
  <si>
    <t>ירמיהו-עמותה לקידום כדורגל</t>
  </si>
  <si>
    <t xml:space="preserve">עמותת גלגיליות   </t>
  </si>
  <si>
    <t xml:space="preserve">עוצמה (ארזים) כדורגל      </t>
  </si>
  <si>
    <t>א.ס.מור-מועדון נווה דוד</t>
  </si>
  <si>
    <t>829900  סך הכל</t>
  </si>
  <si>
    <t xml:space="preserve">בריאות            </t>
  </si>
  <si>
    <t>832400  סך הכל</t>
  </si>
  <si>
    <t xml:space="preserve">תחנות לאם ולילד   </t>
  </si>
  <si>
    <t>שכירות רווחה</t>
  </si>
  <si>
    <t xml:space="preserve">אחזקת מעלית       </t>
  </si>
  <si>
    <t xml:space="preserve">תשלום לאוטומציה   </t>
  </si>
  <si>
    <t>מיחשוב אי . פי . אר</t>
  </si>
  <si>
    <t xml:space="preserve">יעוץ משפטי        </t>
  </si>
  <si>
    <t>קרן שלם - מענק "עם כלביא"</t>
  </si>
  <si>
    <t xml:space="preserve">שמירה             </t>
  </si>
  <si>
    <t>ארוע מועדוני קשישים</t>
  </si>
  <si>
    <t>עיתון "כיוון חדש"</t>
  </si>
  <si>
    <t xml:space="preserve">הרצאות            </t>
  </si>
  <si>
    <t xml:space="preserve">הוצאות אירגוניות  </t>
  </si>
  <si>
    <t>קופה קטנה מטופלים</t>
  </si>
  <si>
    <t>רזרבות פעולות ורכישות</t>
  </si>
  <si>
    <t>841000  סך הכל</t>
  </si>
  <si>
    <t>הסעות למטופלים</t>
  </si>
  <si>
    <t>פעילות במרכז למשפחה</t>
  </si>
  <si>
    <t>פע'- טיפול באלימות</t>
  </si>
  <si>
    <t xml:space="preserve">פנוי בתים         </t>
  </si>
  <si>
    <t>מטופלי  גרושין</t>
  </si>
  <si>
    <t>מרפאת שיניים קהילתית</t>
  </si>
  <si>
    <t>משפחות במצוקה</t>
  </si>
  <si>
    <t>עולים במצוקה</t>
  </si>
  <si>
    <t>ביטחון תזונתי</t>
  </si>
  <si>
    <t>842500  סך הכל</t>
  </si>
  <si>
    <t xml:space="preserve">תחזוקת מועדוניות       </t>
  </si>
  <si>
    <t>נקיון מרכז אורים</t>
  </si>
  <si>
    <t xml:space="preserve">איבחון חיצוני     </t>
  </si>
  <si>
    <t>תמיכה לילדי רווחה</t>
  </si>
  <si>
    <t>תסקירים לחוק נוער</t>
  </si>
  <si>
    <t>ילד פנימיות</t>
  </si>
  <si>
    <t>ילד' פנימיות עולים</t>
  </si>
  <si>
    <t>ילד במעונות</t>
  </si>
  <si>
    <t>נוער חרדי מנותק</t>
  </si>
  <si>
    <t>מרכז חכ"ם</t>
  </si>
  <si>
    <t>מועדניות משותפות</t>
  </si>
  <si>
    <t>הפנים לקהילה</t>
  </si>
  <si>
    <t>הזנה לנחשונים ובתי דרור</t>
  </si>
  <si>
    <t>מרכז אורים</t>
  </si>
  <si>
    <t>מרכז להתפתחות הילד</t>
  </si>
  <si>
    <t>מועדונית מקווה ישראל</t>
  </si>
  <si>
    <t>צהרוני רווחה</t>
  </si>
  <si>
    <t>העשרה שפתית</t>
  </si>
  <si>
    <t xml:space="preserve">עמותת חמניות </t>
  </si>
  <si>
    <t>מועדוניות במתנסים</t>
  </si>
  <si>
    <t>843800  סך הכל</t>
  </si>
  <si>
    <t xml:space="preserve">אחזקה במעונות </t>
  </si>
  <si>
    <t>שעת כושר אזרחים ותיקים</t>
  </si>
  <si>
    <t>844300  סך הכל</t>
  </si>
  <si>
    <t xml:space="preserve">שרות לקשישים      </t>
  </si>
  <si>
    <t>הפעלת מוע' קשישים</t>
  </si>
  <si>
    <t>רכזת מועדונים</t>
  </si>
  <si>
    <t>844500  סך הכל</t>
  </si>
  <si>
    <t>מעון יום טיפולי</t>
  </si>
  <si>
    <t>סידור במעונות יום מש"ה</t>
  </si>
  <si>
    <t>מעונות ממשלתיים</t>
  </si>
  <si>
    <t>הקצבה לאקים</t>
  </si>
  <si>
    <t xml:space="preserve">נופשון            </t>
  </si>
  <si>
    <t>845300  סך הכל</t>
  </si>
  <si>
    <t xml:space="preserve">ש.למוגבלים שכה"ת-קהילתי </t>
  </si>
  <si>
    <t xml:space="preserve">מוסדות חוץ </t>
  </si>
  <si>
    <t>845400  סך הכל</t>
  </si>
  <si>
    <t xml:space="preserve">שירותי שיקום      </t>
  </si>
  <si>
    <t>ילדים במוסדות</t>
  </si>
  <si>
    <t xml:space="preserve">הדרכת עיוורים </t>
  </si>
  <si>
    <t>846200  סך הכל</t>
  </si>
  <si>
    <t xml:space="preserve">שיקום העיוור      </t>
  </si>
  <si>
    <t xml:space="preserve">שקום מיוחד מקומי  </t>
  </si>
  <si>
    <t>תרגום לשפת החרשים</t>
  </si>
  <si>
    <t>מרכז משלים למשפחה עם אנשים עם מוגבלויות</t>
  </si>
  <si>
    <t>נכים בפנימיות</t>
  </si>
  <si>
    <t>מרכז יום לנפגעי ראש</t>
  </si>
  <si>
    <t>תוכנית לילד החריג</t>
  </si>
  <si>
    <t>מעונות ממשלתיים שיקומיים</t>
  </si>
  <si>
    <t>846500  סך הכל</t>
  </si>
  <si>
    <t>שיקום ליווי מניעה</t>
  </si>
  <si>
    <t>נקיון מועדון נערות</t>
  </si>
  <si>
    <t>פעילות מועד' נערות</t>
  </si>
  <si>
    <t xml:space="preserve">מעונות חסות </t>
  </si>
  <si>
    <t xml:space="preserve">מרכז ליעוץ מיני   </t>
  </si>
  <si>
    <t>פרוייקט גחליליות</t>
  </si>
  <si>
    <t>847100  סך הכל</t>
  </si>
  <si>
    <t>847200  סך הכל</t>
  </si>
  <si>
    <t xml:space="preserve">סמים              </t>
  </si>
  <si>
    <t xml:space="preserve">צרכים מיוחדים     </t>
  </si>
  <si>
    <t>מניעת שימוש בסמים ואלכוהול</t>
  </si>
  <si>
    <t>847300  סך הכל</t>
  </si>
  <si>
    <t>פע' משפ' חד-הוריות</t>
  </si>
  <si>
    <t>פע' בקהילה+התנדבות</t>
  </si>
  <si>
    <t xml:space="preserve">פעולות התנדבות </t>
  </si>
  <si>
    <t>לשכת ייעוץ לאזרח</t>
  </si>
  <si>
    <t>848100  סך הכל</t>
  </si>
  <si>
    <t xml:space="preserve">דת                </t>
  </si>
  <si>
    <t>השתת'בתקציב המועצה</t>
  </si>
  <si>
    <t xml:space="preserve">ארנונה-מועצה דתית </t>
  </si>
  <si>
    <t>הוצ' שנים קודמות</t>
  </si>
  <si>
    <t>851000  סך הכל</t>
  </si>
  <si>
    <t xml:space="preserve">המועצה הדתית      </t>
  </si>
  <si>
    <t xml:space="preserve">העדה השומרונית    </t>
  </si>
  <si>
    <t>השת'-עדה השומרונית</t>
  </si>
  <si>
    <t>א.ב. חדשות השומרונים</t>
  </si>
  <si>
    <t>859000  סך הכל</t>
  </si>
  <si>
    <t>שמירה</t>
  </si>
  <si>
    <t>קייטנות עולים,וטרנים,פרוייקטים</t>
  </si>
  <si>
    <t>עידוד העלייה</t>
  </si>
  <si>
    <t>משרד הקליטה - מהכנסה</t>
  </si>
  <si>
    <t>שילוב יוצאי אתיופיה וונדמה</t>
  </si>
  <si>
    <t>868000  סך הכל</t>
  </si>
  <si>
    <t>מחלקת קליטה ועליה</t>
  </si>
  <si>
    <t>הפעלת גינות קהילתיות</t>
  </si>
  <si>
    <t>גנן קהילתי</t>
  </si>
  <si>
    <t>קיימות</t>
  </si>
  <si>
    <t>הוצאה כנגד הכנסה - פעילות תושבים</t>
  </si>
  <si>
    <t>879000  סך הכל</t>
  </si>
  <si>
    <t>מערך איכות הסביבה</t>
  </si>
  <si>
    <t>אגף נכסים</t>
  </si>
  <si>
    <t>שכירות רח' אילת</t>
  </si>
  <si>
    <t>שכ"ט שמאים</t>
  </si>
  <si>
    <t>שכ"ט שמאים מכריעים</t>
  </si>
  <si>
    <t>סך הכל  931000</t>
  </si>
  <si>
    <t xml:space="preserve">נכסים אחרים       </t>
  </si>
  <si>
    <t xml:space="preserve">דמי חכירה         </t>
  </si>
  <si>
    <t xml:space="preserve">מס רכישה          </t>
  </si>
  <si>
    <t>מים - נכסים</t>
  </si>
  <si>
    <t xml:space="preserve">אמות אירוח וכיבוד </t>
  </si>
  <si>
    <t xml:space="preserve">  </t>
  </si>
  <si>
    <t>ארנונה נכסי העירייה</t>
  </si>
  <si>
    <t>939000  סך הכל</t>
  </si>
  <si>
    <t xml:space="preserve">תשלומים לא רגילים </t>
  </si>
  <si>
    <t>התאם מלאי מחסן ודלק</t>
  </si>
  <si>
    <t>991100  סך הכל</t>
  </si>
  <si>
    <t xml:space="preserve">קרן מחסנים        </t>
  </si>
  <si>
    <t>העברה לתק' פיתוח</t>
  </si>
  <si>
    <t>העברה לתב"רים</t>
  </si>
  <si>
    <t>991700  סך הכל</t>
  </si>
  <si>
    <t>הפרשות לתק' פיתוח</t>
  </si>
  <si>
    <t>תשלומים סוציאליים</t>
  </si>
  <si>
    <t>שי לעובדים</t>
  </si>
  <si>
    <t>שי לעובדים ארעיים</t>
  </si>
  <si>
    <t>991800  סך הכל</t>
  </si>
  <si>
    <t xml:space="preserve">גימלאות ופיצויים  </t>
  </si>
  <si>
    <t xml:space="preserve">תשלומי פנסיות     </t>
  </si>
  <si>
    <t xml:space="preserve">פנסיות לשארים     </t>
  </si>
  <si>
    <t xml:space="preserve">תשלומי פיצויים    </t>
  </si>
  <si>
    <t>תשלומי גמר חשבון</t>
  </si>
  <si>
    <t xml:space="preserve">פנסיות לאחרים     </t>
  </si>
  <si>
    <t>רווחת גימלאי העירייה</t>
  </si>
  <si>
    <t>991900  סך הכל</t>
  </si>
  <si>
    <t xml:space="preserve">רזרבה תקציבית     </t>
  </si>
  <si>
    <t xml:space="preserve">פעולות מיוחדות    </t>
  </si>
  <si>
    <t>992000  סך הכל</t>
  </si>
  <si>
    <t>מיוחדות+בלתי נצפות</t>
  </si>
  <si>
    <t>העברות לקרן ארנונה</t>
  </si>
  <si>
    <t xml:space="preserve">מ"ה הוצאות עודפות </t>
  </si>
  <si>
    <t xml:space="preserve">הוצ' משנים קודמות </t>
  </si>
  <si>
    <t>994000  סך הכל</t>
  </si>
  <si>
    <t xml:space="preserve">הנחות במיסים      </t>
  </si>
  <si>
    <t xml:space="preserve">הנחות במסים       </t>
  </si>
  <si>
    <t>995000  סך הכל</t>
  </si>
  <si>
    <t>סה"כ  תשלומים</t>
  </si>
  <si>
    <t>סיכום כולל</t>
  </si>
  <si>
    <t>סה"כ כללי</t>
  </si>
  <si>
    <t>תקציבי עזר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</si>
</sst>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 * #,##0.00_ ;_ * \-#,##0.00_ ;_ * &quot;-&quot;??_ ;_ @_ "/>
    <numFmt numFmtId="164" formatCode="000_)"/>
    <numFmt numFmtId="165" formatCode="000000_)"/>
    <numFmt numFmtId="166" formatCode="0_)"/>
    <numFmt numFmtId="167" formatCode="#,##0_)"/>
    <numFmt numFmtId="168" formatCode="@_)"/>
    <numFmt numFmtId="169" formatCode="0.00%_)"/>
    <numFmt numFmtId="170" formatCode="#,##0.0000000000"/>
    <numFmt numFmtId="171" formatCode="0.00_)"/>
    <numFmt numFmtId="172" formatCode="0.0%"/>
  </numFmts>
  <fonts count="16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2"/>
      <name val="Arial"/>
      <family val="2"/>
      <charset val="177"/>
    </font>
    <font>
      <b/>
      <sz val="12"/>
      <name val="Arial"/>
      <family val="2"/>
      <charset val="177"/>
    </font>
    <font>
      <b/>
      <sz val="13"/>
      <name val="David"/>
      <family val="2"/>
      <charset val="177"/>
    </font>
    <font>
      <b/>
      <sz val="14"/>
      <name val="David"/>
      <family val="2"/>
      <charset val="177"/>
    </font>
    <font>
      <b/>
      <sz val="12"/>
      <name val="David"/>
      <family val="2"/>
      <charset val="177"/>
    </font>
    <font>
      <b/>
      <sz val="16"/>
      <name val="David"/>
      <family val="2"/>
      <charset val="177"/>
    </font>
    <font>
      <b/>
      <i/>
      <u/>
      <sz val="13"/>
      <name val="David"/>
      <family val="2"/>
      <charset val="177"/>
    </font>
    <font>
      <b/>
      <i/>
      <sz val="13"/>
      <name val="David"/>
      <family val="2"/>
      <charset val="177"/>
    </font>
    <font>
      <b/>
      <i/>
      <sz val="16"/>
      <name val="David"/>
      <family val="2"/>
      <charset val="177"/>
    </font>
    <font>
      <b/>
      <i/>
      <u/>
      <sz val="16"/>
      <name val="David"/>
      <family val="2"/>
      <charset val="177"/>
    </font>
    <font>
      <sz val="11"/>
      <name val="Arial"/>
      <family val="2"/>
      <charset val="177"/>
      <scheme val="minor"/>
    </font>
    <font>
      <b/>
      <sz val="12"/>
      <name val="David"/>
      <family val="2"/>
    </font>
    <font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6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thick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ck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</cellStyleXfs>
  <cellXfs count="318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readingOrder="2"/>
    </xf>
    <xf numFmtId="0" fontId="3" fillId="0" borderId="0" xfId="0" applyFont="1" applyFill="1" applyBorder="1"/>
    <xf numFmtId="0" fontId="5" fillId="0" borderId="0" xfId="0" applyFont="1" applyFill="1" applyBorder="1" applyAlignment="1">
      <alignment readingOrder="2"/>
    </xf>
    <xf numFmtId="0" fontId="5" fillId="0" borderId="0" xfId="0" applyFont="1" applyFill="1" applyBorder="1" applyAlignment="1">
      <alignment horizontal="right" vertical="center" readingOrder="2"/>
    </xf>
    <xf numFmtId="0" fontId="5" fillId="0" borderId="0" xfId="0" applyFont="1" applyFill="1" applyBorder="1" applyAlignment="1">
      <alignment horizontal="center" vertical="center" readingOrder="2"/>
    </xf>
    <xf numFmtId="3" fontId="5" fillId="0" borderId="0" xfId="0" applyNumberFormat="1" applyFont="1" applyFill="1" applyBorder="1" applyAlignment="1">
      <alignment horizontal="right" vertical="center" readingOrder="2"/>
    </xf>
    <xf numFmtId="3" fontId="6" fillId="0" borderId="0" xfId="1" applyNumberFormat="1" applyFont="1" applyFill="1" applyBorder="1" applyAlignment="1">
      <alignment horizontal="center" vertical="center" readingOrder="2"/>
    </xf>
    <xf numFmtId="4" fontId="4" fillId="0" borderId="0" xfId="0" applyNumberFormat="1" applyFont="1" applyFill="1" applyBorder="1" applyAlignment="1">
      <alignment horizontal="center" readingOrder="2"/>
    </xf>
    <xf numFmtId="0" fontId="6" fillId="0" borderId="0" xfId="0" applyFont="1" applyFill="1" applyBorder="1" applyAlignment="1">
      <alignment vertical="center"/>
    </xf>
    <xf numFmtId="164" fontId="6" fillId="0" borderId="1" xfId="0" quotePrefix="1" applyNumberFormat="1" applyFont="1" applyFill="1" applyBorder="1" applyAlignment="1">
      <alignment horizontal="center" vertical="center"/>
    </xf>
    <xf numFmtId="164" fontId="6" fillId="0" borderId="1" xfId="0" quotePrefix="1" applyNumberFormat="1" applyFont="1" applyFill="1" applyBorder="1" applyAlignment="1"/>
    <xf numFmtId="164" fontId="6" fillId="0" borderId="1" xfId="0" quotePrefix="1" applyNumberFormat="1" applyFont="1" applyFill="1" applyBorder="1" applyAlignment="1">
      <alignment horizontal="center"/>
    </xf>
    <xf numFmtId="3" fontId="6" fillId="0" borderId="1" xfId="0" quotePrefix="1" applyNumberFormat="1" applyFont="1" applyFill="1" applyBorder="1" applyAlignment="1"/>
    <xf numFmtId="3" fontId="6" fillId="0" borderId="1" xfId="1" quotePrefix="1" applyNumberFormat="1" applyFont="1" applyFill="1" applyBorder="1" applyAlignment="1">
      <alignment horizontal="center" vertical="center"/>
    </xf>
    <xf numFmtId="4" fontId="6" fillId="0" borderId="1" xfId="0" quotePrefix="1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 readingOrder="2"/>
    </xf>
    <xf numFmtId="164" fontId="6" fillId="0" borderId="2" xfId="0" quotePrefix="1" applyNumberFormat="1" applyFont="1" applyFill="1" applyBorder="1" applyAlignment="1">
      <alignment horizontal="center" vertical="center" wrapText="1" readingOrder="2"/>
    </xf>
    <xf numFmtId="165" fontId="6" fillId="0" borderId="3" xfId="0" quotePrefix="1" applyNumberFormat="1" applyFont="1" applyFill="1" applyBorder="1" applyAlignment="1">
      <alignment horizontal="center" vertical="center" wrapText="1" readingOrder="2"/>
    </xf>
    <xf numFmtId="166" fontId="6" fillId="0" borderId="3" xfId="0" applyNumberFormat="1" applyFont="1" applyFill="1" applyBorder="1" applyAlignment="1">
      <alignment horizontal="center" vertical="center" wrapText="1" readingOrder="2"/>
    </xf>
    <xf numFmtId="166" fontId="6" fillId="0" borderId="4" xfId="0" applyNumberFormat="1" applyFont="1" applyFill="1" applyBorder="1" applyAlignment="1">
      <alignment horizontal="center" vertical="center" wrapText="1" readingOrder="2"/>
    </xf>
    <xf numFmtId="0" fontId="6" fillId="0" borderId="4" xfId="0" applyFont="1" applyFill="1" applyBorder="1" applyAlignment="1">
      <alignment horizontal="center" vertical="center" wrapText="1" readingOrder="2"/>
    </xf>
    <xf numFmtId="166" fontId="6" fillId="0" borderId="3" xfId="0" applyNumberFormat="1" applyFont="1" applyFill="1" applyBorder="1" applyAlignment="1">
      <alignment horizontal="center" wrapText="1" readingOrder="2"/>
    </xf>
    <xf numFmtId="167" fontId="6" fillId="0" borderId="3" xfId="0" quotePrefix="1" applyNumberFormat="1" applyFont="1" applyFill="1" applyBorder="1" applyAlignment="1">
      <alignment horizontal="center" vertical="center" wrapText="1" readingOrder="2"/>
    </xf>
    <xf numFmtId="167" fontId="6" fillId="2" borderId="3" xfId="0" quotePrefix="1" applyNumberFormat="1" applyFont="1" applyFill="1" applyBorder="1" applyAlignment="1">
      <alignment horizontal="center" vertical="center" wrapText="1" readingOrder="2"/>
    </xf>
    <xf numFmtId="4" fontId="6" fillId="0" borderId="5" xfId="0" quotePrefix="1" applyNumberFormat="1" applyFont="1" applyFill="1" applyBorder="1" applyAlignment="1">
      <alignment horizontal="center" vertical="center" wrapText="1" readingOrder="2"/>
    </xf>
    <xf numFmtId="3" fontId="6" fillId="0" borderId="3" xfId="1" quotePrefix="1" applyNumberFormat="1" applyFont="1" applyFill="1" applyBorder="1" applyAlignment="1">
      <alignment horizontal="center" vertical="center" wrapText="1" readingOrder="2"/>
    </xf>
    <xf numFmtId="4" fontId="6" fillId="0" borderId="6" xfId="0" quotePrefix="1" applyNumberFormat="1" applyFont="1" applyFill="1" applyBorder="1" applyAlignment="1">
      <alignment horizontal="center" vertical="center" wrapText="1" readingOrder="2"/>
    </xf>
    <xf numFmtId="164" fontId="6" fillId="0" borderId="7" xfId="0" quotePrefix="1" applyNumberFormat="1" applyFont="1" applyFill="1" applyBorder="1" applyAlignment="1">
      <alignment horizontal="center" vertical="center" wrapText="1" readingOrder="2"/>
    </xf>
    <xf numFmtId="165" fontId="6" fillId="0" borderId="8" xfId="0" quotePrefix="1" applyNumberFormat="1" applyFont="1" applyFill="1" applyBorder="1" applyAlignment="1">
      <alignment horizontal="center" vertical="center" wrapText="1" readingOrder="2"/>
    </xf>
    <xf numFmtId="166" fontId="6" fillId="0" borderId="8" xfId="0" applyNumberFormat="1" applyFont="1" applyFill="1" applyBorder="1" applyAlignment="1">
      <alignment horizontal="center" vertical="center" wrapText="1" readingOrder="2"/>
    </xf>
    <xf numFmtId="0" fontId="8" fillId="0" borderId="8" xfId="0" applyFont="1" applyFill="1" applyBorder="1" applyAlignment="1">
      <alignment horizontal="right" vertical="center" readingOrder="2"/>
    </xf>
    <xf numFmtId="166" fontId="6" fillId="0" borderId="8" xfId="0" applyNumberFormat="1" applyFont="1" applyFill="1" applyBorder="1" applyAlignment="1">
      <alignment wrapText="1" readingOrder="2"/>
    </xf>
    <xf numFmtId="167" fontId="6" fillId="0" borderId="8" xfId="0" quotePrefix="1" applyNumberFormat="1" applyFont="1" applyFill="1" applyBorder="1" applyAlignment="1">
      <alignment wrapText="1" readingOrder="2"/>
    </xf>
    <xf numFmtId="167" fontId="6" fillId="0" borderId="8" xfId="0" quotePrefix="1" applyNumberFormat="1" applyFont="1" applyFill="1" applyBorder="1" applyAlignment="1">
      <alignment horizontal="center" wrapText="1" readingOrder="2"/>
    </xf>
    <xf numFmtId="3" fontId="6" fillId="0" borderId="8" xfId="0" quotePrefix="1" applyNumberFormat="1" applyFont="1" applyFill="1" applyBorder="1" applyAlignment="1">
      <alignment wrapText="1" readingOrder="2"/>
    </xf>
    <xf numFmtId="3" fontId="6" fillId="0" borderId="8" xfId="1" quotePrefix="1" applyNumberFormat="1" applyFont="1" applyFill="1" applyBorder="1" applyAlignment="1">
      <alignment horizontal="center" vertical="center" wrapText="1" readingOrder="2"/>
    </xf>
    <xf numFmtId="4" fontId="6" fillId="0" borderId="9" xfId="0" applyNumberFormat="1" applyFont="1" applyFill="1" applyBorder="1" applyAlignment="1">
      <alignment horizontal="center" vertical="center"/>
    </xf>
    <xf numFmtId="164" fontId="6" fillId="0" borderId="10" xfId="0" applyNumberFormat="1" applyFont="1" applyFill="1" applyBorder="1" applyAlignment="1">
      <alignment horizontal="center" vertical="center"/>
    </xf>
    <xf numFmtId="168" fontId="6" fillId="0" borderId="11" xfId="0" applyNumberFormat="1" applyFont="1" applyFill="1" applyBorder="1" applyAlignment="1">
      <alignment horizontal="center" vertical="center"/>
    </xf>
    <xf numFmtId="166" fontId="6" fillId="0" borderId="11" xfId="0" applyNumberFormat="1" applyFont="1" applyFill="1" applyBorder="1" applyAlignment="1">
      <alignment horizontal="center" vertical="center"/>
    </xf>
    <xf numFmtId="166" fontId="6" fillId="0" borderId="12" xfId="0" applyNumberFormat="1" applyFont="1" applyFill="1" applyBorder="1" applyAlignment="1">
      <alignment vertical="center"/>
    </xf>
    <xf numFmtId="0" fontId="6" fillId="0" borderId="13" xfId="0" applyFont="1" applyFill="1" applyBorder="1" applyAlignment="1">
      <alignment horizontal="right" vertical="center" readingOrder="2"/>
    </xf>
    <xf numFmtId="166" fontId="6" fillId="0" borderId="11" xfId="0" applyNumberFormat="1" applyFont="1" applyFill="1" applyBorder="1" applyAlignment="1"/>
    <xf numFmtId="169" fontId="6" fillId="0" borderId="11" xfId="0" applyNumberFormat="1" applyFont="1" applyFill="1" applyBorder="1" applyAlignment="1"/>
    <xf numFmtId="169" fontId="6" fillId="0" borderId="11" xfId="0" applyNumberFormat="1" applyFont="1" applyFill="1" applyBorder="1" applyAlignment="1">
      <alignment horizontal="center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11" xfId="1" applyNumberFormat="1" applyFont="1" applyFill="1" applyBorder="1" applyAlignment="1">
      <alignment horizontal="center" vertical="center"/>
    </xf>
    <xf numFmtId="4" fontId="6" fillId="0" borderId="14" xfId="0" applyNumberFormat="1" applyFont="1" applyFill="1" applyBorder="1" applyAlignment="1">
      <alignment horizontal="center" vertical="center"/>
    </xf>
    <xf numFmtId="169" fontId="6" fillId="0" borderId="11" xfId="0" applyNumberFormat="1" applyFont="1" applyFill="1" applyBorder="1" applyAlignment="1">
      <alignment horizontal="center" vertical="center"/>
    </xf>
    <xf numFmtId="169" fontId="6" fillId="0" borderId="15" xfId="0" applyNumberFormat="1" applyFont="1" applyFill="1" applyBorder="1" applyAlignment="1">
      <alignment horizontal="center"/>
    </xf>
    <xf numFmtId="168" fontId="6" fillId="0" borderId="16" xfId="0" applyNumberFormat="1" applyFont="1" applyFill="1" applyBorder="1" applyAlignment="1">
      <alignment horizontal="right" vertical="center"/>
    </xf>
    <xf numFmtId="168" fontId="6" fillId="0" borderId="3" xfId="0" applyNumberFormat="1" applyFont="1" applyFill="1" applyBorder="1" applyAlignment="1">
      <alignment horizontal="center" vertical="center"/>
    </xf>
    <xf numFmtId="166" fontId="6" fillId="0" borderId="3" xfId="0" applyNumberFormat="1" applyFont="1" applyFill="1" applyBorder="1" applyAlignment="1">
      <alignment horizontal="center" vertical="center"/>
    </xf>
    <xf numFmtId="166" fontId="6" fillId="0" borderId="17" xfId="0" applyNumberFormat="1" applyFont="1" applyFill="1" applyBorder="1" applyAlignment="1">
      <alignment vertical="center"/>
    </xf>
    <xf numFmtId="0" fontId="4" fillId="0" borderId="18" xfId="0" applyFont="1" applyFill="1" applyBorder="1" applyAlignment="1">
      <alignment horizontal="right" vertical="center" readingOrder="2"/>
    </xf>
    <xf numFmtId="166" fontId="6" fillId="0" borderId="3" xfId="0" applyNumberFormat="1" applyFont="1" applyFill="1" applyBorder="1" applyAlignment="1"/>
    <xf numFmtId="169" fontId="6" fillId="0" borderId="18" xfId="0" applyNumberFormat="1" applyFont="1" applyFill="1" applyBorder="1" applyAlignment="1">
      <alignment horizontal="center" vertical="center"/>
    </xf>
    <xf numFmtId="169" fontId="6" fillId="0" borderId="18" xfId="0" applyNumberFormat="1" applyFont="1" applyFill="1" applyBorder="1" applyAlignment="1">
      <alignment horizontal="center"/>
    </xf>
    <xf numFmtId="3" fontId="6" fillId="0" borderId="18" xfId="0" applyNumberFormat="1" applyFont="1" applyFill="1" applyBorder="1" applyAlignment="1">
      <alignment horizontal="center" vertical="center"/>
    </xf>
    <xf numFmtId="3" fontId="6" fillId="0" borderId="18" xfId="0" applyNumberFormat="1" applyFont="1" applyFill="1" applyBorder="1" applyAlignment="1">
      <alignment horizontal="center"/>
    </xf>
    <xf numFmtId="4" fontId="6" fillId="0" borderId="19" xfId="0" applyNumberFormat="1" applyFont="1" applyFill="1" applyBorder="1" applyAlignment="1">
      <alignment horizontal="center"/>
    </xf>
    <xf numFmtId="164" fontId="6" fillId="0" borderId="20" xfId="0" applyNumberFormat="1" applyFont="1" applyFill="1" applyBorder="1" applyAlignment="1">
      <alignment horizontal="center" vertical="center"/>
    </xf>
    <xf numFmtId="168" fontId="6" fillId="0" borderId="21" xfId="0" applyNumberFormat="1" applyFont="1" applyFill="1" applyBorder="1" applyAlignment="1">
      <alignment horizontal="center" vertical="center"/>
    </xf>
    <xf numFmtId="166" fontId="6" fillId="0" borderId="21" xfId="0" applyNumberFormat="1" applyFont="1" applyFill="1" applyBorder="1" applyAlignment="1">
      <alignment horizontal="center" vertical="center"/>
    </xf>
    <xf numFmtId="166" fontId="6" fillId="0" borderId="22" xfId="0" applyNumberFormat="1" applyFont="1" applyFill="1" applyBorder="1" applyAlignment="1">
      <alignment vertical="center"/>
    </xf>
    <xf numFmtId="0" fontId="6" fillId="0" borderId="23" xfId="0" applyFont="1" applyFill="1" applyBorder="1" applyAlignment="1">
      <alignment horizontal="right" vertical="center" readingOrder="2"/>
    </xf>
    <xf numFmtId="166" fontId="6" fillId="0" borderId="21" xfId="0" applyNumberFormat="1" applyFont="1" applyFill="1" applyBorder="1" applyAlignment="1"/>
    <xf numFmtId="169" fontId="6" fillId="0" borderId="21" xfId="0" applyNumberFormat="1" applyFont="1" applyFill="1" applyBorder="1" applyAlignment="1">
      <alignment horizontal="center"/>
    </xf>
    <xf numFmtId="169" fontId="6" fillId="0" borderId="3" xfId="0" applyNumberFormat="1" applyFont="1" applyFill="1" applyBorder="1" applyAlignment="1">
      <alignment horizontal="center" vertical="center"/>
    </xf>
    <xf numFmtId="169" fontId="6" fillId="0" borderId="3" xfId="0" applyNumberFormat="1" applyFont="1" applyFill="1" applyBorder="1" applyAlignment="1">
      <alignment horizontal="center"/>
    </xf>
    <xf numFmtId="3" fontId="6" fillId="0" borderId="3" xfId="0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/>
    </xf>
    <xf numFmtId="4" fontId="6" fillId="0" borderId="6" xfId="0" applyNumberFormat="1" applyFont="1" applyFill="1" applyBorder="1" applyAlignment="1">
      <alignment horizontal="center"/>
    </xf>
    <xf numFmtId="167" fontId="6" fillId="0" borderId="18" xfId="0" applyNumberFormat="1" applyFont="1" applyFill="1" applyBorder="1" applyAlignment="1">
      <alignment horizontal="center"/>
    </xf>
    <xf numFmtId="169" fontId="6" fillId="0" borderId="24" xfId="0" applyNumberFormat="1" applyFont="1" applyFill="1" applyBorder="1" applyAlignment="1">
      <alignment horizontal="center" vertical="center"/>
    </xf>
    <xf numFmtId="169" fontId="6" fillId="0" borderId="25" xfId="0" applyNumberFormat="1" applyFont="1" applyFill="1" applyBorder="1" applyAlignment="1">
      <alignment horizontal="center" vertical="center"/>
    </xf>
    <xf numFmtId="0" fontId="0" fillId="0" borderId="0" xfId="0" applyFill="1"/>
    <xf numFmtId="166" fontId="6" fillId="0" borderId="12" xfId="0" applyNumberFormat="1" applyFont="1" applyFill="1" applyBorder="1" applyAlignment="1"/>
    <xf numFmtId="168" fontId="6" fillId="0" borderId="26" xfId="0" applyNumberFormat="1" applyFont="1" applyFill="1" applyBorder="1" applyAlignment="1">
      <alignment horizontal="right" vertical="center"/>
    </xf>
    <xf numFmtId="168" fontId="6" fillId="0" borderId="27" xfId="0" applyNumberFormat="1" applyFont="1" applyFill="1" applyBorder="1" applyAlignment="1">
      <alignment horizontal="center" vertical="center"/>
    </xf>
    <xf numFmtId="166" fontId="6" fillId="0" borderId="27" xfId="0" applyNumberFormat="1" applyFont="1" applyFill="1" applyBorder="1" applyAlignment="1">
      <alignment horizontal="center" vertical="center"/>
    </xf>
    <xf numFmtId="166" fontId="6" fillId="0" borderId="28" xfId="0" applyNumberFormat="1" applyFont="1" applyFill="1" applyBorder="1" applyAlignment="1">
      <alignment vertical="center"/>
    </xf>
    <xf numFmtId="0" fontId="4" fillId="0" borderId="29" xfId="0" applyFont="1" applyFill="1" applyBorder="1" applyAlignment="1">
      <alignment horizontal="right" vertical="center" readingOrder="2"/>
    </xf>
    <xf numFmtId="166" fontId="6" fillId="0" borderId="27" xfId="0" applyNumberFormat="1" applyFont="1" applyFill="1" applyBorder="1" applyAlignment="1"/>
    <xf numFmtId="169" fontId="6" fillId="0" borderId="27" xfId="0" applyNumberFormat="1" applyFont="1" applyFill="1" applyBorder="1" applyAlignment="1">
      <alignment horizontal="center" vertical="center"/>
    </xf>
    <xf numFmtId="169" fontId="6" fillId="0" borderId="27" xfId="0" applyNumberFormat="1" applyFont="1" applyFill="1" applyBorder="1" applyAlignment="1">
      <alignment horizontal="center"/>
    </xf>
    <xf numFmtId="3" fontId="6" fillId="0" borderId="27" xfId="0" applyNumberFormat="1" applyFont="1" applyFill="1" applyBorder="1" applyAlignment="1">
      <alignment horizontal="center" vertical="center"/>
    </xf>
    <xf numFmtId="167" fontId="6" fillId="0" borderId="27" xfId="0" applyNumberFormat="1" applyFont="1" applyFill="1" applyBorder="1" applyAlignment="1">
      <alignment horizontal="center"/>
    </xf>
    <xf numFmtId="4" fontId="6" fillId="0" borderId="30" xfId="0" applyNumberFormat="1" applyFont="1" applyFill="1" applyBorder="1" applyAlignment="1">
      <alignment horizontal="center"/>
    </xf>
    <xf numFmtId="167" fontId="6" fillId="0" borderId="3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vertical="center"/>
    </xf>
    <xf numFmtId="0" fontId="3" fillId="0" borderId="8" xfId="0" applyFont="1" applyFill="1" applyBorder="1" applyAlignment="1"/>
    <xf numFmtId="169" fontId="6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/>
    </xf>
    <xf numFmtId="3" fontId="6" fillId="0" borderId="8" xfId="0" applyNumberFormat="1" applyFont="1" applyFill="1" applyBorder="1" applyAlignment="1">
      <alignment horizontal="center" vertical="center"/>
    </xf>
    <xf numFmtId="3" fontId="3" fillId="0" borderId="8" xfId="1" applyNumberFormat="1" applyFont="1" applyFill="1" applyBorder="1" applyAlignment="1">
      <alignment horizontal="center" vertical="center"/>
    </xf>
    <xf numFmtId="164" fontId="6" fillId="0" borderId="0" xfId="0" quotePrefix="1" applyNumberFormat="1" applyFont="1" applyFill="1" applyBorder="1" applyAlignment="1">
      <alignment horizontal="center" vertical="center" wrapText="1" readingOrder="2"/>
    </xf>
    <xf numFmtId="165" fontId="6" fillId="0" borderId="0" xfId="0" quotePrefix="1" applyNumberFormat="1" applyFont="1" applyFill="1" applyBorder="1" applyAlignment="1">
      <alignment horizontal="center" vertical="center" wrapText="1" readingOrder="2"/>
    </xf>
    <xf numFmtId="166" fontId="6" fillId="0" borderId="0" xfId="0" applyNumberFormat="1" applyFont="1" applyFill="1" applyBorder="1" applyAlignment="1">
      <alignment horizontal="center" vertical="center" wrapText="1" readingOrder="2"/>
    </xf>
    <xf numFmtId="0" fontId="11" fillId="0" borderId="0" xfId="0" applyFont="1" applyFill="1" applyBorder="1" applyAlignment="1">
      <alignment horizontal="right" vertical="center" readingOrder="2"/>
    </xf>
    <xf numFmtId="166" fontId="6" fillId="0" borderId="31" xfId="0" applyNumberFormat="1" applyFont="1" applyFill="1" applyBorder="1" applyAlignment="1">
      <alignment wrapText="1" readingOrder="2"/>
    </xf>
    <xf numFmtId="169" fontId="6" fillId="0" borderId="31" xfId="0" applyNumberFormat="1" applyFont="1" applyFill="1" applyBorder="1" applyAlignment="1">
      <alignment horizontal="center" vertical="center"/>
    </xf>
    <xf numFmtId="169" fontId="6" fillId="0" borderId="31" xfId="0" applyNumberFormat="1" applyFont="1" applyFill="1" applyBorder="1" applyAlignment="1">
      <alignment horizontal="center"/>
    </xf>
    <xf numFmtId="3" fontId="6" fillId="0" borderId="31" xfId="0" applyNumberFormat="1" applyFont="1" applyFill="1" applyBorder="1" applyAlignment="1">
      <alignment horizontal="center" vertical="center"/>
    </xf>
    <xf numFmtId="3" fontId="6" fillId="0" borderId="31" xfId="1" applyNumberFormat="1" applyFont="1" applyFill="1" applyBorder="1" applyAlignment="1">
      <alignment horizontal="center" vertical="center"/>
    </xf>
    <xf numFmtId="4" fontId="6" fillId="0" borderId="32" xfId="0" applyNumberFormat="1" applyFont="1" applyFill="1" applyBorder="1" applyAlignment="1">
      <alignment horizontal="center" vertical="center"/>
    </xf>
    <xf numFmtId="165" fontId="6" fillId="0" borderId="11" xfId="0" applyNumberFormat="1" applyFont="1" applyFill="1" applyBorder="1" applyAlignment="1">
      <alignment horizontal="center" vertical="center"/>
    </xf>
    <xf numFmtId="166" fontId="6" fillId="0" borderId="33" xfId="0" applyNumberFormat="1" applyFont="1" applyFill="1" applyBorder="1" applyAlignment="1">
      <alignment horizontal="center" vertical="center" wrapText="1" readingOrder="2"/>
    </xf>
    <xf numFmtId="166" fontId="6" fillId="0" borderId="13" xfId="0" applyNumberFormat="1" applyFont="1" applyFill="1" applyBorder="1" applyAlignment="1">
      <alignment wrapText="1" readingOrder="2"/>
    </xf>
    <xf numFmtId="166" fontId="6" fillId="0" borderId="33" xfId="0" applyNumberFormat="1" applyFont="1" applyFill="1" applyBorder="1" applyAlignment="1">
      <alignment vertical="center"/>
    </xf>
    <xf numFmtId="3" fontId="6" fillId="0" borderId="11" xfId="1" applyNumberFormat="1" applyFont="1" applyFill="1" applyBorder="1" applyAlignment="1">
      <alignment horizontal="center" vertical="center" readingOrder="2"/>
    </xf>
    <xf numFmtId="3" fontId="6" fillId="0" borderId="11" xfId="1" applyNumberFormat="1" applyFont="1" applyFill="1" applyBorder="1" applyAlignment="1">
      <alignment horizontal="center" vertical="center" readingOrder="1"/>
    </xf>
    <xf numFmtId="166" fontId="6" fillId="0" borderId="4" xfId="0" applyNumberFormat="1" applyFont="1" applyFill="1" applyBorder="1" applyAlignment="1">
      <alignment vertical="center"/>
    </xf>
    <xf numFmtId="0" fontId="6" fillId="0" borderId="18" xfId="0" applyFont="1" applyFill="1" applyBorder="1" applyAlignment="1">
      <alignment horizontal="right" vertical="center" readingOrder="2"/>
    </xf>
    <xf numFmtId="3" fontId="6" fillId="0" borderId="24" xfId="1" applyNumberFormat="1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vertical="center"/>
    </xf>
    <xf numFmtId="164" fontId="6" fillId="0" borderId="34" xfId="0" applyNumberFormat="1" applyFont="1" applyFill="1" applyBorder="1" applyAlignment="1">
      <alignment horizontal="center" vertical="center"/>
    </xf>
    <xf numFmtId="165" fontId="6" fillId="0" borderId="35" xfId="0" applyNumberFormat="1" applyFont="1" applyFill="1" applyBorder="1" applyAlignment="1">
      <alignment horizontal="center" vertical="center"/>
    </xf>
    <xf numFmtId="166" fontId="6" fillId="0" borderId="35" xfId="0" applyNumberFormat="1" applyFont="1" applyFill="1" applyBorder="1" applyAlignment="1">
      <alignment horizontal="center" vertical="center"/>
    </xf>
    <xf numFmtId="0" fontId="6" fillId="0" borderId="36" xfId="0" applyFont="1" applyFill="1" applyBorder="1" applyAlignment="1">
      <alignment horizontal="right" vertical="center" readingOrder="2"/>
    </xf>
    <xf numFmtId="166" fontId="6" fillId="0" borderId="37" xfId="0" applyNumberFormat="1" applyFont="1" applyFill="1" applyBorder="1" applyAlignment="1"/>
    <xf numFmtId="169" fontId="6" fillId="0" borderId="35" xfId="0" applyNumberFormat="1" applyFont="1" applyFill="1" applyBorder="1" applyAlignment="1">
      <alignment horizontal="center" vertical="center"/>
    </xf>
    <xf numFmtId="169" fontId="6" fillId="0" borderId="36" xfId="0" applyNumberFormat="1" applyFont="1" applyFill="1" applyBorder="1" applyAlignment="1">
      <alignment horizontal="center"/>
    </xf>
    <xf numFmtId="3" fontId="6" fillId="0" borderId="36" xfId="1" applyNumberFormat="1" applyFont="1" applyFill="1" applyBorder="1" applyAlignment="1">
      <alignment horizontal="center" vertical="center"/>
    </xf>
    <xf numFmtId="4" fontId="6" fillId="0" borderId="38" xfId="0" applyNumberFormat="1" applyFont="1" applyFill="1" applyBorder="1" applyAlignment="1">
      <alignment horizontal="center" vertical="center"/>
    </xf>
    <xf numFmtId="166" fontId="6" fillId="0" borderId="17" xfId="0" applyNumberFormat="1" applyFont="1" applyFill="1" applyBorder="1" applyAlignment="1"/>
    <xf numFmtId="169" fontId="6" fillId="0" borderId="21" xfId="0" applyNumberFormat="1" applyFont="1" applyFill="1" applyBorder="1" applyAlignment="1">
      <alignment horizontal="center" vertical="center"/>
    </xf>
    <xf numFmtId="169" fontId="6" fillId="0" borderId="15" xfId="0" applyNumberFormat="1" applyFont="1" applyFill="1" applyBorder="1" applyAlignment="1">
      <alignment horizontal="center" vertical="center"/>
    </xf>
    <xf numFmtId="165" fontId="6" fillId="0" borderId="21" xfId="0" applyNumberFormat="1" applyFont="1" applyFill="1" applyBorder="1" applyAlignment="1">
      <alignment horizontal="center" vertical="center"/>
    </xf>
    <xf numFmtId="166" fontId="6" fillId="0" borderId="31" xfId="0" applyNumberFormat="1" applyFont="1" applyFill="1" applyBorder="1" applyAlignment="1">
      <alignment vertical="center"/>
    </xf>
    <xf numFmtId="166" fontId="6" fillId="0" borderId="0" xfId="0" applyNumberFormat="1" applyFont="1" applyFill="1" applyBorder="1" applyAlignment="1">
      <alignment vertical="center"/>
    </xf>
    <xf numFmtId="0" fontId="6" fillId="0" borderId="39" xfId="0" applyFont="1" applyFill="1" applyBorder="1" applyAlignment="1">
      <alignment horizontal="right" vertical="center" readingOrder="2"/>
    </xf>
    <xf numFmtId="4" fontId="6" fillId="0" borderId="40" xfId="0" applyNumberFormat="1" applyFont="1" applyFill="1" applyBorder="1" applyAlignment="1">
      <alignment horizontal="center" vertical="center"/>
    </xf>
    <xf numFmtId="0" fontId="6" fillId="0" borderId="41" xfId="0" applyFont="1" applyFill="1" applyBorder="1" applyAlignment="1">
      <alignment vertical="center"/>
    </xf>
    <xf numFmtId="164" fontId="6" fillId="0" borderId="42" xfId="0" applyNumberFormat="1" applyFont="1" applyFill="1" applyBorder="1" applyAlignment="1">
      <alignment horizontal="center" vertical="center"/>
    </xf>
    <xf numFmtId="165" fontId="6" fillId="0" borderId="15" xfId="0" applyNumberFormat="1" applyFont="1" applyFill="1" applyBorder="1" applyAlignment="1">
      <alignment horizontal="center" vertical="center"/>
    </xf>
    <xf numFmtId="166" fontId="6" fillId="0" borderId="15" xfId="0" applyNumberFormat="1" applyFont="1" applyFill="1" applyBorder="1" applyAlignment="1">
      <alignment horizontal="center" vertical="center"/>
    </xf>
    <xf numFmtId="166" fontId="6" fillId="0" borderId="41" xfId="0" applyNumberFormat="1" applyFont="1" applyFill="1" applyBorder="1" applyAlignment="1">
      <alignment vertical="center"/>
    </xf>
    <xf numFmtId="166" fontId="6" fillId="0" borderId="43" xfId="0" applyNumberFormat="1" applyFont="1" applyFill="1" applyBorder="1" applyAlignment="1"/>
    <xf numFmtId="169" fontId="6" fillId="0" borderId="39" xfId="0" applyNumberFormat="1" applyFont="1" applyFill="1" applyBorder="1" applyAlignment="1">
      <alignment horizontal="center"/>
    </xf>
    <xf numFmtId="3" fontId="6" fillId="0" borderId="39" xfId="1" applyNumberFormat="1" applyFont="1" applyFill="1" applyBorder="1" applyAlignment="1">
      <alignment horizontal="center" vertical="center"/>
    </xf>
    <xf numFmtId="0" fontId="12" fillId="0" borderId="41" xfId="0" applyFont="1" applyFill="1" applyBorder="1"/>
    <xf numFmtId="4" fontId="6" fillId="0" borderId="18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vertical="center" readingOrder="2"/>
    </xf>
    <xf numFmtId="3" fontId="6" fillId="0" borderId="11" xfId="1" applyNumberFormat="1" applyFont="1" applyFill="1" applyBorder="1" applyAlignment="1">
      <alignment horizontal="center"/>
    </xf>
    <xf numFmtId="167" fontId="6" fillId="0" borderId="18" xfId="0" applyNumberFormat="1" applyFont="1" applyFill="1" applyBorder="1" applyAlignment="1">
      <alignment horizontal="center" vertical="center"/>
    </xf>
    <xf numFmtId="4" fontId="6" fillId="0" borderId="6" xfId="0" applyNumberFormat="1" applyFont="1" applyFill="1" applyBorder="1" applyAlignment="1">
      <alignment horizontal="center" vertical="center"/>
    </xf>
    <xf numFmtId="166" fontId="6" fillId="0" borderId="8" xfId="0" applyNumberFormat="1" applyFont="1" applyFill="1" applyBorder="1" applyAlignment="1">
      <alignment vertical="center"/>
    </xf>
    <xf numFmtId="165" fontId="6" fillId="0" borderId="24" xfId="0" applyNumberFormat="1" applyFont="1" applyFill="1" applyBorder="1" applyAlignment="1">
      <alignment horizontal="center" vertical="center"/>
    </xf>
    <xf numFmtId="166" fontId="6" fillId="0" borderId="44" xfId="0" applyNumberFormat="1" applyFont="1" applyFill="1" applyBorder="1" applyAlignment="1">
      <alignment vertical="center"/>
    </xf>
    <xf numFmtId="166" fontId="6" fillId="0" borderId="35" xfId="0" applyNumberFormat="1" applyFont="1" applyFill="1" applyBorder="1" applyAlignment="1"/>
    <xf numFmtId="0" fontId="6" fillId="0" borderId="13" xfId="0" quotePrefix="1" applyFont="1" applyFill="1" applyBorder="1" applyAlignment="1">
      <alignment horizontal="right" vertical="center" readingOrder="2"/>
    </xf>
    <xf numFmtId="0" fontId="6" fillId="0" borderId="0" xfId="0" applyFont="1" applyFill="1" applyBorder="1" applyAlignment="1">
      <alignment horizontal="right" vertical="center"/>
    </xf>
    <xf numFmtId="0" fontId="6" fillId="0" borderId="13" xfId="0" applyFont="1" applyFill="1" applyBorder="1" applyAlignment="1">
      <alignment vertical="center" readingOrder="2"/>
    </xf>
    <xf numFmtId="168" fontId="6" fillId="0" borderId="16" xfId="0" quotePrefix="1" applyNumberFormat="1" applyFont="1" applyFill="1" applyBorder="1" applyAlignment="1">
      <alignment horizontal="right" vertical="center"/>
    </xf>
    <xf numFmtId="0" fontId="13" fillId="0" borderId="0" xfId="0" applyFont="1" applyFill="1"/>
    <xf numFmtId="0" fontId="6" fillId="0" borderId="0" xfId="0" applyFont="1" applyFill="1" applyBorder="1" applyAlignment="1">
      <alignment horizontal="right" vertical="center" readingOrder="2"/>
    </xf>
    <xf numFmtId="169" fontId="6" fillId="0" borderId="35" xfId="0" applyNumberFormat="1" applyFont="1" applyFill="1" applyBorder="1" applyAlignment="1">
      <alignment horizontal="center"/>
    </xf>
    <xf numFmtId="3" fontId="6" fillId="0" borderId="21" xfId="0" applyNumberFormat="1" applyFont="1" applyFill="1" applyBorder="1" applyAlignment="1">
      <alignment horizontal="center" vertical="center"/>
    </xf>
    <xf numFmtId="3" fontId="6" fillId="0" borderId="35" xfId="1" applyNumberFormat="1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right" vertical="center" readingOrder="2"/>
    </xf>
    <xf numFmtId="166" fontId="6" fillId="0" borderId="18" xfId="0" applyNumberFormat="1" applyFont="1" applyFill="1" applyBorder="1" applyAlignment="1">
      <alignment horizontal="right" vertical="center"/>
    </xf>
    <xf numFmtId="169" fontId="6" fillId="0" borderId="3" xfId="0" applyNumberFormat="1" applyFont="1" applyFill="1" applyBorder="1" applyAlignment="1"/>
    <xf numFmtId="10" fontId="6" fillId="0" borderId="3" xfId="2" applyNumberFormat="1" applyFont="1" applyFill="1" applyBorder="1" applyAlignment="1">
      <alignment horizontal="center" vertical="center"/>
    </xf>
    <xf numFmtId="10" fontId="6" fillId="0" borderId="3" xfId="2" applyNumberFormat="1" applyFont="1" applyFill="1" applyBorder="1" applyAlignment="1">
      <alignment horizontal="center"/>
    </xf>
    <xf numFmtId="168" fontId="6" fillId="0" borderId="34" xfId="0" quotePrefix="1" applyNumberFormat="1" applyFont="1" applyFill="1" applyBorder="1" applyAlignment="1">
      <alignment horizontal="center" vertical="center"/>
    </xf>
    <xf numFmtId="168" fontId="6" fillId="0" borderId="35" xfId="0" applyNumberFormat="1" applyFont="1" applyFill="1" applyBorder="1" applyAlignment="1">
      <alignment horizontal="center" vertical="center"/>
    </xf>
    <xf numFmtId="166" fontId="6" fillId="0" borderId="36" xfId="0" applyNumberFormat="1" applyFont="1" applyFill="1" applyBorder="1" applyAlignment="1">
      <alignment horizontal="right" vertical="center"/>
    </xf>
    <xf numFmtId="169" fontId="6" fillId="0" borderId="35" xfId="0" applyNumberFormat="1" applyFont="1" applyFill="1" applyBorder="1" applyAlignment="1"/>
    <xf numFmtId="167" fontId="6" fillId="0" borderId="35" xfId="0" applyNumberFormat="1" applyFont="1" applyFill="1" applyBorder="1" applyAlignment="1">
      <alignment horizontal="center"/>
    </xf>
    <xf numFmtId="168" fontId="6" fillId="0" borderId="10" xfId="0" quotePrefix="1" applyNumberFormat="1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right" vertical="center" readingOrder="2"/>
    </xf>
    <xf numFmtId="166" fontId="6" fillId="0" borderId="13" xfId="0" applyNumberFormat="1" applyFont="1" applyFill="1" applyBorder="1" applyAlignment="1">
      <alignment horizontal="right" vertical="center"/>
    </xf>
    <xf numFmtId="167" fontId="6" fillId="0" borderId="11" xfId="0" applyNumberFormat="1" applyFont="1" applyFill="1" applyBorder="1" applyAlignment="1">
      <alignment horizontal="center"/>
    </xf>
    <xf numFmtId="168" fontId="6" fillId="0" borderId="45" xfId="0" quotePrefix="1" applyNumberFormat="1" applyFont="1" applyFill="1" applyBorder="1" applyAlignment="1">
      <alignment horizontal="center" vertical="center"/>
    </xf>
    <xf numFmtId="168" fontId="6" fillId="0" borderId="46" xfId="0" applyNumberFormat="1" applyFont="1" applyFill="1" applyBorder="1" applyAlignment="1">
      <alignment horizontal="center" vertical="center"/>
    </xf>
    <xf numFmtId="166" fontId="6" fillId="0" borderId="25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 readingOrder="2"/>
    </xf>
    <xf numFmtId="166" fontId="6" fillId="0" borderId="46" xfId="0" applyNumberFormat="1" applyFont="1" applyFill="1" applyBorder="1" applyAlignment="1">
      <alignment horizontal="right" vertical="center"/>
    </xf>
    <xf numFmtId="169" fontId="6" fillId="0" borderId="25" xfId="0" applyNumberFormat="1" applyFont="1" applyFill="1" applyBorder="1" applyAlignment="1"/>
    <xf numFmtId="167" fontId="6" fillId="0" borderId="25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right" vertical="center" readingOrder="2"/>
    </xf>
    <xf numFmtId="3" fontId="6" fillId="0" borderId="21" xfId="1" applyNumberFormat="1" applyFont="1" applyFill="1" applyBorder="1" applyAlignment="1">
      <alignment horizontal="center" vertical="center"/>
    </xf>
    <xf numFmtId="164" fontId="6" fillId="0" borderId="47" xfId="0" applyNumberFormat="1" applyFont="1" applyFill="1" applyBorder="1" applyAlignment="1">
      <alignment horizontal="center" vertical="center"/>
    </xf>
    <xf numFmtId="165" fontId="6" fillId="0" borderId="48" xfId="0" applyNumberFormat="1" applyFont="1" applyFill="1" applyBorder="1" applyAlignment="1">
      <alignment horizontal="center" vertical="center"/>
    </xf>
    <xf numFmtId="166" fontId="6" fillId="0" borderId="48" xfId="0" applyNumberFormat="1" applyFont="1" applyFill="1" applyBorder="1" applyAlignment="1">
      <alignment horizontal="center" vertical="center"/>
    </xf>
    <xf numFmtId="166" fontId="6" fillId="0" borderId="49" xfId="0" applyNumberFormat="1" applyFont="1" applyFill="1" applyBorder="1" applyAlignment="1">
      <alignment vertical="center"/>
    </xf>
    <xf numFmtId="0" fontId="6" fillId="0" borderId="50" xfId="0" applyFont="1" applyFill="1" applyBorder="1" applyAlignment="1">
      <alignment horizontal="right" vertical="center" readingOrder="2"/>
    </xf>
    <xf numFmtId="164" fontId="6" fillId="0" borderId="51" xfId="0" applyNumberFormat="1" applyFont="1" applyFill="1" applyBorder="1" applyAlignment="1">
      <alignment horizontal="center" vertical="center"/>
    </xf>
    <xf numFmtId="166" fontId="6" fillId="0" borderId="24" xfId="0" applyNumberFormat="1" applyFont="1" applyFill="1" applyBorder="1" applyAlignment="1">
      <alignment horizontal="center" vertical="center"/>
    </xf>
    <xf numFmtId="0" fontId="6" fillId="0" borderId="52" xfId="0" applyFont="1" applyFill="1" applyBorder="1" applyAlignment="1">
      <alignment horizontal="right" vertical="center" readingOrder="2"/>
    </xf>
    <xf numFmtId="166" fontId="6" fillId="0" borderId="24" xfId="0" applyNumberFormat="1" applyFont="1" applyFill="1" applyBorder="1" applyAlignment="1"/>
    <xf numFmtId="164" fontId="6" fillId="0" borderId="53" xfId="0" applyNumberFormat="1" applyFont="1" applyFill="1" applyBorder="1" applyAlignment="1">
      <alignment horizontal="center" vertical="center"/>
    </xf>
    <xf numFmtId="166" fontId="6" fillId="0" borderId="54" xfId="0" applyNumberFormat="1" applyFont="1" applyFill="1" applyBorder="1" applyAlignment="1">
      <alignment vertical="center"/>
    </xf>
    <xf numFmtId="166" fontId="6" fillId="0" borderId="48" xfId="0" applyNumberFormat="1" applyFont="1" applyFill="1" applyBorder="1" applyAlignment="1"/>
    <xf numFmtId="169" fontId="6" fillId="0" borderId="3" xfId="2" applyNumberFormat="1" applyFont="1" applyFill="1" applyBorder="1" applyAlignment="1">
      <alignment horizontal="center" vertical="center"/>
    </xf>
    <xf numFmtId="166" fontId="6" fillId="0" borderId="43" xfId="0" applyNumberFormat="1" applyFont="1" applyFill="1" applyBorder="1" applyAlignment="1">
      <alignment vertical="center"/>
    </xf>
    <xf numFmtId="166" fontId="6" fillId="0" borderId="37" xfId="0" applyNumberFormat="1" applyFont="1" applyFill="1" applyBorder="1" applyAlignment="1">
      <alignment vertical="center"/>
    </xf>
    <xf numFmtId="4" fontId="6" fillId="0" borderId="3" xfId="0" applyNumberFormat="1" applyFont="1" applyFill="1" applyBorder="1" applyAlignment="1">
      <alignment horizontal="center"/>
    </xf>
    <xf numFmtId="166" fontId="6" fillId="0" borderId="15" xfId="0" applyNumberFormat="1" applyFont="1" applyFill="1" applyBorder="1" applyAlignment="1"/>
    <xf numFmtId="0" fontId="12" fillId="0" borderId="0" xfId="0" applyFont="1" applyFill="1" applyAlignment="1">
      <alignment vertical="center"/>
    </xf>
    <xf numFmtId="164" fontId="6" fillId="0" borderId="55" xfId="0" applyNumberFormat="1" applyFont="1" applyFill="1" applyBorder="1" applyAlignment="1">
      <alignment horizontal="center" vertical="center"/>
    </xf>
    <xf numFmtId="164" fontId="13" fillId="0" borderId="10" xfId="0" applyNumberFormat="1" applyFont="1" applyFill="1" applyBorder="1" applyAlignment="1">
      <alignment horizontal="center" vertical="center"/>
    </xf>
    <xf numFmtId="165" fontId="13" fillId="0" borderId="11" xfId="0" applyNumberFormat="1" applyFont="1" applyFill="1" applyBorder="1" applyAlignment="1">
      <alignment horizontal="center" vertical="center"/>
    </xf>
    <xf numFmtId="166" fontId="13" fillId="0" borderId="11" xfId="0" applyNumberFormat="1" applyFont="1" applyFill="1" applyBorder="1" applyAlignment="1">
      <alignment horizontal="center" vertical="center"/>
    </xf>
    <xf numFmtId="166" fontId="13" fillId="0" borderId="43" xfId="0" applyNumberFormat="1" applyFont="1" applyFill="1" applyBorder="1" applyAlignment="1">
      <alignment vertical="center"/>
    </xf>
    <xf numFmtId="0" fontId="13" fillId="0" borderId="13" xfId="0" applyFont="1" applyFill="1" applyBorder="1" applyAlignment="1">
      <alignment horizontal="right" vertical="center" readingOrder="2"/>
    </xf>
    <xf numFmtId="0" fontId="6" fillId="0" borderId="31" xfId="0" applyFont="1" applyFill="1" applyBorder="1" applyAlignment="1">
      <alignment vertical="center"/>
    </xf>
    <xf numFmtId="0" fontId="6" fillId="0" borderId="22" xfId="0" applyFont="1" applyFill="1" applyBorder="1" applyAlignment="1">
      <alignment vertical="center"/>
    </xf>
    <xf numFmtId="0" fontId="12" fillId="0" borderId="0" xfId="0" applyFont="1" applyFill="1"/>
    <xf numFmtId="10" fontId="6" fillId="0" borderId="11" xfId="2" applyNumberFormat="1" applyFont="1" applyFill="1" applyBorder="1" applyAlignment="1">
      <alignment horizontal="center"/>
    </xf>
    <xf numFmtId="166" fontId="6" fillId="0" borderId="1" xfId="0" applyNumberFormat="1" applyFont="1" applyFill="1" applyBorder="1" applyAlignment="1">
      <alignment vertical="center"/>
    </xf>
    <xf numFmtId="169" fontId="7" fillId="0" borderId="3" xfId="0" applyNumberFormat="1" applyFont="1" applyFill="1" applyBorder="1" applyAlignment="1">
      <alignment horizontal="center" vertical="center"/>
    </xf>
    <xf numFmtId="169" fontId="7" fillId="0" borderId="3" xfId="0" applyNumberFormat="1" applyFont="1" applyFill="1" applyBorder="1" applyAlignment="1">
      <alignment horizontal="center"/>
    </xf>
    <xf numFmtId="3" fontId="7" fillId="0" borderId="3" xfId="0" applyNumberFormat="1" applyFont="1" applyFill="1" applyBorder="1" applyAlignment="1">
      <alignment horizontal="center"/>
    </xf>
    <xf numFmtId="167" fontId="7" fillId="0" borderId="3" xfId="0" applyNumberFormat="1" applyFont="1" applyFill="1" applyBorder="1" applyAlignment="1">
      <alignment horizontal="center"/>
    </xf>
    <xf numFmtId="3" fontId="7" fillId="0" borderId="6" xfId="0" applyNumberFormat="1" applyFont="1" applyFill="1" applyBorder="1" applyAlignment="1">
      <alignment horizontal="center"/>
    </xf>
    <xf numFmtId="170" fontId="12" fillId="0" borderId="0" xfId="0" applyNumberFormat="1" applyFont="1" applyFill="1"/>
    <xf numFmtId="4" fontId="6" fillId="0" borderId="56" xfId="0" applyNumberFormat="1" applyFont="1" applyFill="1" applyBorder="1" applyAlignment="1">
      <alignment horizontal="center" vertical="center"/>
    </xf>
    <xf numFmtId="168" fontId="6" fillId="0" borderId="3" xfId="0" applyNumberFormat="1" applyFont="1" applyFill="1" applyBorder="1" applyAlignment="1">
      <alignment horizontal="right" vertical="center"/>
    </xf>
    <xf numFmtId="0" fontId="6" fillId="0" borderId="13" xfId="0" applyFont="1" applyFill="1" applyBorder="1" applyAlignment="1">
      <alignment vertical="center"/>
    </xf>
    <xf numFmtId="4" fontId="6" fillId="0" borderId="11" xfId="0" applyNumberFormat="1" applyFont="1" applyFill="1" applyBorder="1" applyAlignment="1">
      <alignment horizontal="center" vertical="center"/>
    </xf>
    <xf numFmtId="171" fontId="6" fillId="0" borderId="3" xfId="0" applyNumberFormat="1" applyFont="1" applyFill="1" applyBorder="1" applyAlignment="1">
      <alignment horizontal="center" vertical="center"/>
    </xf>
    <xf numFmtId="166" fontId="6" fillId="0" borderId="18" xfId="0" applyNumberFormat="1" applyFont="1" applyFill="1" applyBorder="1" applyAlignment="1"/>
    <xf numFmtId="172" fontId="6" fillId="0" borderId="3" xfId="2" applyNumberFormat="1" applyFont="1" applyFill="1" applyBorder="1" applyAlignment="1">
      <alignment horizontal="center" vertical="center"/>
    </xf>
    <xf numFmtId="166" fontId="13" fillId="0" borderId="12" xfId="0" applyNumberFormat="1" applyFont="1" applyFill="1" applyBorder="1" applyAlignment="1">
      <alignment vertical="center"/>
    </xf>
    <xf numFmtId="0" fontId="6" fillId="0" borderId="13" xfId="3" applyFont="1" applyFill="1" applyBorder="1" applyAlignment="1">
      <alignment horizontal="right" vertical="center" readingOrder="2"/>
    </xf>
    <xf numFmtId="0" fontId="6" fillId="0" borderId="12" xfId="0" applyFont="1" applyFill="1" applyBorder="1" applyAlignment="1">
      <alignment vertical="center"/>
    </xf>
    <xf numFmtId="0" fontId="6" fillId="0" borderId="37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164" fontId="6" fillId="0" borderId="57" xfId="0" applyNumberFormat="1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right" vertical="center"/>
    </xf>
    <xf numFmtId="0" fontId="6" fillId="0" borderId="18" xfId="0" quotePrefix="1" applyFont="1" applyFill="1" applyBorder="1" applyAlignment="1">
      <alignment horizontal="right" vertical="center" readingOrder="2"/>
    </xf>
    <xf numFmtId="169" fontId="6" fillId="0" borderId="48" xfId="0" applyNumberFormat="1" applyFont="1" applyFill="1" applyBorder="1" applyAlignment="1">
      <alignment horizontal="center" vertical="center"/>
    </xf>
    <xf numFmtId="169" fontId="6" fillId="0" borderId="48" xfId="0" applyNumberFormat="1" applyFont="1" applyFill="1" applyBorder="1" applyAlignment="1">
      <alignment horizontal="center"/>
    </xf>
    <xf numFmtId="3" fontId="6" fillId="0" borderId="48" xfId="1" applyNumberFormat="1" applyFont="1" applyFill="1" applyBorder="1" applyAlignment="1">
      <alignment horizontal="center" vertical="center"/>
    </xf>
    <xf numFmtId="0" fontId="6" fillId="0" borderId="23" xfId="0" quotePrefix="1" applyFont="1" applyFill="1" applyBorder="1" applyAlignment="1">
      <alignment horizontal="right" vertical="center" readingOrder="2"/>
    </xf>
    <xf numFmtId="0" fontId="15" fillId="0" borderId="0" xfId="0" applyFont="1" applyFill="1" applyBorder="1" applyAlignment="1">
      <alignment horizontal="center"/>
    </xf>
    <xf numFmtId="164" fontId="6" fillId="0" borderId="10" xfId="0" applyNumberFormat="1" applyFont="1" applyFill="1" applyBorder="1" applyAlignment="1">
      <alignment horizontal="right" vertical="center"/>
    </xf>
    <xf numFmtId="165" fontId="6" fillId="0" borderId="11" xfId="0" applyNumberFormat="1" applyFont="1" applyFill="1" applyBorder="1" applyAlignment="1">
      <alignment horizontal="right" vertical="center"/>
    </xf>
    <xf numFmtId="0" fontId="6" fillId="0" borderId="13" xfId="0" applyFont="1" applyBorder="1" applyAlignment="1">
      <alignment horizontal="right" vertical="center" readingOrder="2"/>
    </xf>
    <xf numFmtId="168" fontId="6" fillId="0" borderId="34" xfId="0" applyNumberFormat="1" applyFont="1" applyFill="1" applyBorder="1" applyAlignment="1">
      <alignment horizontal="center" vertical="center"/>
    </xf>
    <xf numFmtId="168" fontId="6" fillId="0" borderId="10" xfId="0" applyNumberFormat="1" applyFont="1" applyFill="1" applyBorder="1" applyAlignment="1">
      <alignment horizontal="center" vertical="center"/>
    </xf>
    <xf numFmtId="168" fontId="6" fillId="0" borderId="42" xfId="0" applyNumberFormat="1" applyFont="1" applyFill="1" applyBorder="1" applyAlignment="1">
      <alignment horizontal="center" vertical="center"/>
    </xf>
    <xf numFmtId="168" fontId="6" fillId="0" borderId="15" xfId="0" applyNumberFormat="1" applyFont="1" applyFill="1" applyBorder="1" applyAlignment="1">
      <alignment horizontal="center" vertical="center"/>
    </xf>
    <xf numFmtId="167" fontId="6" fillId="0" borderId="15" xfId="0" applyNumberFormat="1" applyFont="1" applyFill="1" applyBorder="1" applyAlignment="1">
      <alignment horizontal="center"/>
    </xf>
    <xf numFmtId="168" fontId="6" fillId="0" borderId="55" xfId="0" applyNumberFormat="1" applyFont="1" applyFill="1" applyBorder="1" applyAlignment="1">
      <alignment horizontal="center" vertical="center"/>
    </xf>
    <xf numFmtId="168" fontId="6" fillId="0" borderId="39" xfId="0" applyNumberFormat="1" applyFont="1" applyFill="1" applyBorder="1" applyAlignment="1">
      <alignment horizontal="center" vertical="center"/>
    </xf>
    <xf numFmtId="168" fontId="6" fillId="0" borderId="45" xfId="0" applyNumberFormat="1" applyFont="1" applyFill="1" applyBorder="1" applyAlignment="1">
      <alignment horizontal="center" vertical="center"/>
    </xf>
    <xf numFmtId="168" fontId="6" fillId="0" borderId="50" xfId="0" applyNumberFormat="1" applyFont="1" applyFill="1" applyBorder="1" applyAlignment="1">
      <alignment horizontal="center" vertical="center"/>
    </xf>
    <xf numFmtId="167" fontId="6" fillId="0" borderId="48" xfId="0" applyNumberFormat="1" applyFont="1" applyFill="1" applyBorder="1" applyAlignment="1">
      <alignment horizontal="center"/>
    </xf>
    <xf numFmtId="166" fontId="6" fillId="0" borderId="18" xfId="0" applyNumberFormat="1" applyFont="1" applyFill="1" applyBorder="1" applyAlignment="1">
      <alignment vertical="center"/>
    </xf>
    <xf numFmtId="169" fontId="6" fillId="0" borderId="24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166" fontId="6" fillId="0" borderId="12" xfId="0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36" xfId="0" applyFont="1" applyFill="1" applyBorder="1" applyAlignment="1">
      <alignment horizontal="right" vertical="center" readingOrder="2"/>
    </xf>
    <xf numFmtId="0" fontId="6" fillId="0" borderId="13" xfId="0" applyFont="1" applyFill="1" applyBorder="1" applyAlignment="1">
      <alignment horizontal="right" vertical="center" wrapText="1" readingOrder="2"/>
    </xf>
    <xf numFmtId="166" fontId="6" fillId="0" borderId="11" xfId="0" applyNumberFormat="1" applyFont="1" applyFill="1" applyBorder="1" applyAlignment="1">
      <alignment vertical="center"/>
    </xf>
    <xf numFmtId="0" fontId="6" fillId="0" borderId="33" xfId="0" applyFont="1" applyFill="1" applyBorder="1" applyAlignment="1">
      <alignment vertical="center" readingOrder="2"/>
    </xf>
    <xf numFmtId="3" fontId="6" fillId="0" borderId="35" xfId="0" applyNumberFormat="1" applyFont="1" applyFill="1" applyBorder="1" applyAlignment="1">
      <alignment horizontal="center" vertical="center"/>
    </xf>
    <xf numFmtId="165" fontId="6" fillId="0" borderId="13" xfId="0" applyNumberFormat="1" applyFont="1" applyFill="1" applyBorder="1" applyAlignment="1">
      <alignment horizontal="center" vertical="center"/>
    </xf>
    <xf numFmtId="166" fontId="6" fillId="0" borderId="13" xfId="0" applyNumberFormat="1" applyFont="1" applyFill="1" applyBorder="1" applyAlignment="1">
      <alignment horizontal="center" vertical="center"/>
    </xf>
    <xf numFmtId="0" fontId="6" fillId="0" borderId="50" xfId="0" applyFont="1" applyFill="1" applyBorder="1" applyAlignment="1">
      <alignment horizontal="center" vertical="center"/>
    </xf>
    <xf numFmtId="0" fontId="6" fillId="0" borderId="48" xfId="0" applyFont="1" applyFill="1" applyBorder="1" applyAlignment="1"/>
    <xf numFmtId="166" fontId="6" fillId="0" borderId="18" xfId="0" applyNumberFormat="1" applyFont="1" applyFill="1" applyBorder="1" applyAlignment="1">
      <alignment horizontal="center" vertical="center"/>
    </xf>
    <xf numFmtId="167" fontId="6" fillId="0" borderId="3" xfId="0" applyNumberFormat="1" applyFont="1" applyFill="1" applyBorder="1" applyAlignment="1">
      <alignment horizontal="center" vertical="center"/>
    </xf>
    <xf numFmtId="169" fontId="6" fillId="0" borderId="59" xfId="0" applyNumberFormat="1" applyFont="1" applyFill="1" applyBorder="1" applyAlignment="1">
      <alignment horizontal="center"/>
    </xf>
    <xf numFmtId="3" fontId="5" fillId="0" borderId="58" xfId="0" applyNumberFormat="1" applyFont="1" applyFill="1" applyBorder="1" applyAlignment="1">
      <alignment horizontal="center"/>
    </xf>
    <xf numFmtId="167" fontId="5" fillId="0" borderId="58" xfId="0" applyNumberFormat="1" applyFont="1" applyFill="1" applyBorder="1" applyAlignment="1">
      <alignment horizontal="center"/>
    </xf>
    <xf numFmtId="3" fontId="5" fillId="0" borderId="60" xfId="0" applyNumberFormat="1" applyFont="1" applyFill="1" applyBorder="1" applyAlignment="1">
      <alignment horizontal="center"/>
    </xf>
    <xf numFmtId="169" fontId="6" fillId="0" borderId="58" xfId="0" applyNumberFormat="1" applyFont="1" applyFill="1" applyBorder="1" applyAlignment="1">
      <alignment horizontal="center" vertical="center"/>
    </xf>
    <xf numFmtId="169" fontId="6" fillId="0" borderId="58" xfId="0" applyNumberFormat="1" applyFont="1" applyFill="1" applyBorder="1" applyAlignment="1">
      <alignment horizontal="center"/>
    </xf>
    <xf numFmtId="3" fontId="6" fillId="0" borderId="58" xfId="0" applyNumberFormat="1" applyFont="1" applyFill="1" applyBorder="1" applyAlignment="1">
      <alignment horizontal="center"/>
    </xf>
    <xf numFmtId="167" fontId="6" fillId="0" borderId="58" xfId="0" applyNumberFormat="1" applyFont="1" applyFill="1" applyBorder="1" applyAlignment="1">
      <alignment horizontal="center"/>
    </xf>
    <xf numFmtId="4" fontId="6" fillId="0" borderId="60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ill="1" applyAlignment="1"/>
    <xf numFmtId="0" fontId="0" fillId="0" borderId="0" xfId="0" applyAlignment="1">
      <alignment horizontal="center"/>
    </xf>
    <xf numFmtId="3" fontId="0" fillId="0" borderId="0" xfId="0" applyNumberFormat="1" applyFill="1"/>
    <xf numFmtId="4" fontId="0" fillId="0" borderId="0" xfId="0" applyNumberFormat="1" applyFill="1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right" vertical="center" readingOrder="2"/>
    </xf>
    <xf numFmtId="166" fontId="13" fillId="0" borderId="0" xfId="0" applyNumberFormat="1" applyFont="1" applyFill="1" applyBorder="1" applyAlignment="1"/>
    <xf numFmtId="167" fontId="13" fillId="0" borderId="0" xfId="0" applyNumberFormat="1" applyFont="1" applyFill="1" applyBorder="1" applyAlignment="1"/>
    <xf numFmtId="167" fontId="13" fillId="0" borderId="0" xfId="0" applyNumberFormat="1" applyFont="1" applyFill="1" applyBorder="1" applyAlignment="1">
      <alignment horizontal="center"/>
    </xf>
    <xf numFmtId="3" fontId="13" fillId="0" borderId="0" xfId="0" applyNumberFormat="1" applyFont="1" applyFill="1" applyBorder="1" applyAlignment="1"/>
    <xf numFmtId="3" fontId="13" fillId="0" borderId="0" xfId="1" applyNumberFormat="1" applyFont="1" applyFill="1" applyBorder="1" applyAlignment="1">
      <alignment horizontal="center" vertical="center"/>
    </xf>
    <xf numFmtId="4" fontId="13" fillId="0" borderId="0" xfId="0" applyNumberFormat="1" applyFont="1" applyFill="1" applyBorder="1" applyAlignment="1">
      <alignment horizontal="center" vertical="center"/>
    </xf>
    <xf numFmtId="169" fontId="13" fillId="0" borderId="0" xfId="0" applyNumberFormat="1" applyFont="1" applyFill="1" applyBorder="1" applyAlignment="1"/>
    <xf numFmtId="169" fontId="13" fillId="0" borderId="0" xfId="0" applyNumberFormat="1" applyFont="1" applyFill="1" applyBorder="1" applyAlignment="1">
      <alignment horizontal="center"/>
    </xf>
    <xf numFmtId="4" fontId="13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center" vertical="center"/>
    </xf>
    <xf numFmtId="3" fontId="2" fillId="0" borderId="0" xfId="0" applyNumberFormat="1" applyFont="1" applyFill="1" applyBorder="1" applyAlignment="1"/>
    <xf numFmtId="3" fontId="2" fillId="0" borderId="0" xfId="1" applyNumberFormat="1" applyFont="1" applyFill="1" applyBorder="1" applyAlignment="1">
      <alignment horizontal="center" vertical="center"/>
    </xf>
    <xf numFmtId="43" fontId="2" fillId="0" borderId="0" xfId="1" applyFont="1" applyFill="1" applyBorder="1"/>
    <xf numFmtId="0" fontId="5" fillId="0" borderId="58" xfId="0" applyFont="1" applyFill="1" applyBorder="1" applyAlignment="1">
      <alignment horizontal="center" vertical="center"/>
    </xf>
    <xf numFmtId="165" fontId="6" fillId="0" borderId="58" xfId="0" applyNumberFormat="1" applyFont="1" applyFill="1" applyBorder="1" applyAlignment="1">
      <alignment horizontal="center" vertical="center"/>
    </xf>
    <xf numFmtId="164" fontId="7" fillId="0" borderId="0" xfId="0" quotePrefix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168" fontId="6" fillId="0" borderId="2" xfId="0" quotePrefix="1" applyNumberFormat="1" applyFont="1" applyFill="1" applyBorder="1" applyAlignment="1">
      <alignment horizontal="right" vertical="center"/>
    </xf>
    <xf numFmtId="168" fontId="6" fillId="0" borderId="18" xfId="0" quotePrefix="1" applyNumberFormat="1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168" fontId="6" fillId="0" borderId="2" xfId="0" applyNumberFormat="1" applyFont="1" applyFill="1" applyBorder="1" applyAlignment="1">
      <alignment horizontal="right" vertical="center"/>
    </xf>
    <xf numFmtId="168" fontId="6" fillId="0" borderId="18" xfId="0" applyNumberFormat="1" applyFont="1" applyFill="1" applyBorder="1" applyAlignment="1">
      <alignment horizontal="right" vertical="center"/>
    </xf>
    <xf numFmtId="0" fontId="0" fillId="0" borderId="18" xfId="0" applyBorder="1" applyAlignment="1">
      <alignment horizontal="right" vertical="center"/>
    </xf>
  </cellXfs>
  <cellStyles count="4">
    <cellStyle name="Comma" xfId="1" builtinId="3"/>
    <cellStyle name="Normal" xfId="0" builtinId="0"/>
    <cellStyle name="Normal_(הכנת הצעת תקציב 2022 - ליחידות(=סופי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externalLink" Target="externalLinks/externalLink4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3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dnab/Desktop/&#1514;&#1511;&#1510;&#1497;&#1489;%20&#1512;&#1490;&#1497;&#1500;%202026%20&#1500;&#1492;&#1491;&#1508;&#1505;&#1492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\users\ednab\shituf_katarina\&#1514;&#1511;&#1510;&#1497;&#1489;%20&#1512;&#1490;&#1497;&#1500;%20&#1500;&#1513;&#1504;&#1514;&#1497;\&#1514;&#1511;&#1510;&#1497;&#1489;%20&#1513;&#1504;&#1514;&#1497;%202026\&#1489;&#1497;&#1510;&#1493;&#1506;%202024%20(23.10.25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\users\ednab\shituf_katarina\&#1514;&#1511;&#1510;&#1497;&#1489;%20&#1512;&#1490;&#1497;&#1500;%20&#1500;&#1513;&#1504;&#1514;&#1497;\&#1514;&#1511;&#1510;&#1497;&#1489;%20&#1513;&#1504;&#1514;&#1497;%202025\&#1514;&#1511;&#1510;&#1497;&#1489;%20&#1505;&#1493;&#1508;&#1497;%20&#1502;&#1508;&#1493;&#1512;&#1496;&#1500;&#1493;&#1503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\users\ednab\shituf_katarina\&#1514;&#1511;&#1510;&#1497;&#1489;%20&#1512;&#1490;&#1497;&#1500;%20&#1500;&#1513;&#1504;&#1514;&#1497;\&#1514;&#1511;&#1510;&#1497;&#1489;%20&#1513;&#1504;&#1514;&#1497;%202024\&#1495;&#1493;&#1489;&#1512;&#1514;%20&#1506;&#1489;&#1493;&#1491;&#1492;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תקציב 2026"/>
      <sheetName val="תקציב 24-25"/>
    </sheetNames>
    <sheetDataSet>
      <sheetData sheetId="0" refreshError="1">
        <row r="1">
          <cell r="B1" t="str">
            <v>חדש</v>
          </cell>
        </row>
        <row r="2">
          <cell r="B2" t="str">
            <v>הצעת   התקציב   הרגיל   לשנת   2026   בש"ח</v>
          </cell>
        </row>
        <row r="3">
          <cell r="K3" t="str">
            <v>26.8.2025</v>
          </cell>
        </row>
        <row r="4">
          <cell r="A4" t="str">
            <v>מספר
מאוחד</v>
          </cell>
          <cell r="B4" t="str">
            <v>סעיף</v>
          </cell>
          <cell r="C4" t="str">
            <v>פרק</v>
          </cell>
          <cell r="D4" t="str">
            <v>ספר</v>
          </cell>
          <cell r="F4" t="str">
            <v>שם</v>
          </cell>
          <cell r="G4" t="str">
            <v>סוג</v>
          </cell>
          <cell r="H4" t="str">
            <v>אחוז השינוי מול 2025</v>
          </cell>
          <cell r="I4" t="str">
            <v>תקציב  2026</v>
          </cell>
          <cell r="J4" t="str">
            <v>תקציב
2025</v>
          </cell>
          <cell r="K4" t="str">
            <v>ביצוע חצי שנתי 2025</v>
          </cell>
          <cell r="L4" t="str">
            <v>תקציב 2024</v>
          </cell>
          <cell r="M4" t="str">
            <v>ביצוע
2024</v>
          </cell>
        </row>
        <row r="5">
          <cell r="D5" t="str">
            <v xml:space="preserve"> </v>
          </cell>
          <cell r="F5" t="str">
            <v xml:space="preserve">תקציבי עזר        </v>
          </cell>
        </row>
        <row r="6">
          <cell r="A6">
            <v>1090000000</v>
          </cell>
          <cell r="B6" t="str">
            <v>000</v>
          </cell>
          <cell r="C6" t="str">
            <v>090000</v>
          </cell>
          <cell r="D6">
            <v>1</v>
          </cell>
          <cell r="F6" t="str">
            <v xml:space="preserve">תקציבי עזר        </v>
          </cell>
        </row>
        <row r="7">
          <cell r="A7">
            <v>1092000110</v>
          </cell>
          <cell r="B7">
            <v>110</v>
          </cell>
          <cell r="C7" t="str">
            <v>092000</v>
          </cell>
          <cell r="D7">
            <v>1</v>
          </cell>
          <cell r="F7" t="str">
            <v>השכר הקובע-תקציבית</v>
          </cell>
          <cell r="G7" t="str">
            <v>שכר</v>
          </cell>
          <cell r="H7">
            <v>2.4999999999999911E-2</v>
          </cell>
          <cell r="I7">
            <v>198029.99999999997</v>
          </cell>
          <cell r="J7">
            <v>193200</v>
          </cell>
          <cell r="K7">
            <v>28509.19</v>
          </cell>
          <cell r="L7">
            <v>189400</v>
          </cell>
          <cell r="M7">
            <v>202370.82</v>
          </cell>
        </row>
        <row r="8">
          <cell r="A8">
            <v>1092000119</v>
          </cell>
          <cell r="B8">
            <v>119</v>
          </cell>
          <cell r="C8" t="str">
            <v>092000</v>
          </cell>
          <cell r="D8">
            <v>1</v>
          </cell>
          <cell r="F8" t="str">
            <v xml:space="preserve">השכר הקובע-צוברת  </v>
          </cell>
          <cell r="G8" t="str">
            <v>שכר</v>
          </cell>
          <cell r="H8">
            <v>0.21809262166405019</v>
          </cell>
          <cell r="I8">
            <v>310370</v>
          </cell>
          <cell r="J8">
            <v>254800</v>
          </cell>
          <cell r="K8">
            <v>306876.13</v>
          </cell>
          <cell r="L8">
            <v>249800</v>
          </cell>
          <cell r="M8">
            <v>342463.72</v>
          </cell>
        </row>
        <row r="9">
          <cell r="A9">
            <v>1092000122</v>
          </cell>
          <cell r="B9">
            <v>122</v>
          </cell>
          <cell r="C9" t="str">
            <v>092000</v>
          </cell>
          <cell r="D9">
            <v>1</v>
          </cell>
          <cell r="F9" t="str">
            <v xml:space="preserve">ביגוד             </v>
          </cell>
          <cell r="G9" t="str">
            <v>שכר</v>
          </cell>
          <cell r="H9">
            <v>0.33333333333333326</v>
          </cell>
          <cell r="I9">
            <v>8000</v>
          </cell>
          <cell r="J9">
            <v>6000</v>
          </cell>
          <cell r="K9">
            <v>4958</v>
          </cell>
          <cell r="L9">
            <v>6900</v>
          </cell>
          <cell r="M9">
            <v>5834.13</v>
          </cell>
        </row>
        <row r="10">
          <cell r="A10">
            <v>1092000126</v>
          </cell>
          <cell r="B10">
            <v>126</v>
          </cell>
          <cell r="C10" t="str">
            <v>092000</v>
          </cell>
          <cell r="D10">
            <v>1</v>
          </cell>
          <cell r="F10" t="str">
            <v xml:space="preserve">דמי הבראה         </v>
          </cell>
          <cell r="G10" t="str">
            <v>שכר</v>
          </cell>
          <cell r="H10">
            <v>0.33333333333333326</v>
          </cell>
          <cell r="I10">
            <v>25200</v>
          </cell>
          <cell r="J10">
            <v>18900</v>
          </cell>
          <cell r="K10">
            <v>18384.599999999999</v>
          </cell>
          <cell r="L10">
            <v>17700</v>
          </cell>
          <cell r="M10">
            <v>18384.599999999999</v>
          </cell>
        </row>
        <row r="11">
          <cell r="A11">
            <v>1092000130</v>
          </cell>
          <cell r="B11">
            <v>130</v>
          </cell>
          <cell r="C11" t="str">
            <v>092000</v>
          </cell>
          <cell r="D11">
            <v>1</v>
          </cell>
          <cell r="F11" t="str">
            <v xml:space="preserve">שעות נוספות       </v>
          </cell>
          <cell r="G11" t="str">
            <v>שכר</v>
          </cell>
          <cell r="H11">
            <v>0</v>
          </cell>
          <cell r="I11">
            <v>54700</v>
          </cell>
          <cell r="J11">
            <v>54700</v>
          </cell>
          <cell r="K11">
            <v>35313.61</v>
          </cell>
          <cell r="L11">
            <v>63600</v>
          </cell>
          <cell r="M11">
            <v>42661.58</v>
          </cell>
        </row>
        <row r="12">
          <cell r="A12">
            <v>1092000140</v>
          </cell>
          <cell r="B12">
            <v>140</v>
          </cell>
          <cell r="C12" t="str">
            <v>092000</v>
          </cell>
          <cell r="D12">
            <v>1</v>
          </cell>
          <cell r="F12" t="str">
            <v>השתתפות באחזקת רכב</v>
          </cell>
          <cell r="G12" t="str">
            <v>שכר</v>
          </cell>
          <cell r="H12">
            <v>0</v>
          </cell>
          <cell r="I12">
            <v>79600</v>
          </cell>
          <cell r="J12">
            <v>79600</v>
          </cell>
          <cell r="K12">
            <v>35434.870000000003</v>
          </cell>
          <cell r="L12">
            <v>79600</v>
          </cell>
          <cell r="M12">
            <v>74564.429999999993</v>
          </cell>
        </row>
        <row r="13">
          <cell r="A13">
            <v>1092000410</v>
          </cell>
          <cell r="B13">
            <v>410</v>
          </cell>
          <cell r="C13" t="str">
            <v>092000</v>
          </cell>
          <cell r="D13">
            <v>1</v>
          </cell>
          <cell r="F13" t="str">
            <v xml:space="preserve">השתתפות בועד בית  </v>
          </cell>
          <cell r="G13" t="str">
            <v>קשיח</v>
          </cell>
          <cell r="H13">
            <v>0</v>
          </cell>
          <cell r="I13">
            <v>10000</v>
          </cell>
          <cell r="J13">
            <v>10000</v>
          </cell>
          <cell r="K13">
            <v>5700</v>
          </cell>
          <cell r="L13">
            <v>10000</v>
          </cell>
          <cell r="M13">
            <v>8340</v>
          </cell>
        </row>
        <row r="14">
          <cell r="A14">
            <v>1092000420</v>
          </cell>
          <cell r="B14">
            <v>420</v>
          </cell>
          <cell r="C14" t="str">
            <v>092000</v>
          </cell>
          <cell r="D14">
            <v>1</v>
          </cell>
          <cell r="F14" t="str">
            <v xml:space="preserve">כיבוי אש          </v>
          </cell>
          <cell r="G14" t="str">
            <v>קשיח</v>
          </cell>
          <cell r="H14">
            <v>0.39534883720930236</v>
          </cell>
          <cell r="I14">
            <v>60000</v>
          </cell>
          <cell r="J14">
            <v>43000</v>
          </cell>
          <cell r="K14">
            <v>33378.480000000003</v>
          </cell>
          <cell r="L14">
            <v>40000</v>
          </cell>
          <cell r="M14">
            <v>26556.959999999999</v>
          </cell>
        </row>
        <row r="15">
          <cell r="A15">
            <v>1092000423</v>
          </cell>
          <cell r="B15">
            <v>423</v>
          </cell>
          <cell r="C15" t="str">
            <v>092000</v>
          </cell>
          <cell r="D15">
            <v>1</v>
          </cell>
          <cell r="F15" t="str">
            <v xml:space="preserve">תחזוקת מבנה       </v>
          </cell>
          <cell r="G15" t="str">
            <v>קשיח</v>
          </cell>
          <cell r="H15">
            <v>0</v>
          </cell>
          <cell r="I15">
            <v>34000</v>
          </cell>
          <cell r="J15">
            <v>34000</v>
          </cell>
          <cell r="K15">
            <v>0</v>
          </cell>
          <cell r="L15">
            <v>34000</v>
          </cell>
          <cell r="M15">
            <v>34000</v>
          </cell>
        </row>
        <row r="16">
          <cell r="A16">
            <v>1092000431</v>
          </cell>
          <cell r="B16">
            <v>431</v>
          </cell>
          <cell r="C16" t="str">
            <v>092000</v>
          </cell>
          <cell r="D16">
            <v>1</v>
          </cell>
          <cell r="F16" t="str">
            <v xml:space="preserve">חשמל              </v>
          </cell>
          <cell r="G16" t="str">
            <v>קשיח</v>
          </cell>
          <cell r="H16">
            <v>8.0108010801080098E-2</v>
          </cell>
          <cell r="I16">
            <v>1200000</v>
          </cell>
          <cell r="J16">
            <v>1111000</v>
          </cell>
          <cell r="K16">
            <v>565169.99</v>
          </cell>
          <cell r="L16">
            <v>1100000</v>
          </cell>
          <cell r="M16">
            <v>1107023.24</v>
          </cell>
        </row>
        <row r="17">
          <cell r="A17">
            <v>1092000432</v>
          </cell>
          <cell r="B17">
            <v>432</v>
          </cell>
          <cell r="C17" t="str">
            <v>092000</v>
          </cell>
          <cell r="D17">
            <v>1</v>
          </cell>
          <cell r="F17" t="str">
            <v xml:space="preserve">מים               </v>
          </cell>
          <cell r="G17" t="str">
            <v>קשיח</v>
          </cell>
          <cell r="H17">
            <v>0</v>
          </cell>
          <cell r="I17">
            <v>240000</v>
          </cell>
          <cell r="J17">
            <v>240000</v>
          </cell>
          <cell r="K17">
            <v>227705.81</v>
          </cell>
          <cell r="L17">
            <v>240000</v>
          </cell>
          <cell r="M17">
            <v>49997.09</v>
          </cell>
        </row>
        <row r="18">
          <cell r="A18">
            <v>1092000433</v>
          </cell>
          <cell r="B18">
            <v>433</v>
          </cell>
          <cell r="C18" t="str">
            <v>092000</v>
          </cell>
          <cell r="D18">
            <v>1</v>
          </cell>
          <cell r="F18" t="str">
            <v xml:space="preserve">חומרי נקיון       </v>
          </cell>
          <cell r="G18" t="str">
            <v>קשיח</v>
          </cell>
          <cell r="H18">
            <v>0</v>
          </cell>
          <cell r="I18">
            <v>26600</v>
          </cell>
          <cell r="J18">
            <v>26600</v>
          </cell>
          <cell r="K18">
            <v>13443.12</v>
          </cell>
          <cell r="L18">
            <v>26600</v>
          </cell>
          <cell r="M18">
            <v>9031.91</v>
          </cell>
        </row>
        <row r="19">
          <cell r="A19">
            <v>1092000434</v>
          </cell>
          <cell r="B19">
            <v>434</v>
          </cell>
          <cell r="C19" t="str">
            <v>092000</v>
          </cell>
          <cell r="D19">
            <v>1</v>
          </cell>
          <cell r="F19" t="str">
            <v xml:space="preserve">חיטוי והדברה      </v>
          </cell>
          <cell r="G19" t="str">
            <v>קשיח</v>
          </cell>
          <cell r="H19">
            <v>0</v>
          </cell>
          <cell r="I19">
            <v>19000</v>
          </cell>
          <cell r="J19">
            <v>19000</v>
          </cell>
          <cell r="K19">
            <v>9057.1200000000008</v>
          </cell>
          <cell r="L19">
            <v>2300</v>
          </cell>
          <cell r="M19">
            <v>18070.46</v>
          </cell>
        </row>
        <row r="20">
          <cell r="A20">
            <v>1092000436</v>
          </cell>
          <cell r="B20">
            <v>436</v>
          </cell>
          <cell r="C20" t="str">
            <v>092000</v>
          </cell>
          <cell r="D20">
            <v>1</v>
          </cell>
          <cell r="F20" t="str">
            <v xml:space="preserve">אחזקת מזגנים      </v>
          </cell>
          <cell r="G20" t="str">
            <v>גמיש</v>
          </cell>
          <cell r="H20">
            <v>-0.67105263157894735</v>
          </cell>
          <cell r="I20">
            <v>25000</v>
          </cell>
          <cell r="J20">
            <v>76000</v>
          </cell>
          <cell r="K20">
            <v>0</v>
          </cell>
          <cell r="L20">
            <v>76000</v>
          </cell>
          <cell r="M20">
            <v>4167.63</v>
          </cell>
        </row>
        <row r="21">
          <cell r="A21">
            <v>1092000437</v>
          </cell>
          <cell r="B21">
            <v>437</v>
          </cell>
          <cell r="C21" t="str">
            <v>092000</v>
          </cell>
          <cell r="D21">
            <v>1</v>
          </cell>
          <cell r="F21" t="str">
            <v xml:space="preserve">אחזקת אזעקה       </v>
          </cell>
          <cell r="G21" t="str">
            <v>קשיח</v>
          </cell>
          <cell r="H21">
            <v>0</v>
          </cell>
          <cell r="I21">
            <v>5300</v>
          </cell>
          <cell r="J21">
            <v>5300</v>
          </cell>
          <cell r="K21">
            <v>2463.84</v>
          </cell>
          <cell r="L21">
            <v>5300</v>
          </cell>
          <cell r="M21">
            <v>3027.49</v>
          </cell>
        </row>
        <row r="22">
          <cell r="A22">
            <v>1092000438</v>
          </cell>
          <cell r="B22">
            <v>438</v>
          </cell>
          <cell r="C22" t="str">
            <v>092000</v>
          </cell>
          <cell r="D22">
            <v>1</v>
          </cell>
          <cell r="F22" t="str">
            <v xml:space="preserve">בטוח ורשוי קשר    </v>
          </cell>
          <cell r="G22" t="str">
            <v>קשיח</v>
          </cell>
          <cell r="H22">
            <v>-0.52</v>
          </cell>
          <cell r="I22">
            <v>24000</v>
          </cell>
          <cell r="J22">
            <v>50000</v>
          </cell>
          <cell r="K22">
            <v>15302.87</v>
          </cell>
          <cell r="L22">
            <v>247000</v>
          </cell>
          <cell r="M22">
            <v>39261.519999999997</v>
          </cell>
        </row>
        <row r="23">
          <cell r="A23">
            <v>1092000439</v>
          </cell>
          <cell r="B23">
            <v>439</v>
          </cell>
          <cell r="C23" t="str">
            <v>092000</v>
          </cell>
          <cell r="D23">
            <v>1</v>
          </cell>
          <cell r="F23" t="str">
            <v xml:space="preserve">השכרת איתוריות    </v>
          </cell>
          <cell r="G23" t="str">
            <v>קשיח</v>
          </cell>
          <cell r="H23">
            <v>-1</v>
          </cell>
          <cell r="I23">
            <v>0</v>
          </cell>
          <cell r="J23">
            <v>1700</v>
          </cell>
          <cell r="K23">
            <v>0</v>
          </cell>
          <cell r="L23">
            <v>1700</v>
          </cell>
          <cell r="M23">
            <v>0</v>
          </cell>
        </row>
        <row r="24">
          <cell r="A24">
            <v>1092000450</v>
          </cell>
          <cell r="B24">
            <v>450</v>
          </cell>
          <cell r="C24" t="str">
            <v>092000</v>
          </cell>
          <cell r="D24">
            <v>1</v>
          </cell>
          <cell r="F24" t="str">
            <v>אחזקת תמי 4</v>
          </cell>
          <cell r="G24" t="str">
            <v>קשיח</v>
          </cell>
          <cell r="H24">
            <v>0</v>
          </cell>
          <cell r="I24">
            <v>50000</v>
          </cell>
          <cell r="J24">
            <v>50000</v>
          </cell>
          <cell r="K24">
            <v>8455.8799999999992</v>
          </cell>
          <cell r="L24">
            <v>100000</v>
          </cell>
          <cell r="M24">
            <v>53758.46</v>
          </cell>
        </row>
        <row r="25">
          <cell r="A25">
            <v>1092000451</v>
          </cell>
          <cell r="B25">
            <v>451</v>
          </cell>
          <cell r="C25" t="str">
            <v>092000</v>
          </cell>
          <cell r="D25">
            <v>1</v>
          </cell>
          <cell r="F25" t="str">
            <v>אחזקת דפיברילטור</v>
          </cell>
          <cell r="G25" t="str">
            <v>קשיח</v>
          </cell>
          <cell r="H25">
            <v>-0.84</v>
          </cell>
          <cell r="I25">
            <v>8000</v>
          </cell>
          <cell r="J25">
            <v>50000</v>
          </cell>
          <cell r="K25">
            <v>5098</v>
          </cell>
          <cell r="L25">
            <v>5000</v>
          </cell>
          <cell r="M25">
            <v>2960.1</v>
          </cell>
        </row>
        <row r="26">
          <cell r="A26">
            <v>1092000470</v>
          </cell>
          <cell r="B26">
            <v>470</v>
          </cell>
          <cell r="C26" t="str">
            <v>092000</v>
          </cell>
          <cell r="D26">
            <v>1</v>
          </cell>
          <cell r="F26" t="str">
            <v xml:space="preserve">אחזקת מכונות משרד </v>
          </cell>
          <cell r="G26" t="str">
            <v>גמיש</v>
          </cell>
          <cell r="I26">
            <v>0</v>
          </cell>
          <cell r="J26">
            <v>0</v>
          </cell>
          <cell r="K26">
            <v>0</v>
          </cell>
          <cell r="L26">
            <v>7600</v>
          </cell>
          <cell r="M26">
            <v>6030.03</v>
          </cell>
        </row>
        <row r="27">
          <cell r="A27">
            <v>1092000474</v>
          </cell>
          <cell r="B27">
            <v>474</v>
          </cell>
          <cell r="C27" t="str">
            <v>092000</v>
          </cell>
          <cell r="D27">
            <v>1</v>
          </cell>
          <cell r="F27" t="str">
            <v xml:space="preserve">שרות למעליות      </v>
          </cell>
          <cell r="G27" t="str">
            <v>קשיח</v>
          </cell>
          <cell r="H27">
            <v>0</v>
          </cell>
          <cell r="I27">
            <v>55000</v>
          </cell>
          <cell r="J27">
            <v>55000</v>
          </cell>
          <cell r="K27">
            <v>22780</v>
          </cell>
          <cell r="L27">
            <v>55000</v>
          </cell>
          <cell r="M27">
            <v>56418</v>
          </cell>
        </row>
        <row r="28">
          <cell r="A28">
            <v>1092000476</v>
          </cell>
          <cell r="B28">
            <v>476</v>
          </cell>
          <cell r="C28" t="str">
            <v>092000</v>
          </cell>
          <cell r="D28">
            <v>1</v>
          </cell>
          <cell r="F28" t="str">
            <v xml:space="preserve">אחזקת גנרטור      </v>
          </cell>
          <cell r="G28" t="str">
            <v>קשיח</v>
          </cell>
          <cell r="H28">
            <v>0</v>
          </cell>
          <cell r="I28">
            <v>13500</v>
          </cell>
          <cell r="J28">
            <v>13500</v>
          </cell>
          <cell r="K28">
            <v>12531.6</v>
          </cell>
          <cell r="L28">
            <v>13500</v>
          </cell>
          <cell r="M28">
            <v>12928.5</v>
          </cell>
        </row>
        <row r="29">
          <cell r="A29">
            <v>1092000511</v>
          </cell>
          <cell r="B29">
            <v>511</v>
          </cell>
          <cell r="C29" t="str">
            <v>092000</v>
          </cell>
          <cell r="D29">
            <v>1</v>
          </cell>
          <cell r="F29" t="str">
            <v xml:space="preserve">שתיה לעובדים      </v>
          </cell>
          <cell r="G29" t="str">
            <v>גמיש</v>
          </cell>
          <cell r="H29">
            <v>0.17525773195876293</v>
          </cell>
          <cell r="I29">
            <v>570000</v>
          </cell>
          <cell r="J29">
            <v>485000</v>
          </cell>
          <cell r="K29">
            <v>15608.43</v>
          </cell>
          <cell r="L29">
            <v>473200</v>
          </cell>
          <cell r="M29">
            <v>449325.44</v>
          </cell>
        </row>
        <row r="30">
          <cell r="A30">
            <v>1092000540</v>
          </cell>
          <cell r="B30">
            <v>540</v>
          </cell>
          <cell r="C30" t="str">
            <v>092000</v>
          </cell>
          <cell r="D30">
            <v>1</v>
          </cell>
          <cell r="F30" t="str">
            <v xml:space="preserve">הוצאות טלפון      </v>
          </cell>
          <cell r="G30" t="str">
            <v>קשיח</v>
          </cell>
          <cell r="H30">
            <v>6.25E-2</v>
          </cell>
          <cell r="I30">
            <v>850000</v>
          </cell>
          <cell r="J30">
            <v>800000</v>
          </cell>
          <cell r="K30">
            <v>556391.04</v>
          </cell>
          <cell r="L30">
            <v>800000</v>
          </cell>
          <cell r="M30">
            <v>820314.03</v>
          </cell>
        </row>
        <row r="31">
          <cell r="A31">
            <v>1092000543</v>
          </cell>
          <cell r="B31">
            <v>543</v>
          </cell>
          <cell r="C31" t="str">
            <v>092000</v>
          </cell>
          <cell r="D31">
            <v>1</v>
          </cell>
          <cell r="F31" t="str">
            <v xml:space="preserve">טלפונים סלולריים  </v>
          </cell>
          <cell r="G31" t="str">
            <v>גמיש</v>
          </cell>
          <cell r="H31">
            <v>-0.22222222222222221</v>
          </cell>
          <cell r="I31">
            <v>350000</v>
          </cell>
          <cell r="J31">
            <v>450000</v>
          </cell>
          <cell r="K31">
            <v>157690.17000000001</v>
          </cell>
          <cell r="L31">
            <v>400000</v>
          </cell>
          <cell r="M31">
            <v>436279.95</v>
          </cell>
        </row>
        <row r="32">
          <cell r="A32">
            <v>1092000710</v>
          </cell>
          <cell r="B32">
            <v>710</v>
          </cell>
          <cell r="C32" t="str">
            <v>092000</v>
          </cell>
          <cell r="D32">
            <v>1</v>
          </cell>
          <cell r="F32" t="str">
            <v xml:space="preserve">הובלות והסעות     </v>
          </cell>
          <cell r="G32" t="str">
            <v>גמיש</v>
          </cell>
          <cell r="H32">
            <v>0.8</v>
          </cell>
          <cell r="I32">
            <v>9000</v>
          </cell>
          <cell r="J32">
            <v>5000</v>
          </cell>
          <cell r="K32">
            <v>2920.5</v>
          </cell>
          <cell r="L32">
            <v>7000</v>
          </cell>
          <cell r="M32">
            <v>7043</v>
          </cell>
        </row>
        <row r="33">
          <cell r="A33">
            <v>1092000721</v>
          </cell>
          <cell r="B33">
            <v>721</v>
          </cell>
          <cell r="C33" t="str">
            <v>092000</v>
          </cell>
          <cell r="D33">
            <v>1</v>
          </cell>
          <cell r="F33" t="str">
            <v>חמרים-תחזוקת מבנים</v>
          </cell>
          <cell r="G33" t="str">
            <v>גמיש</v>
          </cell>
          <cell r="I33">
            <v>0</v>
          </cell>
          <cell r="J33">
            <v>0</v>
          </cell>
          <cell r="K33">
            <v>0</v>
          </cell>
          <cell r="L33">
            <v>3800</v>
          </cell>
          <cell r="M33">
            <v>429.52</v>
          </cell>
        </row>
        <row r="34">
          <cell r="A34">
            <v>1092000722</v>
          </cell>
          <cell r="B34">
            <v>722</v>
          </cell>
          <cell r="C34" t="str">
            <v>092000</v>
          </cell>
          <cell r="D34">
            <v>1</v>
          </cell>
          <cell r="F34" t="str">
            <v>חמרים-תחזוקה עצמית</v>
          </cell>
          <cell r="G34" t="str">
            <v>גמיש</v>
          </cell>
          <cell r="H34">
            <v>0.5</v>
          </cell>
          <cell r="I34">
            <v>30000</v>
          </cell>
          <cell r="J34">
            <v>20000</v>
          </cell>
          <cell r="K34">
            <v>10639.43</v>
          </cell>
          <cell r="L34">
            <v>22800</v>
          </cell>
          <cell r="M34">
            <v>15980.49</v>
          </cell>
        </row>
        <row r="35">
          <cell r="A35">
            <v>1092000742</v>
          </cell>
          <cell r="B35">
            <v>742</v>
          </cell>
          <cell r="C35" t="str">
            <v>092000</v>
          </cell>
          <cell r="D35">
            <v>1</v>
          </cell>
          <cell r="F35" t="str">
            <v xml:space="preserve">כלים וציוד        </v>
          </cell>
          <cell r="G35" t="str">
            <v>גמיש</v>
          </cell>
          <cell r="H35">
            <v>0</v>
          </cell>
          <cell r="I35">
            <v>2300</v>
          </cell>
          <cell r="J35">
            <v>2300</v>
          </cell>
          <cell r="K35">
            <v>0</v>
          </cell>
          <cell r="L35">
            <v>2300</v>
          </cell>
          <cell r="M35">
            <v>1126</v>
          </cell>
        </row>
        <row r="36">
          <cell r="A36">
            <v>1092000751</v>
          </cell>
          <cell r="B36">
            <v>751</v>
          </cell>
          <cell r="C36" t="str">
            <v>092000</v>
          </cell>
          <cell r="D36">
            <v>1</v>
          </cell>
          <cell r="F36" t="str">
            <v xml:space="preserve">עבודות קבלניות    </v>
          </cell>
          <cell r="G36" t="str">
            <v>גמיש</v>
          </cell>
          <cell r="H36">
            <v>1.3542001070090959</v>
          </cell>
          <cell r="I36">
            <v>440000</v>
          </cell>
          <cell r="J36">
            <v>186900</v>
          </cell>
          <cell r="K36">
            <v>249761.14</v>
          </cell>
          <cell r="L36">
            <v>110000</v>
          </cell>
          <cell r="M36">
            <v>109889</v>
          </cell>
        </row>
        <row r="37">
          <cell r="A37">
            <v>1092000752</v>
          </cell>
          <cell r="B37">
            <v>752</v>
          </cell>
          <cell r="C37" t="str">
            <v>092000</v>
          </cell>
          <cell r="D37">
            <v>1</v>
          </cell>
          <cell r="F37" t="str">
            <v xml:space="preserve">נקיון בקבלנות     </v>
          </cell>
          <cell r="G37" t="str">
            <v>קשיח</v>
          </cell>
          <cell r="H37">
            <v>5.7500000000000107E-2</v>
          </cell>
          <cell r="I37">
            <v>2115000</v>
          </cell>
          <cell r="J37">
            <v>2000000</v>
          </cell>
          <cell r="K37">
            <v>980103.31</v>
          </cell>
          <cell r="L37">
            <v>1130000</v>
          </cell>
          <cell r="M37">
            <v>1256687.03</v>
          </cell>
        </row>
        <row r="38">
          <cell r="A38">
            <v>1092000756</v>
          </cell>
          <cell r="B38">
            <v>756</v>
          </cell>
          <cell r="C38" t="str">
            <v>092000</v>
          </cell>
          <cell r="D38">
            <v>1</v>
          </cell>
          <cell r="F38" t="str">
            <v xml:space="preserve">שמירה בקבלנות     </v>
          </cell>
          <cell r="G38" t="str">
            <v>קשיח</v>
          </cell>
          <cell r="H38">
            <v>0</v>
          </cell>
          <cell r="I38">
            <v>1500000</v>
          </cell>
          <cell r="J38">
            <v>1500000</v>
          </cell>
          <cell r="K38">
            <v>698145.77</v>
          </cell>
          <cell r="L38">
            <v>1300000</v>
          </cell>
          <cell r="M38">
            <v>2388204.87</v>
          </cell>
        </row>
        <row r="39">
          <cell r="A39">
            <v>1092000757</v>
          </cell>
          <cell r="B39">
            <v>757</v>
          </cell>
          <cell r="C39" t="str">
            <v>092000</v>
          </cell>
          <cell r="D39">
            <v>1</v>
          </cell>
          <cell r="F39" t="str">
            <v>אבטחת בית רותר</v>
          </cell>
          <cell r="G39" t="str">
            <v>גמיש</v>
          </cell>
          <cell r="H39">
            <v>0</v>
          </cell>
          <cell r="I39">
            <v>330000</v>
          </cell>
          <cell r="J39">
            <v>330000</v>
          </cell>
          <cell r="K39">
            <v>77660.429999999993</v>
          </cell>
          <cell r="L39">
            <v>0</v>
          </cell>
          <cell r="M39">
            <v>0</v>
          </cell>
        </row>
        <row r="40">
          <cell r="A40">
            <v>1092000758</v>
          </cell>
          <cell r="B40">
            <v>758</v>
          </cell>
          <cell r="C40" t="str">
            <v>092000</v>
          </cell>
          <cell r="D40">
            <v>1</v>
          </cell>
          <cell r="F40" t="str">
            <v>אבטחה בניין מלט"ב</v>
          </cell>
          <cell r="G40" t="str">
            <v>גמיש</v>
          </cell>
          <cell r="H40">
            <v>8.6956521739130377E-2</v>
          </cell>
          <cell r="I40">
            <v>250000</v>
          </cell>
          <cell r="J40">
            <v>230000</v>
          </cell>
          <cell r="K40">
            <v>113379.85</v>
          </cell>
          <cell r="L40">
            <v>0</v>
          </cell>
          <cell r="M40">
            <v>0</v>
          </cell>
        </row>
        <row r="41">
          <cell r="A41">
            <v>1092000780</v>
          </cell>
          <cell r="B41">
            <v>780</v>
          </cell>
          <cell r="C41" t="str">
            <v>092000</v>
          </cell>
          <cell r="D41">
            <v>1</v>
          </cell>
          <cell r="F41" t="str">
            <v>השכרת פרומפטר</v>
          </cell>
          <cell r="G41" t="str">
            <v>גמיש</v>
          </cell>
          <cell r="I41">
            <v>0</v>
          </cell>
          <cell r="J41">
            <v>0</v>
          </cell>
          <cell r="K41">
            <v>0</v>
          </cell>
          <cell r="L41">
            <v>30000</v>
          </cell>
          <cell r="M41">
            <v>0</v>
          </cell>
        </row>
        <row r="42">
          <cell r="A42">
            <v>1092000794</v>
          </cell>
          <cell r="B42">
            <v>794</v>
          </cell>
          <cell r="C42" t="str">
            <v>092000</v>
          </cell>
          <cell r="D42">
            <v>1</v>
          </cell>
          <cell r="F42" t="str">
            <v xml:space="preserve">השתתפות בעזר 094  </v>
          </cell>
          <cell r="G42" t="str">
            <v>קשיח</v>
          </cell>
          <cell r="H42">
            <v>0</v>
          </cell>
          <cell r="I42">
            <v>50000</v>
          </cell>
          <cell r="J42">
            <v>50000</v>
          </cell>
          <cell r="K42">
            <v>23621</v>
          </cell>
          <cell r="L42">
            <v>50000</v>
          </cell>
          <cell r="M42">
            <v>59636</v>
          </cell>
        </row>
        <row r="43">
          <cell r="A43">
            <v>1092000931</v>
          </cell>
          <cell r="B43">
            <v>931</v>
          </cell>
          <cell r="C43" t="str">
            <v>092000</v>
          </cell>
          <cell r="D43">
            <v>1</v>
          </cell>
          <cell r="F43" t="str">
            <v xml:space="preserve">רכישת ציוד        </v>
          </cell>
          <cell r="G43" t="str">
            <v>גמיש</v>
          </cell>
          <cell r="H43">
            <v>0</v>
          </cell>
          <cell r="I43">
            <v>23000</v>
          </cell>
          <cell r="J43">
            <v>23000</v>
          </cell>
          <cell r="K43">
            <v>16820.97</v>
          </cell>
          <cell r="L43">
            <v>23000</v>
          </cell>
          <cell r="M43">
            <v>22051.26</v>
          </cell>
        </row>
        <row r="44">
          <cell r="A44">
            <v>1092000932</v>
          </cell>
          <cell r="B44">
            <v>932</v>
          </cell>
          <cell r="C44" t="str">
            <v>092000</v>
          </cell>
          <cell r="D44">
            <v>1</v>
          </cell>
          <cell r="F44" t="str">
            <v>אג' טלוויזיה וכבלים</v>
          </cell>
          <cell r="G44" t="str">
            <v>גמיש</v>
          </cell>
          <cell r="H44">
            <v>0</v>
          </cell>
          <cell r="I44">
            <v>16000</v>
          </cell>
          <cell r="J44">
            <v>16000</v>
          </cell>
          <cell r="K44">
            <v>8066.76</v>
          </cell>
          <cell r="L44">
            <v>16000</v>
          </cell>
          <cell r="M44">
            <v>14058.21</v>
          </cell>
        </row>
        <row r="45">
          <cell r="A45">
            <v>1092000934</v>
          </cell>
          <cell r="B45">
            <v>934</v>
          </cell>
          <cell r="C45" t="str">
            <v>092000</v>
          </cell>
          <cell r="D45">
            <v>1</v>
          </cell>
          <cell r="F45" t="str">
            <v>רכישות/פע' חד-פעמי</v>
          </cell>
          <cell r="G45" t="str">
            <v>גמיש</v>
          </cell>
          <cell r="H45">
            <v>0</v>
          </cell>
          <cell r="I45">
            <v>25000</v>
          </cell>
          <cell r="J45">
            <v>25000</v>
          </cell>
          <cell r="K45">
            <v>13631.56</v>
          </cell>
          <cell r="L45">
            <v>25000</v>
          </cell>
          <cell r="M45">
            <v>22800.1</v>
          </cell>
        </row>
        <row r="46">
          <cell r="A46" t="e">
            <v>#VALUE!</v>
          </cell>
          <cell r="B46" t="str">
            <v>092000  סך הכל</v>
          </cell>
          <cell r="F46" t="str">
            <v>משרד הרשות ושרותים</v>
          </cell>
          <cell r="H46">
            <v>5.7671305266866257E-2</v>
          </cell>
          <cell r="I46">
            <v>9006600</v>
          </cell>
          <cell r="J46">
            <v>8515500</v>
          </cell>
          <cell r="K46">
            <v>4275003.47</v>
          </cell>
          <cell r="L46">
            <v>6964100</v>
          </cell>
          <cell r="M46">
            <v>7721675.5699999994</v>
          </cell>
        </row>
        <row r="47">
          <cell r="A47">
            <v>10921000</v>
          </cell>
          <cell r="B47">
            <v>0</v>
          </cell>
          <cell r="C47" t="str">
            <v>092100</v>
          </cell>
          <cell r="D47">
            <v>1</v>
          </cell>
          <cell r="F47" t="str">
            <v xml:space="preserve">העמסת בית העירייה </v>
          </cell>
          <cell r="G47" t="str">
            <v xml:space="preserve"> </v>
          </cell>
          <cell r="L47">
            <v>0</v>
          </cell>
        </row>
        <row r="48">
          <cell r="A48">
            <v>1092100492</v>
          </cell>
          <cell r="B48">
            <v>492</v>
          </cell>
          <cell r="C48" t="str">
            <v>092100</v>
          </cell>
          <cell r="D48">
            <v>1</v>
          </cell>
          <cell r="F48" t="str">
            <v xml:space="preserve">השתתפות בעזר 092  </v>
          </cell>
          <cell r="G48" t="str">
            <v>קשיח</v>
          </cell>
          <cell r="H48">
            <v>5.7671305266866257E-2</v>
          </cell>
          <cell r="I48">
            <v>-9006600</v>
          </cell>
          <cell r="J48">
            <v>-8515500</v>
          </cell>
          <cell r="K48">
            <v>-3332729.34</v>
          </cell>
          <cell r="L48">
            <v>-6964100</v>
          </cell>
          <cell r="M48">
            <v>-7721675.5700000003</v>
          </cell>
        </row>
        <row r="49">
          <cell r="A49" t="e">
            <v>#VALUE!</v>
          </cell>
          <cell r="B49" t="str">
            <v>092100  סך הכל</v>
          </cell>
          <cell r="F49" t="str">
            <v xml:space="preserve">העמסת בית העירייה </v>
          </cell>
          <cell r="H49">
            <v>5.7671305266866257E-2</v>
          </cell>
          <cell r="I49">
            <v>-9006600</v>
          </cell>
          <cell r="J49">
            <v>-8515500</v>
          </cell>
          <cell r="K49">
            <v>-3332729.34</v>
          </cell>
          <cell r="L49">
            <v>-6964100</v>
          </cell>
          <cell r="M49">
            <v>-7721675.5700000003</v>
          </cell>
        </row>
        <row r="50">
          <cell r="A50">
            <v>10940000</v>
          </cell>
          <cell r="B50">
            <v>0</v>
          </cell>
          <cell r="C50" t="str">
            <v>094000</v>
          </cell>
          <cell r="D50">
            <v>1</v>
          </cell>
          <cell r="F50" t="str">
            <v xml:space="preserve">אפסנאות מחסנים    </v>
          </cell>
          <cell r="G50" t="str">
            <v xml:space="preserve"> </v>
          </cell>
          <cell r="L50">
            <v>0</v>
          </cell>
        </row>
        <row r="51">
          <cell r="A51">
            <v>1094000110</v>
          </cell>
          <cell r="B51">
            <v>110</v>
          </cell>
          <cell r="C51" t="str">
            <v>094000</v>
          </cell>
          <cell r="D51">
            <v>1</v>
          </cell>
          <cell r="F51" t="str">
            <v>השכר הקובע-תקציבית</v>
          </cell>
          <cell r="G51" t="str">
            <v>שכר</v>
          </cell>
          <cell r="H51">
            <v>2.5008437394532512E-2</v>
          </cell>
          <cell r="I51">
            <v>607420</v>
          </cell>
          <cell r="J51">
            <v>592600</v>
          </cell>
          <cell r="K51">
            <v>381920.6</v>
          </cell>
          <cell r="L51">
            <v>581000</v>
          </cell>
          <cell r="M51">
            <v>642596.13</v>
          </cell>
        </row>
        <row r="52">
          <cell r="A52">
            <v>1094000119</v>
          </cell>
          <cell r="B52">
            <v>119</v>
          </cell>
          <cell r="C52" t="str">
            <v>094000</v>
          </cell>
          <cell r="D52">
            <v>1</v>
          </cell>
          <cell r="F52" t="str">
            <v xml:space="preserve">השכר הקובע-צוברת  </v>
          </cell>
          <cell r="G52" t="str">
            <v>שכר</v>
          </cell>
          <cell r="H52">
            <v>0.27299862666384955</v>
          </cell>
          <cell r="I52">
            <v>602510.25</v>
          </cell>
          <cell r="J52">
            <v>473300</v>
          </cell>
          <cell r="K52">
            <v>405413.49</v>
          </cell>
          <cell r="L52">
            <v>464000</v>
          </cell>
          <cell r="M52">
            <v>703700.58</v>
          </cell>
        </row>
        <row r="53">
          <cell r="A53">
            <v>1094000122</v>
          </cell>
          <cell r="B53">
            <v>122</v>
          </cell>
          <cell r="C53" t="str">
            <v>094000</v>
          </cell>
          <cell r="D53">
            <v>1</v>
          </cell>
          <cell r="F53" t="str">
            <v xml:space="preserve">ביגוד             </v>
          </cell>
          <cell r="G53" t="str">
            <v>שכר</v>
          </cell>
          <cell r="H53">
            <v>0</v>
          </cell>
          <cell r="I53">
            <v>14500</v>
          </cell>
          <cell r="J53">
            <v>14500</v>
          </cell>
          <cell r="K53">
            <v>13217.35</v>
          </cell>
          <cell r="L53">
            <v>16400</v>
          </cell>
          <cell r="M53">
            <v>15913.93</v>
          </cell>
        </row>
        <row r="54">
          <cell r="A54">
            <v>1094000126</v>
          </cell>
          <cell r="B54">
            <v>126</v>
          </cell>
          <cell r="C54" t="str">
            <v>094000</v>
          </cell>
          <cell r="D54">
            <v>1</v>
          </cell>
          <cell r="F54" t="str">
            <v xml:space="preserve">דמי הבראה         </v>
          </cell>
          <cell r="G54" t="str">
            <v>שכר</v>
          </cell>
          <cell r="H54">
            <v>0</v>
          </cell>
          <cell r="I54">
            <v>43800</v>
          </cell>
          <cell r="J54">
            <v>43800</v>
          </cell>
          <cell r="K54">
            <v>42066.65</v>
          </cell>
          <cell r="L54">
            <v>37600</v>
          </cell>
          <cell r="M54">
            <v>48409.56</v>
          </cell>
        </row>
        <row r="55">
          <cell r="A55">
            <v>1094000130</v>
          </cell>
          <cell r="B55">
            <v>130</v>
          </cell>
          <cell r="C55" t="str">
            <v>094000</v>
          </cell>
          <cell r="D55">
            <v>1</v>
          </cell>
          <cell r="F55" t="str">
            <v xml:space="preserve">שעות נוספות       </v>
          </cell>
          <cell r="G55" t="str">
            <v>שכר</v>
          </cell>
          <cell r="H55">
            <v>0</v>
          </cell>
          <cell r="I55">
            <v>46700</v>
          </cell>
          <cell r="J55">
            <v>46700</v>
          </cell>
          <cell r="K55">
            <v>61143.88</v>
          </cell>
          <cell r="L55">
            <v>54600</v>
          </cell>
          <cell r="M55">
            <v>93156.42</v>
          </cell>
        </row>
        <row r="56">
          <cell r="A56">
            <v>1094000140</v>
          </cell>
          <cell r="B56">
            <v>140</v>
          </cell>
          <cell r="C56" t="str">
            <v>094000</v>
          </cell>
          <cell r="D56">
            <v>1</v>
          </cell>
          <cell r="F56" t="str">
            <v>השתתפות באחזקת רכב</v>
          </cell>
          <cell r="G56" t="str">
            <v>שכר</v>
          </cell>
          <cell r="H56">
            <v>0</v>
          </cell>
          <cell r="I56">
            <v>81800</v>
          </cell>
          <cell r="J56">
            <v>81800</v>
          </cell>
          <cell r="K56">
            <v>48946.91</v>
          </cell>
          <cell r="L56">
            <v>81800</v>
          </cell>
          <cell r="M56">
            <v>98900.32</v>
          </cell>
        </row>
        <row r="57">
          <cell r="A57">
            <v>1094000253</v>
          </cell>
          <cell r="B57">
            <v>253</v>
          </cell>
          <cell r="C57" t="str">
            <v>094000</v>
          </cell>
          <cell r="D57">
            <v>1</v>
          </cell>
          <cell r="F57" t="str">
            <v>עובדים חיצוניים</v>
          </cell>
          <cell r="G57" t="str">
            <v>שכר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45231.08</v>
          </cell>
        </row>
        <row r="58">
          <cell r="A58">
            <v>1094000420</v>
          </cell>
          <cell r="B58">
            <v>420</v>
          </cell>
          <cell r="C58" t="str">
            <v>094000</v>
          </cell>
          <cell r="D58">
            <v>1</v>
          </cell>
          <cell r="F58" t="str">
            <v xml:space="preserve">כיבוי אש          </v>
          </cell>
          <cell r="G58" t="str">
            <v>קשיח</v>
          </cell>
          <cell r="H58">
            <v>0.16666666666666674</v>
          </cell>
          <cell r="I58">
            <v>7000</v>
          </cell>
          <cell r="J58">
            <v>6000</v>
          </cell>
          <cell r="K58">
            <v>4729.66</v>
          </cell>
          <cell r="L58">
            <v>6000</v>
          </cell>
          <cell r="M58">
            <v>5118.21</v>
          </cell>
        </row>
        <row r="59">
          <cell r="A59">
            <v>1094000423</v>
          </cell>
          <cell r="B59">
            <v>423</v>
          </cell>
          <cell r="C59" t="str">
            <v>094000</v>
          </cell>
          <cell r="D59">
            <v>1</v>
          </cell>
          <cell r="F59" t="str">
            <v xml:space="preserve">תחזוקת מבנה       </v>
          </cell>
          <cell r="G59" t="str">
            <v>קשיח</v>
          </cell>
          <cell r="H59">
            <v>0</v>
          </cell>
          <cell r="I59">
            <v>67700</v>
          </cell>
          <cell r="J59">
            <v>67700</v>
          </cell>
          <cell r="K59">
            <v>0</v>
          </cell>
          <cell r="L59">
            <v>67000</v>
          </cell>
          <cell r="M59">
            <v>67000</v>
          </cell>
        </row>
        <row r="60">
          <cell r="A60">
            <v>1094000433</v>
          </cell>
          <cell r="B60">
            <v>433</v>
          </cell>
          <cell r="C60" t="str">
            <v>094000</v>
          </cell>
          <cell r="D60">
            <v>1</v>
          </cell>
          <cell r="F60" t="str">
            <v xml:space="preserve">חומרי נקיון       </v>
          </cell>
          <cell r="G60" t="str">
            <v>גמיש</v>
          </cell>
          <cell r="H60">
            <v>0</v>
          </cell>
          <cell r="I60">
            <v>12100</v>
          </cell>
          <cell r="J60">
            <v>12100</v>
          </cell>
          <cell r="K60">
            <v>-3537.45</v>
          </cell>
          <cell r="L60">
            <v>11000</v>
          </cell>
          <cell r="M60">
            <v>10640.01</v>
          </cell>
        </row>
        <row r="61">
          <cell r="A61">
            <v>1094000437</v>
          </cell>
          <cell r="B61">
            <v>437</v>
          </cell>
          <cell r="C61" t="str">
            <v>094000</v>
          </cell>
          <cell r="D61">
            <v>1</v>
          </cell>
          <cell r="F61" t="str">
            <v xml:space="preserve">אחזקת אזעקה       </v>
          </cell>
          <cell r="G61" t="str">
            <v>קשיח</v>
          </cell>
          <cell r="H61">
            <v>-4.7619047619047672E-2</v>
          </cell>
          <cell r="I61">
            <v>6000</v>
          </cell>
          <cell r="J61">
            <v>6300</v>
          </cell>
          <cell r="K61">
            <v>0</v>
          </cell>
          <cell r="L61">
            <v>5600</v>
          </cell>
          <cell r="M61">
            <v>4071.6</v>
          </cell>
        </row>
        <row r="62">
          <cell r="A62">
            <v>1094000450</v>
          </cell>
          <cell r="B62">
            <v>450</v>
          </cell>
          <cell r="C62" t="str">
            <v>094000</v>
          </cell>
          <cell r="D62">
            <v>1</v>
          </cell>
          <cell r="F62" t="str">
            <v>אחזקת תמי 4</v>
          </cell>
          <cell r="G62" t="str">
            <v>קשיח</v>
          </cell>
          <cell r="H62">
            <v>1</v>
          </cell>
          <cell r="I62">
            <v>2200</v>
          </cell>
          <cell r="J62">
            <v>1100</v>
          </cell>
          <cell r="K62">
            <v>0</v>
          </cell>
          <cell r="L62">
            <v>1100</v>
          </cell>
          <cell r="M62">
            <v>0</v>
          </cell>
        </row>
        <row r="63">
          <cell r="A63">
            <v>1094000451</v>
          </cell>
          <cell r="B63">
            <v>451</v>
          </cell>
          <cell r="C63" t="str">
            <v>094000</v>
          </cell>
          <cell r="D63">
            <v>1</v>
          </cell>
          <cell r="F63" t="str">
            <v>אחזקת דפיברילטור</v>
          </cell>
          <cell r="G63" t="str">
            <v>קשיח</v>
          </cell>
          <cell r="H63">
            <v>-1</v>
          </cell>
          <cell r="I63">
            <v>0</v>
          </cell>
          <cell r="J63">
            <v>3000</v>
          </cell>
          <cell r="K63">
            <v>0</v>
          </cell>
          <cell r="L63">
            <v>3000</v>
          </cell>
          <cell r="M63">
            <v>273.77999999999997</v>
          </cell>
        </row>
        <row r="64">
          <cell r="A64">
            <v>1094000470</v>
          </cell>
          <cell r="B64">
            <v>470</v>
          </cell>
          <cell r="C64" t="str">
            <v>094000</v>
          </cell>
          <cell r="D64">
            <v>1</v>
          </cell>
          <cell r="F64" t="str">
            <v xml:space="preserve">אחזקת מכונות משרד </v>
          </cell>
          <cell r="G64" t="str">
            <v>גמיש</v>
          </cell>
          <cell r="H64">
            <v>-0.6875</v>
          </cell>
          <cell r="I64">
            <v>500</v>
          </cell>
          <cell r="J64">
            <v>1600</v>
          </cell>
          <cell r="K64">
            <v>97.53</v>
          </cell>
          <cell r="L64">
            <v>2300</v>
          </cell>
          <cell r="M64">
            <v>39.94</v>
          </cell>
        </row>
        <row r="65">
          <cell r="A65">
            <v>1094000471</v>
          </cell>
          <cell r="B65">
            <v>471</v>
          </cell>
          <cell r="C65" t="str">
            <v>094000</v>
          </cell>
          <cell r="D65">
            <v>1</v>
          </cell>
          <cell r="F65" t="str">
            <v xml:space="preserve">מכשירי כתיבה      </v>
          </cell>
          <cell r="G65" t="str">
            <v>גמיש</v>
          </cell>
          <cell r="H65">
            <v>-0.29078014184397161</v>
          </cell>
          <cell r="I65">
            <v>10000</v>
          </cell>
          <cell r="J65">
            <v>14100</v>
          </cell>
          <cell r="K65">
            <v>2254.0500000000002</v>
          </cell>
          <cell r="L65">
            <v>14000</v>
          </cell>
          <cell r="M65">
            <v>15075.87</v>
          </cell>
        </row>
        <row r="66">
          <cell r="A66">
            <v>1094000492</v>
          </cell>
          <cell r="B66">
            <v>492</v>
          </cell>
          <cell r="C66" t="str">
            <v>094000</v>
          </cell>
          <cell r="D66">
            <v>1</v>
          </cell>
          <cell r="F66" t="str">
            <v xml:space="preserve">השתתפות בעזר 092  </v>
          </cell>
          <cell r="G66" t="str">
            <v>קשיח</v>
          </cell>
          <cell r="H66">
            <v>0</v>
          </cell>
          <cell r="I66">
            <v>225000</v>
          </cell>
          <cell r="J66">
            <v>225000</v>
          </cell>
          <cell r="K66">
            <v>88903</v>
          </cell>
          <cell r="L66">
            <v>185200</v>
          </cell>
          <cell r="M66">
            <v>202789</v>
          </cell>
        </row>
        <row r="67">
          <cell r="A67">
            <v>1094000511</v>
          </cell>
          <cell r="B67">
            <v>511</v>
          </cell>
          <cell r="C67" t="str">
            <v>094000</v>
          </cell>
          <cell r="D67">
            <v>1</v>
          </cell>
          <cell r="F67" t="str">
            <v xml:space="preserve">אירוח וכיבוד      </v>
          </cell>
          <cell r="G67" t="str">
            <v>גמיש</v>
          </cell>
          <cell r="H67">
            <v>0.4814814814814814</v>
          </cell>
          <cell r="I67">
            <v>12000</v>
          </cell>
          <cell r="J67">
            <v>8100</v>
          </cell>
          <cell r="K67">
            <v>3623.54</v>
          </cell>
          <cell r="L67">
            <v>6500</v>
          </cell>
          <cell r="M67">
            <v>6821</v>
          </cell>
        </row>
        <row r="68">
          <cell r="A68">
            <v>1094000540</v>
          </cell>
          <cell r="B68">
            <v>540</v>
          </cell>
          <cell r="C68" t="str">
            <v>094000</v>
          </cell>
          <cell r="D68">
            <v>1</v>
          </cell>
          <cell r="F68" t="str">
            <v xml:space="preserve">הוצאות טלפון      </v>
          </cell>
          <cell r="G68" t="str">
            <v>קשיח</v>
          </cell>
          <cell r="I68">
            <v>0</v>
          </cell>
          <cell r="J68">
            <v>0</v>
          </cell>
          <cell r="K68">
            <v>0</v>
          </cell>
          <cell r="L68">
            <v>1500</v>
          </cell>
          <cell r="M68">
            <v>0</v>
          </cell>
        </row>
        <row r="69">
          <cell r="A69">
            <v>1094000550</v>
          </cell>
          <cell r="B69">
            <v>550</v>
          </cell>
          <cell r="C69" t="str">
            <v>094000</v>
          </cell>
          <cell r="D69">
            <v>1</v>
          </cell>
          <cell r="F69" t="str">
            <v xml:space="preserve">פירסומים          </v>
          </cell>
          <cell r="G69" t="str">
            <v>גמיש</v>
          </cell>
          <cell r="H69">
            <v>0</v>
          </cell>
          <cell r="I69">
            <v>2000</v>
          </cell>
          <cell r="J69">
            <v>2000</v>
          </cell>
          <cell r="K69">
            <v>1869</v>
          </cell>
          <cell r="L69">
            <v>3000</v>
          </cell>
          <cell r="M69">
            <v>5553</v>
          </cell>
        </row>
        <row r="70">
          <cell r="A70">
            <v>1094000561</v>
          </cell>
          <cell r="B70">
            <v>561</v>
          </cell>
          <cell r="C70" t="str">
            <v>094000</v>
          </cell>
          <cell r="D70">
            <v>1</v>
          </cell>
          <cell r="F70" t="str">
            <v xml:space="preserve">שיכפולים          </v>
          </cell>
          <cell r="G70" t="str">
            <v>גמיש</v>
          </cell>
          <cell r="H70">
            <v>-1</v>
          </cell>
          <cell r="I70">
            <v>0</v>
          </cell>
          <cell r="J70">
            <v>200</v>
          </cell>
          <cell r="K70">
            <v>0</v>
          </cell>
          <cell r="L70">
            <v>400</v>
          </cell>
          <cell r="M70">
            <v>0</v>
          </cell>
        </row>
        <row r="71">
          <cell r="A71">
            <v>1094000571</v>
          </cell>
          <cell r="B71">
            <v>571</v>
          </cell>
          <cell r="C71" t="str">
            <v>094000</v>
          </cell>
          <cell r="D71">
            <v>1</v>
          </cell>
          <cell r="F71" t="str">
            <v xml:space="preserve">מיכון וענ"א       </v>
          </cell>
          <cell r="G71" t="str">
            <v>קשיח</v>
          </cell>
          <cell r="H71">
            <v>0</v>
          </cell>
          <cell r="I71">
            <v>127400</v>
          </cell>
          <cell r="J71">
            <v>127400</v>
          </cell>
          <cell r="K71">
            <v>63700</v>
          </cell>
          <cell r="L71">
            <v>127400</v>
          </cell>
          <cell r="M71">
            <v>127400</v>
          </cell>
        </row>
        <row r="72">
          <cell r="A72">
            <v>1094000596</v>
          </cell>
          <cell r="B72">
            <v>596</v>
          </cell>
          <cell r="C72" t="str">
            <v>094000</v>
          </cell>
          <cell r="D72">
            <v>1</v>
          </cell>
          <cell r="F72" t="str">
            <v xml:space="preserve">השתתפות בעזר 096  </v>
          </cell>
          <cell r="G72" t="str">
            <v>קשיח</v>
          </cell>
          <cell r="H72">
            <v>0</v>
          </cell>
          <cell r="I72">
            <v>110000</v>
          </cell>
          <cell r="J72">
            <v>110000</v>
          </cell>
          <cell r="K72">
            <v>44693</v>
          </cell>
          <cell r="L72">
            <v>110000</v>
          </cell>
          <cell r="M72">
            <v>102817</v>
          </cell>
        </row>
        <row r="73">
          <cell r="A73">
            <v>1094000721</v>
          </cell>
          <cell r="B73">
            <v>721</v>
          </cell>
          <cell r="C73" t="str">
            <v>094000</v>
          </cell>
          <cell r="D73">
            <v>1</v>
          </cell>
          <cell r="F73" t="str">
            <v>חמרים-תחזוקת מבנים</v>
          </cell>
          <cell r="G73" t="str">
            <v>גמיש</v>
          </cell>
          <cell r="H73">
            <v>-1</v>
          </cell>
          <cell r="I73">
            <v>0</v>
          </cell>
          <cell r="J73">
            <v>80000</v>
          </cell>
          <cell r="K73">
            <v>4170.03</v>
          </cell>
          <cell r="L73">
            <v>1500</v>
          </cell>
          <cell r="M73">
            <v>0</v>
          </cell>
        </row>
        <row r="74">
          <cell r="A74">
            <v>1094000742</v>
          </cell>
          <cell r="B74">
            <v>742</v>
          </cell>
          <cell r="C74" t="str">
            <v>094000</v>
          </cell>
          <cell r="D74">
            <v>1</v>
          </cell>
          <cell r="F74" t="str">
            <v xml:space="preserve">כלים וציוד        </v>
          </cell>
          <cell r="G74" t="str">
            <v>גמיש</v>
          </cell>
          <cell r="H74">
            <v>0</v>
          </cell>
          <cell r="I74">
            <v>4000</v>
          </cell>
          <cell r="J74">
            <v>4000</v>
          </cell>
          <cell r="K74">
            <v>1285</v>
          </cell>
          <cell r="L74">
            <v>4300</v>
          </cell>
          <cell r="M74">
            <v>3100</v>
          </cell>
        </row>
        <row r="75">
          <cell r="A75">
            <v>1094000751</v>
          </cell>
          <cell r="B75">
            <v>751</v>
          </cell>
          <cell r="C75" t="str">
            <v>094000</v>
          </cell>
          <cell r="D75">
            <v>1</v>
          </cell>
          <cell r="F75" t="str">
            <v xml:space="preserve">עבודות קבלניות    </v>
          </cell>
          <cell r="G75" t="str">
            <v>גמיש</v>
          </cell>
          <cell r="H75">
            <v>0.23762376237623761</v>
          </cell>
          <cell r="I75">
            <v>50000</v>
          </cell>
          <cell r="J75">
            <v>40400</v>
          </cell>
          <cell r="K75">
            <v>19611.98</v>
          </cell>
          <cell r="L75">
            <v>40000</v>
          </cell>
          <cell r="M75">
            <v>37636</v>
          </cell>
        </row>
        <row r="76">
          <cell r="A76">
            <v>1094000752</v>
          </cell>
          <cell r="B76">
            <v>752</v>
          </cell>
          <cell r="C76" t="str">
            <v>094000</v>
          </cell>
          <cell r="D76">
            <v>1</v>
          </cell>
          <cell r="F76" t="str">
            <v xml:space="preserve">נקיון בקבלנות     </v>
          </cell>
          <cell r="G76" t="str">
            <v>קשיח</v>
          </cell>
          <cell r="H76">
            <v>-0.36274509803921573</v>
          </cell>
          <cell r="I76">
            <v>65000</v>
          </cell>
          <cell r="J76">
            <v>102000</v>
          </cell>
          <cell r="K76">
            <v>23300.19</v>
          </cell>
          <cell r="L76">
            <v>102000</v>
          </cell>
          <cell r="M76">
            <v>99833.52</v>
          </cell>
        </row>
        <row r="77">
          <cell r="A77">
            <v>1094000756</v>
          </cell>
          <cell r="B77">
            <v>756</v>
          </cell>
          <cell r="C77" t="str">
            <v>094000</v>
          </cell>
          <cell r="D77">
            <v>1</v>
          </cell>
          <cell r="F77" t="str">
            <v xml:space="preserve">שמירה בקבלנות     </v>
          </cell>
          <cell r="G77" t="str">
            <v>קשיח</v>
          </cell>
          <cell r="H77">
            <v>0</v>
          </cell>
          <cell r="I77">
            <v>360000</v>
          </cell>
          <cell r="J77">
            <v>360000</v>
          </cell>
          <cell r="K77">
            <v>149206.10999999999</v>
          </cell>
          <cell r="L77">
            <v>330000</v>
          </cell>
          <cell r="M77">
            <v>361140.38</v>
          </cell>
        </row>
        <row r="78">
          <cell r="A78">
            <v>1094000757</v>
          </cell>
          <cell r="B78">
            <v>757</v>
          </cell>
          <cell r="C78" t="str">
            <v>094000</v>
          </cell>
          <cell r="D78">
            <v>1</v>
          </cell>
          <cell r="F78" t="str">
            <v xml:space="preserve">פינויים           </v>
          </cell>
          <cell r="G78" t="str">
            <v>גמיש</v>
          </cell>
          <cell r="H78">
            <v>-0.1089108910891089</v>
          </cell>
          <cell r="I78">
            <v>9000</v>
          </cell>
          <cell r="J78">
            <v>10100</v>
          </cell>
          <cell r="K78">
            <v>1639.02</v>
          </cell>
          <cell r="L78">
            <v>10000</v>
          </cell>
          <cell r="M78">
            <v>7722</v>
          </cell>
        </row>
        <row r="79">
          <cell r="A79">
            <v>1094000930</v>
          </cell>
          <cell r="B79">
            <v>930</v>
          </cell>
          <cell r="C79" t="str">
            <v>094000</v>
          </cell>
          <cell r="D79">
            <v>1</v>
          </cell>
          <cell r="F79" t="str">
            <v xml:space="preserve">רכישות חד פעמיות  </v>
          </cell>
          <cell r="G79" t="str">
            <v>גמיש</v>
          </cell>
          <cell r="H79">
            <v>0</v>
          </cell>
          <cell r="I79">
            <v>3000</v>
          </cell>
          <cell r="J79">
            <v>3000</v>
          </cell>
          <cell r="K79">
            <v>1050</v>
          </cell>
          <cell r="L79">
            <v>3000</v>
          </cell>
          <cell r="M79">
            <v>2763.06</v>
          </cell>
        </row>
        <row r="80">
          <cell r="A80">
            <v>1094000931</v>
          </cell>
          <cell r="B80">
            <v>931</v>
          </cell>
          <cell r="C80" t="str">
            <v>094000</v>
          </cell>
          <cell r="D80">
            <v>1</v>
          </cell>
          <cell r="F80" t="str">
            <v>אביזרי בטיחות</v>
          </cell>
          <cell r="G80" t="str">
            <v>גמיש</v>
          </cell>
          <cell r="H80">
            <v>0.33333333333333326</v>
          </cell>
          <cell r="I80">
            <v>4000</v>
          </cell>
          <cell r="J80">
            <v>3000</v>
          </cell>
          <cell r="K80">
            <v>1140</v>
          </cell>
          <cell r="L80">
            <v>0</v>
          </cell>
          <cell r="M80">
            <v>0</v>
          </cell>
        </row>
        <row r="81">
          <cell r="A81" t="e">
            <v>#VALUE!</v>
          </cell>
          <cell r="B81" t="str">
            <v>094000  סך הכל</v>
          </cell>
          <cell r="F81" t="str">
            <v xml:space="preserve">אפסנאות מחסנים    </v>
          </cell>
          <cell r="H81">
            <v>1.386599311418979E-2</v>
          </cell>
          <cell r="I81">
            <v>2473630.25</v>
          </cell>
          <cell r="J81">
            <v>2439800</v>
          </cell>
          <cell r="K81">
            <v>1360443.54</v>
          </cell>
          <cell r="L81">
            <v>2270200</v>
          </cell>
          <cell r="M81">
            <v>2707702.39</v>
          </cell>
        </row>
        <row r="82">
          <cell r="A82">
            <v>10941000</v>
          </cell>
          <cell r="B82">
            <v>0</v>
          </cell>
          <cell r="C82" t="str">
            <v>094100</v>
          </cell>
          <cell r="D82">
            <v>1</v>
          </cell>
          <cell r="F82" t="str">
            <v xml:space="preserve">העמסת מחסנים    </v>
          </cell>
          <cell r="G82" t="str">
            <v xml:space="preserve"> </v>
          </cell>
          <cell r="L82">
            <v>0</v>
          </cell>
        </row>
        <row r="83">
          <cell r="A83">
            <v>1094100794</v>
          </cell>
          <cell r="B83">
            <v>794</v>
          </cell>
          <cell r="C83" t="str">
            <v>094100</v>
          </cell>
          <cell r="D83">
            <v>1</v>
          </cell>
          <cell r="F83" t="str">
            <v xml:space="preserve">השתתפות בעזר 094  </v>
          </cell>
          <cell r="G83" t="str">
            <v>קשיח</v>
          </cell>
          <cell r="H83">
            <v>1.3865890646774348E-2</v>
          </cell>
          <cell r="I83">
            <v>-2473630</v>
          </cell>
          <cell r="J83">
            <v>-2439800</v>
          </cell>
          <cell r="K83">
            <v>-1181181.1200000001</v>
          </cell>
          <cell r="L83">
            <v>-2270200</v>
          </cell>
          <cell r="M83">
            <v>-2707702.39</v>
          </cell>
        </row>
        <row r="84">
          <cell r="A84" t="e">
            <v>#VALUE!</v>
          </cell>
          <cell r="B84" t="str">
            <v>094100  סך הכל</v>
          </cell>
          <cell r="F84" t="str">
            <v xml:space="preserve">העמסת מחסנים    </v>
          </cell>
          <cell r="H84">
            <v>1.3865890646774348E-2</v>
          </cell>
          <cell r="I84">
            <v>-2473630</v>
          </cell>
          <cell r="J84">
            <v>-2439800</v>
          </cell>
          <cell r="K84">
            <v>-1181181.1200000001</v>
          </cell>
          <cell r="L84">
            <v>-2270200</v>
          </cell>
          <cell r="M84">
            <v>-2707702.39</v>
          </cell>
        </row>
        <row r="85">
          <cell r="A85">
            <v>10960000</v>
          </cell>
          <cell r="B85">
            <v>0</v>
          </cell>
          <cell r="C85" t="str">
            <v>096000</v>
          </cell>
          <cell r="D85">
            <v>1</v>
          </cell>
          <cell r="F85" t="str">
            <v xml:space="preserve">מוסך  ורכב        </v>
          </cell>
          <cell r="G85" t="str">
            <v xml:space="preserve"> </v>
          </cell>
          <cell r="L85">
            <v>0</v>
          </cell>
        </row>
        <row r="86">
          <cell r="A86">
            <v>1096000110</v>
          </cell>
          <cell r="B86">
            <v>110</v>
          </cell>
          <cell r="C86" t="str">
            <v>096000</v>
          </cell>
          <cell r="D86">
            <v>1</v>
          </cell>
          <cell r="F86" t="str">
            <v>השכר הקובע-תקציבית</v>
          </cell>
          <cell r="G86" t="str">
            <v>שכר</v>
          </cell>
          <cell r="H86">
            <v>2.5032679738562047E-2</v>
          </cell>
          <cell r="I86">
            <v>156830</v>
          </cell>
          <cell r="J86">
            <v>153000</v>
          </cell>
          <cell r="K86">
            <v>89772.39</v>
          </cell>
          <cell r="L86">
            <v>150000</v>
          </cell>
          <cell r="M86">
            <v>148370.85999999999</v>
          </cell>
        </row>
        <row r="87">
          <cell r="A87">
            <v>1096000119</v>
          </cell>
          <cell r="B87">
            <v>119</v>
          </cell>
          <cell r="C87" t="str">
            <v>096000</v>
          </cell>
          <cell r="D87">
            <v>1</v>
          </cell>
          <cell r="F87" t="str">
            <v xml:space="preserve">השכר הקובע-צוברת  </v>
          </cell>
          <cell r="G87" t="str">
            <v>שכר</v>
          </cell>
          <cell r="H87">
            <v>-0.18623650637880274</v>
          </cell>
          <cell r="I87">
            <v>331690</v>
          </cell>
          <cell r="J87">
            <v>407600</v>
          </cell>
          <cell r="K87">
            <v>221970.94</v>
          </cell>
          <cell r="L87">
            <v>399600</v>
          </cell>
          <cell r="M87">
            <v>376254.71</v>
          </cell>
        </row>
        <row r="88">
          <cell r="A88">
            <v>1096000122</v>
          </cell>
          <cell r="B88">
            <v>122</v>
          </cell>
          <cell r="C88" t="str">
            <v>096000</v>
          </cell>
          <cell r="D88">
            <v>1</v>
          </cell>
          <cell r="F88" t="str">
            <v xml:space="preserve">ביגוד             </v>
          </cell>
          <cell r="G88" t="str">
            <v>שכר</v>
          </cell>
          <cell r="H88">
            <v>0</v>
          </cell>
          <cell r="I88">
            <v>6100</v>
          </cell>
          <cell r="J88">
            <v>6100</v>
          </cell>
          <cell r="K88">
            <v>4958</v>
          </cell>
          <cell r="L88">
            <v>5300</v>
          </cell>
          <cell r="M88">
            <v>6077.5</v>
          </cell>
        </row>
        <row r="89">
          <cell r="A89">
            <v>1096000126</v>
          </cell>
          <cell r="B89">
            <v>126</v>
          </cell>
          <cell r="C89" t="str">
            <v>096000</v>
          </cell>
          <cell r="D89">
            <v>1</v>
          </cell>
          <cell r="F89" t="str">
            <v xml:space="preserve">דמי הבראה         </v>
          </cell>
          <cell r="G89" t="str">
            <v>שכר</v>
          </cell>
          <cell r="H89">
            <v>0</v>
          </cell>
          <cell r="I89">
            <v>14500</v>
          </cell>
          <cell r="J89">
            <v>14500</v>
          </cell>
          <cell r="K89">
            <v>12256.4</v>
          </cell>
          <cell r="L89">
            <v>12000</v>
          </cell>
          <cell r="M89">
            <v>14554.4</v>
          </cell>
        </row>
        <row r="90">
          <cell r="A90">
            <v>1096000130</v>
          </cell>
          <cell r="B90">
            <v>130</v>
          </cell>
          <cell r="C90" t="str">
            <v>096000</v>
          </cell>
          <cell r="D90">
            <v>1</v>
          </cell>
          <cell r="F90" t="str">
            <v xml:space="preserve">שעות נוספות       </v>
          </cell>
          <cell r="G90" t="str">
            <v>שכר</v>
          </cell>
          <cell r="I90">
            <v>0</v>
          </cell>
          <cell r="J90">
            <v>0</v>
          </cell>
          <cell r="K90">
            <v>16059.28</v>
          </cell>
          <cell r="L90">
            <v>0</v>
          </cell>
          <cell r="M90">
            <v>0</v>
          </cell>
        </row>
        <row r="91">
          <cell r="A91">
            <v>1096000140</v>
          </cell>
          <cell r="B91">
            <v>140</v>
          </cell>
          <cell r="C91" t="str">
            <v>096000</v>
          </cell>
          <cell r="D91">
            <v>1</v>
          </cell>
          <cell r="F91" t="str">
            <v>השתתפות באחזקת רכב</v>
          </cell>
          <cell r="G91" t="str">
            <v>שכר</v>
          </cell>
          <cell r="H91">
            <v>0</v>
          </cell>
          <cell r="I91">
            <v>65200</v>
          </cell>
          <cell r="J91">
            <v>65200</v>
          </cell>
          <cell r="K91">
            <v>34244.519999999997</v>
          </cell>
          <cell r="L91">
            <v>65200</v>
          </cell>
          <cell r="M91">
            <v>72400.679999999993</v>
          </cell>
        </row>
        <row r="92">
          <cell r="A92">
            <v>1096000253</v>
          </cell>
          <cell r="B92">
            <v>253</v>
          </cell>
          <cell r="C92" t="str">
            <v>096000</v>
          </cell>
          <cell r="D92">
            <v>1</v>
          </cell>
          <cell r="F92" t="str">
            <v>עובדים חיצוניים</v>
          </cell>
          <cell r="G92" t="str">
            <v>שכר</v>
          </cell>
          <cell r="I92">
            <v>0</v>
          </cell>
          <cell r="J92">
            <v>0</v>
          </cell>
          <cell r="K92">
            <v>40525.07</v>
          </cell>
          <cell r="L92">
            <v>0</v>
          </cell>
          <cell r="M92">
            <v>0</v>
          </cell>
        </row>
        <row r="93">
          <cell r="A93">
            <v>1096000420</v>
          </cell>
          <cell r="B93">
            <v>420</v>
          </cell>
          <cell r="C93" t="str">
            <v>096000</v>
          </cell>
          <cell r="D93">
            <v>1</v>
          </cell>
          <cell r="F93" t="str">
            <v xml:space="preserve">כיבוי אש          </v>
          </cell>
          <cell r="G93" t="str">
            <v>קשיח</v>
          </cell>
          <cell r="H93">
            <v>0</v>
          </cell>
          <cell r="I93">
            <v>5100</v>
          </cell>
          <cell r="J93">
            <v>5100</v>
          </cell>
          <cell r="K93">
            <v>436.12</v>
          </cell>
          <cell r="L93">
            <v>4800</v>
          </cell>
          <cell r="M93">
            <v>3999.04</v>
          </cell>
        </row>
        <row r="94">
          <cell r="A94">
            <v>1096000433</v>
          </cell>
          <cell r="B94">
            <v>433</v>
          </cell>
          <cell r="C94" t="str">
            <v>096000</v>
          </cell>
          <cell r="D94">
            <v>1</v>
          </cell>
          <cell r="F94" t="str">
            <v xml:space="preserve">חומרי נקיון       </v>
          </cell>
          <cell r="G94" t="str">
            <v>גמיש</v>
          </cell>
          <cell r="H94">
            <v>0</v>
          </cell>
          <cell r="I94">
            <v>5100</v>
          </cell>
          <cell r="J94">
            <v>5100</v>
          </cell>
          <cell r="K94">
            <v>262</v>
          </cell>
          <cell r="L94">
            <v>5200</v>
          </cell>
          <cell r="M94">
            <v>5153.3900000000003</v>
          </cell>
        </row>
        <row r="95">
          <cell r="A95">
            <v>1096000441</v>
          </cell>
          <cell r="B95">
            <v>441</v>
          </cell>
          <cell r="C95" t="str">
            <v>096000</v>
          </cell>
          <cell r="D95">
            <v>1</v>
          </cell>
          <cell r="F95" t="str">
            <v xml:space="preserve">ביטוח רכב         </v>
          </cell>
          <cell r="G95" t="str">
            <v>קשיח</v>
          </cell>
          <cell r="H95">
            <v>2.6472177201512626E-2</v>
          </cell>
          <cell r="I95">
            <v>950000</v>
          </cell>
          <cell r="J95">
            <v>925500</v>
          </cell>
          <cell r="K95">
            <v>177765</v>
          </cell>
          <cell r="L95">
            <v>720000</v>
          </cell>
          <cell r="M95">
            <v>829643</v>
          </cell>
        </row>
        <row r="96">
          <cell r="A96">
            <v>1096000470</v>
          </cell>
          <cell r="B96">
            <v>470</v>
          </cell>
          <cell r="C96" t="str">
            <v>096000</v>
          </cell>
          <cell r="D96">
            <v>1</v>
          </cell>
          <cell r="F96" t="str">
            <v xml:space="preserve">אחזקת מכונות משרד </v>
          </cell>
          <cell r="G96" t="str">
            <v>גמיש</v>
          </cell>
          <cell r="H96">
            <v>-0.375</v>
          </cell>
          <cell r="I96">
            <v>500</v>
          </cell>
          <cell r="J96">
            <v>800</v>
          </cell>
          <cell r="K96">
            <v>0</v>
          </cell>
          <cell r="L96">
            <v>1000</v>
          </cell>
          <cell r="M96">
            <v>970</v>
          </cell>
        </row>
        <row r="97">
          <cell r="A97">
            <v>1096000471</v>
          </cell>
          <cell r="B97">
            <v>471</v>
          </cell>
          <cell r="C97" t="str">
            <v>096000</v>
          </cell>
          <cell r="D97">
            <v>1</v>
          </cell>
          <cell r="F97" t="str">
            <v xml:space="preserve">מכשירי כתיבה      </v>
          </cell>
          <cell r="G97" t="str">
            <v>גמיש</v>
          </cell>
          <cell r="H97">
            <v>0</v>
          </cell>
          <cell r="I97">
            <v>5100</v>
          </cell>
          <cell r="J97">
            <v>5100</v>
          </cell>
          <cell r="K97">
            <v>1880.25</v>
          </cell>
          <cell r="L97">
            <v>4500</v>
          </cell>
          <cell r="M97">
            <v>4370.32</v>
          </cell>
        </row>
        <row r="98">
          <cell r="A98">
            <v>1096000492</v>
          </cell>
          <cell r="B98">
            <v>492</v>
          </cell>
          <cell r="C98" t="str">
            <v>096000</v>
          </cell>
          <cell r="D98">
            <v>1</v>
          </cell>
          <cell r="F98" t="str">
            <v xml:space="preserve">השתתפות בעזר 092  </v>
          </cell>
          <cell r="G98" t="str">
            <v>קשיח</v>
          </cell>
          <cell r="H98">
            <v>0.13714285714285723</v>
          </cell>
          <cell r="I98">
            <v>99500</v>
          </cell>
          <cell r="J98">
            <v>87500</v>
          </cell>
          <cell r="K98">
            <v>34574</v>
          </cell>
          <cell r="L98">
            <v>70500</v>
          </cell>
          <cell r="M98">
            <v>77195</v>
          </cell>
        </row>
        <row r="99">
          <cell r="A99">
            <v>1096000511</v>
          </cell>
          <cell r="B99">
            <v>511</v>
          </cell>
          <cell r="C99" t="str">
            <v>096000</v>
          </cell>
          <cell r="D99">
            <v>1</v>
          </cell>
          <cell r="F99" t="str">
            <v xml:space="preserve">אירוח וכיבוד      </v>
          </cell>
          <cell r="G99" t="str">
            <v>גמיש</v>
          </cell>
          <cell r="H99">
            <v>-0.13793103448275867</v>
          </cell>
          <cell r="I99">
            <v>2500</v>
          </cell>
          <cell r="J99">
            <v>2900</v>
          </cell>
          <cell r="K99">
            <v>536.17999999999995</v>
          </cell>
          <cell r="L99">
            <v>2900</v>
          </cell>
          <cell r="M99">
            <v>2712.75</v>
          </cell>
        </row>
        <row r="100">
          <cell r="A100">
            <v>1096000512</v>
          </cell>
          <cell r="B100">
            <v>512</v>
          </cell>
          <cell r="C100" t="str">
            <v>096000</v>
          </cell>
          <cell r="D100">
            <v>1</v>
          </cell>
          <cell r="F100" t="str">
            <v xml:space="preserve">נסיעות ואש"ל      </v>
          </cell>
          <cell r="G100" t="str">
            <v>גמיש</v>
          </cell>
          <cell r="H100">
            <v>-1</v>
          </cell>
          <cell r="I100">
            <v>0</v>
          </cell>
          <cell r="J100">
            <v>200</v>
          </cell>
          <cell r="K100">
            <v>0</v>
          </cell>
          <cell r="L100">
            <v>100</v>
          </cell>
          <cell r="M100">
            <v>0</v>
          </cell>
        </row>
        <row r="101">
          <cell r="A101">
            <v>1096000521</v>
          </cell>
          <cell r="B101">
            <v>521</v>
          </cell>
          <cell r="C101" t="str">
            <v>096000</v>
          </cell>
          <cell r="D101">
            <v>1</v>
          </cell>
          <cell r="F101" t="str">
            <v>הדרכות</v>
          </cell>
          <cell r="G101" t="str">
            <v>גמיש</v>
          </cell>
          <cell r="H101" t="e">
            <v>#DIV/0!</v>
          </cell>
          <cell r="I101">
            <v>16000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A102">
            <v>1096000522</v>
          </cell>
          <cell r="B102">
            <v>522</v>
          </cell>
          <cell r="C102" t="str">
            <v>096000</v>
          </cell>
          <cell r="D102">
            <v>1</v>
          </cell>
          <cell r="F102" t="str">
            <v xml:space="preserve">ספרים ועיתונים    </v>
          </cell>
          <cell r="G102" t="str">
            <v>גמיש</v>
          </cell>
          <cell r="H102">
            <v>-1</v>
          </cell>
          <cell r="I102">
            <v>0</v>
          </cell>
          <cell r="J102">
            <v>800</v>
          </cell>
          <cell r="K102">
            <v>0</v>
          </cell>
          <cell r="L102">
            <v>800</v>
          </cell>
          <cell r="M102">
            <v>0</v>
          </cell>
        </row>
        <row r="103">
          <cell r="A103">
            <v>1096000550</v>
          </cell>
          <cell r="B103">
            <v>550</v>
          </cell>
          <cell r="C103" t="str">
            <v>096000</v>
          </cell>
          <cell r="D103">
            <v>1</v>
          </cell>
          <cell r="F103" t="str">
            <v xml:space="preserve">פירסומים          </v>
          </cell>
          <cell r="G103" t="str">
            <v>גמיש</v>
          </cell>
          <cell r="H103">
            <v>0.33333333333333326</v>
          </cell>
          <cell r="I103">
            <v>4000</v>
          </cell>
          <cell r="J103">
            <v>3000</v>
          </cell>
          <cell r="K103">
            <v>0</v>
          </cell>
          <cell r="L103">
            <v>9000</v>
          </cell>
          <cell r="M103">
            <v>4010</v>
          </cell>
        </row>
        <row r="104">
          <cell r="A104">
            <v>1096000571</v>
          </cell>
          <cell r="B104">
            <v>571</v>
          </cell>
          <cell r="C104" t="str">
            <v>096000</v>
          </cell>
          <cell r="D104">
            <v>1</v>
          </cell>
          <cell r="F104" t="str">
            <v xml:space="preserve">מיכון וענ"א       </v>
          </cell>
          <cell r="G104" t="str">
            <v>קשיח</v>
          </cell>
          <cell r="H104">
            <v>0</v>
          </cell>
          <cell r="I104">
            <v>56100</v>
          </cell>
          <cell r="J104">
            <v>56100</v>
          </cell>
          <cell r="K104">
            <v>28050</v>
          </cell>
          <cell r="L104">
            <v>56100</v>
          </cell>
          <cell r="M104">
            <v>56100</v>
          </cell>
        </row>
        <row r="105">
          <cell r="A105">
            <v>1096000580</v>
          </cell>
          <cell r="B105">
            <v>580</v>
          </cell>
          <cell r="C105" t="str">
            <v>096000</v>
          </cell>
          <cell r="D105">
            <v>1</v>
          </cell>
          <cell r="F105" t="str">
            <v xml:space="preserve">שמאות             </v>
          </cell>
          <cell r="G105" t="str">
            <v>גמיש</v>
          </cell>
          <cell r="H105">
            <v>0.25</v>
          </cell>
          <cell r="I105">
            <v>3000</v>
          </cell>
          <cell r="J105">
            <v>2400</v>
          </cell>
          <cell r="K105">
            <v>0</v>
          </cell>
          <cell r="L105">
            <v>2400</v>
          </cell>
          <cell r="M105">
            <v>1860</v>
          </cell>
        </row>
        <row r="106">
          <cell r="A106">
            <v>1096000715</v>
          </cell>
          <cell r="B106">
            <v>715</v>
          </cell>
          <cell r="C106" t="str">
            <v>096000</v>
          </cell>
          <cell r="D106">
            <v>1</v>
          </cell>
          <cell r="F106" t="str">
            <v>עבודות קבלניות-רכב</v>
          </cell>
          <cell r="G106" t="str">
            <v>גמיש</v>
          </cell>
          <cell r="H106">
            <v>-1</v>
          </cell>
          <cell r="I106">
            <v>0</v>
          </cell>
          <cell r="J106">
            <v>3800</v>
          </cell>
          <cell r="K106">
            <v>0</v>
          </cell>
          <cell r="L106">
            <v>3800</v>
          </cell>
          <cell r="M106">
            <v>0</v>
          </cell>
        </row>
        <row r="107">
          <cell r="A107">
            <v>1096000721</v>
          </cell>
          <cell r="B107">
            <v>721</v>
          </cell>
          <cell r="C107" t="str">
            <v>096000</v>
          </cell>
          <cell r="D107">
            <v>1</v>
          </cell>
          <cell r="F107" t="str">
            <v>חמרים-תחזוקת מבנים</v>
          </cell>
          <cell r="G107" t="str">
            <v>גמיש</v>
          </cell>
          <cell r="I107">
            <v>0</v>
          </cell>
          <cell r="J107">
            <v>0</v>
          </cell>
          <cell r="K107">
            <v>0</v>
          </cell>
          <cell r="L107">
            <v>800</v>
          </cell>
          <cell r="M107">
            <v>0</v>
          </cell>
        </row>
        <row r="108">
          <cell r="A108">
            <v>1096000731</v>
          </cell>
          <cell r="B108">
            <v>731</v>
          </cell>
          <cell r="C108" t="str">
            <v>096000</v>
          </cell>
          <cell r="D108">
            <v>1</v>
          </cell>
          <cell r="F108" t="str">
            <v xml:space="preserve">בנזין             </v>
          </cell>
          <cell r="G108" t="str">
            <v>קשיח</v>
          </cell>
          <cell r="H108">
            <v>0.13793103448275867</v>
          </cell>
          <cell r="I108">
            <v>330000</v>
          </cell>
          <cell r="J108">
            <v>290000</v>
          </cell>
          <cell r="K108">
            <v>179586.12</v>
          </cell>
          <cell r="L108">
            <v>270000</v>
          </cell>
          <cell r="M108">
            <v>284249.59000000003</v>
          </cell>
        </row>
        <row r="109">
          <cell r="A109">
            <v>1096000733</v>
          </cell>
          <cell r="B109">
            <v>733</v>
          </cell>
          <cell r="C109" t="str">
            <v>096000</v>
          </cell>
          <cell r="D109">
            <v>1</v>
          </cell>
          <cell r="F109" t="str">
            <v>נוהל 6</v>
          </cell>
          <cell r="G109" t="str">
            <v>קשיח</v>
          </cell>
          <cell r="H109">
            <v>0</v>
          </cell>
          <cell r="I109">
            <v>2400</v>
          </cell>
          <cell r="J109">
            <v>2400</v>
          </cell>
          <cell r="K109">
            <v>0</v>
          </cell>
          <cell r="L109">
            <v>2400</v>
          </cell>
          <cell r="M109">
            <v>2194</v>
          </cell>
        </row>
        <row r="110">
          <cell r="A110">
            <v>1096000734</v>
          </cell>
          <cell r="B110">
            <v>734</v>
          </cell>
          <cell r="C110" t="str">
            <v>096000</v>
          </cell>
          <cell r="D110">
            <v>1</v>
          </cell>
          <cell r="F110" t="str">
            <v xml:space="preserve">סולר              </v>
          </cell>
          <cell r="G110" t="str">
            <v>קשיח</v>
          </cell>
          <cell r="H110">
            <v>3.314679294016365E-2</v>
          </cell>
          <cell r="I110">
            <v>1200000</v>
          </cell>
          <cell r="J110">
            <v>1161500</v>
          </cell>
          <cell r="K110">
            <v>607846.26</v>
          </cell>
          <cell r="L110">
            <v>1150000</v>
          </cell>
          <cell r="M110">
            <v>1006483.85</v>
          </cell>
        </row>
        <row r="111">
          <cell r="A111">
            <v>1096000736</v>
          </cell>
          <cell r="B111">
            <v>736</v>
          </cell>
          <cell r="C111" t="str">
            <v>096000</v>
          </cell>
          <cell r="D111">
            <v>1</v>
          </cell>
          <cell r="F111" t="str">
            <v xml:space="preserve">שמנים ומשחות      </v>
          </cell>
          <cell r="G111" t="str">
            <v>גמיש</v>
          </cell>
          <cell r="H111">
            <v>0</v>
          </cell>
          <cell r="I111">
            <v>15200</v>
          </cell>
          <cell r="J111">
            <v>15200</v>
          </cell>
          <cell r="K111">
            <v>9590.31</v>
          </cell>
          <cell r="L111">
            <v>18000</v>
          </cell>
          <cell r="M111">
            <v>4653.5600000000004</v>
          </cell>
        </row>
        <row r="112">
          <cell r="A112">
            <v>1096000737</v>
          </cell>
          <cell r="B112">
            <v>737</v>
          </cell>
          <cell r="C112" t="str">
            <v>096000</v>
          </cell>
          <cell r="D112">
            <v>1</v>
          </cell>
          <cell r="F112" t="str">
            <v xml:space="preserve">אגרת רשוי רכב     </v>
          </cell>
          <cell r="G112" t="str">
            <v>קשיח</v>
          </cell>
          <cell r="H112">
            <v>0.24633431085043989</v>
          </cell>
          <cell r="I112">
            <v>170000</v>
          </cell>
          <cell r="J112">
            <v>136400</v>
          </cell>
          <cell r="K112">
            <v>74453</v>
          </cell>
          <cell r="L112">
            <v>135000</v>
          </cell>
          <cell r="M112">
            <v>142173</v>
          </cell>
        </row>
        <row r="113">
          <cell r="A113">
            <v>1096000742</v>
          </cell>
          <cell r="B113">
            <v>742</v>
          </cell>
          <cell r="C113" t="str">
            <v>096000</v>
          </cell>
          <cell r="D113">
            <v>1</v>
          </cell>
          <cell r="F113" t="str">
            <v xml:space="preserve">כלים וציוד        </v>
          </cell>
          <cell r="G113" t="str">
            <v>גמיש</v>
          </cell>
          <cell r="H113">
            <v>9.375E-2</v>
          </cell>
          <cell r="I113">
            <v>7000</v>
          </cell>
          <cell r="J113">
            <v>6400</v>
          </cell>
          <cell r="K113">
            <v>5704.39</v>
          </cell>
          <cell r="L113">
            <v>6300</v>
          </cell>
          <cell r="M113">
            <v>6291.69</v>
          </cell>
        </row>
        <row r="114">
          <cell r="A114">
            <v>1096000746</v>
          </cell>
          <cell r="B114">
            <v>746</v>
          </cell>
          <cell r="C114" t="str">
            <v>096000</v>
          </cell>
          <cell r="D114">
            <v>1</v>
          </cell>
          <cell r="F114" t="str">
            <v xml:space="preserve">השתתפות עצמית     </v>
          </cell>
          <cell r="G114" t="str">
            <v>קשיח</v>
          </cell>
          <cell r="H114">
            <v>0</v>
          </cell>
          <cell r="I114">
            <v>130000</v>
          </cell>
          <cell r="J114">
            <v>130000</v>
          </cell>
          <cell r="K114">
            <v>29603</v>
          </cell>
          <cell r="L114">
            <v>150000</v>
          </cell>
          <cell r="M114">
            <v>157021</v>
          </cell>
        </row>
        <row r="115">
          <cell r="A115">
            <v>1096000750</v>
          </cell>
          <cell r="B115">
            <v>750</v>
          </cell>
          <cell r="C115" t="str">
            <v>096000</v>
          </cell>
          <cell r="D115">
            <v>1</v>
          </cell>
          <cell r="F115" t="str">
            <v>שטיפת רכבים</v>
          </cell>
          <cell r="G115" t="str">
            <v>גמיש</v>
          </cell>
          <cell r="H115">
            <v>-0.26666666666666672</v>
          </cell>
          <cell r="I115">
            <v>22000</v>
          </cell>
          <cell r="J115">
            <v>30000</v>
          </cell>
          <cell r="K115">
            <v>8845.94</v>
          </cell>
          <cell r="L115">
            <v>36000</v>
          </cell>
          <cell r="M115">
            <v>16904.810000000001</v>
          </cell>
        </row>
        <row r="116">
          <cell r="A116">
            <v>1096000751</v>
          </cell>
          <cell r="B116">
            <v>751</v>
          </cell>
          <cell r="C116" t="str">
            <v>096000</v>
          </cell>
          <cell r="D116">
            <v>1</v>
          </cell>
          <cell r="F116" t="str">
            <v xml:space="preserve">עבודות קבלניות    </v>
          </cell>
          <cell r="G116" t="str">
            <v>גמיש</v>
          </cell>
          <cell r="H116">
            <v>0</v>
          </cell>
          <cell r="I116">
            <v>10000</v>
          </cell>
          <cell r="J116">
            <v>10000</v>
          </cell>
          <cell r="K116">
            <v>3918</v>
          </cell>
          <cell r="L116">
            <v>14000</v>
          </cell>
          <cell r="M116">
            <v>3955</v>
          </cell>
        </row>
        <row r="117">
          <cell r="A117">
            <v>1096000752</v>
          </cell>
          <cell r="B117">
            <v>752</v>
          </cell>
          <cell r="C117" t="str">
            <v>096000</v>
          </cell>
          <cell r="D117">
            <v>1</v>
          </cell>
          <cell r="F117" t="str">
            <v xml:space="preserve">נקיון בקבלנות     </v>
          </cell>
          <cell r="G117" t="str">
            <v>קשיח</v>
          </cell>
          <cell r="H117">
            <v>-4.7619047619047672E-2</v>
          </cell>
          <cell r="I117">
            <v>40000</v>
          </cell>
          <cell r="J117">
            <v>42000</v>
          </cell>
          <cell r="K117">
            <v>12584.42</v>
          </cell>
          <cell r="L117">
            <v>33000</v>
          </cell>
          <cell r="M117">
            <v>31081.97</v>
          </cell>
        </row>
        <row r="118">
          <cell r="A118">
            <v>1096000755</v>
          </cell>
          <cell r="B118">
            <v>755</v>
          </cell>
          <cell r="C118" t="str">
            <v>096000</v>
          </cell>
          <cell r="D118">
            <v>1</v>
          </cell>
          <cell r="F118" t="str">
            <v>אחזקת איתורן</v>
          </cell>
          <cell r="G118" t="str">
            <v>קשיח</v>
          </cell>
          <cell r="H118">
            <v>7.1428571428571397E-2</v>
          </cell>
          <cell r="I118">
            <v>75000</v>
          </cell>
          <cell r="J118">
            <v>70000</v>
          </cell>
          <cell r="K118">
            <v>53708</v>
          </cell>
          <cell r="L118">
            <v>80000</v>
          </cell>
          <cell r="M118">
            <v>49487</v>
          </cell>
        </row>
        <row r="119">
          <cell r="A119">
            <v>1096000756</v>
          </cell>
          <cell r="B119">
            <v>756</v>
          </cell>
          <cell r="C119" t="str">
            <v>096000</v>
          </cell>
          <cell r="D119">
            <v>1</v>
          </cell>
          <cell r="F119" t="str">
            <v xml:space="preserve">שמירה בקבלנות     </v>
          </cell>
          <cell r="G119" t="str">
            <v>קשיח</v>
          </cell>
          <cell r="H119">
            <v>0</v>
          </cell>
          <cell r="I119">
            <v>360000</v>
          </cell>
          <cell r="J119">
            <v>360000</v>
          </cell>
          <cell r="K119">
            <v>149206.10999999999</v>
          </cell>
          <cell r="L119">
            <v>330000</v>
          </cell>
          <cell r="M119">
            <v>330000</v>
          </cell>
        </row>
        <row r="120">
          <cell r="A120">
            <v>1096000757</v>
          </cell>
          <cell r="B120">
            <v>757</v>
          </cell>
          <cell r="C120" t="str">
            <v>096000</v>
          </cell>
          <cell r="D120">
            <v>1</v>
          </cell>
          <cell r="F120" t="str">
            <v xml:space="preserve">טיפול ברכב        </v>
          </cell>
          <cell r="G120" t="str">
            <v>גמיש</v>
          </cell>
          <cell r="H120">
            <v>0.16666666666666674</v>
          </cell>
          <cell r="I120">
            <v>2100000</v>
          </cell>
          <cell r="J120">
            <v>1800000</v>
          </cell>
          <cell r="K120">
            <v>984053.88</v>
          </cell>
          <cell r="L120">
            <v>1800000</v>
          </cell>
          <cell r="M120">
            <v>1627914.75</v>
          </cell>
        </row>
        <row r="121">
          <cell r="A121">
            <v>1096000758</v>
          </cell>
          <cell r="B121">
            <v>758</v>
          </cell>
          <cell r="C121" t="str">
            <v>096000</v>
          </cell>
          <cell r="D121">
            <v>1</v>
          </cell>
          <cell r="F121" t="str">
            <v xml:space="preserve">שיפוצים           </v>
          </cell>
          <cell r="G121" t="str">
            <v>גמיש</v>
          </cell>
          <cell r="H121">
            <v>-1</v>
          </cell>
          <cell r="I121">
            <v>0</v>
          </cell>
          <cell r="J121">
            <v>200000</v>
          </cell>
          <cell r="K121">
            <v>36993</v>
          </cell>
          <cell r="L121">
            <v>250000</v>
          </cell>
          <cell r="M121">
            <v>151716</v>
          </cell>
        </row>
        <row r="122">
          <cell r="A122">
            <v>1096000759</v>
          </cell>
          <cell r="B122">
            <v>759</v>
          </cell>
          <cell r="C122" t="str">
            <v>096000</v>
          </cell>
          <cell r="D122">
            <v>1</v>
          </cell>
          <cell r="F122" t="str">
            <v xml:space="preserve">פחחות וצבע        </v>
          </cell>
          <cell r="G122" t="str">
            <v>גמיש</v>
          </cell>
          <cell r="H122">
            <v>-1</v>
          </cell>
          <cell r="I122">
            <v>0</v>
          </cell>
          <cell r="J122">
            <v>30000</v>
          </cell>
          <cell r="K122">
            <v>4411</v>
          </cell>
          <cell r="L122">
            <v>38000</v>
          </cell>
          <cell r="M122">
            <v>35889</v>
          </cell>
        </row>
        <row r="123">
          <cell r="A123">
            <v>1096000780</v>
          </cell>
          <cell r="B123">
            <v>780</v>
          </cell>
          <cell r="C123" t="str">
            <v>096000</v>
          </cell>
          <cell r="D123">
            <v>1</v>
          </cell>
          <cell r="F123" t="str">
            <v>יועצים</v>
          </cell>
          <cell r="G123" t="str">
            <v>גמיש</v>
          </cell>
          <cell r="H123">
            <v>0</v>
          </cell>
          <cell r="I123">
            <v>339400</v>
          </cell>
          <cell r="J123">
            <v>339400</v>
          </cell>
          <cell r="K123">
            <v>169212</v>
          </cell>
          <cell r="L123">
            <v>336000</v>
          </cell>
          <cell r="M123">
            <v>335556</v>
          </cell>
        </row>
        <row r="124">
          <cell r="A124">
            <v>1096000794</v>
          </cell>
          <cell r="B124">
            <v>794</v>
          </cell>
          <cell r="C124" t="str">
            <v>096000</v>
          </cell>
          <cell r="D124">
            <v>1</v>
          </cell>
          <cell r="F124" t="str">
            <v xml:space="preserve">השתתפות בעזר 094  </v>
          </cell>
          <cell r="G124" t="str">
            <v>קשיח</v>
          </cell>
          <cell r="H124">
            <v>0</v>
          </cell>
          <cell r="I124">
            <v>30500</v>
          </cell>
          <cell r="J124">
            <v>30500</v>
          </cell>
          <cell r="K124">
            <v>14409</v>
          </cell>
          <cell r="L124">
            <v>30500</v>
          </cell>
          <cell r="M124">
            <v>36378</v>
          </cell>
        </row>
        <row r="125">
          <cell r="A125" t="e">
            <v>#VALUE!</v>
          </cell>
          <cell r="B125" t="str">
            <v>096000  סך הכל</v>
          </cell>
          <cell r="F125" t="str">
            <v xml:space="preserve">מוסך  ורכב        </v>
          </cell>
          <cell r="H125">
            <v>2.4102524029069317E-2</v>
          </cell>
          <cell r="I125">
            <v>6552720</v>
          </cell>
          <cell r="J125">
            <v>6398500</v>
          </cell>
          <cell r="K125">
            <v>3007414.58</v>
          </cell>
          <cell r="L125">
            <v>6193200</v>
          </cell>
          <cell r="M125">
            <v>5825620.870000001</v>
          </cell>
        </row>
        <row r="126">
          <cell r="A126">
            <v>10961000</v>
          </cell>
          <cell r="B126">
            <v>0</v>
          </cell>
          <cell r="C126" t="str">
            <v>096100</v>
          </cell>
          <cell r="D126">
            <v>1</v>
          </cell>
          <cell r="F126" t="str">
            <v xml:space="preserve">העמסת מוסך  ורכב        </v>
          </cell>
          <cell r="G126" t="str">
            <v xml:space="preserve"> </v>
          </cell>
          <cell r="L126">
            <v>0</v>
          </cell>
        </row>
        <row r="127">
          <cell r="A127">
            <v>1096100596</v>
          </cell>
          <cell r="B127">
            <v>596</v>
          </cell>
          <cell r="C127" t="str">
            <v>096100</v>
          </cell>
          <cell r="D127">
            <v>1</v>
          </cell>
          <cell r="F127" t="str">
            <v xml:space="preserve">השתתפות בעזר 096  </v>
          </cell>
          <cell r="G127" t="str">
            <v>קשיח</v>
          </cell>
          <cell r="H127">
            <v>2.4102524029069317E-2</v>
          </cell>
          <cell r="I127">
            <v>-6552720</v>
          </cell>
          <cell r="J127">
            <v>-6398500</v>
          </cell>
          <cell r="K127">
            <v>-2599695.31</v>
          </cell>
          <cell r="L127">
            <v>-6193200</v>
          </cell>
          <cell r="M127">
            <v>-5825620.8700000001</v>
          </cell>
        </row>
        <row r="128">
          <cell r="A128" t="e">
            <v>#VALUE!</v>
          </cell>
          <cell r="B128" t="str">
            <v>096100  סך הכל</v>
          </cell>
          <cell r="F128" t="str">
            <v xml:space="preserve">העמסת מוסך  ורכב        </v>
          </cell>
          <cell r="H128">
            <v>2.4102524029069317E-2</v>
          </cell>
          <cell r="I128">
            <v>-6552720</v>
          </cell>
          <cell r="J128">
            <v>-6398500</v>
          </cell>
          <cell r="K128">
            <v>-2599695.31</v>
          </cell>
          <cell r="L128">
            <v>-6193200</v>
          </cell>
          <cell r="M128">
            <v>-5825620.8700000001</v>
          </cell>
        </row>
        <row r="129">
          <cell r="A129" t="e">
            <v>#REF!</v>
          </cell>
          <cell r="B129" t="str">
            <v>סה"כ  תקציבי עזר</v>
          </cell>
          <cell r="I129">
            <v>0.25</v>
          </cell>
          <cell r="J129">
            <v>0</v>
          </cell>
          <cell r="K129">
            <v>1529255.8199999989</v>
          </cell>
          <cell r="L129">
            <v>0</v>
          </cell>
          <cell r="M129">
            <v>0</v>
          </cell>
        </row>
        <row r="131">
          <cell r="A131" t="e">
            <v>#VALUE!</v>
          </cell>
          <cell r="F131" t="str">
            <v>תקבולים</v>
          </cell>
        </row>
        <row r="132">
          <cell r="B132">
            <v>0</v>
          </cell>
          <cell r="C132">
            <v>1000000</v>
          </cell>
          <cell r="D132">
            <v>1</v>
          </cell>
          <cell r="F132" t="str">
            <v>מיסים ומענק כללי</v>
          </cell>
        </row>
        <row r="133">
          <cell r="A133">
            <v>11100000</v>
          </cell>
          <cell r="B133">
            <v>0</v>
          </cell>
          <cell r="C133">
            <v>110000</v>
          </cell>
          <cell r="D133">
            <v>1</v>
          </cell>
          <cell r="F133" t="str">
            <v xml:space="preserve">ארנונות           </v>
          </cell>
          <cell r="G133" t="str">
            <v xml:space="preserve"> </v>
          </cell>
        </row>
        <row r="134">
          <cell r="A134">
            <v>1110000110</v>
          </cell>
          <cell r="B134">
            <v>110</v>
          </cell>
          <cell r="C134">
            <v>110000</v>
          </cell>
          <cell r="D134">
            <v>1</v>
          </cell>
          <cell r="F134" t="str">
            <v xml:space="preserve">ארנונה כללית      </v>
          </cell>
          <cell r="G134" t="str">
            <v>גמיש</v>
          </cell>
          <cell r="H134">
            <v>5.8428515675816417E-2</v>
          </cell>
          <cell r="I134">
            <v>-813614000</v>
          </cell>
          <cell r="J134">
            <v>-768700000</v>
          </cell>
          <cell r="K134">
            <v>-466863208.07999998</v>
          </cell>
          <cell r="L134">
            <v>-735000000</v>
          </cell>
          <cell r="M134">
            <v>-760029164.20000005</v>
          </cell>
        </row>
        <row r="135">
          <cell r="A135">
            <v>1110000111</v>
          </cell>
          <cell r="B135">
            <v>111</v>
          </cell>
          <cell r="C135">
            <v>110000</v>
          </cell>
          <cell r="D135">
            <v>1</v>
          </cell>
          <cell r="F135" t="str">
            <v xml:space="preserve">ארנונה - מ.ג.ע.ר    </v>
          </cell>
          <cell r="G135" t="str">
            <v>גמיש</v>
          </cell>
          <cell r="I135">
            <v>0</v>
          </cell>
          <cell r="J135">
            <v>0</v>
          </cell>
          <cell r="K135">
            <v>-213.09</v>
          </cell>
          <cell r="L135">
            <v>0</v>
          </cell>
          <cell r="M135">
            <v>-1812.38</v>
          </cell>
        </row>
        <row r="136">
          <cell r="A136">
            <v>1110000112</v>
          </cell>
          <cell r="B136">
            <v>112</v>
          </cell>
          <cell r="C136">
            <v>110000</v>
          </cell>
          <cell r="D136">
            <v>1</v>
          </cell>
          <cell r="F136" t="str">
            <v xml:space="preserve">אגרות משפט        </v>
          </cell>
          <cell r="G136" t="str">
            <v>גמיש</v>
          </cell>
          <cell r="I136">
            <v>-180000</v>
          </cell>
          <cell r="J136" t="str">
            <v>200,000-</v>
          </cell>
          <cell r="K136">
            <v>-126609.61</v>
          </cell>
          <cell r="L136">
            <v>-200000</v>
          </cell>
          <cell r="M136">
            <v>-156740.15</v>
          </cell>
        </row>
        <row r="137">
          <cell r="A137">
            <v>1110000113</v>
          </cell>
          <cell r="B137">
            <v>113</v>
          </cell>
          <cell r="C137">
            <v>110000</v>
          </cell>
          <cell r="D137">
            <v>1</v>
          </cell>
          <cell r="F137" t="str">
            <v>החזר הוצאות משפט</v>
          </cell>
          <cell r="G137" t="str">
            <v>גמיש</v>
          </cell>
          <cell r="H137">
            <v>0</v>
          </cell>
          <cell r="I137">
            <v>-700000</v>
          </cell>
          <cell r="J137">
            <v>-700000</v>
          </cell>
          <cell r="K137">
            <v>-327413.09999999998</v>
          </cell>
          <cell r="L137">
            <v>-550000</v>
          </cell>
          <cell r="M137">
            <v>-1097325.96</v>
          </cell>
        </row>
        <row r="138">
          <cell r="A138">
            <v>1110000176</v>
          </cell>
          <cell r="B138">
            <v>176</v>
          </cell>
          <cell r="C138">
            <v>110000</v>
          </cell>
          <cell r="D138">
            <v>1</v>
          </cell>
          <cell r="F138" t="str">
            <v>גביות שונות לחלוקה</v>
          </cell>
          <cell r="G138" t="str">
            <v>גמיש</v>
          </cell>
          <cell r="I138">
            <v>0</v>
          </cell>
          <cell r="J138">
            <v>0</v>
          </cell>
          <cell r="K138">
            <v>7394246.1200000001</v>
          </cell>
          <cell r="L138">
            <v>0</v>
          </cell>
          <cell r="M138">
            <v>16287.62</v>
          </cell>
        </row>
        <row r="139">
          <cell r="A139">
            <v>1110000177</v>
          </cell>
          <cell r="B139">
            <v>177</v>
          </cell>
          <cell r="C139">
            <v>110000</v>
          </cell>
          <cell r="D139">
            <v>1</v>
          </cell>
          <cell r="F139" t="str">
            <v xml:space="preserve">גביות - קו פתוח   </v>
          </cell>
          <cell r="G139" t="str">
            <v>גמיש</v>
          </cell>
          <cell r="I139">
            <v>0</v>
          </cell>
          <cell r="J139">
            <v>0</v>
          </cell>
          <cell r="K139">
            <v>3240841.73</v>
          </cell>
          <cell r="L139">
            <v>0</v>
          </cell>
          <cell r="M139">
            <v>51870.44</v>
          </cell>
        </row>
        <row r="140">
          <cell r="A140">
            <v>1110000178</v>
          </cell>
          <cell r="B140">
            <v>178</v>
          </cell>
          <cell r="C140">
            <v>110000</v>
          </cell>
          <cell r="D140">
            <v>1</v>
          </cell>
          <cell r="F140" t="str">
            <v>כרט' אשראי-קו פתוח</v>
          </cell>
          <cell r="G140" t="str">
            <v>גמיש</v>
          </cell>
          <cell r="I140">
            <v>0</v>
          </cell>
          <cell r="J140">
            <v>0</v>
          </cell>
          <cell r="K140">
            <v>27232888.390000001</v>
          </cell>
          <cell r="L140">
            <v>0</v>
          </cell>
          <cell r="M140">
            <v>5642.98</v>
          </cell>
        </row>
        <row r="141">
          <cell r="A141">
            <v>1110000590</v>
          </cell>
          <cell r="B141">
            <v>590</v>
          </cell>
          <cell r="C141">
            <v>110000</v>
          </cell>
          <cell r="D141">
            <v>1</v>
          </cell>
          <cell r="F141" t="str">
            <v>ארנונה מחסני ערכות מגן</v>
          </cell>
          <cell r="G141" t="str">
            <v>גמיש</v>
          </cell>
          <cell r="H141">
            <v>0</v>
          </cell>
          <cell r="I141">
            <v>-100000</v>
          </cell>
          <cell r="J141">
            <v>-100000</v>
          </cell>
          <cell r="K141">
            <v>0</v>
          </cell>
          <cell r="L141">
            <v>-100000</v>
          </cell>
          <cell r="M141">
            <v>-100000</v>
          </cell>
        </row>
        <row r="142">
          <cell r="A142" t="e">
            <v>#VALUE!</v>
          </cell>
          <cell r="B142" t="str">
            <v>110000  סך הכל</v>
          </cell>
          <cell r="F142" t="str">
            <v xml:space="preserve">ארנונות           </v>
          </cell>
          <cell r="H142">
            <v>5.8601689408706914E-2</v>
          </cell>
          <cell r="I142">
            <v>-814594000</v>
          </cell>
          <cell r="J142">
            <v>-769500000</v>
          </cell>
          <cell r="K142">
            <v>-429449467.63999999</v>
          </cell>
          <cell r="L142">
            <v>-735850000</v>
          </cell>
          <cell r="M142">
            <v>-761311241.64999998</v>
          </cell>
        </row>
        <row r="143">
          <cell r="A143">
            <v>11150000</v>
          </cell>
          <cell r="B143">
            <v>0</v>
          </cell>
          <cell r="C143">
            <v>115000</v>
          </cell>
          <cell r="D143">
            <v>1</v>
          </cell>
          <cell r="F143" t="str">
            <v xml:space="preserve">הנחות לזכאים      </v>
          </cell>
          <cell r="G143" t="str">
            <v xml:space="preserve"> </v>
          </cell>
        </row>
        <row r="144">
          <cell r="A144">
            <v>1115000110</v>
          </cell>
          <cell r="B144">
            <v>110</v>
          </cell>
          <cell r="C144">
            <v>115000</v>
          </cell>
          <cell r="D144">
            <v>1</v>
          </cell>
          <cell r="F144" t="str">
            <v xml:space="preserve">הכנסה משחרורים    </v>
          </cell>
          <cell r="G144" t="str">
            <v>גמיש</v>
          </cell>
          <cell r="H144">
            <v>2.6785714285714191E-2</v>
          </cell>
          <cell r="I144">
            <v>-115000000</v>
          </cell>
          <cell r="J144">
            <v>-112000000</v>
          </cell>
          <cell r="K144">
            <v>-66972691.460000001</v>
          </cell>
          <cell r="L144">
            <v>-98000000</v>
          </cell>
          <cell r="M144">
            <v>-105173121.81999999</v>
          </cell>
        </row>
        <row r="145">
          <cell r="A145">
            <v>1115000111</v>
          </cell>
          <cell r="B145">
            <v>111</v>
          </cell>
          <cell r="C145">
            <v>115000</v>
          </cell>
          <cell r="D145">
            <v>1</v>
          </cell>
          <cell r="F145" t="str">
            <v>החזר הנחות מימון</v>
          </cell>
          <cell r="G145" t="str">
            <v>גמיש</v>
          </cell>
          <cell r="H145">
            <v>3.3333333333333437E-2</v>
          </cell>
          <cell r="I145">
            <v>-1550000</v>
          </cell>
          <cell r="J145">
            <v>-1500000</v>
          </cell>
          <cell r="K145">
            <v>-1570608.2</v>
          </cell>
          <cell r="L145">
            <v>-1561500</v>
          </cell>
          <cell r="M145">
            <v>-1554255.89</v>
          </cell>
        </row>
        <row r="146">
          <cell r="A146">
            <v>1115000112</v>
          </cell>
          <cell r="B146">
            <v>112</v>
          </cell>
          <cell r="C146">
            <v>115000</v>
          </cell>
          <cell r="D146">
            <v>1</v>
          </cell>
          <cell r="F146" t="str">
            <v>פטורים מארנונה</v>
          </cell>
          <cell r="G146" t="str">
            <v>גמיש</v>
          </cell>
          <cell r="H146">
            <v>-0.21052631578947367</v>
          </cell>
          <cell r="I146">
            <v>-15000000</v>
          </cell>
          <cell r="J146">
            <v>-19000000</v>
          </cell>
          <cell r="K146">
            <v>-5045809.93</v>
          </cell>
          <cell r="L146">
            <v>-23000000</v>
          </cell>
          <cell r="M146">
            <v>-11223469.640000001</v>
          </cell>
        </row>
        <row r="147">
          <cell r="A147">
            <v>1115000114</v>
          </cell>
          <cell r="B147">
            <v>114</v>
          </cell>
          <cell r="C147">
            <v>115000</v>
          </cell>
          <cell r="D147">
            <v>1</v>
          </cell>
          <cell r="F147" t="str">
            <v>פטורים - מוסדות</v>
          </cell>
          <cell r="G147" t="str">
            <v>גמיש</v>
          </cell>
          <cell r="H147">
            <v>0.11111111111111116</v>
          </cell>
          <cell r="I147">
            <v>-20000000</v>
          </cell>
          <cell r="J147">
            <v>-18000000</v>
          </cell>
          <cell r="K147">
            <v>-15366605.51</v>
          </cell>
          <cell r="L147">
            <v>-22000000</v>
          </cell>
          <cell r="M147">
            <v>-23252459.32</v>
          </cell>
        </row>
        <row r="148">
          <cell r="A148">
            <v>1115000115</v>
          </cell>
          <cell r="B148">
            <v>115</v>
          </cell>
          <cell r="C148">
            <v>115000</v>
          </cell>
          <cell r="D148">
            <v>1</v>
          </cell>
          <cell r="F148" t="str">
            <v>הנחות פטור קורונה</v>
          </cell>
          <cell r="G148" t="str">
            <v>גמיש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989.94</v>
          </cell>
        </row>
        <row r="149">
          <cell r="A149" t="e">
            <v>#VALUE!</v>
          </cell>
          <cell r="B149" t="str">
            <v>115000  סך הכל</v>
          </cell>
          <cell r="F149" t="str">
            <v xml:space="preserve">הנחות לזכאים      </v>
          </cell>
          <cell r="H149">
            <v>6.9767441860464352E-3</v>
          </cell>
          <cell r="I149">
            <v>-151550000</v>
          </cell>
          <cell r="J149">
            <v>-150500000</v>
          </cell>
          <cell r="K149">
            <v>-88955715.100000009</v>
          </cell>
          <cell r="L149">
            <v>-144561500</v>
          </cell>
          <cell r="M149">
            <v>-141202316.72999999</v>
          </cell>
        </row>
        <row r="150">
          <cell r="A150">
            <v>11200000</v>
          </cell>
          <cell r="B150">
            <v>0</v>
          </cell>
          <cell r="C150">
            <v>120000</v>
          </cell>
          <cell r="D150">
            <v>1</v>
          </cell>
          <cell r="F150" t="str">
            <v xml:space="preserve">אגרות             </v>
          </cell>
          <cell r="G150" t="str">
            <v xml:space="preserve"> </v>
          </cell>
        </row>
        <row r="151">
          <cell r="A151">
            <v>1121000290</v>
          </cell>
          <cell r="B151">
            <v>290</v>
          </cell>
          <cell r="C151">
            <v>121000</v>
          </cell>
          <cell r="D151">
            <v>1</v>
          </cell>
          <cell r="F151" t="str">
            <v xml:space="preserve">תעודות ואשורים    </v>
          </cell>
          <cell r="G151" t="str">
            <v>גמיש</v>
          </cell>
          <cell r="H151">
            <v>0</v>
          </cell>
          <cell r="I151">
            <v>-300000</v>
          </cell>
          <cell r="J151">
            <v>-300000</v>
          </cell>
          <cell r="K151">
            <v>-123253.11</v>
          </cell>
          <cell r="L151">
            <v>-300000</v>
          </cell>
          <cell r="M151">
            <v>-185220.21</v>
          </cell>
        </row>
        <row r="152">
          <cell r="A152" t="e">
            <v>#VALUE!</v>
          </cell>
          <cell r="B152" t="str">
            <v>121000  סך הכל</v>
          </cell>
          <cell r="F152" t="str">
            <v xml:space="preserve">תעודות ואישורים   </v>
          </cell>
          <cell r="H152">
            <v>0</v>
          </cell>
          <cell r="I152">
            <v>-300000</v>
          </cell>
          <cell r="J152">
            <v>-300000</v>
          </cell>
          <cell r="K152">
            <v>-123253.11</v>
          </cell>
          <cell r="L152">
            <v>-300000</v>
          </cell>
          <cell r="M152">
            <v>-185220.21</v>
          </cell>
        </row>
        <row r="153">
          <cell r="A153">
            <v>11220000</v>
          </cell>
          <cell r="B153">
            <v>0</v>
          </cell>
          <cell r="C153">
            <v>122000</v>
          </cell>
          <cell r="D153">
            <v>1</v>
          </cell>
          <cell r="F153" t="str">
            <v>אג' רישיונות שלטים</v>
          </cell>
          <cell r="G153" t="str">
            <v xml:space="preserve"> </v>
          </cell>
        </row>
        <row r="154">
          <cell r="A154">
            <v>1122000290</v>
          </cell>
          <cell r="B154">
            <v>290</v>
          </cell>
          <cell r="C154">
            <v>122000</v>
          </cell>
          <cell r="D154">
            <v>1</v>
          </cell>
          <cell r="F154" t="str">
            <v>אגרת רשיונות שלטים</v>
          </cell>
          <cell r="G154" t="str">
            <v>גמיש</v>
          </cell>
          <cell r="H154">
            <v>0.17647058823529416</v>
          </cell>
          <cell r="I154">
            <v>-12000000</v>
          </cell>
          <cell r="J154">
            <v>-10200000</v>
          </cell>
          <cell r="K154">
            <v>-1992174.02</v>
          </cell>
          <cell r="L154">
            <v>-8000000</v>
          </cell>
          <cell r="M154">
            <v>-9205140.2300000004</v>
          </cell>
        </row>
        <row r="155">
          <cell r="A155">
            <v>1122000291</v>
          </cell>
          <cell r="B155">
            <v>291</v>
          </cell>
          <cell r="C155">
            <v>122000</v>
          </cell>
          <cell r="D155">
            <v>1</v>
          </cell>
          <cell r="F155" t="str">
            <v>החזר אג' משפט-שילוט</v>
          </cell>
          <cell r="G155" t="str">
            <v>גמיש</v>
          </cell>
          <cell r="H155">
            <v>4</v>
          </cell>
          <cell r="I155">
            <v>-10000</v>
          </cell>
          <cell r="J155">
            <v>-2000</v>
          </cell>
          <cell r="K155">
            <v>-21319.73</v>
          </cell>
          <cell r="L155">
            <v>-2000</v>
          </cell>
          <cell r="M155">
            <v>-15629.44</v>
          </cell>
        </row>
        <row r="156">
          <cell r="A156">
            <v>1122000292</v>
          </cell>
          <cell r="B156">
            <v>292</v>
          </cell>
          <cell r="C156">
            <v>122000</v>
          </cell>
          <cell r="D156">
            <v>1</v>
          </cell>
          <cell r="F156" t="str">
            <v>אגרת רישיונות שלטים שנים קודמות</v>
          </cell>
          <cell r="G156" t="str">
            <v>גמיש</v>
          </cell>
          <cell r="H156" t="e">
            <v>#DIV/0!</v>
          </cell>
          <cell r="I156">
            <v>-7000000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</row>
        <row r="157">
          <cell r="A157" t="e">
            <v>#VALUE!</v>
          </cell>
          <cell r="B157" t="str">
            <v>122000  סך הכל</v>
          </cell>
          <cell r="F157" t="str">
            <v>אג' רישיונות שלטים</v>
          </cell>
          <cell r="H157">
            <v>0.86336012546559493</v>
          </cell>
          <cell r="I157">
            <v>-19010000</v>
          </cell>
          <cell r="J157">
            <v>-10202000</v>
          </cell>
          <cell r="K157">
            <v>-2013493.75</v>
          </cell>
          <cell r="L157">
            <v>-8002000</v>
          </cell>
          <cell r="M157">
            <v>-9220769.6699999999</v>
          </cell>
        </row>
        <row r="158">
          <cell r="A158">
            <v>11240000</v>
          </cell>
          <cell r="B158">
            <v>0</v>
          </cell>
          <cell r="C158">
            <v>124000</v>
          </cell>
          <cell r="D158">
            <v>1</v>
          </cell>
          <cell r="F158" t="str">
            <v xml:space="preserve">מודעות ופירסומים  </v>
          </cell>
          <cell r="G158" t="str">
            <v xml:space="preserve"> </v>
          </cell>
        </row>
        <row r="159">
          <cell r="A159">
            <v>1124000290</v>
          </cell>
          <cell r="B159">
            <v>290</v>
          </cell>
          <cell r="C159">
            <v>124000</v>
          </cell>
          <cell r="D159">
            <v>1</v>
          </cell>
          <cell r="F159" t="str">
            <v xml:space="preserve">מודעות על לוחות   </v>
          </cell>
          <cell r="G159" t="str">
            <v>גמיש</v>
          </cell>
          <cell r="I159">
            <v>-2000</v>
          </cell>
          <cell r="J159">
            <v>0</v>
          </cell>
          <cell r="K159">
            <v>-1270.8399999999999</v>
          </cell>
          <cell r="L159">
            <v>-9000</v>
          </cell>
          <cell r="M159">
            <v>-3488.95</v>
          </cell>
        </row>
        <row r="160">
          <cell r="A160" t="e">
            <v>#VALUE!</v>
          </cell>
          <cell r="B160" t="str">
            <v>124000  סך הכל</v>
          </cell>
          <cell r="F160" t="str">
            <v xml:space="preserve">מודעות ופירסומים  </v>
          </cell>
          <cell r="I160">
            <v>-2000</v>
          </cell>
          <cell r="J160">
            <v>0</v>
          </cell>
          <cell r="K160">
            <v>-1270.8399999999999</v>
          </cell>
          <cell r="L160">
            <v>-9000</v>
          </cell>
          <cell r="M160">
            <v>-3488.95</v>
          </cell>
        </row>
        <row r="161">
          <cell r="A161">
            <v>11290000</v>
          </cell>
          <cell r="B161">
            <v>0</v>
          </cell>
          <cell r="C161">
            <v>129000</v>
          </cell>
          <cell r="D161">
            <v>1</v>
          </cell>
          <cell r="F161" t="str">
            <v xml:space="preserve">אגרות שונות       </v>
          </cell>
          <cell r="G161" t="str">
            <v xml:space="preserve"> </v>
          </cell>
        </row>
        <row r="162">
          <cell r="A162">
            <v>1129000290</v>
          </cell>
          <cell r="B162">
            <v>290</v>
          </cell>
          <cell r="C162">
            <v>129000</v>
          </cell>
          <cell r="D162">
            <v>1</v>
          </cell>
          <cell r="F162" t="str">
            <v xml:space="preserve">אגרת חניה  מוניות </v>
          </cell>
          <cell r="G162" t="str">
            <v>גמיש</v>
          </cell>
          <cell r="H162">
            <v>0</v>
          </cell>
          <cell r="I162">
            <v>-47000</v>
          </cell>
          <cell r="J162">
            <v>-47000</v>
          </cell>
          <cell r="K162">
            <v>-15959.34</v>
          </cell>
          <cell r="L162">
            <v>-45000</v>
          </cell>
          <cell r="M162">
            <v>-43094.65</v>
          </cell>
        </row>
        <row r="163">
          <cell r="A163" t="e">
            <v>#VALUE!</v>
          </cell>
          <cell r="B163" t="str">
            <v>129000  סך הכל</v>
          </cell>
          <cell r="F163" t="str">
            <v xml:space="preserve">אגרות שונות       </v>
          </cell>
          <cell r="H163">
            <v>0</v>
          </cell>
          <cell r="I163">
            <v>-47000</v>
          </cell>
          <cell r="J163">
            <v>-47000</v>
          </cell>
          <cell r="K163">
            <v>-15959.34</v>
          </cell>
          <cell r="L163">
            <v>-45000</v>
          </cell>
          <cell r="M163">
            <v>-43094.65</v>
          </cell>
        </row>
        <row r="164">
          <cell r="A164">
            <v>11600000</v>
          </cell>
          <cell r="B164">
            <v>0</v>
          </cell>
          <cell r="C164">
            <v>160000</v>
          </cell>
          <cell r="D164">
            <v>1</v>
          </cell>
          <cell r="F164" t="str">
            <v xml:space="preserve">הכנסות מימון      </v>
          </cell>
          <cell r="G164" t="str">
            <v xml:space="preserve"> </v>
          </cell>
        </row>
        <row r="165">
          <cell r="A165">
            <v>1160000841</v>
          </cell>
          <cell r="B165">
            <v>841</v>
          </cell>
          <cell r="C165">
            <v>160000</v>
          </cell>
          <cell r="D165">
            <v>1</v>
          </cell>
          <cell r="F165" t="str">
            <v>כביש-תאו'בניה-מלוה</v>
          </cell>
          <cell r="G165" t="str">
            <v>גמיש</v>
          </cell>
          <cell r="H165">
            <v>0.45352646846221001</v>
          </cell>
          <cell r="I165">
            <v>-15483400</v>
          </cell>
          <cell r="J165">
            <v>-10652300</v>
          </cell>
          <cell r="K165">
            <v>-2663075</v>
          </cell>
          <cell r="L165">
            <v>-8461000</v>
          </cell>
          <cell r="M165">
            <v>-8461000</v>
          </cell>
        </row>
        <row r="166">
          <cell r="A166">
            <v>1160000842</v>
          </cell>
          <cell r="B166">
            <v>842</v>
          </cell>
          <cell r="C166">
            <v>160000</v>
          </cell>
          <cell r="D166">
            <v>1</v>
          </cell>
          <cell r="F166" t="str">
            <v>תעול היתר בניה-מלו</v>
          </cell>
          <cell r="G166" t="str">
            <v>גמיש</v>
          </cell>
          <cell r="I166">
            <v>0</v>
          </cell>
          <cell r="J166">
            <v>0</v>
          </cell>
          <cell r="K166">
            <v>0</v>
          </cell>
          <cell r="L166">
            <v>-200000</v>
          </cell>
          <cell r="M166">
            <v>-200000</v>
          </cell>
        </row>
        <row r="167">
          <cell r="A167">
            <v>1160000844</v>
          </cell>
          <cell r="B167">
            <v>844</v>
          </cell>
          <cell r="C167">
            <v>160000</v>
          </cell>
          <cell r="D167">
            <v>1</v>
          </cell>
          <cell r="F167" t="str">
            <v>החזר מילוות-השבחה</v>
          </cell>
          <cell r="G167" t="str">
            <v>גמיש</v>
          </cell>
          <cell r="H167">
            <v>0.15013131317269823</v>
          </cell>
          <cell r="I167">
            <v>-28071600</v>
          </cell>
          <cell r="J167">
            <v>-24407300</v>
          </cell>
          <cell r="K167">
            <v>0</v>
          </cell>
          <cell r="L167">
            <v>-56828800</v>
          </cell>
          <cell r="M167">
            <v>-56828800</v>
          </cell>
        </row>
        <row r="168">
          <cell r="A168" t="e">
            <v>#VALUE!</v>
          </cell>
          <cell r="B168" t="str">
            <v>160000  סך הכל</v>
          </cell>
          <cell r="F168" t="str">
            <v xml:space="preserve">הכנסות מימון      </v>
          </cell>
          <cell r="H168">
            <v>0.24231308971009358</v>
          </cell>
          <cell r="I168">
            <v>-43555000</v>
          </cell>
          <cell r="J168">
            <v>-35059600</v>
          </cell>
          <cell r="K168">
            <v>-2663075</v>
          </cell>
          <cell r="L168">
            <v>-65489800</v>
          </cell>
          <cell r="M168">
            <v>-65489800</v>
          </cell>
        </row>
        <row r="169">
          <cell r="A169">
            <v>11900000</v>
          </cell>
          <cell r="B169">
            <v>0</v>
          </cell>
          <cell r="C169">
            <v>190000</v>
          </cell>
          <cell r="D169">
            <v>1</v>
          </cell>
          <cell r="F169" t="str">
            <v xml:space="preserve">מענקים כללים      </v>
          </cell>
          <cell r="G169" t="str">
            <v xml:space="preserve"> </v>
          </cell>
        </row>
        <row r="170">
          <cell r="A170">
            <v>1192000910</v>
          </cell>
          <cell r="B170">
            <v>910</v>
          </cell>
          <cell r="C170">
            <v>192000</v>
          </cell>
          <cell r="D170">
            <v>1</v>
          </cell>
          <cell r="F170" t="str">
            <v>החזר בגין הסכם שכר</v>
          </cell>
          <cell r="G170" t="str">
            <v>גמיש</v>
          </cell>
          <cell r="I170">
            <v>0</v>
          </cell>
          <cell r="J170">
            <v>0</v>
          </cell>
          <cell r="K170">
            <v>0</v>
          </cell>
          <cell r="M170">
            <v>0</v>
          </cell>
        </row>
        <row r="171">
          <cell r="A171">
            <v>1192000913</v>
          </cell>
          <cell r="B171">
            <v>913</v>
          </cell>
          <cell r="C171">
            <v>192000</v>
          </cell>
          <cell r="D171">
            <v>1</v>
          </cell>
          <cell r="F171" t="str">
            <v>מענק רזרבת שר הפנים</v>
          </cell>
          <cell r="G171" t="str">
            <v>גמיש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-537957</v>
          </cell>
        </row>
        <row r="172">
          <cell r="A172">
            <v>1192000980</v>
          </cell>
          <cell r="B172">
            <v>980</v>
          </cell>
          <cell r="C172">
            <v>192000</v>
          </cell>
          <cell r="D172">
            <v>1</v>
          </cell>
          <cell r="F172" t="str">
            <v>שיפוי משרד הפנים</v>
          </cell>
          <cell r="G172" t="str">
            <v>גמיש</v>
          </cell>
          <cell r="M172">
            <v>-13408</v>
          </cell>
        </row>
        <row r="173">
          <cell r="A173" t="e">
            <v>#VALUE!</v>
          </cell>
          <cell r="B173" t="str">
            <v>192000  סך הכל</v>
          </cell>
          <cell r="F173" t="str">
            <v xml:space="preserve">מענקים חד-פעמיים  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-551365</v>
          </cell>
        </row>
        <row r="174">
          <cell r="A174">
            <v>11960000</v>
          </cell>
          <cell r="B174">
            <v>0</v>
          </cell>
          <cell r="C174">
            <v>196000</v>
          </cell>
          <cell r="D174">
            <v>1</v>
          </cell>
          <cell r="F174" t="str">
            <v xml:space="preserve">מענקים אחרים      </v>
          </cell>
          <cell r="G174" t="str">
            <v xml:space="preserve"> </v>
          </cell>
        </row>
        <row r="175">
          <cell r="A175">
            <v>1196100910</v>
          </cell>
          <cell r="B175">
            <v>910</v>
          </cell>
          <cell r="C175">
            <v>196100</v>
          </cell>
          <cell r="D175">
            <v>1</v>
          </cell>
          <cell r="F175" t="str">
            <v>בחירות:רשות מקומית</v>
          </cell>
          <cell r="G175" t="str">
            <v>גמיש</v>
          </cell>
          <cell r="I175">
            <v>0</v>
          </cell>
          <cell r="J175">
            <v>0</v>
          </cell>
          <cell r="K175">
            <v>0</v>
          </cell>
          <cell r="L175">
            <v>-1755200</v>
          </cell>
          <cell r="M175">
            <v>-1864470</v>
          </cell>
        </row>
        <row r="176">
          <cell r="A176" t="e">
            <v>#VALUE!</v>
          </cell>
          <cell r="B176" t="str">
            <v>196100  סך הכל</v>
          </cell>
          <cell r="F176" t="str">
            <v>בחירות:רשות מקומית</v>
          </cell>
          <cell r="I176">
            <v>0</v>
          </cell>
          <cell r="J176">
            <v>0</v>
          </cell>
          <cell r="K176">
            <v>0</v>
          </cell>
          <cell r="L176">
            <v>-1755200</v>
          </cell>
          <cell r="M176">
            <v>-1864470</v>
          </cell>
        </row>
        <row r="177">
          <cell r="A177">
            <v>12123000</v>
          </cell>
          <cell r="B177">
            <v>0</v>
          </cell>
          <cell r="C177">
            <v>212300</v>
          </cell>
          <cell r="D177">
            <v>1</v>
          </cell>
          <cell r="F177" t="str">
            <v xml:space="preserve">אסוף וביעור אשפה  </v>
          </cell>
          <cell r="G177" t="str">
            <v xml:space="preserve"> </v>
          </cell>
        </row>
        <row r="178">
          <cell r="A178">
            <v>1212300690</v>
          </cell>
          <cell r="B178">
            <v>690</v>
          </cell>
          <cell r="C178">
            <v>212300</v>
          </cell>
          <cell r="D178">
            <v>1</v>
          </cell>
          <cell r="F178" t="str">
            <v>אריזות כתומים-הפרדה במקור</v>
          </cell>
          <cell r="G178" t="str">
            <v>גמיש</v>
          </cell>
          <cell r="H178">
            <v>4.0000000000000036E-2</v>
          </cell>
          <cell r="I178">
            <v>-2080000</v>
          </cell>
          <cell r="J178">
            <v>-2000000</v>
          </cell>
          <cell r="K178">
            <v>0</v>
          </cell>
          <cell r="L178">
            <v>-2481000</v>
          </cell>
          <cell r="M178">
            <v>-757304.16</v>
          </cell>
        </row>
        <row r="179">
          <cell r="A179">
            <v>1212300691</v>
          </cell>
          <cell r="B179">
            <v>691</v>
          </cell>
          <cell r="C179">
            <v>212300</v>
          </cell>
          <cell r="D179">
            <v>1</v>
          </cell>
          <cell r="F179" t="str">
            <v xml:space="preserve">מכירת מיכלי אשפה  </v>
          </cell>
          <cell r="G179" t="str">
            <v>גמיש</v>
          </cell>
          <cell r="H179">
            <v>0.5</v>
          </cell>
          <cell r="I179">
            <v>-150000</v>
          </cell>
          <cell r="J179">
            <v>-100000</v>
          </cell>
          <cell r="K179">
            <v>-103821.98</v>
          </cell>
          <cell r="L179">
            <v>0</v>
          </cell>
          <cell r="M179">
            <v>-133966.54999999999</v>
          </cell>
        </row>
        <row r="180">
          <cell r="A180">
            <v>1212300692</v>
          </cell>
          <cell r="B180">
            <v>692</v>
          </cell>
          <cell r="C180">
            <v>212300</v>
          </cell>
          <cell r="D180">
            <v>1</v>
          </cell>
          <cell r="F180" t="str">
            <v>הכנסות סילוק פסולת עיסקית</v>
          </cell>
          <cell r="G180" t="str">
            <v>גמיש</v>
          </cell>
          <cell r="H180">
            <v>0.10000000000000009</v>
          </cell>
          <cell r="I180">
            <v>-11000000</v>
          </cell>
          <cell r="J180">
            <v>-10000000</v>
          </cell>
          <cell r="K180">
            <v>-5445465.4800000004</v>
          </cell>
          <cell r="L180">
            <v>-10100000</v>
          </cell>
          <cell r="M180">
            <v>-9060289.5299999993</v>
          </cell>
        </row>
        <row r="181">
          <cell r="A181">
            <v>1212300694</v>
          </cell>
          <cell r="B181">
            <v>694</v>
          </cell>
          <cell r="C181">
            <v>212300</v>
          </cell>
          <cell r="D181">
            <v>1</v>
          </cell>
          <cell r="F181" t="str">
            <v>מכירת נייר</v>
          </cell>
          <cell r="G181" t="str">
            <v>גמיש</v>
          </cell>
          <cell r="H181">
            <v>0</v>
          </cell>
          <cell r="I181">
            <v>-79800</v>
          </cell>
          <cell r="J181">
            <v>-79800</v>
          </cell>
          <cell r="K181">
            <v>0</v>
          </cell>
          <cell r="L181">
            <v>-78000</v>
          </cell>
          <cell r="M181">
            <v>-13278.61</v>
          </cell>
        </row>
        <row r="182">
          <cell r="A182">
            <v>1212300695</v>
          </cell>
          <cell r="B182">
            <v>695</v>
          </cell>
          <cell r="C182">
            <v>212300</v>
          </cell>
          <cell r="D182">
            <v>1</v>
          </cell>
          <cell r="F182" t="str">
            <v>מכירת בגדים משומשים</v>
          </cell>
          <cell r="G182" t="str">
            <v>גמיש</v>
          </cell>
          <cell r="I182">
            <v>0</v>
          </cell>
          <cell r="J182">
            <v>0</v>
          </cell>
          <cell r="K182">
            <v>0</v>
          </cell>
          <cell r="L182">
            <v>-5500</v>
          </cell>
          <cell r="M182">
            <v>0</v>
          </cell>
        </row>
        <row r="183">
          <cell r="A183">
            <v>1212300696</v>
          </cell>
          <cell r="B183">
            <v>696</v>
          </cell>
          <cell r="C183">
            <v>212300</v>
          </cell>
          <cell r="D183">
            <v>1</v>
          </cell>
          <cell r="F183" t="str">
            <v>מכירת קרטון למיחזור</v>
          </cell>
          <cell r="G183" t="str">
            <v>גמיש</v>
          </cell>
          <cell r="H183">
            <v>-3.7499999999999978E-2</v>
          </cell>
          <cell r="I183">
            <v>-23100</v>
          </cell>
          <cell r="J183">
            <v>-24000</v>
          </cell>
          <cell r="K183">
            <v>-5821.75</v>
          </cell>
          <cell r="L183">
            <v>-80600</v>
          </cell>
          <cell r="M183">
            <v>-24820.95</v>
          </cell>
        </row>
        <row r="184">
          <cell r="A184">
            <v>1212300697</v>
          </cell>
          <cell r="B184">
            <v>697</v>
          </cell>
          <cell r="C184">
            <v>212300</v>
          </cell>
          <cell r="D184">
            <v>1</v>
          </cell>
          <cell r="F184" t="str">
            <v>קרטון - תאגיד תמיר</v>
          </cell>
          <cell r="G184" t="str">
            <v>גמיש</v>
          </cell>
          <cell r="H184">
            <v>8.237232289951546E-4</v>
          </cell>
          <cell r="I184">
            <v>-607500</v>
          </cell>
          <cell r="J184">
            <v>-607000</v>
          </cell>
          <cell r="K184">
            <v>0</v>
          </cell>
          <cell r="L184">
            <v>-607000</v>
          </cell>
          <cell r="M184">
            <v>-151880.4</v>
          </cell>
        </row>
        <row r="185">
          <cell r="A185" t="e">
            <v>#VALUE!</v>
          </cell>
          <cell r="B185" t="str">
            <v>212300  סך הכל</v>
          </cell>
          <cell r="F185" t="str">
            <v xml:space="preserve">אסוף וביעור אשפה  </v>
          </cell>
          <cell r="H185">
            <v>8.8175601835950967E-2</v>
          </cell>
          <cell r="I185">
            <v>-13940400</v>
          </cell>
          <cell r="J185">
            <v>-12810800</v>
          </cell>
          <cell r="K185">
            <v>-5555109.2100000009</v>
          </cell>
          <cell r="L185">
            <v>-13352100</v>
          </cell>
          <cell r="M185">
            <v>-10141540.199999997</v>
          </cell>
        </row>
        <row r="186">
          <cell r="A186">
            <v>12126000</v>
          </cell>
          <cell r="B186">
            <v>0</v>
          </cell>
          <cell r="C186">
            <v>212600</v>
          </cell>
          <cell r="D186">
            <v>1</v>
          </cell>
          <cell r="F186" t="str">
            <v>תחנת המעבר</v>
          </cell>
          <cell r="G186" t="str">
            <v xml:space="preserve"> </v>
          </cell>
        </row>
        <row r="187">
          <cell r="A187">
            <v>1212600590</v>
          </cell>
          <cell r="B187">
            <v>590</v>
          </cell>
          <cell r="C187">
            <v>212600</v>
          </cell>
          <cell r="D187">
            <v>1</v>
          </cell>
          <cell r="F187" t="str">
            <v>הכנסות שמירה</v>
          </cell>
          <cell r="G187" t="str">
            <v>גמיש</v>
          </cell>
          <cell r="H187">
            <v>0.1399999999999999</v>
          </cell>
          <cell r="I187">
            <v>-456000</v>
          </cell>
          <cell r="J187">
            <v>-400000</v>
          </cell>
          <cell r="K187">
            <v>-234311.76</v>
          </cell>
          <cell r="L187">
            <v>-400000</v>
          </cell>
          <cell r="M187">
            <v>-452648.93</v>
          </cell>
        </row>
        <row r="188">
          <cell r="A188">
            <v>1212600591</v>
          </cell>
          <cell r="B188">
            <v>591</v>
          </cell>
          <cell r="C188">
            <v>212600</v>
          </cell>
          <cell r="D188">
            <v>1</v>
          </cell>
          <cell r="F188" t="str">
            <v>חניית משאיות</v>
          </cell>
          <cell r="G188" t="str">
            <v>גמיש</v>
          </cell>
          <cell r="H188">
            <v>5.1250000000000018E-2</v>
          </cell>
          <cell r="I188">
            <v>-117740</v>
          </cell>
          <cell r="J188">
            <v>-112000</v>
          </cell>
          <cell r="K188">
            <v>-57156.15</v>
          </cell>
          <cell r="L188">
            <v>-110400</v>
          </cell>
          <cell r="M188">
            <v>-111626.4</v>
          </cell>
        </row>
        <row r="189">
          <cell r="A189">
            <v>1212600592</v>
          </cell>
          <cell r="B189">
            <v>592</v>
          </cell>
          <cell r="C189">
            <v>212600</v>
          </cell>
          <cell r="D189">
            <v>1</v>
          </cell>
          <cell r="F189" t="str">
            <v>החזר חשמל מקבלן אשפה</v>
          </cell>
          <cell r="G189" t="str">
            <v>קשיח</v>
          </cell>
          <cell r="H189">
            <v>-1</v>
          </cell>
          <cell r="I189">
            <v>0</v>
          </cell>
          <cell r="J189">
            <v>-60500</v>
          </cell>
          <cell r="K189">
            <v>0</v>
          </cell>
          <cell r="L189">
            <v>-60500</v>
          </cell>
          <cell r="M189">
            <v>6113</v>
          </cell>
        </row>
        <row r="190">
          <cell r="A190" t="e">
            <v>#VALUE!</v>
          </cell>
          <cell r="B190" t="str">
            <v>212600  סך הכל</v>
          </cell>
          <cell r="F190" t="str">
            <v>תחנת המעבר</v>
          </cell>
          <cell r="H190">
            <v>2.1659388646289024E-3</v>
          </cell>
          <cell r="I190">
            <v>-573740</v>
          </cell>
          <cell r="J190">
            <v>-572500</v>
          </cell>
          <cell r="K190">
            <v>-291467.91000000003</v>
          </cell>
          <cell r="L190">
            <v>-570900</v>
          </cell>
          <cell r="M190">
            <v>-558162.32999999996</v>
          </cell>
        </row>
        <row r="191">
          <cell r="A191">
            <v>12130000</v>
          </cell>
          <cell r="B191">
            <v>0</v>
          </cell>
          <cell r="C191">
            <v>213000</v>
          </cell>
          <cell r="D191">
            <v>1</v>
          </cell>
          <cell r="F191" t="str">
            <v xml:space="preserve">פיקוח תברואי      </v>
          </cell>
          <cell r="G191" t="str">
            <v xml:space="preserve"> </v>
          </cell>
        </row>
        <row r="192">
          <cell r="A192">
            <v>1213300310</v>
          </cell>
          <cell r="B192">
            <v>310</v>
          </cell>
          <cell r="C192">
            <v>213300</v>
          </cell>
          <cell r="D192">
            <v>1</v>
          </cell>
          <cell r="F192" t="str">
            <v xml:space="preserve">רישוי עסקים       </v>
          </cell>
          <cell r="G192" t="str">
            <v>גמיש</v>
          </cell>
          <cell r="H192">
            <v>0.19999999999999996</v>
          </cell>
          <cell r="I192">
            <v>-300000</v>
          </cell>
          <cell r="J192">
            <v>-250000</v>
          </cell>
          <cell r="K192">
            <v>-78969</v>
          </cell>
          <cell r="L192">
            <v>-250000</v>
          </cell>
          <cell r="M192">
            <v>-316029.53000000003</v>
          </cell>
        </row>
        <row r="193">
          <cell r="A193" t="e">
            <v>#VALUE!</v>
          </cell>
          <cell r="B193" t="str">
            <v>213300  סך הכל</v>
          </cell>
          <cell r="F193" t="str">
            <v>פיקוח-עסקים+מוסדות</v>
          </cell>
          <cell r="H193">
            <v>0.19999999999999996</v>
          </cell>
          <cell r="I193">
            <v>-300000</v>
          </cell>
          <cell r="J193">
            <v>-250000</v>
          </cell>
          <cell r="K193">
            <v>-78969</v>
          </cell>
          <cell r="L193">
            <v>-250000</v>
          </cell>
          <cell r="M193">
            <v>-316029.53000000003</v>
          </cell>
        </row>
        <row r="194">
          <cell r="A194">
            <v>12140000</v>
          </cell>
          <cell r="B194">
            <v>0</v>
          </cell>
          <cell r="C194">
            <v>214000</v>
          </cell>
          <cell r="D194">
            <v>1</v>
          </cell>
          <cell r="F194" t="str">
            <v xml:space="preserve">שרות וטרינרי      </v>
          </cell>
          <cell r="G194" t="str">
            <v xml:space="preserve"> </v>
          </cell>
        </row>
        <row r="195">
          <cell r="A195">
            <v>1214000220</v>
          </cell>
          <cell r="B195">
            <v>220</v>
          </cell>
          <cell r="C195">
            <v>214000</v>
          </cell>
          <cell r="D195">
            <v>1</v>
          </cell>
          <cell r="F195" t="str">
            <v>אג'רישוי/חיסון כלב ואג' עופות</v>
          </cell>
          <cell r="G195" t="str">
            <v>גמיש</v>
          </cell>
          <cell r="H195">
            <v>0.20754716981132071</v>
          </cell>
          <cell r="I195">
            <v>-1600000</v>
          </cell>
          <cell r="J195">
            <v>-1325000</v>
          </cell>
          <cell r="K195">
            <v>-941455.49</v>
          </cell>
          <cell r="L195">
            <v>-1250000</v>
          </cell>
          <cell r="M195">
            <v>-1537191.64</v>
          </cell>
        </row>
        <row r="196">
          <cell r="A196">
            <v>1214000221</v>
          </cell>
          <cell r="B196">
            <v>221</v>
          </cell>
          <cell r="C196">
            <v>214000</v>
          </cell>
          <cell r="D196">
            <v>1</v>
          </cell>
          <cell r="F196" t="str">
            <v>הובלה ושהייה בכלביה</v>
          </cell>
          <cell r="G196" t="str">
            <v>גמיש</v>
          </cell>
          <cell r="H196">
            <v>0</v>
          </cell>
          <cell r="I196">
            <v>-11000</v>
          </cell>
          <cell r="J196">
            <v>-11000</v>
          </cell>
          <cell r="K196">
            <v>-3977</v>
          </cell>
          <cell r="L196">
            <v>-11000</v>
          </cell>
          <cell r="M196">
            <v>-9771.5</v>
          </cell>
        </row>
        <row r="197">
          <cell r="A197">
            <v>1214000222</v>
          </cell>
          <cell r="B197">
            <v>222</v>
          </cell>
          <cell r="C197">
            <v>214000</v>
          </cell>
          <cell r="D197">
            <v>1</v>
          </cell>
          <cell r="F197" t="str">
            <v>החזקת בע"ח/בעלי כנף</v>
          </cell>
          <cell r="G197" t="str">
            <v>גמיש</v>
          </cell>
          <cell r="H197">
            <v>-0.33999999999999997</v>
          </cell>
          <cell r="I197">
            <v>-2640</v>
          </cell>
          <cell r="J197">
            <v>-4000</v>
          </cell>
          <cell r="K197">
            <v>-1584</v>
          </cell>
          <cell r="L197">
            <v>-4000</v>
          </cell>
          <cell r="M197">
            <v>-1320</v>
          </cell>
        </row>
        <row r="198">
          <cell r="A198">
            <v>1214000690</v>
          </cell>
          <cell r="B198">
            <v>690</v>
          </cell>
          <cell r="C198">
            <v>214000</v>
          </cell>
          <cell r="D198">
            <v>1</v>
          </cell>
          <cell r="F198" t="str">
            <v>הסגר כלבים ביתי</v>
          </cell>
          <cell r="G198" t="str">
            <v>גמיש</v>
          </cell>
          <cell r="H198">
            <v>0.27800000000000002</v>
          </cell>
          <cell r="I198">
            <v>-12780</v>
          </cell>
          <cell r="J198">
            <v>-10000</v>
          </cell>
          <cell r="K198">
            <v>-8760</v>
          </cell>
          <cell r="L198">
            <v>-6000</v>
          </cell>
          <cell r="M198">
            <v>-11488</v>
          </cell>
        </row>
        <row r="199">
          <cell r="A199">
            <v>1214000790</v>
          </cell>
          <cell r="B199">
            <v>790</v>
          </cell>
          <cell r="C199">
            <v>214000</v>
          </cell>
          <cell r="D199">
            <v>1</v>
          </cell>
          <cell r="F199" t="str">
            <v xml:space="preserve">בדיקת בשר ודגים   </v>
          </cell>
          <cell r="G199" t="str">
            <v>גמיש</v>
          </cell>
          <cell r="H199">
            <v>5.0761421319795996E-3</v>
          </cell>
          <cell r="I199">
            <v>-792000</v>
          </cell>
          <cell r="J199">
            <v>-788000</v>
          </cell>
          <cell r="K199">
            <v>-519259.95</v>
          </cell>
          <cell r="L199">
            <v>-750000</v>
          </cell>
          <cell r="M199">
            <v>-1049810.3799999999</v>
          </cell>
        </row>
        <row r="200">
          <cell r="A200">
            <v>1214000990</v>
          </cell>
          <cell r="B200">
            <v>990</v>
          </cell>
          <cell r="C200">
            <v>214000</v>
          </cell>
          <cell r="D200">
            <v>1</v>
          </cell>
          <cell r="F200" t="str">
            <v>עיקור חתולים וכלבים</v>
          </cell>
          <cell r="G200" t="str">
            <v>גמיש</v>
          </cell>
          <cell r="H200">
            <v>-2.4017467248908297E-2</v>
          </cell>
          <cell r="I200">
            <v>-223500</v>
          </cell>
          <cell r="J200">
            <v>-229000</v>
          </cell>
          <cell r="K200">
            <v>-61087</v>
          </cell>
          <cell r="L200">
            <v>-200000</v>
          </cell>
          <cell r="M200">
            <v>-265772.96999999997</v>
          </cell>
        </row>
        <row r="201">
          <cell r="A201" t="e">
            <v>#VALUE!</v>
          </cell>
          <cell r="B201" t="str">
            <v>214000  סך הכל</v>
          </cell>
          <cell r="F201" t="str">
            <v xml:space="preserve">שרות וטרינרי      </v>
          </cell>
          <cell r="H201">
            <v>0.116147021546261</v>
          </cell>
          <cell r="I201">
            <v>-2641920</v>
          </cell>
          <cell r="J201">
            <v>-2367000</v>
          </cell>
          <cell r="K201">
            <v>-1536123.44</v>
          </cell>
          <cell r="L201">
            <v>-2221000</v>
          </cell>
          <cell r="M201">
            <v>-2875354.4899999993</v>
          </cell>
        </row>
        <row r="202">
          <cell r="A202">
            <v>12230000</v>
          </cell>
          <cell r="B202">
            <v>0</v>
          </cell>
          <cell r="C202">
            <v>223000</v>
          </cell>
          <cell r="D202">
            <v>1</v>
          </cell>
          <cell r="F202" t="str">
            <v xml:space="preserve">הג"א              </v>
          </cell>
          <cell r="G202" t="str">
            <v xml:space="preserve"> </v>
          </cell>
        </row>
        <row r="203">
          <cell r="A203">
            <v>1223000640</v>
          </cell>
          <cell r="B203">
            <v>640</v>
          </cell>
          <cell r="C203">
            <v>223000</v>
          </cell>
          <cell r="D203">
            <v>1</v>
          </cell>
          <cell r="F203" t="str">
            <v xml:space="preserve">שכר דירה ממקלטים  </v>
          </cell>
          <cell r="G203" t="str">
            <v>גמיש</v>
          </cell>
          <cell r="H203">
            <v>-1</v>
          </cell>
          <cell r="I203">
            <v>0</v>
          </cell>
          <cell r="J203">
            <v>-12500</v>
          </cell>
          <cell r="K203">
            <v>330</v>
          </cell>
          <cell r="L203">
            <v>-25000</v>
          </cell>
          <cell r="M203">
            <v>-62470</v>
          </cell>
        </row>
        <row r="204">
          <cell r="A204" t="e">
            <v>#VALUE!</v>
          </cell>
          <cell r="B204" t="str">
            <v>223000  סך הכל</v>
          </cell>
          <cell r="F204" t="str">
            <v xml:space="preserve">הג"א              </v>
          </cell>
          <cell r="H204">
            <v>-1</v>
          </cell>
          <cell r="I204">
            <v>0</v>
          </cell>
          <cell r="J204">
            <v>-12500</v>
          </cell>
          <cell r="K204">
            <v>330</v>
          </cell>
          <cell r="L204">
            <v>-25000</v>
          </cell>
          <cell r="M204">
            <v>-62470</v>
          </cell>
        </row>
        <row r="205">
          <cell r="A205">
            <v>12300000</v>
          </cell>
          <cell r="B205">
            <v>0</v>
          </cell>
          <cell r="C205">
            <v>230000</v>
          </cell>
          <cell r="D205">
            <v>1</v>
          </cell>
          <cell r="F205" t="str">
            <v xml:space="preserve">תכנון בנין עיר    </v>
          </cell>
          <cell r="G205" t="str">
            <v xml:space="preserve"> </v>
          </cell>
        </row>
        <row r="206">
          <cell r="A206">
            <v>1231000690</v>
          </cell>
          <cell r="B206">
            <v>690</v>
          </cell>
          <cell r="C206">
            <v>231000</v>
          </cell>
          <cell r="D206">
            <v>1</v>
          </cell>
          <cell r="F206" t="str">
            <v>משרד מהנדס הרשות</v>
          </cell>
          <cell r="G206" t="str">
            <v>גמיש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-10967.23</v>
          </cell>
        </row>
        <row r="207">
          <cell r="A207">
            <v>1231000691</v>
          </cell>
          <cell r="B207">
            <v>691</v>
          </cell>
          <cell r="C207">
            <v>231000</v>
          </cell>
          <cell r="D207">
            <v>1</v>
          </cell>
          <cell r="F207" t="str">
            <v>אג.בגין מסירת מידע</v>
          </cell>
          <cell r="G207" t="str">
            <v>גמיש</v>
          </cell>
          <cell r="H207">
            <v>-0.19999999999999996</v>
          </cell>
          <cell r="I207">
            <v>-120000</v>
          </cell>
          <cell r="J207">
            <v>-150000</v>
          </cell>
          <cell r="K207">
            <v>-48531</v>
          </cell>
          <cell r="L207">
            <v>-150000</v>
          </cell>
          <cell r="M207">
            <v>-102522</v>
          </cell>
        </row>
        <row r="208">
          <cell r="A208" t="e">
            <v>#VALUE!</v>
          </cell>
          <cell r="B208" t="str">
            <v>231000  סך הכל</v>
          </cell>
          <cell r="F208" t="str">
            <v xml:space="preserve">משרד מהנדס הרשות  </v>
          </cell>
          <cell r="H208">
            <v>-0.19999999999999996</v>
          </cell>
          <cell r="I208">
            <v>-120000</v>
          </cell>
          <cell r="J208">
            <v>-150000</v>
          </cell>
          <cell r="K208">
            <v>-48531</v>
          </cell>
          <cell r="L208">
            <v>-150000</v>
          </cell>
          <cell r="M208">
            <v>-113489.23</v>
          </cell>
        </row>
        <row r="209">
          <cell r="A209">
            <v>12330000</v>
          </cell>
          <cell r="B209">
            <v>0</v>
          </cell>
          <cell r="C209">
            <v>233000</v>
          </cell>
          <cell r="D209">
            <v>1</v>
          </cell>
          <cell r="F209" t="str">
            <v>רשוי+פקוח על הבניה</v>
          </cell>
          <cell r="G209" t="str">
            <v xml:space="preserve"> </v>
          </cell>
        </row>
        <row r="210">
          <cell r="A210">
            <v>1233000290</v>
          </cell>
          <cell r="B210">
            <v>290</v>
          </cell>
          <cell r="C210">
            <v>233000</v>
          </cell>
          <cell r="D210">
            <v>1</v>
          </cell>
          <cell r="F210" t="str">
            <v xml:space="preserve">רשיונות בניה-כללי </v>
          </cell>
          <cell r="G210" t="str">
            <v>גמיש</v>
          </cell>
          <cell r="H210">
            <v>0.55714285714285716</v>
          </cell>
          <cell r="I210">
            <v>-10900000</v>
          </cell>
          <cell r="J210">
            <v>-7000000</v>
          </cell>
          <cell r="K210">
            <v>-7796989.2400000002</v>
          </cell>
          <cell r="L210">
            <v>-6000000</v>
          </cell>
          <cell r="M210">
            <v>-8774515.5399999991</v>
          </cell>
        </row>
        <row r="211">
          <cell r="A211">
            <v>1233000310</v>
          </cell>
          <cell r="B211">
            <v>310</v>
          </cell>
          <cell r="C211">
            <v>233000</v>
          </cell>
          <cell r="D211">
            <v>1</v>
          </cell>
          <cell r="F211" t="str">
            <v>היטל השבחה מפיתוח</v>
          </cell>
          <cell r="G211" t="str">
            <v>גמיש</v>
          </cell>
          <cell r="H211">
            <v>-0.22336185601140912</v>
          </cell>
          <cell r="I211">
            <v>-24397000</v>
          </cell>
          <cell r="J211">
            <v>-31413600</v>
          </cell>
          <cell r="K211">
            <v>0</v>
          </cell>
          <cell r="L211">
            <v>-32171400</v>
          </cell>
          <cell r="M211">
            <v>-27318059</v>
          </cell>
        </row>
        <row r="212">
          <cell r="A212">
            <v>1233000691</v>
          </cell>
          <cell r="B212">
            <v>691</v>
          </cell>
          <cell r="C212">
            <v>233000</v>
          </cell>
          <cell r="D212">
            <v>1</v>
          </cell>
          <cell r="F212" t="str">
            <v>קנסות מנהליים-חריגות בניה</v>
          </cell>
          <cell r="G212" t="str">
            <v>גמיש</v>
          </cell>
          <cell r="H212">
            <v>0</v>
          </cell>
          <cell r="I212">
            <v>-65000</v>
          </cell>
          <cell r="J212">
            <v>-65000</v>
          </cell>
          <cell r="K212">
            <v>-20045</v>
          </cell>
          <cell r="L212">
            <v>0</v>
          </cell>
          <cell r="M212">
            <v>-66547</v>
          </cell>
        </row>
        <row r="213">
          <cell r="A213">
            <v>1233000692</v>
          </cell>
          <cell r="B213">
            <v>692</v>
          </cell>
          <cell r="C213">
            <v>233000</v>
          </cell>
          <cell r="D213">
            <v>1</v>
          </cell>
          <cell r="F213" t="str">
            <v>הכנסות מבנים מסוכנים</v>
          </cell>
          <cell r="G213" t="str">
            <v>גמיש</v>
          </cell>
          <cell r="I213">
            <v>0</v>
          </cell>
          <cell r="J213">
            <v>0</v>
          </cell>
          <cell r="K213">
            <v>-748.25</v>
          </cell>
          <cell r="L213">
            <v>0</v>
          </cell>
          <cell r="M213">
            <v>-2328.5500000000002</v>
          </cell>
        </row>
        <row r="214">
          <cell r="A214" t="e">
            <v>#VALUE!</v>
          </cell>
          <cell r="B214" t="str">
            <v>233000  סך הכל</v>
          </cell>
          <cell r="F214" t="str">
            <v>רשוי+פקוח על הבניה</v>
          </cell>
          <cell r="H214">
            <v>-8.0995670320645807E-2</v>
          </cell>
          <cell r="I214">
            <v>-35362000</v>
          </cell>
          <cell r="J214">
            <v>-38478600</v>
          </cell>
          <cell r="K214">
            <v>-7817782.4900000002</v>
          </cell>
          <cell r="L214">
            <v>-38171400</v>
          </cell>
          <cell r="M214">
            <v>-36161450.089999996</v>
          </cell>
        </row>
        <row r="215">
          <cell r="A215">
            <v>12420000</v>
          </cell>
          <cell r="B215">
            <v>0</v>
          </cell>
          <cell r="C215">
            <v>242000</v>
          </cell>
          <cell r="D215">
            <v>1</v>
          </cell>
          <cell r="F215" t="str">
            <v>מערך דרכים</v>
          </cell>
          <cell r="G215" t="str">
            <v xml:space="preserve"> </v>
          </cell>
        </row>
        <row r="216">
          <cell r="A216">
            <v>1242000690</v>
          </cell>
          <cell r="B216">
            <v>690</v>
          </cell>
          <cell r="C216">
            <v>242000</v>
          </cell>
          <cell r="D216">
            <v>1</v>
          </cell>
          <cell r="F216" t="str">
            <v>חילוט  ערבות-חול</v>
          </cell>
          <cell r="G216" t="str">
            <v>גמיש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-108000</v>
          </cell>
        </row>
        <row r="217">
          <cell r="A217" t="e">
            <v>#VALUE!</v>
          </cell>
          <cell r="B217" t="str">
            <v>242000  סך הכל</v>
          </cell>
          <cell r="F217" t="str">
            <v>מערך דרכים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-108000</v>
          </cell>
        </row>
        <row r="218">
          <cell r="A218">
            <v>12430000</v>
          </cell>
          <cell r="B218">
            <v>0</v>
          </cell>
          <cell r="C218">
            <v>243000</v>
          </cell>
          <cell r="D218">
            <v>1</v>
          </cell>
          <cell r="F218" t="str">
            <v>מחלקת מאור</v>
          </cell>
          <cell r="G218" t="str">
            <v xml:space="preserve"> </v>
          </cell>
        </row>
        <row r="219">
          <cell r="A219">
            <v>1243000690</v>
          </cell>
          <cell r="B219">
            <v>690</v>
          </cell>
          <cell r="C219">
            <v>243000</v>
          </cell>
          <cell r="D219">
            <v>1</v>
          </cell>
          <cell r="F219" t="str">
            <v xml:space="preserve">השתת' במאור שלטים </v>
          </cell>
          <cell r="G219" t="str">
            <v>גמיש</v>
          </cell>
          <cell r="H219">
            <v>-0.86</v>
          </cell>
          <cell r="I219">
            <v>-7000</v>
          </cell>
          <cell r="J219">
            <v>-50000</v>
          </cell>
          <cell r="K219">
            <v>0</v>
          </cell>
          <cell r="L219">
            <v>-50000</v>
          </cell>
          <cell r="M219">
            <v>0</v>
          </cell>
        </row>
        <row r="220">
          <cell r="A220" t="e">
            <v>#VALUE!</v>
          </cell>
          <cell r="B220" t="str">
            <v>243000  סך הכל</v>
          </cell>
          <cell r="F220" t="str">
            <v>מחלקת מאור</v>
          </cell>
          <cell r="H220">
            <v>-0.86</v>
          </cell>
          <cell r="I220">
            <v>-7000</v>
          </cell>
          <cell r="J220">
            <v>-50000</v>
          </cell>
          <cell r="K220">
            <v>0</v>
          </cell>
          <cell r="L220">
            <v>-50000</v>
          </cell>
          <cell r="M220">
            <v>0</v>
          </cell>
        </row>
        <row r="221">
          <cell r="A221">
            <v>12460000</v>
          </cell>
          <cell r="B221">
            <v>0</v>
          </cell>
          <cell r="C221">
            <v>246000</v>
          </cell>
          <cell r="D221">
            <v>1</v>
          </cell>
          <cell r="F221" t="str">
            <v xml:space="preserve">גנים ונטיעות      </v>
          </cell>
          <cell r="G221" t="str">
            <v xml:space="preserve"> </v>
          </cell>
        </row>
        <row r="222">
          <cell r="A222">
            <v>1246100692</v>
          </cell>
          <cell r="B222">
            <v>692</v>
          </cell>
          <cell r="C222">
            <v>246100</v>
          </cell>
          <cell r="D222">
            <v>1</v>
          </cell>
          <cell r="F222" t="str">
            <v xml:space="preserve">פינת ליטוף        </v>
          </cell>
          <cell r="G222" t="str">
            <v>גמיש</v>
          </cell>
          <cell r="I222">
            <v>-220000</v>
          </cell>
          <cell r="J222">
            <v>0</v>
          </cell>
          <cell r="K222">
            <v>-110910</v>
          </cell>
          <cell r="L222">
            <v>-120000</v>
          </cell>
          <cell r="M222">
            <v>-196098</v>
          </cell>
        </row>
        <row r="223">
          <cell r="A223" t="e">
            <v>#VALUE!</v>
          </cell>
          <cell r="B223" t="str">
            <v>246100  סך הכל</v>
          </cell>
          <cell r="F223" t="str">
            <v>גנים ציבוריים ונוף</v>
          </cell>
          <cell r="I223">
            <v>-220000</v>
          </cell>
          <cell r="J223">
            <v>0</v>
          </cell>
          <cell r="K223">
            <v>-110910</v>
          </cell>
          <cell r="L223">
            <v>-120000</v>
          </cell>
          <cell r="M223">
            <v>-196098</v>
          </cell>
        </row>
        <row r="224">
          <cell r="A224">
            <v>12600000</v>
          </cell>
          <cell r="B224">
            <v>0</v>
          </cell>
          <cell r="C224">
            <v>260000</v>
          </cell>
          <cell r="D224">
            <v>1</v>
          </cell>
          <cell r="F224" t="str">
            <v xml:space="preserve">שרותים שונים      </v>
          </cell>
          <cell r="G224" t="str">
            <v xml:space="preserve"> </v>
          </cell>
        </row>
        <row r="225">
          <cell r="A225">
            <v>1267000540</v>
          </cell>
          <cell r="B225">
            <v>540</v>
          </cell>
          <cell r="C225">
            <v>267000</v>
          </cell>
          <cell r="D225">
            <v>1</v>
          </cell>
          <cell r="F225" t="str">
            <v>הכנסות מתביעות ביטוח</v>
          </cell>
          <cell r="G225" t="str">
            <v>גמיש</v>
          </cell>
          <cell r="I225">
            <v>-50000</v>
          </cell>
          <cell r="J225">
            <v>0</v>
          </cell>
          <cell r="K225">
            <v>-64667.9</v>
          </cell>
          <cell r="L225">
            <v>0</v>
          </cell>
          <cell r="M225">
            <v>-42661.599999999999</v>
          </cell>
        </row>
        <row r="226">
          <cell r="A226" t="e">
            <v>#VALUE!</v>
          </cell>
          <cell r="B226" t="str">
            <v>267000  סך הכל</v>
          </cell>
          <cell r="F226" t="str">
            <v>ביטוח אלמנטרי לרשות</v>
          </cell>
          <cell r="I226">
            <v>-50000</v>
          </cell>
          <cell r="J226">
            <v>0</v>
          </cell>
          <cell r="K226">
            <v>-64667.9</v>
          </cell>
          <cell r="L226">
            <v>0</v>
          </cell>
          <cell r="M226">
            <v>-42661.599999999999</v>
          </cell>
        </row>
        <row r="227">
          <cell r="A227">
            <v>12690000</v>
          </cell>
          <cell r="B227">
            <v>0</v>
          </cell>
          <cell r="C227">
            <v>269000</v>
          </cell>
          <cell r="D227">
            <v>1</v>
          </cell>
          <cell r="F227" t="str">
            <v xml:space="preserve">הכנסות שונות      </v>
          </cell>
          <cell r="G227" t="str">
            <v xml:space="preserve"> </v>
          </cell>
        </row>
        <row r="228">
          <cell r="A228">
            <v>1269000114</v>
          </cell>
          <cell r="B228">
            <v>114</v>
          </cell>
          <cell r="C228">
            <v>269000</v>
          </cell>
          <cell r="D228">
            <v>1</v>
          </cell>
          <cell r="F228" t="str">
            <v>רישום מטלטלין מילגם</v>
          </cell>
          <cell r="G228" t="str">
            <v>גמיש</v>
          </cell>
          <cell r="H228">
            <v>-0.5</v>
          </cell>
          <cell r="I228">
            <v>-15000</v>
          </cell>
          <cell r="J228">
            <v>-30000</v>
          </cell>
          <cell r="K228">
            <v>-7918.02</v>
          </cell>
          <cell r="L228">
            <v>-60000</v>
          </cell>
          <cell r="M228">
            <v>-40517.24</v>
          </cell>
        </row>
        <row r="229">
          <cell r="A229">
            <v>1269000115</v>
          </cell>
          <cell r="B229">
            <v>115</v>
          </cell>
          <cell r="C229">
            <v>269000</v>
          </cell>
          <cell r="D229">
            <v>1</v>
          </cell>
          <cell r="F229" t="str">
            <v>עיקולי בנק מילגם</v>
          </cell>
          <cell r="G229" t="str">
            <v>גמיש</v>
          </cell>
          <cell r="H229">
            <v>-0.33333333333333337</v>
          </cell>
          <cell r="I229">
            <v>-10000</v>
          </cell>
          <cell r="J229">
            <v>-15000</v>
          </cell>
          <cell r="K229">
            <v>-6280.51</v>
          </cell>
          <cell r="L229">
            <v>-17000</v>
          </cell>
          <cell r="M229">
            <v>-25660.94</v>
          </cell>
        </row>
        <row r="230">
          <cell r="A230">
            <v>1269000116</v>
          </cell>
          <cell r="B230">
            <v>116</v>
          </cell>
          <cell r="C230">
            <v>269000</v>
          </cell>
          <cell r="D230">
            <v>1</v>
          </cell>
          <cell r="F230" t="str">
            <v>רישום עיקול בטאבו</v>
          </cell>
          <cell r="G230" t="str">
            <v>גמיש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-75.349999999999994</v>
          </cell>
        </row>
        <row r="231">
          <cell r="A231">
            <v>1269000117</v>
          </cell>
          <cell r="B231">
            <v>117</v>
          </cell>
          <cell r="C231">
            <v>269000</v>
          </cell>
          <cell r="D231">
            <v>1</v>
          </cell>
          <cell r="F231" t="str">
            <v>דרישות ידניות - מילגם</v>
          </cell>
          <cell r="G231" t="str">
            <v>גמיש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-74.95</v>
          </cell>
        </row>
        <row r="232">
          <cell r="A232">
            <v>1269000290</v>
          </cell>
          <cell r="B232">
            <v>290</v>
          </cell>
          <cell r="C232">
            <v>269000</v>
          </cell>
          <cell r="D232">
            <v>1</v>
          </cell>
          <cell r="F232" t="str">
            <v>עיקול בנק מגער</v>
          </cell>
          <cell r="G232" t="str">
            <v>גמיש</v>
          </cell>
          <cell r="H232">
            <v>-7.1038251366120186E-2</v>
          </cell>
          <cell r="I232">
            <v>-170000</v>
          </cell>
          <cell r="J232">
            <v>-183000</v>
          </cell>
          <cell r="K232">
            <v>-84328.91</v>
          </cell>
          <cell r="L232">
            <v>-183000</v>
          </cell>
          <cell r="M232">
            <v>-171477.41</v>
          </cell>
        </row>
        <row r="233">
          <cell r="A233">
            <v>1269000291</v>
          </cell>
          <cell r="B233">
            <v>291</v>
          </cell>
          <cell r="C233">
            <v>269000</v>
          </cell>
          <cell r="D233">
            <v>1</v>
          </cell>
          <cell r="F233" t="str">
            <v>עיקול ברישום מגער</v>
          </cell>
          <cell r="G233" t="str">
            <v>גמיש</v>
          </cell>
          <cell r="H233">
            <v>-6.25E-2</v>
          </cell>
          <cell r="I233">
            <v>-600000</v>
          </cell>
          <cell r="J233">
            <v>-640000</v>
          </cell>
          <cell r="K233">
            <v>-262790.69</v>
          </cell>
          <cell r="L233">
            <v>-640000</v>
          </cell>
          <cell r="M233">
            <v>-455202.1</v>
          </cell>
        </row>
        <row r="234">
          <cell r="A234">
            <v>1269000292</v>
          </cell>
          <cell r="B234">
            <v>292</v>
          </cell>
          <cell r="C234">
            <v>269000</v>
          </cell>
          <cell r="D234">
            <v>1</v>
          </cell>
          <cell r="F234" t="str">
            <v>עיקול בפועל מגער</v>
          </cell>
          <cell r="G234" t="str">
            <v>גמיש</v>
          </cell>
          <cell r="H234">
            <v>0.27272727272727271</v>
          </cell>
          <cell r="I234">
            <v>-350000</v>
          </cell>
          <cell r="J234">
            <v>-275000</v>
          </cell>
          <cell r="K234">
            <v>-199277.59</v>
          </cell>
          <cell r="L234">
            <v>-275000</v>
          </cell>
          <cell r="M234">
            <v>-181949.72</v>
          </cell>
        </row>
        <row r="235">
          <cell r="A235">
            <v>1269000293</v>
          </cell>
          <cell r="B235">
            <v>293</v>
          </cell>
          <cell r="C235">
            <v>269000</v>
          </cell>
          <cell r="D235">
            <v>1</v>
          </cell>
          <cell r="F235" t="str">
            <v>עיקול מקרקעין מגער</v>
          </cell>
          <cell r="G235" t="str">
            <v>גמיש</v>
          </cell>
          <cell r="H235">
            <v>-0.4</v>
          </cell>
          <cell r="I235">
            <v>-3000</v>
          </cell>
          <cell r="J235">
            <v>-5000</v>
          </cell>
          <cell r="K235">
            <v>-136</v>
          </cell>
          <cell r="L235">
            <v>-5000</v>
          </cell>
          <cell r="M235">
            <v>-136</v>
          </cell>
        </row>
        <row r="236">
          <cell r="A236">
            <v>1269000294</v>
          </cell>
          <cell r="B236">
            <v>294</v>
          </cell>
          <cell r="C236">
            <v>269000</v>
          </cell>
          <cell r="D236">
            <v>1</v>
          </cell>
          <cell r="F236" t="str">
            <v>דרישה פרטנית מגער</v>
          </cell>
          <cell r="G236" t="str">
            <v>גמיש</v>
          </cell>
          <cell r="H236">
            <v>2</v>
          </cell>
          <cell r="I236">
            <v>-3000</v>
          </cell>
          <cell r="J236">
            <v>-1000</v>
          </cell>
          <cell r="K236">
            <v>-1268.03</v>
          </cell>
          <cell r="L236">
            <v>-1000</v>
          </cell>
          <cell r="M236">
            <v>-431.99</v>
          </cell>
        </row>
        <row r="237">
          <cell r="A237">
            <v>1269000421</v>
          </cell>
          <cell r="B237">
            <v>421</v>
          </cell>
          <cell r="C237">
            <v>269000</v>
          </cell>
          <cell r="D237">
            <v>1</v>
          </cell>
          <cell r="F237" t="str">
            <v>הכנסות ממשלחות נוער</v>
          </cell>
          <cell r="G237" t="str">
            <v>גמיש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</row>
        <row r="238">
          <cell r="A238">
            <v>1269000691</v>
          </cell>
          <cell r="B238">
            <v>691</v>
          </cell>
          <cell r="C238">
            <v>269000</v>
          </cell>
          <cell r="D238">
            <v>1</v>
          </cell>
          <cell r="F238" t="str">
            <v>רש"ת- הצבת אנטנות בבי"ס</v>
          </cell>
          <cell r="G238" t="str">
            <v>גמיש</v>
          </cell>
          <cell r="H238">
            <v>1.5748031496063408E-3</v>
          </cell>
          <cell r="I238">
            <v>-12720</v>
          </cell>
          <cell r="J238">
            <v>-12700</v>
          </cell>
          <cell r="K238">
            <v>0</v>
          </cell>
          <cell r="L238">
            <v>-3500</v>
          </cell>
          <cell r="M238">
            <v>-1450</v>
          </cell>
        </row>
        <row r="239">
          <cell r="A239">
            <v>1269000692</v>
          </cell>
          <cell r="B239">
            <v>692</v>
          </cell>
          <cell r="C239">
            <v>269000</v>
          </cell>
          <cell r="D239">
            <v>1</v>
          </cell>
          <cell r="F239" t="str">
            <v>עיקולי בנק</v>
          </cell>
          <cell r="G239" t="str">
            <v>גמיש</v>
          </cell>
          <cell r="H239">
            <v>-0.2857142857142857</v>
          </cell>
          <cell r="I239">
            <v>-5000</v>
          </cell>
          <cell r="J239">
            <v>-7000</v>
          </cell>
          <cell r="K239">
            <v>-2266.0100000000002</v>
          </cell>
          <cell r="L239">
            <v>-25000</v>
          </cell>
          <cell r="M239">
            <v>-8835.9699999999993</v>
          </cell>
        </row>
        <row r="240">
          <cell r="A240">
            <v>1269000693</v>
          </cell>
          <cell r="B240">
            <v>693</v>
          </cell>
          <cell r="C240">
            <v>269000</v>
          </cell>
          <cell r="D240">
            <v>1</v>
          </cell>
          <cell r="F240" t="str">
            <v xml:space="preserve">אגרת מסירת מידע   </v>
          </cell>
          <cell r="G240" t="str">
            <v>גמיש</v>
          </cell>
          <cell r="H240">
            <v>0.5</v>
          </cell>
          <cell r="I240">
            <v>-1500</v>
          </cell>
          <cell r="J240">
            <v>-1000</v>
          </cell>
          <cell r="K240">
            <v>-1150</v>
          </cell>
          <cell r="L240">
            <v>-1000</v>
          </cell>
          <cell r="M240">
            <v>-2133</v>
          </cell>
        </row>
        <row r="241">
          <cell r="A241">
            <v>1269000696</v>
          </cell>
          <cell r="B241">
            <v>696</v>
          </cell>
          <cell r="C241">
            <v>269000</v>
          </cell>
          <cell r="D241">
            <v>1</v>
          </cell>
          <cell r="F241" t="str">
            <v>הכנסות מעמד האשה</v>
          </cell>
          <cell r="G241" t="str">
            <v>גמיש</v>
          </cell>
          <cell r="H241">
            <v>0</v>
          </cell>
          <cell r="I241">
            <v>-40000</v>
          </cell>
          <cell r="J241">
            <v>-40000</v>
          </cell>
          <cell r="K241">
            <v>-23230</v>
          </cell>
          <cell r="L241">
            <v>-40000</v>
          </cell>
          <cell r="M241">
            <v>-56277</v>
          </cell>
        </row>
        <row r="242">
          <cell r="A242">
            <v>1269000697</v>
          </cell>
          <cell r="B242">
            <v>697</v>
          </cell>
          <cell r="C242">
            <v>269000</v>
          </cell>
          <cell r="D242">
            <v>1</v>
          </cell>
          <cell r="F242" t="str">
            <v>החזר מביטוח תאונות צד ג'</v>
          </cell>
          <cell r="G242" t="str">
            <v>גמיש</v>
          </cell>
          <cell r="I242">
            <v>0</v>
          </cell>
          <cell r="J242">
            <v>0</v>
          </cell>
          <cell r="K242">
            <v>-18876.43</v>
          </cell>
          <cell r="L242">
            <v>0</v>
          </cell>
          <cell r="M242">
            <v>0</v>
          </cell>
        </row>
        <row r="243">
          <cell r="A243" t="e">
            <v>#VALUE!</v>
          </cell>
          <cell r="B243" t="str">
            <v>269000  סך הכל</v>
          </cell>
          <cell r="F243" t="str">
            <v xml:space="preserve">הכנסות שונות      </v>
          </cell>
          <cell r="H243">
            <v>4.2985864263878071E-4</v>
          </cell>
          <cell r="I243">
            <v>-1210220</v>
          </cell>
          <cell r="J243">
            <v>-1209700</v>
          </cell>
          <cell r="K243">
            <v>-607522.19000000006</v>
          </cell>
          <cell r="L243">
            <v>-1250500</v>
          </cell>
          <cell r="M243">
            <v>-944221.66999999993</v>
          </cell>
        </row>
        <row r="244">
          <cell r="A244">
            <v>12691000</v>
          </cell>
          <cell r="B244">
            <v>0</v>
          </cell>
          <cell r="C244">
            <v>269100</v>
          </cell>
          <cell r="D244">
            <v>1</v>
          </cell>
          <cell r="F244" t="str">
            <v xml:space="preserve">שונות             </v>
          </cell>
          <cell r="G244" t="str">
            <v xml:space="preserve"> </v>
          </cell>
        </row>
        <row r="245">
          <cell r="A245">
            <v>1269100690</v>
          </cell>
          <cell r="B245">
            <v>690</v>
          </cell>
          <cell r="C245">
            <v>269100</v>
          </cell>
          <cell r="D245">
            <v>1</v>
          </cell>
          <cell r="F245" t="str">
            <v>צילום מסמכים לצבור</v>
          </cell>
          <cell r="G245" t="str">
            <v>גמיש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-206.6</v>
          </cell>
        </row>
        <row r="246">
          <cell r="A246">
            <v>1269100692</v>
          </cell>
          <cell r="B246">
            <v>692</v>
          </cell>
          <cell r="C246">
            <v>269100</v>
          </cell>
          <cell r="D246">
            <v>1</v>
          </cell>
          <cell r="F246" t="str">
            <v xml:space="preserve">מכירת מכרזים      </v>
          </cell>
          <cell r="G246" t="str">
            <v>גמיש</v>
          </cell>
          <cell r="H246">
            <v>0</v>
          </cell>
          <cell r="I246">
            <v>-100000</v>
          </cell>
          <cell r="J246">
            <v>-100000</v>
          </cell>
          <cell r="K246">
            <v>-58270</v>
          </cell>
          <cell r="L246">
            <v>-100000</v>
          </cell>
          <cell r="M246">
            <v>-60000</v>
          </cell>
        </row>
        <row r="247">
          <cell r="A247" t="e">
            <v>#VALUE!</v>
          </cell>
          <cell r="B247" t="str">
            <v>269100  סך הכל</v>
          </cell>
          <cell r="F247" t="str">
            <v xml:space="preserve">שונות             </v>
          </cell>
          <cell r="H247">
            <v>0</v>
          </cell>
          <cell r="I247">
            <v>-100000</v>
          </cell>
          <cell r="J247">
            <v>-100000</v>
          </cell>
          <cell r="K247">
            <v>-58270</v>
          </cell>
          <cell r="L247">
            <v>-100000</v>
          </cell>
          <cell r="M247">
            <v>-60206.6</v>
          </cell>
        </row>
        <row r="248">
          <cell r="A248">
            <v>12692000</v>
          </cell>
          <cell r="B248">
            <v>0</v>
          </cell>
          <cell r="C248">
            <v>269200</v>
          </cell>
          <cell r="D248">
            <v>1</v>
          </cell>
          <cell r="F248" t="str">
            <v xml:space="preserve">הדבקת מודעות      </v>
          </cell>
          <cell r="G248" t="str">
            <v xml:space="preserve"> </v>
          </cell>
        </row>
        <row r="249">
          <cell r="A249">
            <v>1269200691</v>
          </cell>
          <cell r="B249">
            <v>691</v>
          </cell>
          <cell r="C249">
            <v>269200</v>
          </cell>
          <cell r="D249">
            <v>1</v>
          </cell>
          <cell r="F249" t="str">
            <v xml:space="preserve">הכנסות ממחלקות    </v>
          </cell>
          <cell r="G249" t="str">
            <v>גמיש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e">
            <v>#VALUE!</v>
          </cell>
          <cell r="B250" t="str">
            <v>269200  סך הכל</v>
          </cell>
          <cell r="F250" t="str">
            <v xml:space="preserve">הדבקת מודעות      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</row>
        <row r="251">
          <cell r="A251">
            <v>12698000</v>
          </cell>
          <cell r="B251">
            <v>0</v>
          </cell>
          <cell r="C251">
            <v>269800</v>
          </cell>
          <cell r="D251">
            <v>1</v>
          </cell>
          <cell r="F251" t="str">
            <v>יח'-תיכנון אסטרטגי</v>
          </cell>
          <cell r="G251" t="str">
            <v xml:space="preserve"> </v>
          </cell>
        </row>
        <row r="252">
          <cell r="A252">
            <v>1269800790</v>
          </cell>
          <cell r="B252">
            <v>790</v>
          </cell>
          <cell r="C252">
            <v>269800</v>
          </cell>
          <cell r="D252">
            <v>1</v>
          </cell>
          <cell r="F252" t="str">
            <v xml:space="preserve">השתתפויות שונות   </v>
          </cell>
          <cell r="G252" t="str">
            <v>גמיש</v>
          </cell>
          <cell r="I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e">
            <v>#VALUE!</v>
          </cell>
          <cell r="B253" t="str">
            <v>269800  סך הכל</v>
          </cell>
          <cell r="F253" t="str">
            <v>יח'-תיכנון אסטרטגי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>
            <v>12800000</v>
          </cell>
          <cell r="B254">
            <v>0</v>
          </cell>
          <cell r="C254">
            <v>280000</v>
          </cell>
          <cell r="D254">
            <v>1</v>
          </cell>
          <cell r="F254" t="str">
            <v xml:space="preserve">פיקוח עירוני      </v>
          </cell>
          <cell r="G254" t="str">
            <v xml:space="preserve"> </v>
          </cell>
        </row>
        <row r="255">
          <cell r="A255">
            <v>1281100290</v>
          </cell>
          <cell r="B255">
            <v>290</v>
          </cell>
          <cell r="C255">
            <v>281100</v>
          </cell>
          <cell r="D255">
            <v>1</v>
          </cell>
          <cell r="F255" t="str">
            <v>מגער פיקוח דרישה ראשונה</v>
          </cell>
          <cell r="G255" t="str">
            <v>גמיש</v>
          </cell>
          <cell r="H255">
            <v>0</v>
          </cell>
          <cell r="I255">
            <v>-10000</v>
          </cell>
          <cell r="J255">
            <v>-10000</v>
          </cell>
          <cell r="K255">
            <v>-733.21</v>
          </cell>
          <cell r="L255">
            <v>-10000</v>
          </cell>
          <cell r="M255">
            <v>-835.42</v>
          </cell>
        </row>
        <row r="256">
          <cell r="A256">
            <v>1281100291</v>
          </cell>
          <cell r="B256">
            <v>291</v>
          </cell>
          <cell r="C256">
            <v>281100</v>
          </cell>
          <cell r="D256">
            <v>1</v>
          </cell>
          <cell r="F256" t="str">
            <v>מגער פיקוח דרישה שניה</v>
          </cell>
          <cell r="G256" t="str">
            <v>גמיש</v>
          </cell>
          <cell r="H256">
            <v>0</v>
          </cell>
          <cell r="I256">
            <v>-5000</v>
          </cell>
          <cell r="J256">
            <v>-5000</v>
          </cell>
          <cell r="K256">
            <v>-1285.83</v>
          </cell>
          <cell r="L256">
            <v>-5000</v>
          </cell>
          <cell r="M256">
            <v>-5568.28</v>
          </cell>
        </row>
        <row r="257">
          <cell r="A257">
            <v>1281100292</v>
          </cell>
          <cell r="B257">
            <v>292</v>
          </cell>
          <cell r="C257">
            <v>281100</v>
          </cell>
          <cell r="D257">
            <v>1</v>
          </cell>
          <cell r="F257" t="str">
            <v>עיקול בנק מגער פיקוח</v>
          </cell>
          <cell r="G257" t="str">
            <v>גמיש</v>
          </cell>
          <cell r="H257">
            <v>0</v>
          </cell>
          <cell r="I257">
            <v>-5000</v>
          </cell>
          <cell r="J257">
            <v>-5000</v>
          </cell>
          <cell r="K257">
            <v>0</v>
          </cell>
          <cell r="L257">
            <v>-5000</v>
          </cell>
          <cell r="M257">
            <v>0</v>
          </cell>
        </row>
        <row r="258">
          <cell r="A258">
            <v>1281100293</v>
          </cell>
          <cell r="B258">
            <v>293</v>
          </cell>
          <cell r="C258">
            <v>281100</v>
          </cell>
          <cell r="D258">
            <v>1</v>
          </cell>
          <cell r="F258" t="str">
            <v>עיקול ברישום מגער פיקוח</v>
          </cell>
          <cell r="G258" t="str">
            <v>גמיש</v>
          </cell>
          <cell r="H258">
            <v>0</v>
          </cell>
          <cell r="I258">
            <v>-1000</v>
          </cell>
          <cell r="J258">
            <v>-1000</v>
          </cell>
          <cell r="K258">
            <v>0</v>
          </cell>
          <cell r="L258">
            <v>-1000</v>
          </cell>
          <cell r="M258">
            <v>0</v>
          </cell>
        </row>
        <row r="259">
          <cell r="A259">
            <v>1281100294</v>
          </cell>
          <cell r="B259">
            <v>294</v>
          </cell>
          <cell r="C259">
            <v>281100</v>
          </cell>
          <cell r="D259">
            <v>1</v>
          </cell>
          <cell r="F259" t="str">
            <v>עיקול בפועל מגער פיקוח</v>
          </cell>
          <cell r="G259" t="str">
            <v>גמיש</v>
          </cell>
          <cell r="H259">
            <v>0</v>
          </cell>
          <cell r="I259">
            <v>-1000</v>
          </cell>
          <cell r="J259">
            <v>-1000</v>
          </cell>
          <cell r="K259">
            <v>0</v>
          </cell>
          <cell r="L259">
            <v>-1000</v>
          </cell>
          <cell r="M259">
            <v>0</v>
          </cell>
        </row>
        <row r="260">
          <cell r="A260">
            <v>1281100420</v>
          </cell>
          <cell r="B260">
            <v>420</v>
          </cell>
          <cell r="C260">
            <v>281100</v>
          </cell>
          <cell r="D260">
            <v>1</v>
          </cell>
          <cell r="F260" t="str">
            <v>קנסות ברירת משפט</v>
          </cell>
          <cell r="G260" t="str">
            <v>גמיש</v>
          </cell>
          <cell r="H260">
            <v>-9.9999999999999978E-2</v>
          </cell>
          <cell r="I260">
            <v>-1800000</v>
          </cell>
          <cell r="J260">
            <v>-2000000</v>
          </cell>
          <cell r="K260">
            <v>-1048254.24</v>
          </cell>
          <cell r="L260">
            <v>-2500000</v>
          </cell>
          <cell r="M260">
            <v>-1706742.92</v>
          </cell>
        </row>
        <row r="261">
          <cell r="A261">
            <v>1281100421</v>
          </cell>
          <cell r="B261">
            <v>421</v>
          </cell>
          <cell r="C261">
            <v>281100</v>
          </cell>
          <cell r="D261">
            <v>1</v>
          </cell>
          <cell r="F261" t="str">
            <v>עמלות אכיפת גבייה</v>
          </cell>
          <cell r="G261" t="str">
            <v>גמיש</v>
          </cell>
          <cell r="H261">
            <v>0</v>
          </cell>
          <cell r="I261">
            <v>-500</v>
          </cell>
          <cell r="J261">
            <v>-500</v>
          </cell>
          <cell r="K261">
            <v>-236.16</v>
          </cell>
          <cell r="L261">
            <v>-500</v>
          </cell>
          <cell r="M261">
            <v>-503.23</v>
          </cell>
        </row>
        <row r="262">
          <cell r="A262">
            <v>1281100422</v>
          </cell>
          <cell r="B262">
            <v>422</v>
          </cell>
          <cell r="C262">
            <v>281100</v>
          </cell>
          <cell r="D262">
            <v>1</v>
          </cell>
          <cell r="F262" t="str">
            <v>אגרות קנסות ברירת משפט</v>
          </cell>
          <cell r="G262" t="str">
            <v>גמיש</v>
          </cell>
          <cell r="H262">
            <v>0</v>
          </cell>
          <cell r="I262">
            <v>-100</v>
          </cell>
          <cell r="J262">
            <v>-100</v>
          </cell>
          <cell r="K262">
            <v>-38.42</v>
          </cell>
          <cell r="L262">
            <v>-100</v>
          </cell>
          <cell r="M262">
            <v>-70.459999999999994</v>
          </cell>
        </row>
        <row r="263">
          <cell r="A263">
            <v>1281100424</v>
          </cell>
          <cell r="B263">
            <v>424</v>
          </cell>
          <cell r="C263">
            <v>281100</v>
          </cell>
          <cell r="D263">
            <v>1</v>
          </cell>
          <cell r="F263" t="str">
            <v>אגרות פיקוח מילגם</v>
          </cell>
          <cell r="G263" t="str">
            <v>גמיש</v>
          </cell>
          <cell r="H263">
            <v>-0.33333333333333337</v>
          </cell>
          <cell r="I263">
            <v>-2000</v>
          </cell>
          <cell r="J263">
            <v>-3000</v>
          </cell>
          <cell r="K263">
            <v>-1330.26</v>
          </cell>
          <cell r="L263">
            <v>-1250</v>
          </cell>
          <cell r="M263">
            <v>-5187.2700000000004</v>
          </cell>
        </row>
        <row r="264">
          <cell r="A264">
            <v>1281100425</v>
          </cell>
          <cell r="B264">
            <v>425</v>
          </cell>
          <cell r="C264">
            <v>281100</v>
          </cell>
          <cell r="D264">
            <v>1</v>
          </cell>
          <cell r="F264" t="str">
            <v>אכיפה לדו גלגלי חשמלי</v>
          </cell>
          <cell r="G264" t="str">
            <v>קשיח</v>
          </cell>
          <cell r="I264">
            <v>0</v>
          </cell>
          <cell r="J264">
            <v>0</v>
          </cell>
          <cell r="K264">
            <v>-44890.75</v>
          </cell>
          <cell r="L264">
            <v>0</v>
          </cell>
          <cell r="M264">
            <v>-3000</v>
          </cell>
        </row>
        <row r="265">
          <cell r="A265">
            <v>1281100426</v>
          </cell>
          <cell r="B265">
            <v>426</v>
          </cell>
          <cell r="C265">
            <v>281100</v>
          </cell>
          <cell r="D265">
            <v>1</v>
          </cell>
          <cell r="F265" t="str">
            <v>גרירות</v>
          </cell>
          <cell r="G265" t="str">
            <v>גמיש</v>
          </cell>
          <cell r="I265">
            <v>-100000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>
            <v>1281100690</v>
          </cell>
          <cell r="B266">
            <v>690</v>
          </cell>
          <cell r="C266">
            <v>281100</v>
          </cell>
          <cell r="D266">
            <v>1</v>
          </cell>
          <cell r="F266" t="str">
            <v xml:space="preserve">הכנסות שונות      </v>
          </cell>
          <cell r="G266" t="str">
            <v>גמיש</v>
          </cell>
          <cell r="H266">
            <v>-0.4</v>
          </cell>
          <cell r="I266">
            <v>-300000</v>
          </cell>
          <cell r="J266">
            <v>-500000</v>
          </cell>
          <cell r="K266">
            <v>-50393.79</v>
          </cell>
          <cell r="L266">
            <v>-500000</v>
          </cell>
          <cell r="M266">
            <v>-277506.05</v>
          </cell>
        </row>
        <row r="267">
          <cell r="A267">
            <v>1281100691</v>
          </cell>
          <cell r="B267">
            <v>691</v>
          </cell>
          <cell r="C267">
            <v>281100</v>
          </cell>
          <cell r="D267">
            <v>1</v>
          </cell>
          <cell r="F267" t="str">
            <v>שחרור כלים דו גלגליים</v>
          </cell>
          <cell r="G267" t="str">
            <v>גמיש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e">
            <v>#VALUE!</v>
          </cell>
          <cell r="B268" t="str">
            <v>281100  סך הכל</v>
          </cell>
          <cell r="F268" t="str">
            <v xml:space="preserve">פיקוח עירוני      </v>
          </cell>
          <cell r="H268">
            <v>-0.11917960088691792</v>
          </cell>
          <cell r="I268">
            <v>-2224600</v>
          </cell>
          <cell r="J268">
            <v>-2525600</v>
          </cell>
          <cell r="K268">
            <v>-1147162.6599999999</v>
          </cell>
          <cell r="L268">
            <v>-3023850</v>
          </cell>
          <cell r="M268">
            <v>-1999413.63</v>
          </cell>
        </row>
        <row r="269">
          <cell r="A269">
            <v>12812000</v>
          </cell>
          <cell r="B269">
            <v>0</v>
          </cell>
          <cell r="C269">
            <v>281200</v>
          </cell>
          <cell r="D269">
            <v>1</v>
          </cell>
          <cell r="F269" t="str">
            <v xml:space="preserve">רשות חניה         </v>
          </cell>
          <cell r="G269" t="str">
            <v xml:space="preserve"> </v>
          </cell>
        </row>
        <row r="270">
          <cell r="A270">
            <v>1281200290</v>
          </cell>
          <cell r="B270">
            <v>290</v>
          </cell>
          <cell r="C270">
            <v>281200</v>
          </cell>
          <cell r="D270">
            <v>1</v>
          </cell>
          <cell r="F270" t="str">
            <v>מגער חניה דרישה ראשונה</v>
          </cell>
          <cell r="G270" t="str">
            <v>גמיש</v>
          </cell>
          <cell r="H270">
            <v>-0.5</v>
          </cell>
          <cell r="I270">
            <v>-90000</v>
          </cell>
          <cell r="J270">
            <v>-180000</v>
          </cell>
          <cell r="K270">
            <v>-79082.62</v>
          </cell>
          <cell r="L270">
            <v>-180000</v>
          </cell>
          <cell r="M270" t="str">
            <v xml:space="preserve">     </v>
          </cell>
        </row>
        <row r="271">
          <cell r="A271">
            <v>1281200291</v>
          </cell>
          <cell r="B271">
            <v>291</v>
          </cell>
          <cell r="C271">
            <v>281200</v>
          </cell>
          <cell r="D271">
            <v>1</v>
          </cell>
          <cell r="F271" t="str">
            <v>מגער חניה דרישה שניה</v>
          </cell>
          <cell r="G271" t="str">
            <v>גמיש</v>
          </cell>
          <cell r="H271">
            <v>-0.5</v>
          </cell>
          <cell r="I271">
            <v>-130000</v>
          </cell>
          <cell r="J271">
            <v>-260000</v>
          </cell>
          <cell r="K271">
            <v>0</v>
          </cell>
          <cell r="L271">
            <v>-260000</v>
          </cell>
          <cell r="M271">
            <v>-22074</v>
          </cell>
        </row>
        <row r="272">
          <cell r="A272">
            <v>1281200292</v>
          </cell>
          <cell r="B272">
            <v>292</v>
          </cell>
          <cell r="C272">
            <v>281200</v>
          </cell>
          <cell r="D272">
            <v>1</v>
          </cell>
          <cell r="F272" t="str">
            <v>עיקול בנק מגער חניה</v>
          </cell>
          <cell r="G272" t="str">
            <v>גמיש</v>
          </cell>
          <cell r="H272">
            <v>-0.5161290322580645</v>
          </cell>
          <cell r="I272">
            <v>-150000</v>
          </cell>
          <cell r="J272">
            <v>-310000</v>
          </cell>
          <cell r="K272">
            <v>0</v>
          </cell>
          <cell r="L272">
            <v>-310000</v>
          </cell>
          <cell r="M272">
            <v>-14826.5</v>
          </cell>
        </row>
        <row r="273">
          <cell r="A273">
            <v>1281200293</v>
          </cell>
          <cell r="B273">
            <v>293</v>
          </cell>
          <cell r="C273">
            <v>281200</v>
          </cell>
          <cell r="D273">
            <v>1</v>
          </cell>
          <cell r="F273" t="str">
            <v>עיקול ברישום מגער חניה</v>
          </cell>
          <cell r="G273" t="str">
            <v>גמיש</v>
          </cell>
          <cell r="H273">
            <v>-0.5161290322580645</v>
          </cell>
          <cell r="I273">
            <v>-150000</v>
          </cell>
          <cell r="J273">
            <v>-310000</v>
          </cell>
          <cell r="K273">
            <v>0</v>
          </cell>
          <cell r="L273">
            <v>-310000</v>
          </cell>
          <cell r="M273">
            <v>-9400</v>
          </cell>
        </row>
        <row r="274">
          <cell r="A274">
            <v>1281200294</v>
          </cell>
          <cell r="B274">
            <v>294</v>
          </cell>
          <cell r="C274">
            <v>281200</v>
          </cell>
          <cell r="D274">
            <v>1</v>
          </cell>
          <cell r="F274" t="str">
            <v>עיקול בפועל מגער חניה</v>
          </cell>
          <cell r="G274" t="str">
            <v>גמיש</v>
          </cell>
          <cell r="H274">
            <v>-0.5161290322580645</v>
          </cell>
          <cell r="I274">
            <v>-150000</v>
          </cell>
          <cell r="J274">
            <v>-310000</v>
          </cell>
          <cell r="K274">
            <v>0</v>
          </cell>
          <cell r="L274">
            <v>-310000</v>
          </cell>
          <cell r="M274">
            <v>0</v>
          </cell>
        </row>
        <row r="275">
          <cell r="A275">
            <v>1281200420</v>
          </cell>
          <cell r="B275">
            <v>420</v>
          </cell>
          <cell r="C275">
            <v>281200</v>
          </cell>
          <cell r="D275">
            <v>1</v>
          </cell>
          <cell r="F275" t="str">
            <v xml:space="preserve">קנסות  רשות חניה  </v>
          </cell>
          <cell r="G275" t="str">
            <v>גמיש</v>
          </cell>
          <cell r="H275">
            <v>0.10000000000000009</v>
          </cell>
          <cell r="I275">
            <v>-22000000</v>
          </cell>
          <cell r="J275">
            <v>-20000000</v>
          </cell>
          <cell r="K275">
            <v>-10887957.710000001</v>
          </cell>
          <cell r="L275">
            <v>-22500000</v>
          </cell>
          <cell r="M275">
            <v>-19513103.530000001</v>
          </cell>
        </row>
        <row r="276">
          <cell r="A276">
            <v>1281200421</v>
          </cell>
          <cell r="B276">
            <v>421</v>
          </cell>
          <cell r="C276">
            <v>281200</v>
          </cell>
          <cell r="D276">
            <v>1</v>
          </cell>
          <cell r="F276" t="str">
            <v>עמלות מילגם-לא כולל מע"מ</v>
          </cell>
          <cell r="G276" t="str">
            <v>גמיש</v>
          </cell>
          <cell r="H276">
            <v>-0.19999999999999996</v>
          </cell>
          <cell r="I276">
            <v>-4000</v>
          </cell>
          <cell r="J276">
            <v>-5000</v>
          </cell>
          <cell r="K276">
            <v>-2129.25</v>
          </cell>
          <cell r="L276">
            <v>-15000</v>
          </cell>
          <cell r="M276">
            <v>-10180.43</v>
          </cell>
        </row>
        <row r="277">
          <cell r="A277">
            <v>1281200422</v>
          </cell>
          <cell r="B277">
            <v>422</v>
          </cell>
          <cell r="C277">
            <v>281200</v>
          </cell>
          <cell r="D277">
            <v>1</v>
          </cell>
          <cell r="F277" t="str">
            <v>עמלות מילגם-כולל מע"מ</v>
          </cell>
          <cell r="G277" t="str">
            <v>גמיש</v>
          </cell>
          <cell r="H277">
            <v>0</v>
          </cell>
          <cell r="I277">
            <v>-10000</v>
          </cell>
          <cell r="J277">
            <v>-10000</v>
          </cell>
          <cell r="K277">
            <v>-48066.23</v>
          </cell>
          <cell r="L277">
            <v>-15000</v>
          </cell>
          <cell r="M277">
            <v>-25873.61</v>
          </cell>
        </row>
        <row r="278">
          <cell r="A278">
            <v>1281200424</v>
          </cell>
          <cell r="B278">
            <v>424</v>
          </cell>
          <cell r="C278">
            <v>281200</v>
          </cell>
          <cell r="D278">
            <v>1</v>
          </cell>
          <cell r="F278" t="str">
            <v>אגרות אכיפה קנסות מילגם</v>
          </cell>
          <cell r="G278" t="str">
            <v>גמיש</v>
          </cell>
          <cell r="H278">
            <v>-0.25</v>
          </cell>
          <cell r="I278">
            <v>-15000</v>
          </cell>
          <cell r="J278">
            <v>-20000</v>
          </cell>
          <cell r="K278">
            <v>-9631.2999999999993</v>
          </cell>
          <cell r="L278">
            <v>-100000</v>
          </cell>
          <cell r="M278">
            <v>-52689.91</v>
          </cell>
        </row>
        <row r="279">
          <cell r="A279">
            <v>1281200425</v>
          </cell>
          <cell r="B279">
            <v>425</v>
          </cell>
          <cell r="C279">
            <v>281200</v>
          </cell>
          <cell r="D279">
            <v>1</v>
          </cell>
          <cell r="F279" t="str">
            <v>קנסות דיגיטלי  ונתצ"ים</v>
          </cell>
          <cell r="G279" t="str">
            <v>גמיש</v>
          </cell>
          <cell r="H279">
            <v>1</v>
          </cell>
          <cell r="I279">
            <v>-6000000</v>
          </cell>
          <cell r="J279">
            <v>-3000000</v>
          </cell>
          <cell r="K279">
            <v>0</v>
          </cell>
          <cell r="L279">
            <v>-1000000</v>
          </cell>
          <cell r="M279">
            <v>0</v>
          </cell>
        </row>
        <row r="280">
          <cell r="A280">
            <v>1281200426</v>
          </cell>
          <cell r="B280">
            <v>426</v>
          </cell>
          <cell r="C280">
            <v>281200</v>
          </cell>
          <cell r="D280">
            <v>1</v>
          </cell>
          <cell r="F280" t="str">
            <v>הכנסות חנייה בכחול לבן</v>
          </cell>
          <cell r="G280" t="str">
            <v>גמיש</v>
          </cell>
          <cell r="H280">
            <v>0.85714285714285721</v>
          </cell>
          <cell r="I280">
            <v>-13000000</v>
          </cell>
          <cell r="J280">
            <v>-7000000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e">
            <v>#VALUE!</v>
          </cell>
          <cell r="B281" t="str">
            <v>281200  סך הכל</v>
          </cell>
          <cell r="F281" t="str">
            <v xml:space="preserve">רשות חניה         </v>
          </cell>
          <cell r="H281">
            <v>0.32778220028657867</v>
          </cell>
          <cell r="I281">
            <v>-41699000</v>
          </cell>
          <cell r="J281">
            <v>-31405000</v>
          </cell>
          <cell r="K281">
            <v>-11026867.110000001</v>
          </cell>
          <cell r="L281">
            <v>-25000000</v>
          </cell>
          <cell r="M281">
            <v>-19648147.98</v>
          </cell>
        </row>
        <row r="282">
          <cell r="A282">
            <v>12813000</v>
          </cell>
          <cell r="B282">
            <v>0</v>
          </cell>
          <cell r="C282">
            <v>281300</v>
          </cell>
          <cell r="D282">
            <v>1</v>
          </cell>
          <cell r="F282" t="str">
            <v>השיטור העירוני</v>
          </cell>
          <cell r="G282" t="str">
            <v xml:space="preserve"> </v>
          </cell>
        </row>
        <row r="283">
          <cell r="A283">
            <v>1281300220</v>
          </cell>
          <cell r="B283">
            <v>220</v>
          </cell>
          <cell r="C283">
            <v>281300</v>
          </cell>
          <cell r="D283">
            <v>1</v>
          </cell>
          <cell r="F283" t="str">
            <v>אגרת השיטור העירוני</v>
          </cell>
          <cell r="G283" t="str">
            <v>גמיש</v>
          </cell>
          <cell r="H283">
            <v>0.25405508474576277</v>
          </cell>
          <cell r="I283">
            <v>-14797850</v>
          </cell>
          <cell r="J283">
            <v>-11800000</v>
          </cell>
          <cell r="K283">
            <v>-5558053.8399999999</v>
          </cell>
          <cell r="L283">
            <v>-8236400</v>
          </cell>
          <cell r="M283">
            <v>-9023593.8900000006</v>
          </cell>
        </row>
        <row r="284">
          <cell r="A284">
            <v>1281300433</v>
          </cell>
          <cell r="B284">
            <v>433</v>
          </cell>
          <cell r="C284">
            <v>281300</v>
          </cell>
          <cell r="D284">
            <v>1</v>
          </cell>
          <cell r="F284" t="str">
            <v>הכנסות משנים קודמות</v>
          </cell>
          <cell r="G284" t="str">
            <v>גמיש</v>
          </cell>
          <cell r="H284">
            <v>0.11111111111111116</v>
          </cell>
          <cell r="I284">
            <v>-1000000</v>
          </cell>
          <cell r="J284">
            <v>-900000</v>
          </cell>
          <cell r="K284">
            <v>-768000</v>
          </cell>
          <cell r="L284">
            <v>-2700000</v>
          </cell>
          <cell r="M284">
            <v>0</v>
          </cell>
        </row>
        <row r="285">
          <cell r="A285" t="e">
            <v>#VALUE!</v>
          </cell>
          <cell r="B285" t="str">
            <v>281300  סך הכל</v>
          </cell>
          <cell r="F285" t="str">
            <v>השיטור העירוני</v>
          </cell>
          <cell r="H285">
            <v>0.24392519685039371</v>
          </cell>
          <cell r="I285">
            <v>-15797850</v>
          </cell>
          <cell r="J285">
            <v>-12700000</v>
          </cell>
          <cell r="K285">
            <v>-6326053.8399999999</v>
          </cell>
          <cell r="L285">
            <v>-10936400</v>
          </cell>
          <cell r="M285">
            <v>-9023593.8900000006</v>
          </cell>
        </row>
        <row r="286">
          <cell r="A286">
            <v>12820000</v>
          </cell>
          <cell r="B286">
            <v>0</v>
          </cell>
          <cell r="C286">
            <v>282000</v>
          </cell>
          <cell r="D286">
            <v>1</v>
          </cell>
          <cell r="F286" t="str">
            <v xml:space="preserve">בית המשפט העירוני </v>
          </cell>
          <cell r="G286" t="str">
            <v xml:space="preserve"> </v>
          </cell>
        </row>
        <row r="287">
          <cell r="A287">
            <v>1282000290</v>
          </cell>
          <cell r="B287">
            <v>290</v>
          </cell>
          <cell r="C287">
            <v>282000</v>
          </cell>
          <cell r="D287">
            <v>1</v>
          </cell>
          <cell r="F287" t="str">
            <v>אגרות אכיפה דרישה ראשונה</v>
          </cell>
          <cell r="G287" t="str">
            <v>גמיש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</row>
        <row r="288">
          <cell r="A288">
            <v>1282000291</v>
          </cell>
          <cell r="B288">
            <v>291</v>
          </cell>
          <cell r="C288">
            <v>282000</v>
          </cell>
          <cell r="D288">
            <v>1</v>
          </cell>
          <cell r="F288" t="str">
            <v>אגרות אכיפה דרישה שנייה</v>
          </cell>
          <cell r="G288" t="str">
            <v>גמיש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>
            <v>1282000690</v>
          </cell>
          <cell r="B289">
            <v>690</v>
          </cell>
          <cell r="C289">
            <v>282000</v>
          </cell>
          <cell r="D289">
            <v>1</v>
          </cell>
          <cell r="F289" t="str">
            <v xml:space="preserve">קנסות בית המשפט   </v>
          </cell>
          <cell r="G289" t="str">
            <v>גמיש</v>
          </cell>
          <cell r="H289">
            <v>-0.2857142857142857</v>
          </cell>
          <cell r="I289">
            <v>-1000000</v>
          </cell>
          <cell r="J289">
            <v>-1400000</v>
          </cell>
          <cell r="K289">
            <v>-539547.31999999995</v>
          </cell>
          <cell r="L289">
            <v>-2000000</v>
          </cell>
          <cell r="M289">
            <v>-948126.25</v>
          </cell>
        </row>
        <row r="290">
          <cell r="A290" t="e">
            <v>#VALUE!</v>
          </cell>
          <cell r="B290" t="str">
            <v>282000  סך הכל</v>
          </cell>
          <cell r="F290" t="str">
            <v xml:space="preserve">בית המשפט העירוני </v>
          </cell>
          <cell r="H290">
            <v>-0.2857142857142857</v>
          </cell>
          <cell r="I290">
            <v>-1000000</v>
          </cell>
          <cell r="J290">
            <v>-1400000</v>
          </cell>
          <cell r="K290">
            <v>-539547.31999999995</v>
          </cell>
          <cell r="L290">
            <v>-2000000</v>
          </cell>
          <cell r="M290">
            <v>-948126.25</v>
          </cell>
        </row>
        <row r="291">
          <cell r="A291">
            <v>13000000</v>
          </cell>
          <cell r="B291">
            <v>0</v>
          </cell>
          <cell r="C291">
            <v>300000</v>
          </cell>
          <cell r="D291">
            <v>1</v>
          </cell>
          <cell r="F291" t="str">
            <v xml:space="preserve">שרותים ממלכתיים   </v>
          </cell>
          <cell r="G291" t="str">
            <v xml:space="preserve"> </v>
          </cell>
        </row>
        <row r="292">
          <cell r="A292">
            <v>1311100410</v>
          </cell>
          <cell r="B292">
            <v>410</v>
          </cell>
          <cell r="C292">
            <v>311100</v>
          </cell>
          <cell r="D292">
            <v>1</v>
          </cell>
          <cell r="F292" t="str">
            <v>הכנסות מרכז טכנולוגי</v>
          </cell>
          <cell r="G292" t="str">
            <v>גמיש</v>
          </cell>
          <cell r="H292">
            <v>-1.2345679012345734E-2</v>
          </cell>
          <cell r="I292">
            <v>-40000</v>
          </cell>
          <cell r="J292">
            <v>-40500</v>
          </cell>
          <cell r="K292">
            <v>-26390</v>
          </cell>
          <cell r="L292">
            <v>-30000</v>
          </cell>
          <cell r="M292">
            <v>-34785</v>
          </cell>
        </row>
        <row r="293">
          <cell r="A293">
            <v>1311100420</v>
          </cell>
          <cell r="B293">
            <v>420</v>
          </cell>
          <cell r="C293">
            <v>311100</v>
          </cell>
          <cell r="D293">
            <v>1</v>
          </cell>
          <cell r="F293" t="str">
            <v>הכנ' בגין ילדי חוץ</v>
          </cell>
          <cell r="G293" t="str">
            <v>גמיש</v>
          </cell>
          <cell r="H293">
            <v>0.52631578947368429</v>
          </cell>
          <cell r="I293">
            <v>-580000</v>
          </cell>
          <cell r="J293">
            <v>-380000</v>
          </cell>
          <cell r="K293">
            <v>-56074.28</v>
          </cell>
          <cell r="L293">
            <v>-380000</v>
          </cell>
          <cell r="M293">
            <v>-581710.86</v>
          </cell>
        </row>
        <row r="294">
          <cell r="A294">
            <v>1311100421</v>
          </cell>
          <cell r="B294">
            <v>421</v>
          </cell>
          <cell r="C294">
            <v>311100</v>
          </cell>
          <cell r="D294">
            <v>1</v>
          </cell>
          <cell r="F294" t="str">
            <v>הכנסות שמ"ש</v>
          </cell>
          <cell r="G294" t="str">
            <v>גמיש</v>
          </cell>
          <cell r="H294">
            <v>-1</v>
          </cell>
          <cell r="I294">
            <v>0</v>
          </cell>
          <cell r="J294">
            <v>-200000</v>
          </cell>
          <cell r="K294">
            <v>-19456</v>
          </cell>
          <cell r="L294">
            <v>-200000</v>
          </cell>
          <cell r="M294">
            <v>-150640.5</v>
          </cell>
        </row>
        <row r="295">
          <cell r="A295">
            <v>1311100423</v>
          </cell>
          <cell r="B295">
            <v>423</v>
          </cell>
          <cell r="C295">
            <v>311100</v>
          </cell>
          <cell r="D295">
            <v>1</v>
          </cell>
          <cell r="F295" t="str">
            <v>מזנונים - אגף אירגון</v>
          </cell>
          <cell r="G295" t="str">
            <v>גמיש</v>
          </cell>
          <cell r="H295">
            <v>-0.1428571428571429</v>
          </cell>
          <cell r="I295">
            <v>-60000</v>
          </cell>
          <cell r="J295">
            <v>-70000</v>
          </cell>
          <cell r="K295">
            <v>-33285.32</v>
          </cell>
          <cell r="L295">
            <v>-50000</v>
          </cell>
          <cell r="M295">
            <v>-57011.23</v>
          </cell>
        </row>
        <row r="296">
          <cell r="A296">
            <v>1311100424</v>
          </cell>
          <cell r="B296">
            <v>424</v>
          </cell>
          <cell r="C296">
            <v>311100</v>
          </cell>
          <cell r="D296">
            <v>1</v>
          </cell>
          <cell r="F296" t="str">
            <v>מזנונים - בתי ספר</v>
          </cell>
          <cell r="G296" t="str">
            <v>גמיש</v>
          </cell>
          <cell r="H296">
            <v>-0.13793103448275867</v>
          </cell>
          <cell r="I296">
            <v>-500000</v>
          </cell>
          <cell r="J296">
            <v>-580000</v>
          </cell>
          <cell r="K296">
            <v>-299568.01</v>
          </cell>
          <cell r="L296">
            <v>-450000</v>
          </cell>
          <cell r="M296">
            <v>-437739.65</v>
          </cell>
        </row>
        <row r="297">
          <cell r="A297">
            <v>1311100425</v>
          </cell>
          <cell r="B297">
            <v>425</v>
          </cell>
          <cell r="C297">
            <v>311100</v>
          </cell>
          <cell r="D297">
            <v>1</v>
          </cell>
          <cell r="F297" t="str">
            <v>מחשב לכל ילד</v>
          </cell>
          <cell r="G297" t="str">
            <v>גמיש</v>
          </cell>
          <cell r="H297">
            <v>0</v>
          </cell>
          <cell r="I297">
            <v>-30000</v>
          </cell>
          <cell r="J297">
            <v>-30000</v>
          </cell>
          <cell r="K297">
            <v>-9720</v>
          </cell>
          <cell r="L297">
            <v>-40000</v>
          </cell>
          <cell r="M297">
            <v>-14040</v>
          </cell>
        </row>
        <row r="298">
          <cell r="A298">
            <v>1311100428</v>
          </cell>
          <cell r="B298">
            <v>428</v>
          </cell>
          <cell r="C298">
            <v>311100</v>
          </cell>
          <cell r="D298">
            <v>1</v>
          </cell>
          <cell r="F298" t="str">
            <v>הכנסות כנגד הוצאות</v>
          </cell>
          <cell r="G298" t="str">
            <v>גמיש</v>
          </cell>
          <cell r="H298">
            <v>-1</v>
          </cell>
          <cell r="I298">
            <v>0</v>
          </cell>
          <cell r="J298">
            <v>-1000000</v>
          </cell>
          <cell r="K298">
            <v>-135734.26</v>
          </cell>
          <cell r="L298">
            <v>-1000000</v>
          </cell>
          <cell r="M298">
            <v>-1406401.26</v>
          </cell>
        </row>
        <row r="299">
          <cell r="A299">
            <v>1311100429</v>
          </cell>
          <cell r="B299">
            <v>429</v>
          </cell>
          <cell r="C299">
            <v>311100</v>
          </cell>
          <cell r="D299">
            <v>1</v>
          </cell>
          <cell r="F299" t="str">
            <v>חדשנות - פעולות</v>
          </cell>
          <cell r="G299" t="str">
            <v>גמיש</v>
          </cell>
          <cell r="H299">
            <v>0</v>
          </cell>
          <cell r="I299">
            <v>-40000</v>
          </cell>
          <cell r="J299">
            <v>-40000</v>
          </cell>
          <cell r="K299">
            <v>0</v>
          </cell>
          <cell r="L299">
            <v>-30000</v>
          </cell>
          <cell r="M299">
            <v>-15250</v>
          </cell>
        </row>
        <row r="300">
          <cell r="A300">
            <v>1311100430</v>
          </cell>
          <cell r="B300">
            <v>430</v>
          </cell>
          <cell r="C300">
            <v>311100</v>
          </cell>
          <cell r="D300">
            <v>1</v>
          </cell>
          <cell r="F300" t="str">
            <v>חדשנות אתחלא-השכרת חדרים</v>
          </cell>
          <cell r="G300" t="str">
            <v>גמיש</v>
          </cell>
          <cell r="H300">
            <v>0</v>
          </cell>
          <cell r="I300">
            <v>-35000</v>
          </cell>
          <cell r="J300">
            <v>-35000</v>
          </cell>
          <cell r="K300">
            <v>-23650</v>
          </cell>
          <cell r="L300">
            <v>-35000</v>
          </cell>
          <cell r="M300">
            <v>-36550</v>
          </cell>
        </row>
        <row r="301">
          <cell r="A301">
            <v>1311100433</v>
          </cell>
          <cell r="B301">
            <v>433</v>
          </cell>
          <cell r="C301">
            <v>311100</v>
          </cell>
          <cell r="D301">
            <v>1</v>
          </cell>
          <cell r="F301" t="str">
            <v>הכנסות שנים קודמות-חינוך</v>
          </cell>
          <cell r="G301" t="str">
            <v>גמיש</v>
          </cell>
          <cell r="I301">
            <v>-1500000</v>
          </cell>
          <cell r="J301">
            <v>0</v>
          </cell>
          <cell r="K301">
            <v>-1184964</v>
          </cell>
          <cell r="L301">
            <v>0</v>
          </cell>
          <cell r="M301">
            <v>-1560171.2</v>
          </cell>
        </row>
        <row r="302">
          <cell r="A302">
            <v>1311100922</v>
          </cell>
          <cell r="B302">
            <v>922</v>
          </cell>
          <cell r="C302">
            <v>311100</v>
          </cell>
          <cell r="D302">
            <v>1</v>
          </cell>
          <cell r="F302" t="str">
            <v>השתת'מ'החנוך בקב"ס</v>
          </cell>
          <cell r="G302" t="str">
            <v>גמיש</v>
          </cell>
          <cell r="H302">
            <v>0.12811244979919678</v>
          </cell>
          <cell r="I302">
            <v>-1404500</v>
          </cell>
          <cell r="J302">
            <v>-1245000</v>
          </cell>
          <cell r="K302">
            <v>-843894.23</v>
          </cell>
          <cell r="L302">
            <v>-1258900</v>
          </cell>
          <cell r="M302">
            <v>-1253819.5</v>
          </cell>
        </row>
        <row r="303">
          <cell r="A303">
            <v>1311100924</v>
          </cell>
          <cell r="B303">
            <v>924</v>
          </cell>
          <cell r="C303">
            <v>311100</v>
          </cell>
          <cell r="D303">
            <v>1</v>
          </cell>
          <cell r="F303" t="str">
            <v xml:space="preserve">החזר גימלה        </v>
          </cell>
          <cell r="G303" t="str">
            <v>גמיש</v>
          </cell>
          <cell r="H303">
            <v>-0.25</v>
          </cell>
          <cell r="I303">
            <v>-600000</v>
          </cell>
          <cell r="J303">
            <v>-800000</v>
          </cell>
          <cell r="K303">
            <v>-36256.21</v>
          </cell>
          <cell r="L303">
            <v>-400000</v>
          </cell>
          <cell r="M303">
            <v>-417329.23</v>
          </cell>
        </row>
        <row r="304">
          <cell r="A304">
            <v>1311100929</v>
          </cell>
          <cell r="B304">
            <v>929</v>
          </cell>
          <cell r="C304">
            <v>311100</v>
          </cell>
          <cell r="D304">
            <v>1</v>
          </cell>
          <cell r="F304" t="str">
            <v>הכ' מש' החינוך-מרכז טכנולוגי</v>
          </cell>
          <cell r="G304" t="str">
            <v>גמיש</v>
          </cell>
          <cell r="H304">
            <v>0.5</v>
          </cell>
          <cell r="I304">
            <v>-2400000</v>
          </cell>
          <cell r="J304">
            <v>-1600000</v>
          </cell>
          <cell r="K304">
            <v>-1920000</v>
          </cell>
          <cell r="L304">
            <v>-2400000</v>
          </cell>
          <cell r="M304">
            <v>-228595</v>
          </cell>
        </row>
        <row r="305">
          <cell r="A305">
            <v>1311100930</v>
          </cell>
          <cell r="B305">
            <v>930</v>
          </cell>
          <cell r="C305">
            <v>311100</v>
          </cell>
          <cell r="D305">
            <v>1</v>
          </cell>
          <cell r="F305" t="str">
            <v>הכנסות מרכז טכנולוגי שנים קודמות</v>
          </cell>
          <cell r="G305" t="str">
            <v>גמיש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</row>
        <row r="306">
          <cell r="A306">
            <v>1311100937</v>
          </cell>
          <cell r="B306">
            <v>937</v>
          </cell>
          <cell r="C306">
            <v>311100</v>
          </cell>
          <cell r="D306">
            <v>1</v>
          </cell>
          <cell r="F306" t="str">
            <v>הכנסות מ. קודמות - מ.חינוך</v>
          </cell>
          <cell r="G306" t="str">
            <v>גמיש</v>
          </cell>
          <cell r="H306">
            <v>-0.125</v>
          </cell>
          <cell r="I306">
            <v>-3500000</v>
          </cell>
          <cell r="J306">
            <v>-4000000</v>
          </cell>
          <cell r="K306">
            <v>-2219280.85</v>
          </cell>
          <cell r="L306">
            <v>-2000000</v>
          </cell>
          <cell r="M306">
            <v>-20271161.309999999</v>
          </cell>
        </row>
        <row r="307">
          <cell r="A307">
            <v>1311100953</v>
          </cell>
          <cell r="B307">
            <v>953</v>
          </cell>
          <cell r="C307">
            <v>311100</v>
          </cell>
          <cell r="D307">
            <v>1</v>
          </cell>
          <cell r="F307" t="str">
            <v>מערכת גפ"ן</v>
          </cell>
          <cell r="G307" t="str">
            <v>גמיש</v>
          </cell>
          <cell r="H307">
            <v>1.2499999999999956E-2</v>
          </cell>
          <cell r="I307">
            <v>-4050000</v>
          </cell>
          <cell r="J307">
            <v>-4000000</v>
          </cell>
          <cell r="K307">
            <v>-2444162</v>
          </cell>
          <cell r="L307">
            <v>-3939400</v>
          </cell>
          <cell r="M307">
            <v>-3874006</v>
          </cell>
        </row>
        <row r="308">
          <cell r="A308" t="e">
            <v>#VALUE!</v>
          </cell>
          <cell r="B308" t="str">
            <v>311100  סך הכל</v>
          </cell>
          <cell r="F308" t="str">
            <v>מינהלת הח' הפורמלי</v>
          </cell>
          <cell r="H308">
            <v>5.1282051282051322E-2</v>
          </cell>
          <cell r="I308">
            <v>-14739500</v>
          </cell>
          <cell r="J308">
            <v>-14020500</v>
          </cell>
          <cell r="K308">
            <v>-9252435.1600000001</v>
          </cell>
          <cell r="L308">
            <v>-12213300</v>
          </cell>
          <cell r="M308">
            <v>-30339210.739999998</v>
          </cell>
        </row>
        <row r="309">
          <cell r="A309">
            <v>13112000</v>
          </cell>
          <cell r="B309">
            <v>0</v>
          </cell>
          <cell r="C309">
            <v>311200</v>
          </cell>
          <cell r="D309">
            <v>1</v>
          </cell>
          <cell r="F309" t="str">
            <v>יוזמות פדגוגיות</v>
          </cell>
          <cell r="G309" t="str">
            <v xml:space="preserve"> </v>
          </cell>
        </row>
        <row r="310">
          <cell r="A310">
            <v>1311200410</v>
          </cell>
          <cell r="B310">
            <v>410</v>
          </cell>
          <cell r="C310">
            <v>311200</v>
          </cell>
          <cell r="D310">
            <v>1</v>
          </cell>
          <cell r="F310" t="str">
            <v xml:space="preserve">הכנסות הורים - רש"י </v>
          </cell>
          <cell r="G310" t="str">
            <v>גמיש</v>
          </cell>
          <cell r="I310">
            <v>0</v>
          </cell>
          <cell r="J310">
            <v>0</v>
          </cell>
          <cell r="K310">
            <v>0</v>
          </cell>
          <cell r="L310">
            <v>-89000</v>
          </cell>
          <cell r="M310">
            <v>0</v>
          </cell>
        </row>
        <row r="311">
          <cell r="A311">
            <v>1311200421</v>
          </cell>
          <cell r="B311">
            <v>421</v>
          </cell>
          <cell r="C311">
            <v>311200</v>
          </cell>
          <cell r="D311">
            <v>1</v>
          </cell>
          <cell r="F311" t="str">
            <v xml:space="preserve">קרן קרב           </v>
          </cell>
          <cell r="G311" t="str">
            <v>גמיש</v>
          </cell>
          <cell r="I311">
            <v>0</v>
          </cell>
          <cell r="J311">
            <v>0</v>
          </cell>
          <cell r="K311">
            <v>-7827.65</v>
          </cell>
          <cell r="L311">
            <v>0</v>
          </cell>
          <cell r="M311">
            <v>-17486.46</v>
          </cell>
        </row>
        <row r="312">
          <cell r="A312">
            <v>1311200929</v>
          </cell>
          <cell r="B312">
            <v>929</v>
          </cell>
          <cell r="C312">
            <v>311200</v>
          </cell>
          <cell r="D312">
            <v>1</v>
          </cell>
          <cell r="F312" t="str">
            <v>עיר פעילה ובריאה</v>
          </cell>
          <cell r="G312" t="str">
            <v>גמיש</v>
          </cell>
          <cell r="H312">
            <v>-1</v>
          </cell>
          <cell r="I312">
            <v>0</v>
          </cell>
          <cell r="J312">
            <v>-134000</v>
          </cell>
          <cell r="K312">
            <v>0</v>
          </cell>
          <cell r="L312">
            <v>-134000</v>
          </cell>
          <cell r="M312">
            <v>0</v>
          </cell>
        </row>
        <row r="313">
          <cell r="A313" t="e">
            <v>#VALUE!</v>
          </cell>
          <cell r="B313" t="str">
            <v>311200  סך הכל</v>
          </cell>
          <cell r="F313" t="str">
            <v>יוזמות פדגוגיות</v>
          </cell>
          <cell r="H313">
            <v>-1</v>
          </cell>
          <cell r="I313">
            <v>0</v>
          </cell>
          <cell r="J313">
            <v>-134000</v>
          </cell>
          <cell r="K313">
            <v>-7827.65</v>
          </cell>
          <cell r="L313">
            <v>-223000</v>
          </cell>
          <cell r="M313">
            <v>-17486.46</v>
          </cell>
        </row>
        <row r="314">
          <cell r="A314">
            <v>13113000</v>
          </cell>
          <cell r="B314">
            <v>0</v>
          </cell>
          <cell r="C314">
            <v>311300</v>
          </cell>
          <cell r="D314">
            <v>1</v>
          </cell>
          <cell r="F314" t="str">
            <v>יוזמות מינהל חינוך</v>
          </cell>
          <cell r="G314" t="str">
            <v xml:space="preserve"> </v>
          </cell>
        </row>
        <row r="315">
          <cell r="A315">
            <v>1311300482</v>
          </cell>
          <cell r="B315">
            <v>482</v>
          </cell>
          <cell r="C315">
            <v>311300</v>
          </cell>
          <cell r="D315">
            <v>1</v>
          </cell>
          <cell r="F315" t="str">
            <v>יוזמות מהכנסות תלמידי חוץ</v>
          </cell>
          <cell r="G315" t="str">
            <v>גמיש</v>
          </cell>
          <cell r="H315">
            <v>0.62000000000000011</v>
          </cell>
          <cell r="I315">
            <v>-97200</v>
          </cell>
          <cell r="J315">
            <v>-60000</v>
          </cell>
          <cell r="K315">
            <v>0</v>
          </cell>
          <cell r="L315">
            <v>-120000</v>
          </cell>
          <cell r="M315">
            <v>-59600</v>
          </cell>
        </row>
        <row r="316">
          <cell r="A316" t="e">
            <v>#VALUE!</v>
          </cell>
          <cell r="B316" t="str">
            <v>311300  סך הכל</v>
          </cell>
          <cell r="F316" t="str">
            <v>יוזמות מינהל חינוך</v>
          </cell>
          <cell r="H316">
            <v>0.62000000000000011</v>
          </cell>
          <cell r="I316">
            <v>-97200</v>
          </cell>
          <cell r="J316">
            <v>-60000</v>
          </cell>
          <cell r="K316">
            <v>0</v>
          </cell>
          <cell r="L316">
            <v>-120000</v>
          </cell>
          <cell r="M316">
            <v>-59600</v>
          </cell>
        </row>
        <row r="317">
          <cell r="A317">
            <v>13113040</v>
          </cell>
          <cell r="B317">
            <v>0</v>
          </cell>
          <cell r="C317">
            <v>311304</v>
          </cell>
          <cell r="D317">
            <v>1</v>
          </cell>
          <cell r="F317" t="str">
            <v>יוזמות גנ"י</v>
          </cell>
          <cell r="G317" t="str">
            <v xml:space="preserve"> </v>
          </cell>
        </row>
        <row r="318">
          <cell r="A318">
            <v>1311304420</v>
          </cell>
          <cell r="B318">
            <v>420</v>
          </cell>
          <cell r="C318">
            <v>311304</v>
          </cell>
          <cell r="D318">
            <v>1</v>
          </cell>
          <cell r="F318" t="str">
            <v>הכנסות עבור יוזמות גנ"י</v>
          </cell>
          <cell r="G318" t="str">
            <v>גמיש</v>
          </cell>
          <cell r="I318">
            <v>0</v>
          </cell>
          <cell r="J318">
            <v>0</v>
          </cell>
          <cell r="K318">
            <v>-213760</v>
          </cell>
          <cell r="L318">
            <v>-100000</v>
          </cell>
          <cell r="M318">
            <v>0</v>
          </cell>
        </row>
        <row r="319">
          <cell r="A319" t="e">
            <v>#VALUE!</v>
          </cell>
          <cell r="B319" t="str">
            <v>311304  סך הכל</v>
          </cell>
          <cell r="F319" t="str">
            <v>יוזמות גנ"י</v>
          </cell>
          <cell r="I319">
            <v>0</v>
          </cell>
          <cell r="J319">
            <v>0</v>
          </cell>
          <cell r="K319">
            <v>-213760</v>
          </cell>
          <cell r="L319">
            <v>-100000</v>
          </cell>
          <cell r="M319">
            <v>0</v>
          </cell>
        </row>
        <row r="320">
          <cell r="A320">
            <v>13113050</v>
          </cell>
          <cell r="B320">
            <v>0</v>
          </cell>
          <cell r="C320">
            <v>311305</v>
          </cell>
          <cell r="D320">
            <v>1</v>
          </cell>
          <cell r="F320" t="str">
            <v>יוזמות יסודי</v>
          </cell>
          <cell r="G320" t="str">
            <v xml:space="preserve"> </v>
          </cell>
        </row>
        <row r="321">
          <cell r="A321">
            <v>1311305410</v>
          </cell>
          <cell r="B321">
            <v>410</v>
          </cell>
          <cell r="C321">
            <v>311305</v>
          </cell>
          <cell r="D321">
            <v>1</v>
          </cell>
          <cell r="F321" t="str">
            <v>הכנסות מרכז מצטיינים</v>
          </cell>
          <cell r="G321" t="str">
            <v>גמיש</v>
          </cell>
          <cell r="H321">
            <v>0.28000000000000003</v>
          </cell>
          <cell r="I321">
            <v>-192000</v>
          </cell>
          <cell r="J321">
            <v>-150000</v>
          </cell>
          <cell r="K321">
            <v>-13414</v>
          </cell>
          <cell r="L321">
            <v>-120000</v>
          </cell>
          <cell r="M321">
            <v>-191809</v>
          </cell>
        </row>
        <row r="322">
          <cell r="A322" t="e">
            <v>#VALUE!</v>
          </cell>
          <cell r="B322" t="str">
            <v>311305  סך הכל</v>
          </cell>
          <cell r="F322" t="str">
            <v>יוזמות יסודי</v>
          </cell>
          <cell r="H322">
            <v>0.28000000000000003</v>
          </cell>
          <cell r="I322">
            <v>-192000</v>
          </cell>
          <cell r="J322">
            <v>-150000</v>
          </cell>
          <cell r="K322">
            <v>-13414</v>
          </cell>
          <cell r="L322">
            <v>-120000</v>
          </cell>
          <cell r="M322">
            <v>-191809</v>
          </cell>
        </row>
        <row r="323">
          <cell r="A323">
            <v>13114000</v>
          </cell>
          <cell r="B323">
            <v>0</v>
          </cell>
          <cell r="C323">
            <v>311400</v>
          </cell>
          <cell r="D323">
            <v>1</v>
          </cell>
          <cell r="F323" t="str">
            <v>מניעת אלימות וסמים</v>
          </cell>
          <cell r="G323" t="str">
            <v xml:space="preserve"> </v>
          </cell>
        </row>
        <row r="324">
          <cell r="A324">
            <v>1311400920</v>
          </cell>
          <cell r="B324">
            <v>920</v>
          </cell>
          <cell r="C324">
            <v>311400</v>
          </cell>
          <cell r="D324">
            <v>1</v>
          </cell>
          <cell r="F324" t="str">
            <v>משרד החינוך</v>
          </cell>
          <cell r="G324" t="str">
            <v>גמיש</v>
          </cell>
          <cell r="H324">
            <v>-1</v>
          </cell>
          <cell r="I324">
            <v>0</v>
          </cell>
          <cell r="J324">
            <v>-16000</v>
          </cell>
          <cell r="K324">
            <v>-10571</v>
          </cell>
          <cell r="L324">
            <v>0</v>
          </cell>
          <cell r="M324">
            <v>0</v>
          </cell>
        </row>
        <row r="325">
          <cell r="A325">
            <v>1311400937</v>
          </cell>
          <cell r="B325">
            <v>937</v>
          </cell>
          <cell r="C325">
            <v>311400</v>
          </cell>
          <cell r="D325">
            <v>1</v>
          </cell>
          <cell r="F325" t="str">
            <v>הכנסות משנים קודמות</v>
          </cell>
          <cell r="G325" t="str">
            <v>גמיש</v>
          </cell>
          <cell r="H325">
            <v>-1</v>
          </cell>
          <cell r="I325">
            <v>0</v>
          </cell>
          <cell r="J325">
            <v>-250000</v>
          </cell>
          <cell r="K325">
            <v>-367633</v>
          </cell>
          <cell r="L325">
            <v>0</v>
          </cell>
          <cell r="M325">
            <v>-203819</v>
          </cell>
        </row>
        <row r="326">
          <cell r="A326">
            <v>1311400990</v>
          </cell>
          <cell r="B326">
            <v>990</v>
          </cell>
          <cell r="C326">
            <v>311400</v>
          </cell>
          <cell r="D326">
            <v>1</v>
          </cell>
          <cell r="F326" t="str">
            <v>המשרד לביטחון פנים</v>
          </cell>
          <cell r="G326" t="str">
            <v>גמיש</v>
          </cell>
          <cell r="H326">
            <v>-1</v>
          </cell>
          <cell r="I326">
            <v>0</v>
          </cell>
          <cell r="J326">
            <v>-759000</v>
          </cell>
          <cell r="K326">
            <v>0</v>
          </cell>
          <cell r="L326">
            <v>-1610600</v>
          </cell>
          <cell r="M326">
            <v>-626695</v>
          </cell>
        </row>
        <row r="327">
          <cell r="A327" t="e">
            <v>#VALUE!</v>
          </cell>
          <cell r="B327" t="str">
            <v>311400  סך הכל</v>
          </cell>
          <cell r="F327" t="str">
            <v>מניעת אלימות וסמים</v>
          </cell>
          <cell r="H327">
            <v>-1</v>
          </cell>
          <cell r="I327">
            <v>0</v>
          </cell>
          <cell r="J327">
            <v>-1025000</v>
          </cell>
          <cell r="K327">
            <v>-378204</v>
          </cell>
          <cell r="L327">
            <v>-1610600</v>
          </cell>
          <cell r="M327">
            <v>-830514</v>
          </cell>
        </row>
        <row r="328">
          <cell r="A328">
            <v>13120000</v>
          </cell>
          <cell r="B328">
            <v>0</v>
          </cell>
          <cell r="C328">
            <v>312000</v>
          </cell>
          <cell r="D328">
            <v>1</v>
          </cell>
          <cell r="F328" t="str">
            <v xml:space="preserve">חינוך קדם יסודי   </v>
          </cell>
          <cell r="G328" t="str">
            <v xml:space="preserve"> </v>
          </cell>
        </row>
        <row r="329">
          <cell r="A329">
            <v>1312200312</v>
          </cell>
          <cell r="B329">
            <v>312</v>
          </cell>
          <cell r="C329">
            <v>312200</v>
          </cell>
          <cell r="D329">
            <v>1</v>
          </cell>
          <cell r="F329" t="str">
            <v>מסיבות כיתתיות</v>
          </cell>
          <cell r="G329" t="str">
            <v>גמיש</v>
          </cell>
          <cell r="H329">
            <v>0</v>
          </cell>
          <cell r="I329">
            <v>-150000</v>
          </cell>
          <cell r="J329">
            <v>-150000</v>
          </cell>
          <cell r="K329">
            <v>-94416</v>
          </cell>
          <cell r="L329">
            <v>-58600</v>
          </cell>
          <cell r="M329">
            <v>-135288</v>
          </cell>
        </row>
        <row r="330">
          <cell r="A330">
            <v>1312200491</v>
          </cell>
          <cell r="B330">
            <v>491</v>
          </cell>
          <cell r="C330">
            <v>312200</v>
          </cell>
          <cell r="D330">
            <v>1</v>
          </cell>
          <cell r="F330" t="str">
            <v>סל תרבות</v>
          </cell>
          <cell r="G330" t="str">
            <v>גמיש</v>
          </cell>
          <cell r="H330">
            <v>0</v>
          </cell>
          <cell r="I330">
            <v>-450000</v>
          </cell>
          <cell r="J330">
            <v>-450000</v>
          </cell>
          <cell r="K330">
            <v>-264686.59999999998</v>
          </cell>
          <cell r="L330">
            <v>-505400</v>
          </cell>
          <cell r="M330">
            <v>-438822.97</v>
          </cell>
        </row>
        <row r="331">
          <cell r="A331">
            <v>1312200920</v>
          </cell>
          <cell r="B331">
            <v>920</v>
          </cell>
          <cell r="C331">
            <v>312200</v>
          </cell>
          <cell r="D331">
            <v>1</v>
          </cell>
          <cell r="F331" t="str">
            <v>הש' מ'חינוך-רכישות</v>
          </cell>
          <cell r="G331" t="str">
            <v>גמיש</v>
          </cell>
          <cell r="I331">
            <v>0</v>
          </cell>
          <cell r="J331">
            <v>0</v>
          </cell>
          <cell r="K331">
            <v>0</v>
          </cell>
          <cell r="L331">
            <v>-30000</v>
          </cell>
          <cell r="M331">
            <v>0</v>
          </cell>
        </row>
        <row r="332">
          <cell r="A332">
            <v>1312200921</v>
          </cell>
          <cell r="B332">
            <v>921</v>
          </cell>
          <cell r="C332">
            <v>312200</v>
          </cell>
          <cell r="D332">
            <v>1</v>
          </cell>
          <cell r="F332" t="str">
            <v xml:space="preserve">עוזרות לגננות     </v>
          </cell>
          <cell r="G332" t="str">
            <v>גמיש</v>
          </cell>
          <cell r="H332">
            <v>-0.19999999999999996</v>
          </cell>
          <cell r="I332">
            <v>-20000000</v>
          </cell>
          <cell r="J332">
            <v>-25000000</v>
          </cell>
          <cell r="K332">
            <v>-12055238.109999999</v>
          </cell>
          <cell r="L332">
            <v>-22000000</v>
          </cell>
          <cell r="M332">
            <v>-21029625.57</v>
          </cell>
        </row>
        <row r="333">
          <cell r="A333">
            <v>1312200944</v>
          </cell>
          <cell r="B333">
            <v>944</v>
          </cell>
          <cell r="C333">
            <v>312200</v>
          </cell>
          <cell r="D333">
            <v>1</v>
          </cell>
          <cell r="F333" t="str">
            <v>מעונות יום ממונה + הדרכה</v>
          </cell>
          <cell r="G333" t="str">
            <v>גמיש</v>
          </cell>
          <cell r="H333">
            <v>-2.947761194029852E-2</v>
          </cell>
          <cell r="I333">
            <v>-1820700</v>
          </cell>
          <cell r="J333">
            <v>-1876000</v>
          </cell>
          <cell r="K333">
            <v>-728258.23</v>
          </cell>
          <cell r="L333">
            <v>0</v>
          </cell>
          <cell r="M333">
            <v>0</v>
          </cell>
        </row>
        <row r="334">
          <cell r="A334" t="e">
            <v>#VALUE!</v>
          </cell>
          <cell r="B334" t="str">
            <v>312200  סך הכל</v>
          </cell>
          <cell r="F334" t="str">
            <v xml:space="preserve">גנ"י לגיל חובה    </v>
          </cell>
          <cell r="H334">
            <v>-0.18398966370650749</v>
          </cell>
          <cell r="I334">
            <v>-22420700</v>
          </cell>
          <cell r="J334">
            <v>-27476000</v>
          </cell>
          <cell r="K334">
            <v>-13142598.939999999</v>
          </cell>
          <cell r="L334">
            <v>-22594000</v>
          </cell>
          <cell r="M334">
            <v>-21603736.539999999</v>
          </cell>
        </row>
        <row r="335">
          <cell r="A335">
            <v>13122100</v>
          </cell>
          <cell r="B335">
            <v>0</v>
          </cell>
          <cell r="C335">
            <v>312210</v>
          </cell>
          <cell r="D335">
            <v>1</v>
          </cell>
          <cell r="F335" t="str">
            <v>גנ"י - חינוך מיוחד</v>
          </cell>
          <cell r="G335" t="str">
            <v xml:space="preserve"> </v>
          </cell>
        </row>
        <row r="336">
          <cell r="A336">
            <v>1312210920</v>
          </cell>
          <cell r="B336">
            <v>920</v>
          </cell>
          <cell r="C336">
            <v>312210</v>
          </cell>
          <cell r="D336">
            <v>1</v>
          </cell>
          <cell r="F336" t="str">
            <v>השת'מ'חינוך-רכישות</v>
          </cell>
          <cell r="G336" t="str">
            <v>גמיש</v>
          </cell>
          <cell r="H336">
            <v>1</v>
          </cell>
          <cell r="I336">
            <v>-40000</v>
          </cell>
          <cell r="J336">
            <v>-20000</v>
          </cell>
          <cell r="K336">
            <v>0</v>
          </cell>
          <cell r="L336">
            <v>-20000</v>
          </cell>
          <cell r="M336">
            <v>-37689.43</v>
          </cell>
        </row>
        <row r="337">
          <cell r="A337">
            <v>1312210922</v>
          </cell>
          <cell r="B337">
            <v>922</v>
          </cell>
          <cell r="C337">
            <v>312210</v>
          </cell>
          <cell r="D337">
            <v>1</v>
          </cell>
          <cell r="F337" t="str">
            <v xml:space="preserve">השתתפות בהזנה     </v>
          </cell>
          <cell r="G337" t="str">
            <v>גמיש</v>
          </cell>
          <cell r="H337">
            <v>0.26991150442477885</v>
          </cell>
          <cell r="I337">
            <v>-1148000</v>
          </cell>
          <cell r="J337">
            <v>-904000</v>
          </cell>
          <cell r="K337">
            <v>-630442.04</v>
          </cell>
          <cell r="L337">
            <v>-897200</v>
          </cell>
          <cell r="M337">
            <v>-973720.39</v>
          </cell>
        </row>
        <row r="338">
          <cell r="A338">
            <v>1312210924</v>
          </cell>
          <cell r="B338">
            <v>924</v>
          </cell>
          <cell r="C338">
            <v>312210</v>
          </cell>
          <cell r="D338">
            <v>1</v>
          </cell>
          <cell r="F338" t="str">
            <v>חינוך מיוחד-חופשות</v>
          </cell>
          <cell r="G338" t="str">
            <v>גמיש</v>
          </cell>
          <cell r="H338">
            <v>0.20487396965714977</v>
          </cell>
          <cell r="I338">
            <v>-2017200</v>
          </cell>
          <cell r="J338">
            <v>-1674200</v>
          </cell>
          <cell r="K338">
            <v>-631103.81999999995</v>
          </cell>
          <cell r="L338">
            <v>-1674200</v>
          </cell>
          <cell r="M338">
            <v>-1632248.1</v>
          </cell>
        </row>
        <row r="339">
          <cell r="A339">
            <v>1312210928</v>
          </cell>
          <cell r="B339">
            <v>928</v>
          </cell>
          <cell r="C339">
            <v>312210</v>
          </cell>
          <cell r="D339">
            <v>1</v>
          </cell>
          <cell r="F339" t="str">
            <v>שרותי הקף - יול"א ח.מ</v>
          </cell>
          <cell r="G339" t="str">
            <v>גמיש</v>
          </cell>
          <cell r="H339">
            <v>0.11486849168008595</v>
          </cell>
          <cell r="I339">
            <v>-415400</v>
          </cell>
          <cell r="J339">
            <v>-372600</v>
          </cell>
          <cell r="K339">
            <v>-249204</v>
          </cell>
          <cell r="L339">
            <v>-393500</v>
          </cell>
          <cell r="M339">
            <v>-389108</v>
          </cell>
        </row>
        <row r="340">
          <cell r="A340" t="e">
            <v>#VALUE!</v>
          </cell>
          <cell r="B340" t="str">
            <v>312210  סך הכל</v>
          </cell>
          <cell r="F340" t="str">
            <v>גנ"י - חינוך מיוחד</v>
          </cell>
          <cell r="H340">
            <v>0.21872896189578572</v>
          </cell>
          <cell r="I340">
            <v>-3620600</v>
          </cell>
          <cell r="J340">
            <v>-2970800</v>
          </cell>
          <cell r="K340">
            <v>-1510749.8599999999</v>
          </cell>
          <cell r="L340">
            <v>-2984900</v>
          </cell>
          <cell r="M340">
            <v>-3032765.92</v>
          </cell>
        </row>
        <row r="341">
          <cell r="A341">
            <v>13123000</v>
          </cell>
          <cell r="B341">
            <v>0</v>
          </cell>
          <cell r="C341">
            <v>312300</v>
          </cell>
          <cell r="D341">
            <v>1</v>
          </cell>
          <cell r="F341" t="str">
            <v xml:space="preserve">גני ילדים         </v>
          </cell>
          <cell r="G341" t="str">
            <v xml:space="preserve"> </v>
          </cell>
        </row>
        <row r="342">
          <cell r="A342">
            <v>1312300410</v>
          </cell>
          <cell r="B342">
            <v>410</v>
          </cell>
          <cell r="C342">
            <v>312300</v>
          </cell>
          <cell r="D342">
            <v>1</v>
          </cell>
          <cell r="F342" t="str">
            <v xml:space="preserve">שכ"ל גני ילדים    </v>
          </cell>
          <cell r="G342" t="str">
            <v>גמיש</v>
          </cell>
          <cell r="H342">
            <v>-1</v>
          </cell>
          <cell r="I342">
            <v>0</v>
          </cell>
          <cell r="J342">
            <v>-100000</v>
          </cell>
          <cell r="K342">
            <v>-2890.42</v>
          </cell>
          <cell r="L342">
            <v>-100000</v>
          </cell>
          <cell r="M342">
            <v>-69608.539999999994</v>
          </cell>
        </row>
        <row r="343">
          <cell r="A343">
            <v>1312300921</v>
          </cell>
          <cell r="B343">
            <v>921</v>
          </cell>
          <cell r="C343">
            <v>312300</v>
          </cell>
          <cell r="D343">
            <v>1</v>
          </cell>
          <cell r="F343" t="str">
            <v>החזר שכל"מ ממשלה</v>
          </cell>
          <cell r="G343" t="str">
            <v>קשיח</v>
          </cell>
          <cell r="H343">
            <v>-5.2238333333333387E-2</v>
          </cell>
          <cell r="I343">
            <v>-56865700</v>
          </cell>
          <cell r="J343">
            <v>-60000000</v>
          </cell>
          <cell r="K343">
            <v>-32051174.100000001</v>
          </cell>
          <cell r="L343">
            <v>-58000000</v>
          </cell>
          <cell r="M343">
            <v>-55828914.469999999</v>
          </cell>
        </row>
        <row r="344">
          <cell r="A344">
            <v>1312300922</v>
          </cell>
          <cell r="B344">
            <v>922</v>
          </cell>
          <cell r="C344">
            <v>312300</v>
          </cell>
          <cell r="D344">
            <v>1</v>
          </cell>
          <cell r="F344" t="str">
            <v>סייעת שניה לגילאי  3-4</v>
          </cell>
          <cell r="G344" t="str">
            <v>גמיש</v>
          </cell>
          <cell r="H344">
            <v>-0.14162857142857144</v>
          </cell>
          <cell r="I344">
            <v>-6008600</v>
          </cell>
          <cell r="J344">
            <v>-7000000</v>
          </cell>
          <cell r="K344">
            <v>-3141023.21</v>
          </cell>
          <cell r="L344">
            <v>-12000000</v>
          </cell>
          <cell r="M344">
            <v>-6149517.3600000003</v>
          </cell>
        </row>
        <row r="345">
          <cell r="A345">
            <v>1312300923</v>
          </cell>
          <cell r="B345">
            <v>923</v>
          </cell>
          <cell r="C345">
            <v>312300</v>
          </cell>
          <cell r="D345">
            <v>1</v>
          </cell>
          <cell r="F345" t="str">
            <v>העשרת הסביבה</v>
          </cell>
          <cell r="G345" t="str">
            <v>גמיש</v>
          </cell>
          <cell r="H345">
            <v>-1</v>
          </cell>
          <cell r="I345">
            <v>0</v>
          </cell>
          <cell r="J345">
            <v>-133000</v>
          </cell>
          <cell r="K345">
            <v>0</v>
          </cell>
          <cell r="L345">
            <v>-142000</v>
          </cell>
          <cell r="M345">
            <v>0</v>
          </cell>
        </row>
        <row r="346">
          <cell r="A346" t="e">
            <v>#VALUE!</v>
          </cell>
          <cell r="B346" t="str">
            <v>312300  סך הכל</v>
          </cell>
          <cell r="F346" t="str">
            <v xml:space="preserve">גני ילדים         </v>
          </cell>
          <cell r="H346">
            <v>-6.4829771094551791E-2</v>
          </cell>
          <cell r="I346">
            <v>-62874300</v>
          </cell>
          <cell r="J346">
            <v>-67233000</v>
          </cell>
          <cell r="K346">
            <v>-35195087.730000004</v>
          </cell>
          <cell r="L346">
            <v>-70242000</v>
          </cell>
          <cell r="M346">
            <v>-62048040.369999997</v>
          </cell>
        </row>
        <row r="347">
          <cell r="A347">
            <v>13123300</v>
          </cell>
          <cell r="B347">
            <v>0</v>
          </cell>
          <cell r="C347">
            <v>312330</v>
          </cell>
          <cell r="D347">
            <v>1</v>
          </cell>
          <cell r="F347" t="str">
            <v xml:space="preserve">בגובה העיניים     </v>
          </cell>
          <cell r="G347" t="str">
            <v xml:space="preserve"> </v>
          </cell>
        </row>
        <row r="348">
          <cell r="A348">
            <v>1312330493</v>
          </cell>
          <cell r="B348">
            <v>493</v>
          </cell>
          <cell r="C348">
            <v>312330</v>
          </cell>
          <cell r="D348">
            <v>1</v>
          </cell>
          <cell r="F348" t="str">
            <v xml:space="preserve">בגובה העיניים     </v>
          </cell>
          <cell r="G348" t="str">
            <v>גמיש</v>
          </cell>
          <cell r="H348">
            <v>-0.25</v>
          </cell>
          <cell r="I348">
            <v>-150000</v>
          </cell>
          <cell r="J348">
            <v>-200000</v>
          </cell>
          <cell r="K348">
            <v>-47949.3</v>
          </cell>
          <cell r="L348">
            <v>-250000</v>
          </cell>
          <cell r="M348">
            <v>-212486.25</v>
          </cell>
        </row>
        <row r="349">
          <cell r="A349" t="e">
            <v>#VALUE!</v>
          </cell>
          <cell r="B349" t="str">
            <v>312330  סך הכל</v>
          </cell>
          <cell r="F349" t="str">
            <v xml:space="preserve">בגובה העיניים     </v>
          </cell>
          <cell r="H349">
            <v>-0.25</v>
          </cell>
          <cell r="I349">
            <v>-150000</v>
          </cell>
          <cell r="J349">
            <v>-200000</v>
          </cell>
          <cell r="K349">
            <v>-47949.3</v>
          </cell>
          <cell r="L349">
            <v>-250000</v>
          </cell>
          <cell r="M349">
            <v>-212486.25</v>
          </cell>
        </row>
        <row r="350">
          <cell r="A350">
            <v>13123600</v>
          </cell>
          <cell r="B350">
            <v>0</v>
          </cell>
          <cell r="C350">
            <v>312360</v>
          </cell>
          <cell r="D350">
            <v>1</v>
          </cell>
          <cell r="F350" t="str">
            <v xml:space="preserve">ריתמוסיקה         </v>
          </cell>
          <cell r="G350" t="str">
            <v xml:space="preserve"> </v>
          </cell>
        </row>
        <row r="351">
          <cell r="A351">
            <v>1312360495</v>
          </cell>
          <cell r="B351">
            <v>495</v>
          </cell>
          <cell r="C351">
            <v>312360</v>
          </cell>
          <cell r="D351">
            <v>1</v>
          </cell>
          <cell r="F351" t="str">
            <v xml:space="preserve">ריתמוסיקה         </v>
          </cell>
          <cell r="G351" t="str">
            <v>גמיש</v>
          </cell>
          <cell r="H351">
            <v>0.17142857142857149</v>
          </cell>
          <cell r="I351">
            <v>-4100000</v>
          </cell>
          <cell r="J351">
            <v>-3500000</v>
          </cell>
          <cell r="K351">
            <v>-928582.78</v>
          </cell>
          <cell r="L351">
            <v>-3500000</v>
          </cell>
          <cell r="M351">
            <v>-4127928.99</v>
          </cell>
        </row>
        <row r="352">
          <cell r="A352" t="e">
            <v>#VALUE!</v>
          </cell>
          <cell r="B352" t="str">
            <v>312360  סך הכל</v>
          </cell>
          <cell r="F352" t="str">
            <v xml:space="preserve">ריתמוסיקה         </v>
          </cell>
          <cell r="H352">
            <v>0.17142857142857149</v>
          </cell>
          <cell r="I352">
            <v>-4100000</v>
          </cell>
          <cell r="J352">
            <v>-3500000</v>
          </cell>
          <cell r="K352">
            <v>-928582.78</v>
          </cell>
          <cell r="L352">
            <v>-3500000</v>
          </cell>
          <cell r="M352">
            <v>-4127928.99</v>
          </cell>
        </row>
        <row r="353">
          <cell r="A353">
            <v>13123700</v>
          </cell>
          <cell r="B353">
            <v>0</v>
          </cell>
          <cell r="C353">
            <v>312370</v>
          </cell>
          <cell r="D353">
            <v>1</v>
          </cell>
          <cell r="F353" t="str">
            <v>תיאטרון בובות</v>
          </cell>
          <cell r="G353" t="str">
            <v xml:space="preserve"> </v>
          </cell>
        </row>
        <row r="354">
          <cell r="A354">
            <v>1312370493</v>
          </cell>
          <cell r="B354">
            <v>493</v>
          </cell>
          <cell r="C354">
            <v>312370</v>
          </cell>
          <cell r="D354">
            <v>1</v>
          </cell>
          <cell r="F354" t="str">
            <v>תוכנית העשרה</v>
          </cell>
          <cell r="G354" t="str">
            <v>גמיש</v>
          </cell>
          <cell r="I354">
            <v>-220000</v>
          </cell>
          <cell r="J354">
            <v>0</v>
          </cell>
          <cell r="K354">
            <v>-48103.76</v>
          </cell>
          <cell r="L354">
            <v>-250000</v>
          </cell>
          <cell r="M354">
            <v>-212070.77</v>
          </cell>
        </row>
        <row r="355">
          <cell r="A355" t="e">
            <v>#VALUE!</v>
          </cell>
          <cell r="B355" t="str">
            <v>312370  סך הכל</v>
          </cell>
          <cell r="F355" t="str">
            <v xml:space="preserve">תיאטרון בובות         </v>
          </cell>
          <cell r="I355">
            <v>-220000</v>
          </cell>
          <cell r="J355">
            <v>0</v>
          </cell>
          <cell r="K355">
            <v>-48103.76</v>
          </cell>
          <cell r="L355">
            <v>-250000</v>
          </cell>
          <cell r="M355">
            <v>-212070.77</v>
          </cell>
        </row>
        <row r="356">
          <cell r="A356">
            <v>13125000</v>
          </cell>
          <cell r="B356">
            <v>0</v>
          </cell>
          <cell r="C356">
            <v>312500</v>
          </cell>
          <cell r="D356">
            <v>1</v>
          </cell>
          <cell r="F356" t="str">
            <v xml:space="preserve">יול"א בגני חובה   </v>
          </cell>
          <cell r="G356" t="str">
            <v xml:space="preserve"> </v>
          </cell>
        </row>
        <row r="357">
          <cell r="A357">
            <v>1312500410</v>
          </cell>
          <cell r="B357">
            <v>410</v>
          </cell>
          <cell r="C357">
            <v>312500</v>
          </cell>
          <cell r="D357">
            <v>1</v>
          </cell>
          <cell r="F357" t="str">
            <v xml:space="preserve">יול"א בגנים       </v>
          </cell>
          <cell r="G357" t="str">
            <v>גמיש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</row>
        <row r="358">
          <cell r="A358" t="e">
            <v>#VALUE!</v>
          </cell>
          <cell r="B358" t="str">
            <v>312500  סך הכל</v>
          </cell>
          <cell r="F358" t="str">
            <v xml:space="preserve">יול"א בגני חובה   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</row>
        <row r="359">
          <cell r="A359">
            <v>13130000</v>
          </cell>
          <cell r="B359">
            <v>0</v>
          </cell>
          <cell r="C359">
            <v>313000</v>
          </cell>
          <cell r="D359">
            <v>1</v>
          </cell>
          <cell r="F359" t="str">
            <v xml:space="preserve">חינוך יסודי       </v>
          </cell>
          <cell r="G359" t="str">
            <v xml:space="preserve"> </v>
          </cell>
        </row>
        <row r="360">
          <cell r="A360">
            <v>1313200312</v>
          </cell>
          <cell r="B360">
            <v>312</v>
          </cell>
          <cell r="C360">
            <v>313200</v>
          </cell>
          <cell r="D360">
            <v>1</v>
          </cell>
          <cell r="F360" t="str">
            <v>מסיבות כיתתיות</v>
          </cell>
          <cell r="G360" t="str">
            <v>גמיש</v>
          </cell>
          <cell r="H360">
            <v>0.16666666666666674</v>
          </cell>
          <cell r="I360">
            <v>-350000</v>
          </cell>
          <cell r="J360">
            <v>-300000</v>
          </cell>
          <cell r="K360">
            <v>0</v>
          </cell>
          <cell r="L360">
            <v>-310800</v>
          </cell>
          <cell r="M360">
            <v>-334792</v>
          </cell>
        </row>
        <row r="361">
          <cell r="A361">
            <v>1313200440</v>
          </cell>
          <cell r="B361">
            <v>440</v>
          </cell>
          <cell r="C361">
            <v>313200</v>
          </cell>
          <cell r="D361">
            <v>1</v>
          </cell>
          <cell r="F361" t="str">
            <v>הכנסות גפ"ן בית ספרי</v>
          </cell>
          <cell r="G361" t="str">
            <v>גמיש</v>
          </cell>
          <cell r="H361">
            <v>0</v>
          </cell>
          <cell r="I361">
            <v>-1500000</v>
          </cell>
          <cell r="J361">
            <v>-1500000</v>
          </cell>
          <cell r="K361">
            <v>-195128</v>
          </cell>
          <cell r="L361">
            <v>-400000</v>
          </cell>
          <cell r="M361">
            <v>-399225.28</v>
          </cell>
        </row>
        <row r="362">
          <cell r="A362">
            <v>1313200920</v>
          </cell>
          <cell r="B362">
            <v>920</v>
          </cell>
          <cell r="C362">
            <v>313200</v>
          </cell>
          <cell r="D362">
            <v>1</v>
          </cell>
          <cell r="F362" t="str">
            <v xml:space="preserve">מזכירות           </v>
          </cell>
          <cell r="G362" t="str">
            <v>גמיש</v>
          </cell>
          <cell r="H362">
            <v>0.16781893004115234</v>
          </cell>
          <cell r="I362">
            <v>-1418900</v>
          </cell>
          <cell r="J362">
            <v>-1215000</v>
          </cell>
          <cell r="K362">
            <v>-847323.71</v>
          </cell>
          <cell r="L362">
            <v>-984500</v>
          </cell>
          <cell r="M362">
            <v>-1258916.6499999999</v>
          </cell>
        </row>
        <row r="363">
          <cell r="A363">
            <v>1313200921</v>
          </cell>
          <cell r="B363">
            <v>921</v>
          </cell>
          <cell r="C363">
            <v>313200</v>
          </cell>
          <cell r="D363">
            <v>1</v>
          </cell>
          <cell r="F363" t="str">
            <v xml:space="preserve">שרתים             </v>
          </cell>
          <cell r="G363" t="str">
            <v>גמיש</v>
          </cell>
          <cell r="H363">
            <v>0.18556013963821005</v>
          </cell>
          <cell r="I363">
            <v>-3735700</v>
          </cell>
          <cell r="J363">
            <v>-3151000</v>
          </cell>
          <cell r="K363">
            <v>-2245028.0699999998</v>
          </cell>
          <cell r="L363">
            <v>-2509400</v>
          </cell>
          <cell r="M363">
            <v>-3299799.05</v>
          </cell>
        </row>
        <row r="364">
          <cell r="A364">
            <v>1313200924</v>
          </cell>
          <cell r="B364">
            <v>924</v>
          </cell>
          <cell r="C364">
            <v>313200</v>
          </cell>
          <cell r="D364">
            <v>1</v>
          </cell>
          <cell r="F364" t="str">
            <v xml:space="preserve">השתת הממשלה בקב"ט </v>
          </cell>
          <cell r="G364" t="str">
            <v>גמיש</v>
          </cell>
          <cell r="H364">
            <v>-0.38548527401516097</v>
          </cell>
          <cell r="I364">
            <v>-494500</v>
          </cell>
          <cell r="J364">
            <v>-804700</v>
          </cell>
          <cell r="K364">
            <v>-295194.87</v>
          </cell>
          <cell r="L364">
            <v>-589400</v>
          </cell>
          <cell r="M364">
            <v>-704739.72</v>
          </cell>
        </row>
        <row r="365">
          <cell r="A365">
            <v>1313200925</v>
          </cell>
          <cell r="B365">
            <v>925</v>
          </cell>
          <cell r="C365">
            <v>313200</v>
          </cell>
          <cell r="D365">
            <v>1</v>
          </cell>
          <cell r="F365" t="str">
            <v xml:space="preserve">קבוצות טיפוליות    </v>
          </cell>
          <cell r="G365" t="str">
            <v>גמיש</v>
          </cell>
          <cell r="H365">
            <v>2.7933333333333366E-2</v>
          </cell>
          <cell r="I365">
            <v>-1541900</v>
          </cell>
          <cell r="J365">
            <v>-1500000</v>
          </cell>
          <cell r="K365">
            <v>-939975.19</v>
          </cell>
          <cell r="L365">
            <v>-1247600</v>
          </cell>
          <cell r="M365">
            <v>-1394314.87</v>
          </cell>
        </row>
        <row r="366">
          <cell r="A366">
            <v>1313200927</v>
          </cell>
          <cell r="B366">
            <v>927</v>
          </cell>
          <cell r="C366">
            <v>313200</v>
          </cell>
          <cell r="D366">
            <v>1</v>
          </cell>
          <cell r="F366" t="str">
            <v>השת' ממשלה-פרוייקט</v>
          </cell>
          <cell r="G366" t="str">
            <v>גמיש</v>
          </cell>
          <cell r="H366">
            <v>-1</v>
          </cell>
          <cell r="I366">
            <v>0</v>
          </cell>
          <cell r="J366">
            <v>-200000</v>
          </cell>
          <cell r="K366">
            <v>0</v>
          </cell>
          <cell r="L366">
            <v>-175000</v>
          </cell>
          <cell r="M366">
            <v>-7576</v>
          </cell>
        </row>
        <row r="367">
          <cell r="A367">
            <v>1313200929</v>
          </cell>
          <cell r="B367">
            <v>929</v>
          </cell>
          <cell r="C367">
            <v>313200</v>
          </cell>
          <cell r="D367">
            <v>1</v>
          </cell>
          <cell r="F367" t="str">
            <v>מחוננים</v>
          </cell>
          <cell r="G367" t="str">
            <v>גמיש</v>
          </cell>
          <cell r="H367">
            <v>0.33333333333333326</v>
          </cell>
          <cell r="I367">
            <v>-160000</v>
          </cell>
          <cell r="J367">
            <v>-120000</v>
          </cell>
          <cell r="K367">
            <v>-48000</v>
          </cell>
          <cell r="L367">
            <v>-150000</v>
          </cell>
          <cell r="M367">
            <v>-159612</v>
          </cell>
        </row>
        <row r="368">
          <cell r="A368">
            <v>1313200931</v>
          </cell>
          <cell r="B368">
            <v>931</v>
          </cell>
          <cell r="C368">
            <v>313200</v>
          </cell>
          <cell r="D368">
            <v>1</v>
          </cell>
          <cell r="F368" t="str">
            <v>שרת'/מז' ניהול עצמי</v>
          </cell>
          <cell r="G368" t="str">
            <v>גמיש</v>
          </cell>
          <cell r="H368">
            <v>2.4745364324888941E-2</v>
          </cell>
          <cell r="I368">
            <v>-15695000</v>
          </cell>
          <cell r="J368">
            <v>-15316000</v>
          </cell>
          <cell r="K368">
            <v>-9352278.9399999995</v>
          </cell>
          <cell r="L368">
            <v>-14478000</v>
          </cell>
          <cell r="M368">
            <v>-15266646.310000001</v>
          </cell>
        </row>
        <row r="369">
          <cell r="A369">
            <v>1313200950</v>
          </cell>
          <cell r="B369">
            <v>950</v>
          </cell>
          <cell r="C369">
            <v>313200</v>
          </cell>
          <cell r="D369">
            <v>1</v>
          </cell>
          <cell r="F369" t="str">
            <v>שגרירי מפתח הל"ב</v>
          </cell>
          <cell r="G369" t="str">
            <v>גמיש</v>
          </cell>
          <cell r="I369">
            <v>0</v>
          </cell>
          <cell r="J369">
            <v>0</v>
          </cell>
          <cell r="K369">
            <v>0</v>
          </cell>
          <cell r="L369">
            <v>-30000</v>
          </cell>
          <cell r="M369">
            <v>0</v>
          </cell>
        </row>
        <row r="370">
          <cell r="A370">
            <v>1313200951</v>
          </cell>
          <cell r="B370">
            <v>951</v>
          </cell>
          <cell r="C370">
            <v>313200</v>
          </cell>
          <cell r="D370">
            <v>1</v>
          </cell>
          <cell r="F370" t="str">
            <v>ציוד ומכשירי חנ"ג</v>
          </cell>
          <cell r="G370" t="str">
            <v>גמיש</v>
          </cell>
          <cell r="H370">
            <v>-1</v>
          </cell>
          <cell r="I370">
            <v>0</v>
          </cell>
          <cell r="J370">
            <v>-66000</v>
          </cell>
          <cell r="K370">
            <v>0</v>
          </cell>
          <cell r="L370">
            <v>0</v>
          </cell>
          <cell r="M370">
            <v>0</v>
          </cell>
        </row>
        <row r="371">
          <cell r="A371">
            <v>1313200953</v>
          </cell>
          <cell r="B371">
            <v>953</v>
          </cell>
          <cell r="C371">
            <v>313200</v>
          </cell>
          <cell r="D371">
            <v>1</v>
          </cell>
          <cell r="F371" t="str">
            <v>מערכת גפ"ן</v>
          </cell>
          <cell r="G371" t="str">
            <v>גמיש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>
            <v>1313200954</v>
          </cell>
          <cell r="B372">
            <v>954</v>
          </cell>
          <cell r="C372">
            <v>313200</v>
          </cell>
          <cell r="D372">
            <v>1</v>
          </cell>
          <cell r="F372" t="str">
            <v>גפ"ן בית ספרי יסודי</v>
          </cell>
          <cell r="G372" t="str">
            <v>גמיש</v>
          </cell>
          <cell r="H372">
            <v>0.14500000000000002</v>
          </cell>
          <cell r="I372">
            <v>-22900000</v>
          </cell>
          <cell r="J372">
            <v>-20000000</v>
          </cell>
          <cell r="K372">
            <v>0</v>
          </cell>
          <cell r="L372">
            <v>-20000000</v>
          </cell>
          <cell r="M372">
            <v>-16465579.869999999</v>
          </cell>
        </row>
        <row r="373">
          <cell r="A373" t="e">
            <v>#VALUE!</v>
          </cell>
          <cell r="B373" t="str">
            <v>313200  סך הכל</v>
          </cell>
          <cell r="F373" t="str">
            <v xml:space="preserve">בתי ספר יסודיים   </v>
          </cell>
          <cell r="H373">
            <v>8.2025776101528836E-2</v>
          </cell>
          <cell r="I373">
            <v>-47796000</v>
          </cell>
          <cell r="J373">
            <v>-44172700</v>
          </cell>
          <cell r="K373">
            <v>-13922928.779999999</v>
          </cell>
          <cell r="L373">
            <v>-40874700</v>
          </cell>
          <cell r="M373">
            <v>-39291201.75</v>
          </cell>
        </row>
        <row r="374">
          <cell r="A374">
            <v>13132010</v>
          </cell>
          <cell r="B374">
            <v>0</v>
          </cell>
          <cell r="C374">
            <v>313201</v>
          </cell>
          <cell r="D374">
            <v>1</v>
          </cell>
          <cell r="F374" t="str">
            <v>בתי ספר של קיץ + ניצנים</v>
          </cell>
          <cell r="G374" t="str">
            <v xml:space="preserve"> </v>
          </cell>
        </row>
        <row r="375">
          <cell r="A375">
            <v>1313201420</v>
          </cell>
          <cell r="B375">
            <v>420</v>
          </cell>
          <cell r="C375">
            <v>313201</v>
          </cell>
          <cell r="D375">
            <v>1</v>
          </cell>
          <cell r="F375" t="str">
            <v>הזנה - הורים</v>
          </cell>
          <cell r="G375" t="str">
            <v>גמיש</v>
          </cell>
          <cell r="I375">
            <v>0</v>
          </cell>
          <cell r="J375">
            <v>0</v>
          </cell>
          <cell r="K375">
            <v>13.2</v>
          </cell>
          <cell r="L375">
            <v>0</v>
          </cell>
          <cell r="M375">
            <v>-108</v>
          </cell>
        </row>
        <row r="376">
          <cell r="A376">
            <v>1313201421</v>
          </cell>
          <cell r="B376">
            <v>421</v>
          </cell>
          <cell r="C376">
            <v>313201</v>
          </cell>
          <cell r="D376">
            <v>1</v>
          </cell>
          <cell r="F376" t="str">
            <v>גביה מהורים - ניצנים יסודי</v>
          </cell>
          <cell r="G376" t="str">
            <v>גמיש</v>
          </cell>
          <cell r="H376">
            <v>-1</v>
          </cell>
          <cell r="I376">
            <v>0</v>
          </cell>
          <cell r="J376">
            <v>-13000000</v>
          </cell>
          <cell r="K376">
            <v>0</v>
          </cell>
          <cell r="L376">
            <v>-13000000</v>
          </cell>
          <cell r="M376">
            <v>-8155542</v>
          </cell>
        </row>
        <row r="377">
          <cell r="A377">
            <v>1313201422</v>
          </cell>
          <cell r="B377">
            <v>422</v>
          </cell>
          <cell r="C377">
            <v>313201</v>
          </cell>
          <cell r="D377">
            <v>1</v>
          </cell>
          <cell r="F377" t="str">
            <v>חומרי ניקיון צהרונים</v>
          </cell>
          <cell r="G377" t="str">
            <v>גמיש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M377">
            <v>0</v>
          </cell>
        </row>
        <row r="378">
          <cell r="A378">
            <v>1313201423</v>
          </cell>
          <cell r="B378">
            <v>423</v>
          </cell>
          <cell r="C378">
            <v>313201</v>
          </cell>
          <cell r="D378">
            <v>1</v>
          </cell>
          <cell r="F378" t="str">
            <v>הכנסות תקורות צהרונים</v>
          </cell>
          <cell r="G378" t="str">
            <v>קשיח</v>
          </cell>
          <cell r="I378">
            <v>-1402500</v>
          </cell>
          <cell r="J378">
            <v>0</v>
          </cell>
          <cell r="K378">
            <v>0</v>
          </cell>
          <cell r="L378">
            <v>0</v>
          </cell>
          <cell r="M378">
            <v>0</v>
          </cell>
        </row>
        <row r="379">
          <cell r="A379">
            <v>1313201920</v>
          </cell>
          <cell r="B379">
            <v>920</v>
          </cell>
          <cell r="C379">
            <v>313201</v>
          </cell>
          <cell r="D379">
            <v>1</v>
          </cell>
          <cell r="F379" t="str">
            <v>צהרונים - ניצנים ממשה"ח</v>
          </cell>
          <cell r="G379" t="str">
            <v>גמיש</v>
          </cell>
          <cell r="H379">
            <v>-5.5118110236220486E-2</v>
          </cell>
          <cell r="I379">
            <v>-6000000</v>
          </cell>
          <cell r="J379">
            <v>-6350000</v>
          </cell>
          <cell r="K379">
            <v>-3417784</v>
          </cell>
          <cell r="L379">
            <v>-6350000</v>
          </cell>
          <cell r="M379">
            <v>-5854067.5300000003</v>
          </cell>
        </row>
        <row r="380">
          <cell r="A380">
            <v>1313201921</v>
          </cell>
          <cell r="B380">
            <v>921</v>
          </cell>
          <cell r="C380">
            <v>313201</v>
          </cell>
          <cell r="D380">
            <v>1</v>
          </cell>
          <cell r="F380" t="str">
            <v>מסגרות חינוכיות בחופשות</v>
          </cell>
          <cell r="G380" t="str">
            <v>גמיש</v>
          </cell>
          <cell r="H380">
            <v>0.60000000000000009</v>
          </cell>
          <cell r="I380">
            <v>-3600000</v>
          </cell>
          <cell r="J380">
            <v>-2250000</v>
          </cell>
          <cell r="K380">
            <v>-1800924.18</v>
          </cell>
          <cell r="L380">
            <v>-2150000</v>
          </cell>
          <cell r="M380">
            <v>-3387846.08</v>
          </cell>
        </row>
        <row r="381">
          <cell r="A381">
            <v>1313201941</v>
          </cell>
          <cell r="B381">
            <v>941</v>
          </cell>
          <cell r="C381">
            <v>313201</v>
          </cell>
          <cell r="D381">
            <v>1</v>
          </cell>
          <cell r="F381" t="str">
            <v>מסגרות קיץ - משה"ח</v>
          </cell>
          <cell r="G381" t="str">
            <v>גמיש</v>
          </cell>
          <cell r="H381">
            <v>9.3874303898170197E-2</v>
          </cell>
          <cell r="I381">
            <v>-5500000</v>
          </cell>
          <cell r="J381">
            <v>-5028000</v>
          </cell>
          <cell r="K381">
            <v>-2948653.75</v>
          </cell>
          <cell r="L381">
            <v>-5028000</v>
          </cell>
          <cell r="M381">
            <v>-4989250.3899999997</v>
          </cell>
        </row>
        <row r="382">
          <cell r="A382" t="e">
            <v>#VALUE!</v>
          </cell>
          <cell r="B382" t="str">
            <v>313201  סך הכל</v>
          </cell>
          <cell r="F382" t="str">
            <v>בתי ספר של קיץ</v>
          </cell>
          <cell r="H382">
            <v>-0.38025762355415349</v>
          </cell>
          <cell r="I382">
            <v>-16502500</v>
          </cell>
          <cell r="J382">
            <v>-26628000</v>
          </cell>
          <cell r="K382">
            <v>-8167348.7299999995</v>
          </cell>
          <cell r="L382">
            <v>-26528000</v>
          </cell>
          <cell r="M382">
            <v>-22386814</v>
          </cell>
        </row>
        <row r="383">
          <cell r="A383">
            <v>13133000</v>
          </cell>
          <cell r="B383">
            <v>0</v>
          </cell>
          <cell r="C383">
            <v>313300</v>
          </cell>
          <cell r="D383">
            <v>1</v>
          </cell>
          <cell r="F383" t="str">
            <v xml:space="preserve">חינוך מיוחד       </v>
          </cell>
          <cell r="G383" t="str">
            <v xml:space="preserve"> </v>
          </cell>
        </row>
        <row r="384">
          <cell r="A384">
            <v>1313300312</v>
          </cell>
          <cell r="B384">
            <v>312</v>
          </cell>
          <cell r="C384">
            <v>313300</v>
          </cell>
          <cell r="D384">
            <v>1</v>
          </cell>
          <cell r="F384" t="str">
            <v>מסיבות כיתתיות</v>
          </cell>
          <cell r="G384" t="str">
            <v>גמיש</v>
          </cell>
          <cell r="H384">
            <v>4.7619047619047672E-2</v>
          </cell>
          <cell r="I384">
            <v>-11000</v>
          </cell>
          <cell r="J384">
            <v>-10500</v>
          </cell>
          <cell r="K384">
            <v>0</v>
          </cell>
          <cell r="L384">
            <v>-310800</v>
          </cell>
          <cell r="M384">
            <v>-10934</v>
          </cell>
        </row>
        <row r="385">
          <cell r="A385">
            <v>1313300430</v>
          </cell>
          <cell r="B385">
            <v>430</v>
          </cell>
          <cell r="C385">
            <v>313300</v>
          </cell>
          <cell r="D385">
            <v>1</v>
          </cell>
          <cell r="F385" t="str">
            <v>השתת' מוסד'ילד חוץ</v>
          </cell>
          <cell r="G385" t="str">
            <v>גמיש</v>
          </cell>
          <cell r="H385">
            <v>-7.407407407407407E-2</v>
          </cell>
          <cell r="I385">
            <v>-2500000</v>
          </cell>
          <cell r="J385">
            <v>-2700000</v>
          </cell>
          <cell r="K385">
            <v>-400991</v>
          </cell>
          <cell r="L385">
            <v>-2700000</v>
          </cell>
          <cell r="M385">
            <v>-1409722</v>
          </cell>
        </row>
        <row r="386">
          <cell r="A386">
            <v>1313300920</v>
          </cell>
          <cell r="B386">
            <v>920</v>
          </cell>
          <cell r="C386">
            <v>313300</v>
          </cell>
          <cell r="D386">
            <v>1</v>
          </cell>
          <cell r="F386" t="str">
            <v xml:space="preserve">סייעות טיפוליות   </v>
          </cell>
          <cell r="G386" t="str">
            <v>גמיש</v>
          </cell>
          <cell r="H386">
            <v>0.16864081632653072</v>
          </cell>
          <cell r="I386">
            <v>-114526800</v>
          </cell>
          <cell r="J386">
            <v>-98000000</v>
          </cell>
          <cell r="K386">
            <v>-56190747.25</v>
          </cell>
          <cell r="L386">
            <v>-66000000</v>
          </cell>
          <cell r="M386">
            <v>-85168128.040000007</v>
          </cell>
        </row>
        <row r="387">
          <cell r="A387">
            <v>1313300921</v>
          </cell>
          <cell r="B387">
            <v>921</v>
          </cell>
          <cell r="C387">
            <v>313300</v>
          </cell>
          <cell r="D387">
            <v>1</v>
          </cell>
          <cell r="F387" t="str">
            <v xml:space="preserve">לבורנט וספרן - חלץ </v>
          </cell>
          <cell r="G387" t="str">
            <v>גמיש</v>
          </cell>
          <cell r="H387">
            <v>5.2941176470588269E-2</v>
          </cell>
          <cell r="I387">
            <v>-214800</v>
          </cell>
          <cell r="J387">
            <v>-204000</v>
          </cell>
          <cell r="K387">
            <v>-130491.71</v>
          </cell>
          <cell r="L387">
            <v>-176000</v>
          </cell>
          <cell r="M387">
            <v>-206465.2</v>
          </cell>
        </row>
        <row r="388">
          <cell r="A388">
            <v>1313300922</v>
          </cell>
          <cell r="B388">
            <v>922</v>
          </cell>
          <cell r="C388">
            <v>313300</v>
          </cell>
          <cell r="D388">
            <v>1</v>
          </cell>
          <cell r="F388" t="str">
            <v xml:space="preserve">השת' בהזנה        </v>
          </cell>
          <cell r="G388" t="str">
            <v>גמיש</v>
          </cell>
          <cell r="H388">
            <v>0.11007042253521138</v>
          </cell>
          <cell r="I388">
            <v>-3152600</v>
          </cell>
          <cell r="J388">
            <v>-2840000</v>
          </cell>
          <cell r="K388">
            <v>-1971594.92</v>
          </cell>
          <cell r="L388">
            <v>-2532900</v>
          </cell>
          <cell r="M388">
            <v>-3031678.74</v>
          </cell>
        </row>
        <row r="389">
          <cell r="A389">
            <v>1313300923</v>
          </cell>
          <cell r="B389">
            <v>923</v>
          </cell>
          <cell r="C389">
            <v>313300</v>
          </cell>
          <cell r="D389">
            <v>1</v>
          </cell>
          <cell r="F389" t="str">
            <v>השתתפות משרד החינוך</v>
          </cell>
          <cell r="G389" t="str">
            <v>גמיש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-132313</v>
          </cell>
        </row>
        <row r="390">
          <cell r="A390">
            <v>1313300924</v>
          </cell>
          <cell r="B390">
            <v>924</v>
          </cell>
          <cell r="C390">
            <v>313300</v>
          </cell>
          <cell r="D390">
            <v>1</v>
          </cell>
          <cell r="F390" t="str">
            <v>חינוך מיוחד-חופשות</v>
          </cell>
          <cell r="G390" t="str">
            <v>גמיש</v>
          </cell>
          <cell r="H390">
            <v>0.21653002930593157</v>
          </cell>
          <cell r="I390">
            <v>-3279400</v>
          </cell>
          <cell r="J390">
            <v>-2695700</v>
          </cell>
          <cell r="K390">
            <v>-1459653.27</v>
          </cell>
          <cell r="L390">
            <v>-2695700</v>
          </cell>
          <cell r="M390">
            <v>-3324046.57</v>
          </cell>
        </row>
        <row r="391">
          <cell r="A391">
            <v>1313300926</v>
          </cell>
          <cell r="B391">
            <v>926</v>
          </cell>
          <cell r="C391">
            <v>313300</v>
          </cell>
          <cell r="D391">
            <v>1</v>
          </cell>
          <cell r="F391" t="str">
            <v>שרתים+מזכיר'-מתי"א</v>
          </cell>
          <cell r="G391" t="str">
            <v>גמיש</v>
          </cell>
          <cell r="H391">
            <v>6.3684210526315788E-2</v>
          </cell>
          <cell r="I391">
            <v>-404200</v>
          </cell>
          <cell r="J391">
            <v>-380000</v>
          </cell>
          <cell r="K391">
            <v>-243026.59</v>
          </cell>
          <cell r="L391">
            <v>-331300</v>
          </cell>
          <cell r="M391">
            <v>-383598.02</v>
          </cell>
        </row>
        <row r="392">
          <cell r="A392">
            <v>1313300928</v>
          </cell>
          <cell r="B392">
            <v>928</v>
          </cell>
          <cell r="C392">
            <v>313300</v>
          </cell>
          <cell r="D392">
            <v>1</v>
          </cell>
          <cell r="F392" t="str">
            <v>שרותי הקף-יול"א ח.מ</v>
          </cell>
          <cell r="G392" t="str">
            <v>גמיש</v>
          </cell>
          <cell r="H392">
            <v>-0.88938775510204082</v>
          </cell>
          <cell r="I392">
            <v>-27100</v>
          </cell>
          <cell r="J392">
            <v>-245000</v>
          </cell>
          <cell r="K392">
            <v>-162564</v>
          </cell>
          <cell r="L392">
            <v>-231500</v>
          </cell>
          <cell r="M392">
            <v>-255172</v>
          </cell>
        </row>
        <row r="393">
          <cell r="A393">
            <v>1313300954</v>
          </cell>
          <cell r="B393">
            <v>954</v>
          </cell>
          <cell r="C393">
            <v>313300</v>
          </cell>
          <cell r="D393">
            <v>1</v>
          </cell>
          <cell r="F393" t="str">
            <v>הכנסות גפ"ן בית ספרי</v>
          </cell>
          <cell r="G393" t="str">
            <v>גמיש</v>
          </cell>
          <cell r="H393">
            <v>-5.0632911392405111E-2</v>
          </cell>
          <cell r="I393">
            <v>-750000</v>
          </cell>
          <cell r="J393">
            <v>-790000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e">
            <v>#VALUE!</v>
          </cell>
          <cell r="B394" t="str">
            <v>313300  סך הכל</v>
          </cell>
          <cell r="F394" t="str">
            <v xml:space="preserve">חינוך מיוחד       </v>
          </cell>
          <cell r="H394">
            <v>0.15761061028023859</v>
          </cell>
          <cell r="I394">
            <v>-124865900</v>
          </cell>
          <cell r="J394">
            <v>-107865200</v>
          </cell>
          <cell r="K394">
            <v>-60559068.74000001</v>
          </cell>
          <cell r="L394">
            <v>-74978200</v>
          </cell>
          <cell r="M394">
            <v>-93922057.569999993</v>
          </cell>
        </row>
        <row r="395">
          <cell r="A395">
            <v>13133100</v>
          </cell>
          <cell r="B395">
            <v>0</v>
          </cell>
          <cell r="C395">
            <v>313310</v>
          </cell>
          <cell r="D395">
            <v>1</v>
          </cell>
          <cell r="F395" t="str">
            <v xml:space="preserve">בי"ס ע"ש הרצפלד   </v>
          </cell>
          <cell r="G395" t="str">
            <v xml:space="preserve"> </v>
          </cell>
        </row>
        <row r="396">
          <cell r="A396">
            <v>1313310312</v>
          </cell>
          <cell r="B396">
            <v>312</v>
          </cell>
          <cell r="C396">
            <v>313310</v>
          </cell>
          <cell r="D396">
            <v>1</v>
          </cell>
          <cell r="F396" t="str">
            <v>מסיבות כיתתיות</v>
          </cell>
          <cell r="G396" t="str">
            <v>גמיש</v>
          </cell>
          <cell r="H396">
            <v>0</v>
          </cell>
          <cell r="I396">
            <v>-2000</v>
          </cell>
          <cell r="J396">
            <v>-2000</v>
          </cell>
          <cell r="K396">
            <v>0</v>
          </cell>
          <cell r="L396">
            <v>-310800</v>
          </cell>
          <cell r="M396">
            <v>-1870</v>
          </cell>
        </row>
        <row r="397">
          <cell r="A397">
            <v>1313310430</v>
          </cell>
          <cell r="B397">
            <v>430</v>
          </cell>
          <cell r="C397">
            <v>313310</v>
          </cell>
          <cell r="D397">
            <v>1</v>
          </cell>
          <cell r="F397" t="str">
            <v xml:space="preserve">השתתפות מוסדות    </v>
          </cell>
          <cell r="G397" t="str">
            <v>גמיש</v>
          </cell>
          <cell r="H397">
            <v>-0.11111111111111116</v>
          </cell>
          <cell r="I397">
            <v>-400000</v>
          </cell>
          <cell r="J397">
            <v>-450000</v>
          </cell>
          <cell r="K397">
            <v>-121649</v>
          </cell>
          <cell r="L397">
            <v>-450000</v>
          </cell>
          <cell r="M397">
            <v>-221590</v>
          </cell>
        </row>
        <row r="398">
          <cell r="A398">
            <v>1313310920</v>
          </cell>
          <cell r="B398">
            <v>920</v>
          </cell>
          <cell r="C398">
            <v>313310</v>
          </cell>
          <cell r="D398">
            <v>1</v>
          </cell>
          <cell r="F398" t="str">
            <v xml:space="preserve">סייעות טיפוליות   </v>
          </cell>
          <cell r="G398" t="str">
            <v>גמיש</v>
          </cell>
          <cell r="H398">
            <v>0.45531459170013378</v>
          </cell>
          <cell r="I398">
            <v>-2717800</v>
          </cell>
          <cell r="J398">
            <v>-1867500</v>
          </cell>
          <cell r="K398">
            <v>-1355272.41</v>
          </cell>
          <cell r="L398">
            <v>-2100000</v>
          </cell>
          <cell r="M398">
            <v>-2348806.59</v>
          </cell>
        </row>
        <row r="399">
          <cell r="A399">
            <v>1313310921</v>
          </cell>
          <cell r="B399">
            <v>921</v>
          </cell>
          <cell r="C399">
            <v>313310</v>
          </cell>
          <cell r="D399">
            <v>1</v>
          </cell>
          <cell r="F399" t="str">
            <v xml:space="preserve">מזכירות ושרתים    </v>
          </cell>
          <cell r="G399" t="str">
            <v>גמיש</v>
          </cell>
          <cell r="H399">
            <v>5.3754940711462362E-2</v>
          </cell>
          <cell r="I399">
            <v>-399900</v>
          </cell>
          <cell r="J399">
            <v>-379500</v>
          </cell>
          <cell r="K399">
            <v>-240667.49</v>
          </cell>
          <cell r="L399">
            <v>-344500</v>
          </cell>
          <cell r="M399">
            <v>-380165.14</v>
          </cell>
        </row>
        <row r="400">
          <cell r="A400">
            <v>1313310922</v>
          </cell>
          <cell r="B400">
            <v>922</v>
          </cell>
          <cell r="C400">
            <v>313310</v>
          </cell>
          <cell r="D400">
            <v>1</v>
          </cell>
          <cell r="F400" t="str">
            <v xml:space="preserve">השת' בהזנה        </v>
          </cell>
          <cell r="G400" t="str">
            <v>גמיש</v>
          </cell>
          <cell r="H400">
            <v>0</v>
          </cell>
          <cell r="I400">
            <v>-330000</v>
          </cell>
          <cell r="J400">
            <v>-330000</v>
          </cell>
          <cell r="K400">
            <v>-212162.02</v>
          </cell>
          <cell r="L400">
            <v>-310000</v>
          </cell>
          <cell r="M400">
            <v>-341438.41</v>
          </cell>
        </row>
        <row r="401">
          <cell r="A401">
            <v>1313310924</v>
          </cell>
          <cell r="B401">
            <v>924</v>
          </cell>
          <cell r="C401">
            <v>313310</v>
          </cell>
          <cell r="D401">
            <v>1</v>
          </cell>
          <cell r="F401" t="str">
            <v>חינוך מיוחד-חופשות</v>
          </cell>
          <cell r="G401" t="str">
            <v>גמיש</v>
          </cell>
          <cell r="H401">
            <v>-3.8978494623655879E-2</v>
          </cell>
          <cell r="I401">
            <v>-143000</v>
          </cell>
          <cell r="J401">
            <v>-148800</v>
          </cell>
          <cell r="K401">
            <v>-115578.3</v>
          </cell>
          <cell r="L401">
            <v>-148800</v>
          </cell>
          <cell r="M401">
            <v>-136545.29999999999</v>
          </cell>
        </row>
        <row r="402">
          <cell r="A402">
            <v>1313310938</v>
          </cell>
          <cell r="B402">
            <v>938</v>
          </cell>
          <cell r="C402">
            <v>313310</v>
          </cell>
          <cell r="D402">
            <v>1</v>
          </cell>
          <cell r="F402" t="str">
            <v>השתת' מש' החינוך בטיולים</v>
          </cell>
          <cell r="G402" t="str">
            <v>גמיש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M402">
            <v>0</v>
          </cell>
        </row>
        <row r="403">
          <cell r="A403">
            <v>1313310954</v>
          </cell>
          <cell r="B403">
            <v>954</v>
          </cell>
          <cell r="C403">
            <v>313310</v>
          </cell>
          <cell r="D403">
            <v>1</v>
          </cell>
          <cell r="F403" t="str">
            <v>הכנסות גפ"ן בית ספרי</v>
          </cell>
          <cell r="G403" t="str">
            <v>גמיש</v>
          </cell>
          <cell r="H403">
            <v>-2.4390243902439046E-2</v>
          </cell>
          <cell r="I403">
            <v>-120000</v>
          </cell>
          <cell r="J403">
            <v>-123000</v>
          </cell>
          <cell r="K403">
            <v>0</v>
          </cell>
          <cell r="L403">
            <v>0</v>
          </cell>
          <cell r="M403">
            <v>0</v>
          </cell>
        </row>
        <row r="404">
          <cell r="A404" t="e">
            <v>#VALUE!</v>
          </cell>
          <cell r="B404" t="str">
            <v>313310  סך הכל</v>
          </cell>
          <cell r="F404" t="str">
            <v xml:space="preserve">בי"ס ע"ש הרצפלד   </v>
          </cell>
          <cell r="H404">
            <v>0.2459706737760543</v>
          </cell>
          <cell r="I404">
            <v>-4112700</v>
          </cell>
          <cell r="J404">
            <v>-3300800</v>
          </cell>
          <cell r="K404">
            <v>-2045329.22</v>
          </cell>
          <cell r="L404">
            <v>-3664100</v>
          </cell>
          <cell r="M404">
            <v>-3430415.44</v>
          </cell>
        </row>
        <row r="405">
          <cell r="A405">
            <v>13137000</v>
          </cell>
          <cell r="B405">
            <v>0</v>
          </cell>
          <cell r="C405">
            <v>313700</v>
          </cell>
          <cell r="D405">
            <v>1</v>
          </cell>
          <cell r="F405" t="str">
            <v xml:space="preserve">חוה חקלאית        </v>
          </cell>
          <cell r="G405" t="str">
            <v xml:space="preserve"> </v>
          </cell>
        </row>
        <row r="406">
          <cell r="A406">
            <v>1313700920</v>
          </cell>
          <cell r="B406">
            <v>920</v>
          </cell>
          <cell r="C406">
            <v>313700</v>
          </cell>
          <cell r="D406">
            <v>1</v>
          </cell>
          <cell r="F406" t="str">
            <v xml:space="preserve">הסעות ילדים       </v>
          </cell>
          <cell r="G406" t="str">
            <v>גמיש</v>
          </cell>
          <cell r="I406">
            <v>0</v>
          </cell>
          <cell r="J406">
            <v>0</v>
          </cell>
          <cell r="K406">
            <v>0</v>
          </cell>
          <cell r="L406">
            <v>-200000</v>
          </cell>
          <cell r="M406">
            <v>0</v>
          </cell>
        </row>
        <row r="407">
          <cell r="A407">
            <v>1313700921</v>
          </cell>
          <cell r="B407">
            <v>921</v>
          </cell>
          <cell r="C407">
            <v>313700</v>
          </cell>
          <cell r="D407">
            <v>1</v>
          </cell>
          <cell r="F407" t="str">
            <v xml:space="preserve">הצטיידות          </v>
          </cell>
          <cell r="G407" t="str">
            <v>גמיש</v>
          </cell>
          <cell r="H407">
            <v>-0.1428571428571429</v>
          </cell>
          <cell r="I407">
            <v>-60000</v>
          </cell>
          <cell r="J407">
            <v>-70000</v>
          </cell>
          <cell r="K407">
            <v>-54549.2</v>
          </cell>
          <cell r="L407">
            <v>-105000</v>
          </cell>
          <cell r="M407">
            <v>-49317.1</v>
          </cell>
        </row>
        <row r="408">
          <cell r="A408">
            <v>1313700922</v>
          </cell>
          <cell r="B408">
            <v>922</v>
          </cell>
          <cell r="C408">
            <v>313700</v>
          </cell>
          <cell r="D408">
            <v>1</v>
          </cell>
          <cell r="F408" t="str">
            <v xml:space="preserve">שרת ומזכירה       </v>
          </cell>
          <cell r="G408" t="str">
            <v>גמיש</v>
          </cell>
          <cell r="H408">
            <v>0.17062073448163795</v>
          </cell>
          <cell r="I408">
            <v>-360200</v>
          </cell>
          <cell r="J408">
            <v>-307700</v>
          </cell>
          <cell r="K408">
            <v>-216528.6</v>
          </cell>
          <cell r="L408">
            <v>-279300</v>
          </cell>
          <cell r="M408">
            <v>-309631.05</v>
          </cell>
        </row>
        <row r="409">
          <cell r="A409" t="e">
            <v>#VALUE!</v>
          </cell>
          <cell r="B409" t="str">
            <v>313700  סך הכל</v>
          </cell>
          <cell r="F409" t="str">
            <v xml:space="preserve">חוה חקלאית        </v>
          </cell>
          <cell r="H409">
            <v>0.11252316653428651</v>
          </cell>
          <cell r="I409">
            <v>-420200</v>
          </cell>
          <cell r="J409">
            <v>-377700</v>
          </cell>
          <cell r="K409">
            <v>-271077.8</v>
          </cell>
          <cell r="L409">
            <v>-584300</v>
          </cell>
          <cell r="M409">
            <v>-358948.14999999997</v>
          </cell>
        </row>
        <row r="410">
          <cell r="A410">
            <v>13150000</v>
          </cell>
          <cell r="B410">
            <v>0</v>
          </cell>
          <cell r="C410">
            <v>315000</v>
          </cell>
          <cell r="D410">
            <v>1</v>
          </cell>
          <cell r="F410" t="str">
            <v xml:space="preserve">חינוך על-יסודי    </v>
          </cell>
          <cell r="G410" t="str">
            <v xml:space="preserve"> </v>
          </cell>
        </row>
        <row r="411">
          <cell r="A411">
            <v>1315100490</v>
          </cell>
          <cell r="B411">
            <v>490</v>
          </cell>
          <cell r="C411">
            <v>315100</v>
          </cell>
          <cell r="D411">
            <v>1</v>
          </cell>
          <cell r="F411" t="str">
            <v>מענק קרן ידידי העיר חולון</v>
          </cell>
          <cell r="G411" t="str">
            <v>גמיש</v>
          </cell>
          <cell r="H411">
            <v>0</v>
          </cell>
          <cell r="I411">
            <v>-237500</v>
          </cell>
          <cell r="J411">
            <v>-237500</v>
          </cell>
          <cell r="K411">
            <v>0</v>
          </cell>
          <cell r="L411">
            <v>0</v>
          </cell>
          <cell r="M411">
            <v>0</v>
          </cell>
        </row>
        <row r="412">
          <cell r="A412">
            <v>1315100493</v>
          </cell>
          <cell r="B412">
            <v>493</v>
          </cell>
          <cell r="C412">
            <v>315100</v>
          </cell>
          <cell r="D412">
            <v>1</v>
          </cell>
          <cell r="F412" t="str">
            <v>השאלת ספרים חט"ב</v>
          </cell>
          <cell r="G412" t="str">
            <v>גמיש</v>
          </cell>
          <cell r="H412">
            <v>0</v>
          </cell>
          <cell r="I412">
            <v>-60000</v>
          </cell>
          <cell r="J412">
            <v>-60000</v>
          </cell>
          <cell r="K412">
            <v>-39822.14</v>
          </cell>
          <cell r="L412">
            <v>-60000</v>
          </cell>
          <cell r="M412">
            <v>-53257.84</v>
          </cell>
        </row>
        <row r="413">
          <cell r="A413">
            <v>1315100922</v>
          </cell>
          <cell r="B413">
            <v>922</v>
          </cell>
          <cell r="C413">
            <v>315100</v>
          </cell>
          <cell r="D413">
            <v>1</v>
          </cell>
          <cell r="F413" t="str">
            <v>פרויקטים בהשתתפות משה"ח</v>
          </cell>
          <cell r="G413" t="str">
            <v>גמיש</v>
          </cell>
          <cell r="H413">
            <v>0</v>
          </cell>
          <cell r="I413">
            <v>-270000</v>
          </cell>
          <cell r="J413">
            <v>-270000</v>
          </cell>
          <cell r="K413">
            <v>-65776</v>
          </cell>
          <cell r="L413">
            <v>-300000</v>
          </cell>
          <cell r="M413">
            <v>-226548</v>
          </cell>
        </row>
        <row r="414">
          <cell r="A414">
            <v>1315100924</v>
          </cell>
          <cell r="B414">
            <v>924</v>
          </cell>
          <cell r="C414">
            <v>315100</v>
          </cell>
          <cell r="D414">
            <v>1</v>
          </cell>
          <cell r="F414" t="str">
            <v>משלחות ספורט</v>
          </cell>
          <cell r="G414" t="str">
            <v>גמיש</v>
          </cell>
          <cell r="H414">
            <v>-1</v>
          </cell>
          <cell r="I414">
            <v>0</v>
          </cell>
          <cell r="J414">
            <v>-40000</v>
          </cell>
          <cell r="K414">
            <v>0</v>
          </cell>
          <cell r="L414">
            <v>-40000</v>
          </cell>
          <cell r="M414">
            <v>0</v>
          </cell>
        </row>
        <row r="415">
          <cell r="A415" t="e">
            <v>#VALUE!</v>
          </cell>
          <cell r="B415" t="str">
            <v>315100  סך הכל</v>
          </cell>
          <cell r="F415" t="str">
            <v xml:space="preserve">השתתפויות במוסדות </v>
          </cell>
          <cell r="H415">
            <v>-6.5843621399176988E-2</v>
          </cell>
          <cell r="I415">
            <v>-567500</v>
          </cell>
          <cell r="J415">
            <v>-607500</v>
          </cell>
          <cell r="K415">
            <v>-105598.14</v>
          </cell>
          <cell r="L415">
            <v>-400000</v>
          </cell>
          <cell r="M415">
            <v>-279805.83999999997</v>
          </cell>
        </row>
        <row r="416">
          <cell r="A416">
            <v>13151100</v>
          </cell>
          <cell r="B416">
            <v>0</v>
          </cell>
          <cell r="C416">
            <v>315110</v>
          </cell>
          <cell r="D416">
            <v>1</v>
          </cell>
          <cell r="F416" t="str">
            <v>יוזמות - נבון</v>
          </cell>
          <cell r="G416" t="str">
            <v xml:space="preserve"> </v>
          </cell>
        </row>
        <row r="417">
          <cell r="A417">
            <v>1315110923</v>
          </cell>
          <cell r="B417">
            <v>923</v>
          </cell>
          <cell r="C417">
            <v>315110</v>
          </cell>
          <cell r="D417">
            <v>1</v>
          </cell>
          <cell r="F417" t="str">
            <v>אומ"ץ - משה"ח</v>
          </cell>
          <cell r="G417" t="str">
            <v>גמיש</v>
          </cell>
          <cell r="H417">
            <v>1</v>
          </cell>
          <cell r="I417">
            <v>-80000</v>
          </cell>
          <cell r="J417">
            <v>-40000</v>
          </cell>
          <cell r="K417">
            <v>0</v>
          </cell>
          <cell r="L417">
            <v>-40000</v>
          </cell>
          <cell r="M417">
            <v>0</v>
          </cell>
        </row>
        <row r="418">
          <cell r="A418" t="e">
            <v>#VALUE!</v>
          </cell>
          <cell r="B418" t="str">
            <v>315110  סך הכל</v>
          </cell>
          <cell r="F418" t="str">
            <v>יוזמות - נבון</v>
          </cell>
          <cell r="H418">
            <v>1</v>
          </cell>
          <cell r="I418">
            <v>-80000</v>
          </cell>
          <cell r="J418">
            <v>-40000</v>
          </cell>
          <cell r="K418">
            <v>0</v>
          </cell>
          <cell r="L418">
            <v>-40000</v>
          </cell>
          <cell r="M418">
            <v>0</v>
          </cell>
        </row>
        <row r="419">
          <cell r="A419">
            <v>13151300</v>
          </cell>
          <cell r="B419">
            <v>0</v>
          </cell>
          <cell r="C419">
            <v>315130</v>
          </cell>
          <cell r="D419">
            <v>1</v>
          </cell>
          <cell r="F419" t="str">
            <v>יוזמות - הרצוג</v>
          </cell>
          <cell r="G419" t="str">
            <v xml:space="preserve"> </v>
          </cell>
        </row>
        <row r="420">
          <cell r="A420">
            <v>1315130923</v>
          </cell>
          <cell r="B420">
            <v>923</v>
          </cell>
          <cell r="C420">
            <v>315130</v>
          </cell>
          <cell r="D420">
            <v>1</v>
          </cell>
          <cell r="F420" t="str">
            <v>אומ"ץ - משה"ח</v>
          </cell>
          <cell r="G420" t="str">
            <v>גמיש</v>
          </cell>
          <cell r="H420">
            <v>-1</v>
          </cell>
          <cell r="I420">
            <v>0</v>
          </cell>
          <cell r="J420">
            <v>-80000</v>
          </cell>
          <cell r="K420">
            <v>0</v>
          </cell>
          <cell r="L420">
            <v>-120000</v>
          </cell>
          <cell r="M420">
            <v>-29999.96</v>
          </cell>
        </row>
        <row r="421">
          <cell r="A421" t="e">
            <v>#VALUE!</v>
          </cell>
          <cell r="B421" t="str">
            <v>315130  סך הכל</v>
          </cell>
          <cell r="F421" t="str">
            <v>יוזמות - הרצוג</v>
          </cell>
          <cell r="H421">
            <v>-1</v>
          </cell>
          <cell r="I421">
            <v>0</v>
          </cell>
          <cell r="J421">
            <v>-80000</v>
          </cell>
          <cell r="K421">
            <v>0</v>
          </cell>
          <cell r="L421">
            <v>-120000</v>
          </cell>
          <cell r="M421">
            <v>-29999.96</v>
          </cell>
        </row>
        <row r="422">
          <cell r="A422">
            <v>13151400</v>
          </cell>
          <cell r="B422">
            <v>0</v>
          </cell>
          <cell r="C422">
            <v>315140</v>
          </cell>
          <cell r="D422">
            <v>1</v>
          </cell>
          <cell r="F422" t="str">
            <v>יוזמות - ק"ש</v>
          </cell>
          <cell r="G422" t="str">
            <v xml:space="preserve"> </v>
          </cell>
        </row>
        <row r="423">
          <cell r="A423">
            <v>1315140923</v>
          </cell>
          <cell r="B423">
            <v>923</v>
          </cell>
          <cell r="C423">
            <v>315140</v>
          </cell>
          <cell r="D423">
            <v>1</v>
          </cell>
          <cell r="F423" t="str">
            <v>אומ"ץ - משה"ח</v>
          </cell>
          <cell r="G423" t="str">
            <v>גמיש</v>
          </cell>
          <cell r="I423">
            <v>0</v>
          </cell>
          <cell r="J423">
            <v>0</v>
          </cell>
          <cell r="K423">
            <v>0</v>
          </cell>
          <cell r="L423">
            <v>-40000</v>
          </cell>
          <cell r="M423">
            <v>0</v>
          </cell>
        </row>
        <row r="424">
          <cell r="A424" t="e">
            <v>#VALUE!</v>
          </cell>
          <cell r="B424" t="str">
            <v>315140  סך הכל</v>
          </cell>
          <cell r="F424" t="str">
            <v>יוזמות - ק"ש</v>
          </cell>
          <cell r="I424">
            <v>0</v>
          </cell>
          <cell r="J424">
            <v>0</v>
          </cell>
          <cell r="K424">
            <v>0</v>
          </cell>
          <cell r="L424">
            <v>-40000</v>
          </cell>
          <cell r="M424">
            <v>0</v>
          </cell>
        </row>
        <row r="425">
          <cell r="A425">
            <v>13151500</v>
          </cell>
          <cell r="B425">
            <v>0</v>
          </cell>
          <cell r="C425">
            <v>315150</v>
          </cell>
          <cell r="D425">
            <v>1</v>
          </cell>
          <cell r="F425" t="str">
            <v>יוזמות - איילון</v>
          </cell>
          <cell r="G425" t="str">
            <v xml:space="preserve"> </v>
          </cell>
        </row>
        <row r="426">
          <cell r="A426">
            <v>1315150923</v>
          </cell>
          <cell r="B426">
            <v>923</v>
          </cell>
          <cell r="C426">
            <v>315150</v>
          </cell>
          <cell r="D426">
            <v>1</v>
          </cell>
          <cell r="F426" t="str">
            <v>אומ"ץ - משה"ח</v>
          </cell>
          <cell r="G426" t="str">
            <v>גמיש</v>
          </cell>
          <cell r="I426">
            <v>0</v>
          </cell>
          <cell r="J426">
            <v>0</v>
          </cell>
          <cell r="K426">
            <v>0</v>
          </cell>
          <cell r="L426">
            <v>-20000</v>
          </cell>
          <cell r="M426">
            <v>-12599.92</v>
          </cell>
        </row>
        <row r="427">
          <cell r="A427" t="e">
            <v>#VALUE!</v>
          </cell>
          <cell r="B427" t="str">
            <v>315150  סך הכל</v>
          </cell>
          <cell r="F427" t="str">
            <v>יוזמות - איילון</v>
          </cell>
          <cell r="I427">
            <v>0</v>
          </cell>
          <cell r="J427">
            <v>0</v>
          </cell>
          <cell r="K427">
            <v>0</v>
          </cell>
          <cell r="L427">
            <v>-20000</v>
          </cell>
          <cell r="M427">
            <v>-12599.92</v>
          </cell>
        </row>
        <row r="428">
          <cell r="A428">
            <v>13151600</v>
          </cell>
          <cell r="B428">
            <v>0</v>
          </cell>
          <cell r="C428">
            <v>315160</v>
          </cell>
          <cell r="D428">
            <v>1</v>
          </cell>
          <cell r="F428" t="str">
            <v>יוזמות - יבנה</v>
          </cell>
          <cell r="G428" t="str">
            <v xml:space="preserve"> </v>
          </cell>
        </row>
        <row r="429">
          <cell r="A429">
            <v>1315160923</v>
          </cell>
          <cell r="B429">
            <v>923</v>
          </cell>
          <cell r="C429">
            <v>315160</v>
          </cell>
          <cell r="D429">
            <v>1</v>
          </cell>
          <cell r="F429" t="str">
            <v>אומ"ץ - משה"ח</v>
          </cell>
          <cell r="G429" t="str">
            <v>גמיש</v>
          </cell>
          <cell r="I429">
            <v>-20000</v>
          </cell>
          <cell r="J429">
            <v>0</v>
          </cell>
          <cell r="K429">
            <v>0</v>
          </cell>
          <cell r="L429">
            <v>-80000</v>
          </cell>
          <cell r="M429">
            <v>0</v>
          </cell>
        </row>
        <row r="430">
          <cell r="A430" t="e">
            <v>#VALUE!</v>
          </cell>
          <cell r="B430" t="str">
            <v>315160  סך הכל</v>
          </cell>
          <cell r="F430" t="str">
            <v>יוזמות - יבנה</v>
          </cell>
          <cell r="I430">
            <v>-20000</v>
          </cell>
          <cell r="J430">
            <v>0</v>
          </cell>
          <cell r="K430">
            <v>0</v>
          </cell>
          <cell r="L430">
            <v>-80000</v>
          </cell>
          <cell r="M430">
            <v>0</v>
          </cell>
        </row>
        <row r="431">
          <cell r="A431">
            <v>13151700</v>
          </cell>
          <cell r="B431">
            <v>0</v>
          </cell>
          <cell r="C431">
            <v>315170</v>
          </cell>
          <cell r="D431">
            <v>1</v>
          </cell>
          <cell r="F431" t="str">
            <v>יוזמות - קציר</v>
          </cell>
          <cell r="G431" t="str">
            <v xml:space="preserve"> </v>
          </cell>
        </row>
        <row r="432">
          <cell r="A432">
            <v>1315170923</v>
          </cell>
          <cell r="B432">
            <v>923</v>
          </cell>
          <cell r="C432">
            <v>315170</v>
          </cell>
          <cell r="D432">
            <v>1</v>
          </cell>
          <cell r="F432" t="str">
            <v>אומ"ץ - משה"ח</v>
          </cell>
          <cell r="G432" t="str">
            <v>גמיש</v>
          </cell>
          <cell r="I432">
            <v>0</v>
          </cell>
          <cell r="J432">
            <v>0</v>
          </cell>
          <cell r="K432">
            <v>0</v>
          </cell>
          <cell r="L432">
            <v>-80000</v>
          </cell>
          <cell r="M432">
            <v>0</v>
          </cell>
        </row>
        <row r="433">
          <cell r="A433" t="e">
            <v>#VALUE!</v>
          </cell>
          <cell r="B433" t="str">
            <v>315170  סך הכל</v>
          </cell>
          <cell r="F433" t="str">
            <v>יוזמות - קציר</v>
          </cell>
          <cell r="I433">
            <v>0</v>
          </cell>
          <cell r="J433">
            <v>0</v>
          </cell>
          <cell r="K433">
            <v>0</v>
          </cell>
          <cell r="L433">
            <v>-80000</v>
          </cell>
          <cell r="M433">
            <v>0</v>
          </cell>
        </row>
        <row r="434">
          <cell r="A434">
            <v>13151800</v>
          </cell>
          <cell r="B434">
            <v>0</v>
          </cell>
          <cell r="C434">
            <v>315180</v>
          </cell>
          <cell r="D434">
            <v>1</v>
          </cell>
          <cell r="F434" t="str">
            <v>יוזמות - עתידים</v>
          </cell>
          <cell r="G434" t="str">
            <v xml:space="preserve"> </v>
          </cell>
        </row>
        <row r="435">
          <cell r="A435">
            <v>1315180923</v>
          </cell>
          <cell r="B435">
            <v>923</v>
          </cell>
          <cell r="C435">
            <v>315180</v>
          </cell>
          <cell r="D435">
            <v>1</v>
          </cell>
          <cell r="F435" t="str">
            <v>אומ"ץ - משה"ח</v>
          </cell>
          <cell r="G435" t="str">
            <v>גמיש</v>
          </cell>
          <cell r="H435">
            <v>1</v>
          </cell>
          <cell r="I435">
            <v>-80000</v>
          </cell>
          <cell r="J435">
            <v>-40000</v>
          </cell>
          <cell r="K435">
            <v>0</v>
          </cell>
          <cell r="L435">
            <v>-40000</v>
          </cell>
          <cell r="M435">
            <v>-49099.92</v>
          </cell>
        </row>
        <row r="436">
          <cell r="A436" t="e">
            <v>#VALUE!</v>
          </cell>
          <cell r="B436" t="str">
            <v>315180  סך הכל</v>
          </cell>
          <cell r="F436" t="str">
            <v>יוזמות - עתידים</v>
          </cell>
          <cell r="H436">
            <v>1</v>
          </cell>
          <cell r="I436">
            <v>-80000</v>
          </cell>
          <cell r="J436">
            <v>-40000</v>
          </cell>
          <cell r="K436">
            <v>0</v>
          </cell>
          <cell r="L436">
            <v>-40000</v>
          </cell>
          <cell r="M436">
            <v>-49099.92</v>
          </cell>
        </row>
        <row r="437">
          <cell r="A437">
            <v>13151900</v>
          </cell>
          <cell r="B437">
            <v>0</v>
          </cell>
          <cell r="C437">
            <v>315190</v>
          </cell>
          <cell r="D437">
            <v>1</v>
          </cell>
          <cell r="F437" t="str">
            <v>יוזמות - עתידים ( קודם)</v>
          </cell>
          <cell r="G437" t="str">
            <v xml:space="preserve"> </v>
          </cell>
        </row>
        <row r="438">
          <cell r="A438">
            <v>1315190923</v>
          </cell>
          <cell r="B438">
            <v>923</v>
          </cell>
          <cell r="C438">
            <v>315190</v>
          </cell>
          <cell r="D438">
            <v>1</v>
          </cell>
          <cell r="F438" t="str">
            <v>אומ"ץ - משה"ח</v>
          </cell>
          <cell r="G438" t="str">
            <v>גמיש</v>
          </cell>
          <cell r="I438">
            <v>0</v>
          </cell>
          <cell r="J438">
            <v>0</v>
          </cell>
          <cell r="K438">
            <v>0</v>
          </cell>
          <cell r="L438">
            <v>-80000</v>
          </cell>
          <cell r="M438">
            <v>0</v>
          </cell>
        </row>
        <row r="439">
          <cell r="A439" t="e">
            <v>#VALUE!</v>
          </cell>
          <cell r="B439" t="str">
            <v>315190  סך הכל</v>
          </cell>
          <cell r="F439" t="str">
            <v>יוזמות - עתידים</v>
          </cell>
          <cell r="I439">
            <v>0</v>
          </cell>
          <cell r="J439">
            <v>0</v>
          </cell>
          <cell r="K439">
            <v>0</v>
          </cell>
          <cell r="L439">
            <v>-80000</v>
          </cell>
          <cell r="M439">
            <v>0</v>
          </cell>
        </row>
        <row r="440">
          <cell r="A440">
            <v>13157000</v>
          </cell>
          <cell r="B440">
            <v>0</v>
          </cell>
          <cell r="C440">
            <v>315700</v>
          </cell>
          <cell r="D440">
            <v>1</v>
          </cell>
          <cell r="F440" t="str">
            <v xml:space="preserve">בי"ס ע"י ומקיפים  </v>
          </cell>
          <cell r="G440" t="str">
            <v xml:space="preserve"> </v>
          </cell>
        </row>
        <row r="441">
          <cell r="A441">
            <v>1315710312</v>
          </cell>
          <cell r="B441">
            <v>312</v>
          </cell>
          <cell r="C441">
            <v>315710</v>
          </cell>
          <cell r="D441">
            <v>1</v>
          </cell>
          <cell r="F441" t="str">
            <v>מסיבות כיתתיות</v>
          </cell>
          <cell r="G441" t="str">
            <v>גמיש</v>
          </cell>
          <cell r="H441">
            <v>8.6956521739130377E-2</v>
          </cell>
          <cell r="I441">
            <v>-25000</v>
          </cell>
          <cell r="J441">
            <v>-23000</v>
          </cell>
          <cell r="K441">
            <v>0</v>
          </cell>
          <cell r="L441">
            <v>-310800</v>
          </cell>
          <cell r="M441">
            <v>-24442</v>
          </cell>
        </row>
        <row r="442">
          <cell r="A442">
            <v>1315710416</v>
          </cell>
          <cell r="B442">
            <v>416</v>
          </cell>
          <cell r="C442">
            <v>315710</v>
          </cell>
          <cell r="D442">
            <v>1</v>
          </cell>
          <cell r="F442" t="str">
            <v>פר' קשישים - משתתפים</v>
          </cell>
          <cell r="G442" t="str">
            <v>גמיש</v>
          </cell>
          <cell r="H442">
            <v>-1</v>
          </cell>
          <cell r="I442">
            <v>0</v>
          </cell>
          <cell r="J442">
            <v>-10000</v>
          </cell>
          <cell r="K442">
            <v>0</v>
          </cell>
          <cell r="L442">
            <v>0</v>
          </cell>
          <cell r="M442">
            <v>0</v>
          </cell>
        </row>
        <row r="443">
          <cell r="A443">
            <v>1315710440</v>
          </cell>
          <cell r="B443">
            <v>440</v>
          </cell>
          <cell r="C443">
            <v>315710</v>
          </cell>
          <cell r="D443">
            <v>1</v>
          </cell>
          <cell r="F443" t="str">
            <v>הכנסות גפ"ן בית ספרי</v>
          </cell>
          <cell r="G443" t="str">
            <v>גמיש</v>
          </cell>
          <cell r="H443">
            <v>-8.4249084249084283E-2</v>
          </cell>
          <cell r="I443">
            <v>-300000</v>
          </cell>
          <cell r="J443">
            <v>-327600</v>
          </cell>
          <cell r="K443">
            <v>0</v>
          </cell>
          <cell r="L443">
            <v>0</v>
          </cell>
          <cell r="M443">
            <v>-374626</v>
          </cell>
        </row>
        <row r="444">
          <cell r="A444">
            <v>1315710452</v>
          </cell>
          <cell r="B444">
            <v>452</v>
          </cell>
          <cell r="C444">
            <v>315710</v>
          </cell>
          <cell r="D444">
            <v>1</v>
          </cell>
          <cell r="F444" t="str">
            <v>השתתפות עירונית בגפ"ן</v>
          </cell>
          <cell r="G444" t="str">
            <v>גמיש</v>
          </cell>
          <cell r="H444">
            <v>3.5920461834509254E-2</v>
          </cell>
          <cell r="I444">
            <v>-323000</v>
          </cell>
          <cell r="J444">
            <v>-311800</v>
          </cell>
          <cell r="K444">
            <v>-63106</v>
          </cell>
          <cell r="L444">
            <v>0</v>
          </cell>
          <cell r="M444">
            <v>0</v>
          </cell>
        </row>
        <row r="445">
          <cell r="A445">
            <v>1315710920</v>
          </cell>
          <cell r="B445">
            <v>920</v>
          </cell>
          <cell r="C445">
            <v>315710</v>
          </cell>
          <cell r="D445">
            <v>1</v>
          </cell>
          <cell r="F445" t="str">
            <v>השתת' ממשלה - חט"ע</v>
          </cell>
          <cell r="G445" t="str">
            <v>גמיש</v>
          </cell>
          <cell r="H445">
            <v>5.1242921232624861E-2</v>
          </cell>
          <cell r="I445">
            <v>-11435000</v>
          </cell>
          <cell r="J445">
            <v>-10877600</v>
          </cell>
          <cell r="K445">
            <v>-7462568.6299999999</v>
          </cell>
          <cell r="L445">
            <v>-10515400</v>
          </cell>
          <cell r="M445">
            <v>-11689521.4</v>
          </cell>
        </row>
        <row r="446">
          <cell r="A446">
            <v>1315710921</v>
          </cell>
          <cell r="B446">
            <v>921</v>
          </cell>
          <cell r="C446">
            <v>315710</v>
          </cell>
          <cell r="D446">
            <v>1</v>
          </cell>
          <cell r="F446" t="str">
            <v>השתת' ממשלה - חט"ב</v>
          </cell>
          <cell r="G446" t="str">
            <v>גמיש</v>
          </cell>
          <cell r="H446">
            <v>8.250307083390207E-2</v>
          </cell>
          <cell r="I446">
            <v>-1586300</v>
          </cell>
          <cell r="J446">
            <v>-1465400</v>
          </cell>
          <cell r="K446">
            <v>-966822.40000000002</v>
          </cell>
          <cell r="L446">
            <v>-1403200</v>
          </cell>
          <cell r="M446">
            <v>-1504472.9</v>
          </cell>
        </row>
        <row r="447">
          <cell r="A447">
            <v>1315710922</v>
          </cell>
          <cell r="B447">
            <v>922</v>
          </cell>
          <cell r="C447">
            <v>315710</v>
          </cell>
          <cell r="D447">
            <v>1</v>
          </cell>
          <cell r="F447" t="str">
            <v xml:space="preserve">שעורי עזר לעולים  </v>
          </cell>
          <cell r="G447" t="str">
            <v>גמיש</v>
          </cell>
          <cell r="H447">
            <v>-0.625</v>
          </cell>
          <cell r="I447">
            <v>-45000</v>
          </cell>
          <cell r="J447">
            <v>-120000</v>
          </cell>
          <cell r="K447">
            <v>-24561.599999999999</v>
          </cell>
          <cell r="L447">
            <v>-120000</v>
          </cell>
          <cell r="M447">
            <v>-81260.67</v>
          </cell>
        </row>
        <row r="448">
          <cell r="A448">
            <v>1315710923</v>
          </cell>
          <cell r="B448">
            <v>923</v>
          </cell>
          <cell r="C448">
            <v>315710</v>
          </cell>
          <cell r="D448">
            <v>1</v>
          </cell>
          <cell r="F448" t="str">
            <v xml:space="preserve">שעורי עזר לנכים   </v>
          </cell>
          <cell r="G448" t="str">
            <v>גמיש</v>
          </cell>
          <cell r="H448">
            <v>-1</v>
          </cell>
          <cell r="I448">
            <v>0</v>
          </cell>
          <cell r="J448">
            <v>-3600</v>
          </cell>
          <cell r="K448">
            <v>0</v>
          </cell>
          <cell r="L448">
            <v>-3600</v>
          </cell>
          <cell r="M448">
            <v>0</v>
          </cell>
        </row>
        <row r="449">
          <cell r="A449">
            <v>1315710925</v>
          </cell>
          <cell r="B449">
            <v>925</v>
          </cell>
          <cell r="C449">
            <v>315710</v>
          </cell>
          <cell r="D449">
            <v>1</v>
          </cell>
          <cell r="F449" t="str">
            <v xml:space="preserve">קרן השתלמות לשכ"ל </v>
          </cell>
          <cell r="G449" t="str">
            <v>גמיש</v>
          </cell>
          <cell r="H449">
            <v>5.0319573901464798E-2</v>
          </cell>
          <cell r="I449">
            <v>-788790</v>
          </cell>
          <cell r="J449">
            <v>-751000</v>
          </cell>
          <cell r="K449">
            <v>-458840.26</v>
          </cell>
          <cell r="L449">
            <v>-732300</v>
          </cell>
          <cell r="M449">
            <v>-745214.06</v>
          </cell>
        </row>
        <row r="450">
          <cell r="A450">
            <v>1315710926</v>
          </cell>
          <cell r="B450">
            <v>926</v>
          </cell>
          <cell r="C450">
            <v>315710</v>
          </cell>
          <cell r="D450">
            <v>1</v>
          </cell>
          <cell r="F450" t="str">
            <v xml:space="preserve">השאלת מורים לחט"ב </v>
          </cell>
          <cell r="G450" t="str">
            <v>גמיש</v>
          </cell>
          <cell r="I450">
            <v>0</v>
          </cell>
          <cell r="J450">
            <v>0</v>
          </cell>
          <cell r="K450">
            <v>0</v>
          </cell>
          <cell r="L450">
            <v>-124000</v>
          </cell>
          <cell r="M450">
            <v>0</v>
          </cell>
        </row>
        <row r="451">
          <cell r="A451">
            <v>1315710928</v>
          </cell>
          <cell r="B451">
            <v>928</v>
          </cell>
          <cell r="C451">
            <v>315710</v>
          </cell>
          <cell r="D451">
            <v>1</v>
          </cell>
          <cell r="F451" t="str">
            <v xml:space="preserve">ליווי לטיולים     </v>
          </cell>
          <cell r="G451" t="str">
            <v>גמיש</v>
          </cell>
          <cell r="H451">
            <v>0.11573033707865177</v>
          </cell>
          <cell r="I451">
            <v>-198600</v>
          </cell>
          <cell r="J451">
            <v>-178000</v>
          </cell>
          <cell r="K451">
            <v>-109413.94</v>
          </cell>
          <cell r="L451">
            <v>-174300</v>
          </cell>
          <cell r="M451">
            <v>-185792.65</v>
          </cell>
        </row>
        <row r="452">
          <cell r="A452">
            <v>1315710930</v>
          </cell>
          <cell r="B452">
            <v>930</v>
          </cell>
          <cell r="C452">
            <v>315710</v>
          </cell>
          <cell r="D452">
            <v>1</v>
          </cell>
          <cell r="F452" t="str">
            <v>עוז לתמורה</v>
          </cell>
          <cell r="G452" t="str">
            <v>גמיש</v>
          </cell>
          <cell r="H452">
            <v>0.11842614491507208</v>
          </cell>
          <cell r="I452">
            <v>-6242160</v>
          </cell>
          <cell r="J452">
            <v>-5581200</v>
          </cell>
          <cell r="K452">
            <v>-3048090.48</v>
          </cell>
          <cell r="L452">
            <v>-5829200</v>
          </cell>
          <cell r="M452">
            <v>-5390907.2300000004</v>
          </cell>
        </row>
        <row r="453">
          <cell r="A453">
            <v>1315710932</v>
          </cell>
          <cell r="B453">
            <v>932</v>
          </cell>
          <cell r="C453">
            <v>315710</v>
          </cell>
          <cell r="D453">
            <v>1</v>
          </cell>
          <cell r="F453" t="str">
            <v>גמול בגרות אחוזי</v>
          </cell>
          <cell r="G453" t="str">
            <v>גמיש</v>
          </cell>
          <cell r="H453">
            <v>4.8689138576778923E-2</v>
          </cell>
          <cell r="I453">
            <v>-280000</v>
          </cell>
          <cell r="J453">
            <v>-267000</v>
          </cell>
          <cell r="K453">
            <v>-165634.92000000001</v>
          </cell>
          <cell r="L453">
            <v>-260400</v>
          </cell>
          <cell r="M453">
            <v>-281339.71999999997</v>
          </cell>
        </row>
        <row r="454">
          <cell r="A454">
            <v>1315710953</v>
          </cell>
          <cell r="B454">
            <v>953</v>
          </cell>
          <cell r="C454">
            <v>315710</v>
          </cell>
          <cell r="D454">
            <v>1</v>
          </cell>
          <cell r="F454" t="str">
            <v>מערכת גפ"ן</v>
          </cell>
          <cell r="G454" t="str">
            <v>גמיש</v>
          </cell>
          <cell r="H454">
            <v>9.8460551635663807E-2</v>
          </cell>
          <cell r="I454">
            <v>-1370000</v>
          </cell>
          <cell r="J454">
            <v>-1247200</v>
          </cell>
          <cell r="K454">
            <v>-615121.11</v>
          </cell>
          <cell r="L454">
            <v>-1440000</v>
          </cell>
          <cell r="M454">
            <v>-1074761.3</v>
          </cell>
        </row>
        <row r="455">
          <cell r="A455" t="e">
            <v>#VALUE!</v>
          </cell>
          <cell r="B455" t="str">
            <v>315710  סך הכל</v>
          </cell>
          <cell r="F455" t="str">
            <v xml:space="preserve">חטיבת ביניים-נבון </v>
          </cell>
          <cell r="H455">
            <v>6.7590746288403558E-2</v>
          </cell>
          <cell r="I455">
            <v>-22593850</v>
          </cell>
          <cell r="J455">
            <v>-21163400</v>
          </cell>
          <cell r="K455">
            <v>-12914159.339999998</v>
          </cell>
          <cell r="L455">
            <v>-20913200</v>
          </cell>
          <cell r="M455">
            <v>-21352337.930000003</v>
          </cell>
        </row>
        <row r="456">
          <cell r="A456">
            <v>13157200</v>
          </cell>
          <cell r="B456">
            <v>0</v>
          </cell>
          <cell r="C456">
            <v>315720</v>
          </cell>
          <cell r="D456">
            <v>1</v>
          </cell>
          <cell r="F456" t="str">
            <v xml:space="preserve">בי"ס תיכון קוגל   </v>
          </cell>
          <cell r="G456" t="str">
            <v xml:space="preserve"> </v>
          </cell>
        </row>
        <row r="457">
          <cell r="A457">
            <v>1315720312</v>
          </cell>
          <cell r="B457">
            <v>312</v>
          </cell>
          <cell r="C457">
            <v>315720</v>
          </cell>
          <cell r="D457">
            <v>1</v>
          </cell>
          <cell r="F457" t="str">
            <v>מסיבות כיתתיות</v>
          </cell>
          <cell r="G457" t="str">
            <v>גמיש</v>
          </cell>
          <cell r="H457">
            <v>6.8965517241379226E-2</v>
          </cell>
          <cell r="I457">
            <v>-31000</v>
          </cell>
          <cell r="J457">
            <v>-29000</v>
          </cell>
          <cell r="K457">
            <v>0</v>
          </cell>
          <cell r="L457">
            <v>-310800</v>
          </cell>
          <cell r="M457">
            <v>-30822</v>
          </cell>
        </row>
        <row r="458">
          <cell r="A458">
            <v>1315720416</v>
          </cell>
          <cell r="B458">
            <v>416</v>
          </cell>
          <cell r="C458">
            <v>315720</v>
          </cell>
          <cell r="D458">
            <v>1</v>
          </cell>
          <cell r="F458" t="str">
            <v>פר' קשישים-משתתפים</v>
          </cell>
          <cell r="G458" t="str">
            <v>גמיש</v>
          </cell>
          <cell r="H458">
            <v>-1</v>
          </cell>
          <cell r="I458">
            <v>0</v>
          </cell>
          <cell r="J458">
            <v>-60000</v>
          </cell>
          <cell r="K458">
            <v>0</v>
          </cell>
          <cell r="L458">
            <v>-30000</v>
          </cell>
          <cell r="M458">
            <v>0</v>
          </cell>
        </row>
        <row r="459">
          <cell r="A459">
            <v>1315720440</v>
          </cell>
          <cell r="B459">
            <v>440</v>
          </cell>
          <cell r="C459">
            <v>315720</v>
          </cell>
          <cell r="D459">
            <v>1</v>
          </cell>
          <cell r="F459" t="str">
            <v>הכנסות גפ"ן בית ספרי</v>
          </cell>
          <cell r="G459" t="str">
            <v>גמיש</v>
          </cell>
          <cell r="H459">
            <v>0</v>
          </cell>
          <cell r="I459">
            <v>-300000</v>
          </cell>
          <cell r="J459">
            <v>-300000</v>
          </cell>
          <cell r="K459">
            <v>0</v>
          </cell>
          <cell r="L459">
            <v>0</v>
          </cell>
          <cell r="M459">
            <v>-369276</v>
          </cell>
        </row>
        <row r="460">
          <cell r="A460">
            <v>1315720452</v>
          </cell>
          <cell r="B460">
            <v>452</v>
          </cell>
          <cell r="C460">
            <v>315720</v>
          </cell>
          <cell r="D460">
            <v>1</v>
          </cell>
          <cell r="F460" t="str">
            <v>השתתפות עירונית בגפ"ן</v>
          </cell>
          <cell r="G460" t="str">
            <v>גמיש</v>
          </cell>
          <cell r="H460">
            <v>2.2727272727272707E-2</v>
          </cell>
          <cell r="I460">
            <v>-360000</v>
          </cell>
          <cell r="J460">
            <v>-352000</v>
          </cell>
          <cell r="K460">
            <v>0</v>
          </cell>
          <cell r="L460">
            <v>0</v>
          </cell>
          <cell r="M460">
            <v>0</v>
          </cell>
        </row>
        <row r="461">
          <cell r="A461">
            <v>1315720920</v>
          </cell>
          <cell r="B461">
            <v>920</v>
          </cell>
          <cell r="C461">
            <v>315720</v>
          </cell>
          <cell r="D461">
            <v>1</v>
          </cell>
          <cell r="F461" t="str">
            <v>השת' הממשלה בשכל"מ</v>
          </cell>
          <cell r="G461" t="str">
            <v>גמיש</v>
          </cell>
          <cell r="H461">
            <v>0.11723521525398484</v>
          </cell>
          <cell r="I461">
            <v>-15000000</v>
          </cell>
          <cell r="J461">
            <v>-13426000</v>
          </cell>
          <cell r="K461">
            <v>-9538211.9900000002</v>
          </cell>
          <cell r="L461">
            <v>-12387000</v>
          </cell>
          <cell r="M461">
            <v>-14572255.57</v>
          </cell>
        </row>
        <row r="462">
          <cell r="A462">
            <v>1315720921</v>
          </cell>
          <cell r="B462">
            <v>921</v>
          </cell>
          <cell r="C462">
            <v>315720</v>
          </cell>
          <cell r="D462">
            <v>1</v>
          </cell>
          <cell r="F462" t="str">
            <v>השתת' ממשלה - חט"ב</v>
          </cell>
          <cell r="G462" t="str">
            <v>גמיש</v>
          </cell>
          <cell r="H462">
            <v>7.9647427388094272E-3</v>
          </cell>
          <cell r="I462">
            <v>-1898300</v>
          </cell>
          <cell r="J462">
            <v>-1883300</v>
          </cell>
          <cell r="K462">
            <v>-1125492.07</v>
          </cell>
          <cell r="L462">
            <v>-1921000</v>
          </cell>
          <cell r="M462">
            <v>-1836477.36</v>
          </cell>
        </row>
        <row r="463">
          <cell r="A463">
            <v>1315720922</v>
          </cell>
          <cell r="B463">
            <v>922</v>
          </cell>
          <cell r="C463">
            <v>315720</v>
          </cell>
          <cell r="D463">
            <v>1</v>
          </cell>
          <cell r="F463" t="str">
            <v xml:space="preserve">שעורי עזר לעולים  </v>
          </cell>
          <cell r="G463" t="str">
            <v>גמיש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-8956.64</v>
          </cell>
        </row>
        <row r="464">
          <cell r="A464">
            <v>1315720923</v>
          </cell>
          <cell r="B464">
            <v>923</v>
          </cell>
          <cell r="C464">
            <v>315720</v>
          </cell>
          <cell r="D464">
            <v>1</v>
          </cell>
          <cell r="F464" t="str">
            <v xml:space="preserve">שעורי עזר לנכים   </v>
          </cell>
          <cell r="G464" t="str">
            <v>גמיש</v>
          </cell>
          <cell r="H464">
            <v>-1.3157894736842146E-2</v>
          </cell>
          <cell r="I464">
            <v>-7500</v>
          </cell>
          <cell r="J464">
            <v>-7600</v>
          </cell>
          <cell r="K464">
            <v>-12399.78</v>
          </cell>
          <cell r="L464">
            <v>-3600</v>
          </cell>
          <cell r="M464">
            <v>-7058.8</v>
          </cell>
        </row>
        <row r="465">
          <cell r="A465">
            <v>1315720925</v>
          </cell>
          <cell r="B465">
            <v>925</v>
          </cell>
          <cell r="C465">
            <v>315720</v>
          </cell>
          <cell r="D465">
            <v>1</v>
          </cell>
          <cell r="F465" t="str">
            <v xml:space="preserve">קרן השתלמות לשכ"ל </v>
          </cell>
          <cell r="G465" t="str">
            <v>גמיש</v>
          </cell>
          <cell r="H465">
            <v>0.45858050847457621</v>
          </cell>
          <cell r="I465">
            <v>-1376900</v>
          </cell>
          <cell r="J465">
            <v>-944000</v>
          </cell>
          <cell r="K465">
            <v>-601541.48</v>
          </cell>
          <cell r="L465">
            <v>-868400</v>
          </cell>
          <cell r="M465">
            <v>-953337.43</v>
          </cell>
        </row>
        <row r="466">
          <cell r="A466">
            <v>1315720928</v>
          </cell>
          <cell r="B466">
            <v>928</v>
          </cell>
          <cell r="C466">
            <v>315720</v>
          </cell>
          <cell r="D466">
            <v>1</v>
          </cell>
          <cell r="F466" t="str">
            <v xml:space="preserve">ליווי לטיולים     </v>
          </cell>
          <cell r="G466" t="str">
            <v>גמיש</v>
          </cell>
          <cell r="H466">
            <v>0.14766734279918858</v>
          </cell>
          <cell r="I466">
            <v>-282900</v>
          </cell>
          <cell r="J466">
            <v>-246500</v>
          </cell>
          <cell r="K466">
            <v>-156889.72</v>
          </cell>
          <cell r="L466">
            <v>-219600</v>
          </cell>
          <cell r="M466">
            <v>-260740.42</v>
          </cell>
        </row>
        <row r="467">
          <cell r="A467">
            <v>1315720930</v>
          </cell>
          <cell r="B467">
            <v>930</v>
          </cell>
          <cell r="C467">
            <v>315720</v>
          </cell>
          <cell r="D467">
            <v>1</v>
          </cell>
          <cell r="F467" t="str">
            <v>עוז לתמורה</v>
          </cell>
          <cell r="G467" t="str">
            <v>גמיש</v>
          </cell>
          <cell r="H467">
            <v>0.17936398003058907</v>
          </cell>
          <cell r="I467">
            <v>-8173700</v>
          </cell>
          <cell r="J467">
            <v>-6930600</v>
          </cell>
          <cell r="K467">
            <v>-3787228.85</v>
          </cell>
          <cell r="L467">
            <v>-6578600</v>
          </cell>
          <cell r="M467">
            <v>-6787271.3099999996</v>
          </cell>
        </row>
        <row r="468">
          <cell r="A468">
            <v>1315720932</v>
          </cell>
          <cell r="B468">
            <v>932</v>
          </cell>
          <cell r="C468">
            <v>315720</v>
          </cell>
          <cell r="D468">
            <v>1</v>
          </cell>
          <cell r="F468" t="str">
            <v>גמול בגרות אחוזי</v>
          </cell>
          <cell r="G468" t="str">
            <v>גמיש</v>
          </cell>
          <cell r="H468">
            <v>7.5376884422110546E-2</v>
          </cell>
          <cell r="I468">
            <v>-363800</v>
          </cell>
          <cell r="J468">
            <v>-338300</v>
          </cell>
          <cell r="K468">
            <v>-222485.68</v>
          </cell>
          <cell r="L468">
            <v>-303900</v>
          </cell>
          <cell r="M468">
            <v>-368645.54</v>
          </cell>
        </row>
        <row r="469">
          <cell r="A469">
            <v>1315720953</v>
          </cell>
          <cell r="B469">
            <v>953</v>
          </cell>
          <cell r="C469">
            <v>315720</v>
          </cell>
          <cell r="D469">
            <v>1</v>
          </cell>
          <cell r="F469" t="str">
            <v>מערכת גפ"ן</v>
          </cell>
          <cell r="G469" t="str">
            <v>גמיש</v>
          </cell>
          <cell r="H469">
            <v>3.1960227272727293E-2</v>
          </cell>
          <cell r="I469">
            <v>-1453000</v>
          </cell>
          <cell r="J469">
            <v>-1408000</v>
          </cell>
          <cell r="K469">
            <v>-752254.71</v>
          </cell>
          <cell r="L469">
            <v>-1586000</v>
          </cell>
          <cell r="M469">
            <v>-1173871.79</v>
          </cell>
        </row>
        <row r="470">
          <cell r="A470" t="e">
            <v>#VALUE!</v>
          </cell>
          <cell r="B470" t="str">
            <v>315720  סך הכל</v>
          </cell>
          <cell r="F470" t="str">
            <v xml:space="preserve">בי"ס תיכון קוגל   </v>
          </cell>
          <cell r="H470">
            <v>0.12812966484476562</v>
          </cell>
          <cell r="I470">
            <v>-29247100</v>
          </cell>
          <cell r="J470">
            <v>-25925300</v>
          </cell>
          <cell r="K470">
            <v>-16196504.280000001</v>
          </cell>
          <cell r="L470">
            <v>-24208900</v>
          </cell>
          <cell r="M470">
            <v>-26368712.859999999</v>
          </cell>
        </row>
        <row r="471">
          <cell r="A471">
            <v>13157300</v>
          </cell>
          <cell r="B471">
            <v>0</v>
          </cell>
          <cell r="C471">
            <v>315730</v>
          </cell>
          <cell r="D471">
            <v>1</v>
          </cell>
          <cell r="F471" t="str">
            <v xml:space="preserve">תיכון ע"ש הרצוג   </v>
          </cell>
          <cell r="G471" t="str">
            <v xml:space="preserve"> </v>
          </cell>
        </row>
        <row r="472">
          <cell r="A472">
            <v>1315730312</v>
          </cell>
          <cell r="B472">
            <v>312</v>
          </cell>
          <cell r="C472">
            <v>315730</v>
          </cell>
          <cell r="D472">
            <v>1</v>
          </cell>
          <cell r="F472" t="str">
            <v>מסיבות כיתתיות</v>
          </cell>
          <cell r="G472" t="str">
            <v>גמיש</v>
          </cell>
          <cell r="H472">
            <v>-1</v>
          </cell>
          <cell r="I472">
            <v>0</v>
          </cell>
          <cell r="J472">
            <v>-18500</v>
          </cell>
          <cell r="K472">
            <v>0</v>
          </cell>
          <cell r="L472">
            <v>-310800</v>
          </cell>
          <cell r="M472">
            <v>-19690</v>
          </cell>
        </row>
        <row r="473">
          <cell r="A473">
            <v>1315730440</v>
          </cell>
          <cell r="B473">
            <v>440</v>
          </cell>
          <cell r="C473">
            <v>315730</v>
          </cell>
          <cell r="D473">
            <v>1</v>
          </cell>
          <cell r="F473" t="str">
            <v>הכנסות גפ"ן בית ספרי</v>
          </cell>
          <cell r="G473" t="str">
            <v>גמיש</v>
          </cell>
          <cell r="H473">
            <v>-1</v>
          </cell>
          <cell r="I473">
            <v>0</v>
          </cell>
          <cell r="J473">
            <v>-225000</v>
          </cell>
          <cell r="K473">
            <v>-84230</v>
          </cell>
          <cell r="L473">
            <v>0</v>
          </cell>
          <cell r="M473">
            <v>-225053</v>
          </cell>
        </row>
        <row r="474">
          <cell r="A474">
            <v>1315730452</v>
          </cell>
          <cell r="B474">
            <v>452</v>
          </cell>
          <cell r="C474">
            <v>315730</v>
          </cell>
          <cell r="D474">
            <v>1</v>
          </cell>
          <cell r="F474" t="str">
            <v>השתתפות עירונית בגפ"ן</v>
          </cell>
          <cell r="G474" t="str">
            <v>גמיש</v>
          </cell>
          <cell r="H474">
            <v>-1</v>
          </cell>
          <cell r="I474">
            <v>0</v>
          </cell>
          <cell r="J474">
            <v>-273400</v>
          </cell>
          <cell r="K474">
            <v>-348887</v>
          </cell>
          <cell r="L474">
            <v>0</v>
          </cell>
          <cell r="M474">
            <v>0</v>
          </cell>
        </row>
        <row r="475">
          <cell r="A475">
            <v>1315730920</v>
          </cell>
          <cell r="B475">
            <v>920</v>
          </cell>
          <cell r="C475">
            <v>315730</v>
          </cell>
          <cell r="D475">
            <v>1</v>
          </cell>
          <cell r="F475" t="str">
            <v>השת' הממשלה בשכל"מ</v>
          </cell>
          <cell r="G475" t="str">
            <v>גמיש</v>
          </cell>
          <cell r="H475">
            <v>-0.48417876281150829</v>
          </cell>
          <cell r="I475">
            <v>-4957300</v>
          </cell>
          <cell r="J475">
            <v>-9610500</v>
          </cell>
          <cell r="K475">
            <v>-6666615.0899999999</v>
          </cell>
          <cell r="L475">
            <v>-7786500</v>
          </cell>
          <cell r="M475">
            <v>-9622231.5600000005</v>
          </cell>
        </row>
        <row r="476">
          <cell r="A476">
            <v>1315730921</v>
          </cell>
          <cell r="B476">
            <v>921</v>
          </cell>
          <cell r="C476">
            <v>315730</v>
          </cell>
          <cell r="D476">
            <v>1</v>
          </cell>
          <cell r="F476" t="str">
            <v>השתת' ממשלה - חט"ב</v>
          </cell>
          <cell r="G476" t="str">
            <v>גמיש</v>
          </cell>
          <cell r="H476">
            <v>-1</v>
          </cell>
          <cell r="I476">
            <v>0</v>
          </cell>
          <cell r="J476">
            <v>-1322400</v>
          </cell>
          <cell r="K476">
            <v>-840734.44</v>
          </cell>
          <cell r="L476">
            <v>-1335700</v>
          </cell>
          <cell r="M476">
            <v>-1357229.14</v>
          </cell>
        </row>
        <row r="477">
          <cell r="A477">
            <v>1315730922</v>
          </cell>
          <cell r="B477">
            <v>922</v>
          </cell>
          <cell r="C477">
            <v>315730</v>
          </cell>
          <cell r="D477">
            <v>1</v>
          </cell>
          <cell r="F477" t="str">
            <v xml:space="preserve">שעורי עזר לעולים  </v>
          </cell>
          <cell r="G477" t="str">
            <v>גמיש</v>
          </cell>
          <cell r="I477">
            <v>0</v>
          </cell>
          <cell r="J477">
            <v>0</v>
          </cell>
          <cell r="K477">
            <v>-35327.199999999997</v>
          </cell>
          <cell r="L477">
            <v>0</v>
          </cell>
          <cell r="M477">
            <v>-54710.720000000001</v>
          </cell>
        </row>
        <row r="478">
          <cell r="A478">
            <v>1315730923</v>
          </cell>
          <cell r="B478">
            <v>923</v>
          </cell>
          <cell r="C478">
            <v>315730</v>
          </cell>
          <cell r="D478">
            <v>1</v>
          </cell>
          <cell r="F478" t="str">
            <v xml:space="preserve">שעורי עזר לנכים   </v>
          </cell>
          <cell r="G478" t="str">
            <v>גמיש</v>
          </cell>
          <cell r="H478">
            <v>-1</v>
          </cell>
          <cell r="I478">
            <v>0</v>
          </cell>
          <cell r="J478">
            <v>-6000</v>
          </cell>
          <cell r="K478">
            <v>0</v>
          </cell>
          <cell r="L478">
            <v>-3600</v>
          </cell>
          <cell r="M478">
            <v>-2229.3000000000002</v>
          </cell>
        </row>
        <row r="479">
          <cell r="A479">
            <v>1315730925</v>
          </cell>
          <cell r="B479">
            <v>925</v>
          </cell>
          <cell r="C479">
            <v>315730</v>
          </cell>
          <cell r="D479">
            <v>1</v>
          </cell>
          <cell r="F479" t="str">
            <v xml:space="preserve">קרן השתלמות לשכ"ל </v>
          </cell>
          <cell r="G479" t="str">
            <v>גמיש</v>
          </cell>
          <cell r="H479">
            <v>-0.50124688279301743</v>
          </cell>
          <cell r="I479">
            <v>-300000</v>
          </cell>
          <cell r="J479">
            <v>-601500</v>
          </cell>
          <cell r="K479">
            <v>-423462.44</v>
          </cell>
          <cell r="L479">
            <v>-594700</v>
          </cell>
          <cell r="M479">
            <v>-636701.71</v>
          </cell>
        </row>
        <row r="480">
          <cell r="A480">
            <v>1315730926</v>
          </cell>
          <cell r="B480">
            <v>926</v>
          </cell>
          <cell r="C480">
            <v>315730</v>
          </cell>
          <cell r="D480">
            <v>1</v>
          </cell>
          <cell r="F480" t="str">
            <v xml:space="preserve">השאלת מורים לחט"ב </v>
          </cell>
          <cell r="G480" t="str">
            <v>גמיש</v>
          </cell>
          <cell r="H480">
            <v>-1</v>
          </cell>
          <cell r="I480">
            <v>0</v>
          </cell>
          <cell r="J480">
            <v>-453100</v>
          </cell>
          <cell r="K480">
            <v>-92527.39</v>
          </cell>
          <cell r="L480">
            <v>-404700</v>
          </cell>
          <cell r="M480">
            <v>-163676.24</v>
          </cell>
        </row>
        <row r="481">
          <cell r="A481">
            <v>1315730928</v>
          </cell>
          <cell r="B481">
            <v>928</v>
          </cell>
          <cell r="C481">
            <v>315730</v>
          </cell>
          <cell r="D481">
            <v>1</v>
          </cell>
          <cell r="F481" t="str">
            <v xml:space="preserve">ליווי לטיולים     </v>
          </cell>
          <cell r="G481" t="str">
            <v>גמיש</v>
          </cell>
          <cell r="H481">
            <v>-0.5535714285714286</v>
          </cell>
          <cell r="I481">
            <v>-60000</v>
          </cell>
          <cell r="J481">
            <v>-134400</v>
          </cell>
          <cell r="K481">
            <v>-91848.72</v>
          </cell>
          <cell r="L481">
            <v>-128800</v>
          </cell>
          <cell r="M481">
            <v>-148524.98000000001</v>
          </cell>
        </row>
        <row r="482">
          <cell r="A482">
            <v>1315730930</v>
          </cell>
          <cell r="B482">
            <v>930</v>
          </cell>
          <cell r="C482">
            <v>315730</v>
          </cell>
          <cell r="D482">
            <v>1</v>
          </cell>
          <cell r="F482" t="str">
            <v>עוז לתמורה</v>
          </cell>
          <cell r="G482" t="str">
            <v>גמיש</v>
          </cell>
          <cell r="H482">
            <v>-0.48578389915831022</v>
          </cell>
          <cell r="I482">
            <v>-2553700</v>
          </cell>
          <cell r="J482">
            <v>-4966200</v>
          </cell>
          <cell r="K482">
            <v>-2572300.2400000002</v>
          </cell>
          <cell r="L482">
            <v>-4257000</v>
          </cell>
          <cell r="M482">
            <v>-4438508.91</v>
          </cell>
        </row>
        <row r="483">
          <cell r="A483">
            <v>1315730932</v>
          </cell>
          <cell r="B483">
            <v>932</v>
          </cell>
          <cell r="C483">
            <v>315730</v>
          </cell>
          <cell r="D483">
            <v>1</v>
          </cell>
          <cell r="F483" t="str">
            <v>גמול בגרות אחוזי</v>
          </cell>
          <cell r="G483" t="str">
            <v>גמיש</v>
          </cell>
          <cell r="H483">
            <v>-0.53987730061349692</v>
          </cell>
          <cell r="I483">
            <v>-90000</v>
          </cell>
          <cell r="J483">
            <v>-195600</v>
          </cell>
          <cell r="K483">
            <v>-133078.44</v>
          </cell>
          <cell r="L483">
            <v>-197000</v>
          </cell>
          <cell r="M483">
            <v>-216994.25</v>
          </cell>
        </row>
        <row r="484">
          <cell r="A484">
            <v>1315730953</v>
          </cell>
          <cell r="B484">
            <v>953</v>
          </cell>
          <cell r="C484">
            <v>315730</v>
          </cell>
          <cell r="D484">
            <v>1</v>
          </cell>
          <cell r="F484" t="str">
            <v>מערכת גפ"ן</v>
          </cell>
          <cell r="G484" t="str">
            <v>גמיש</v>
          </cell>
          <cell r="H484">
            <v>-1</v>
          </cell>
          <cell r="I484">
            <v>0</v>
          </cell>
          <cell r="J484">
            <v>-1093600</v>
          </cell>
          <cell r="K484">
            <v>-505277.57</v>
          </cell>
          <cell r="L484">
            <v>-1305200</v>
          </cell>
          <cell r="M484">
            <v>-909988.64</v>
          </cell>
        </row>
        <row r="485">
          <cell r="A485" t="e">
            <v>#VALUE!</v>
          </cell>
          <cell r="B485" t="str">
            <v>315730  סך הכל</v>
          </cell>
          <cell r="F485" t="str">
            <v xml:space="preserve">תיכון ע"ש הרצוג   </v>
          </cell>
          <cell r="H485">
            <v>-0.57878752605792538</v>
          </cell>
          <cell r="I485">
            <v>-7961000</v>
          </cell>
          <cell r="J485">
            <v>-18900200</v>
          </cell>
          <cell r="K485">
            <v>-11794288.530000001</v>
          </cell>
          <cell r="L485">
            <v>-16324000</v>
          </cell>
          <cell r="M485">
            <v>-17795538.450000003</v>
          </cell>
        </row>
        <row r="486">
          <cell r="A486">
            <v>13157400</v>
          </cell>
          <cell r="B486">
            <v>0</v>
          </cell>
          <cell r="C486">
            <v>315740</v>
          </cell>
          <cell r="D486">
            <v>1</v>
          </cell>
          <cell r="F486" t="str">
            <v xml:space="preserve">תיכון קרית - שרת  </v>
          </cell>
          <cell r="G486" t="str">
            <v xml:space="preserve"> </v>
          </cell>
        </row>
        <row r="487">
          <cell r="A487">
            <v>1315740312</v>
          </cell>
          <cell r="B487">
            <v>312</v>
          </cell>
          <cell r="C487">
            <v>315740</v>
          </cell>
          <cell r="D487">
            <v>1</v>
          </cell>
          <cell r="F487" t="str">
            <v>מסיבות כיתתיות</v>
          </cell>
          <cell r="G487" t="str">
            <v>גמיש</v>
          </cell>
          <cell r="H487">
            <v>-0.24444444444444446</v>
          </cell>
          <cell r="I487">
            <v>-34000</v>
          </cell>
          <cell r="J487">
            <v>-45000</v>
          </cell>
          <cell r="K487">
            <v>0</v>
          </cell>
          <cell r="L487">
            <v>-310800</v>
          </cell>
          <cell r="M487">
            <v>-33462</v>
          </cell>
        </row>
        <row r="488">
          <cell r="A488">
            <v>1315740416</v>
          </cell>
          <cell r="B488">
            <v>416</v>
          </cell>
          <cell r="C488">
            <v>315740</v>
          </cell>
          <cell r="D488">
            <v>1</v>
          </cell>
          <cell r="F488" t="str">
            <v>פר' קשישים-משתתפים</v>
          </cell>
          <cell r="G488" t="str">
            <v>גמיש</v>
          </cell>
          <cell r="H488">
            <v>0</v>
          </cell>
          <cell r="I488">
            <v>-70000</v>
          </cell>
          <cell r="J488">
            <v>-70000</v>
          </cell>
          <cell r="K488">
            <v>0</v>
          </cell>
          <cell r="L488">
            <v>-70000</v>
          </cell>
          <cell r="M488">
            <v>-46157.8</v>
          </cell>
        </row>
        <row r="489">
          <cell r="A489">
            <v>1315740440</v>
          </cell>
          <cell r="B489">
            <v>440</v>
          </cell>
          <cell r="C489">
            <v>315740</v>
          </cell>
          <cell r="D489">
            <v>1</v>
          </cell>
          <cell r="F489" t="str">
            <v>הכנסות גפ"ן בית ספרי</v>
          </cell>
          <cell r="G489" t="str">
            <v>גמיש</v>
          </cell>
          <cell r="H489">
            <v>0</v>
          </cell>
          <cell r="I489">
            <v>-400000</v>
          </cell>
          <cell r="J489">
            <v>-400000</v>
          </cell>
          <cell r="K489">
            <v>-107517</v>
          </cell>
          <cell r="L489">
            <v>0</v>
          </cell>
          <cell r="M489">
            <v>-708410</v>
          </cell>
        </row>
        <row r="490">
          <cell r="A490">
            <v>1315740452</v>
          </cell>
          <cell r="B490">
            <v>452</v>
          </cell>
          <cell r="C490">
            <v>315740</v>
          </cell>
          <cell r="D490">
            <v>1</v>
          </cell>
          <cell r="F490" t="str">
            <v>השתתפות עירונית בגפ"ן</v>
          </cell>
          <cell r="G490" t="str">
            <v>גמיש</v>
          </cell>
          <cell r="H490">
            <v>0.29164654756156438</v>
          </cell>
          <cell r="I490">
            <v>-535000</v>
          </cell>
          <cell r="J490">
            <v>-414200</v>
          </cell>
          <cell r="K490">
            <v>-197920</v>
          </cell>
          <cell r="L490">
            <v>0</v>
          </cell>
          <cell r="M490">
            <v>0</v>
          </cell>
        </row>
        <row r="491">
          <cell r="A491">
            <v>1315740920</v>
          </cell>
          <cell r="B491">
            <v>920</v>
          </cell>
          <cell r="C491">
            <v>315740</v>
          </cell>
          <cell r="D491">
            <v>1</v>
          </cell>
          <cell r="F491" t="str">
            <v>השת' הממשלה בשכל"מ</v>
          </cell>
          <cell r="G491" t="str">
            <v>גמיש</v>
          </cell>
          <cell r="H491">
            <v>0.16327479448001858</v>
          </cell>
          <cell r="I491">
            <v>-22018000</v>
          </cell>
          <cell r="J491">
            <v>-18927600</v>
          </cell>
          <cell r="K491">
            <v>-13439882.189999999</v>
          </cell>
          <cell r="L491">
            <v>-18687300</v>
          </cell>
          <cell r="M491">
            <v>-20580619.75</v>
          </cell>
        </row>
        <row r="492">
          <cell r="A492">
            <v>1315740921</v>
          </cell>
          <cell r="B492">
            <v>921</v>
          </cell>
          <cell r="C492">
            <v>315740</v>
          </cell>
          <cell r="D492">
            <v>1</v>
          </cell>
          <cell r="F492" t="str">
            <v>השתת' ממשלה - חט"ב</v>
          </cell>
          <cell r="G492" t="str">
            <v>גמיש</v>
          </cell>
          <cell r="H492">
            <v>-1.3274923669188921E-2</v>
          </cell>
          <cell r="I492">
            <v>-2973200</v>
          </cell>
          <cell r="J492">
            <v>-3013200</v>
          </cell>
          <cell r="K492">
            <v>-1789097.33</v>
          </cell>
          <cell r="L492">
            <v>-2906400</v>
          </cell>
          <cell r="M492">
            <v>-2969615</v>
          </cell>
        </row>
        <row r="493">
          <cell r="A493">
            <v>1315740922</v>
          </cell>
          <cell r="B493">
            <v>922</v>
          </cell>
          <cell r="C493">
            <v>315740</v>
          </cell>
          <cell r="D493">
            <v>1</v>
          </cell>
          <cell r="F493" t="str">
            <v xml:space="preserve">שעורי עזר לעולים  </v>
          </cell>
          <cell r="G493" t="str">
            <v>גמיש</v>
          </cell>
          <cell r="I493">
            <v>-111000</v>
          </cell>
          <cell r="J493">
            <v>0</v>
          </cell>
          <cell r="K493">
            <v>-51243.839999999997</v>
          </cell>
          <cell r="L493">
            <v>0</v>
          </cell>
          <cell r="M493">
            <v>-86404.9</v>
          </cell>
        </row>
        <row r="494">
          <cell r="A494">
            <v>1315740923</v>
          </cell>
          <cell r="B494">
            <v>923</v>
          </cell>
          <cell r="C494">
            <v>315740</v>
          </cell>
          <cell r="D494">
            <v>1</v>
          </cell>
          <cell r="F494" t="str">
            <v xml:space="preserve">שעורי עזר לנכים   </v>
          </cell>
          <cell r="G494" t="str">
            <v>גמיש</v>
          </cell>
          <cell r="H494">
            <v>0.5</v>
          </cell>
          <cell r="I494">
            <v>-15000</v>
          </cell>
          <cell r="J494">
            <v>-10000</v>
          </cell>
          <cell r="K494">
            <v>-7424.55</v>
          </cell>
          <cell r="L494">
            <v>-8400</v>
          </cell>
          <cell r="M494">
            <v>-4235.28</v>
          </cell>
        </row>
        <row r="495">
          <cell r="A495">
            <v>1315740925</v>
          </cell>
          <cell r="B495">
            <v>925</v>
          </cell>
          <cell r="C495">
            <v>315740</v>
          </cell>
          <cell r="D495">
            <v>1</v>
          </cell>
          <cell r="F495" t="str">
            <v xml:space="preserve">קרן השתלמות לשכ"ל </v>
          </cell>
          <cell r="G495" t="str">
            <v>גמיש</v>
          </cell>
          <cell r="H495">
            <v>0.37432188065099448</v>
          </cell>
          <cell r="I495">
            <v>-1900000</v>
          </cell>
          <cell r="J495">
            <v>-1382500</v>
          </cell>
          <cell r="K495">
            <v>-830076.66</v>
          </cell>
          <cell r="L495">
            <v>-1400000</v>
          </cell>
          <cell r="M495">
            <v>-1357690.62</v>
          </cell>
        </row>
        <row r="496">
          <cell r="A496">
            <v>1315740926</v>
          </cell>
          <cell r="B496">
            <v>926</v>
          </cell>
          <cell r="C496">
            <v>315740</v>
          </cell>
          <cell r="D496">
            <v>1</v>
          </cell>
          <cell r="F496" t="str">
            <v xml:space="preserve">השאלת מורים לחט"ב </v>
          </cell>
          <cell r="G496" t="str">
            <v>גמיש</v>
          </cell>
          <cell r="H496">
            <v>-0.65596330275229353</v>
          </cell>
          <cell r="I496">
            <v>-120000</v>
          </cell>
          <cell r="J496">
            <v>-348800</v>
          </cell>
          <cell r="K496">
            <v>-52865.61</v>
          </cell>
          <cell r="L496">
            <v>0</v>
          </cell>
          <cell r="M496">
            <v>-146676.66</v>
          </cell>
        </row>
        <row r="497">
          <cell r="A497">
            <v>1315740928</v>
          </cell>
          <cell r="B497">
            <v>928</v>
          </cell>
          <cell r="C497">
            <v>315740</v>
          </cell>
          <cell r="D497">
            <v>1</v>
          </cell>
          <cell r="F497" t="str">
            <v xml:space="preserve">ליווי לטיולים     </v>
          </cell>
          <cell r="G497" t="str">
            <v>גמיש</v>
          </cell>
          <cell r="H497">
            <v>0.1008784358175121</v>
          </cell>
          <cell r="I497">
            <v>-388500</v>
          </cell>
          <cell r="J497">
            <v>-352900</v>
          </cell>
          <cell r="K497">
            <v>-214571.17</v>
          </cell>
          <cell r="L497">
            <v>-355000</v>
          </cell>
          <cell r="M497">
            <v>-370497.82</v>
          </cell>
        </row>
        <row r="498">
          <cell r="A498">
            <v>1315740930</v>
          </cell>
          <cell r="B498">
            <v>930</v>
          </cell>
          <cell r="C498">
            <v>315740</v>
          </cell>
          <cell r="D498">
            <v>1</v>
          </cell>
          <cell r="F498" t="str">
            <v>עוז לתמורה</v>
          </cell>
          <cell r="G498" t="str">
            <v>גמיש</v>
          </cell>
          <cell r="H498">
            <v>0.2578456318914335</v>
          </cell>
          <cell r="I498">
            <v>-11864000</v>
          </cell>
          <cell r="J498">
            <v>-9432000</v>
          </cell>
          <cell r="K498">
            <v>-5322414.57</v>
          </cell>
          <cell r="L498">
            <v>-9825400</v>
          </cell>
          <cell r="M498">
            <v>-9367308.1600000001</v>
          </cell>
        </row>
        <row r="499">
          <cell r="A499">
            <v>1315740932</v>
          </cell>
          <cell r="B499">
            <v>932</v>
          </cell>
          <cell r="C499">
            <v>315740</v>
          </cell>
          <cell r="D499">
            <v>1</v>
          </cell>
          <cell r="F499" t="str">
            <v>גמול בגרות אחוזי</v>
          </cell>
          <cell r="G499" t="str">
            <v>גמיש</v>
          </cell>
          <cell r="H499">
            <v>4.1297340854149933E-2</v>
          </cell>
          <cell r="I499">
            <v>-516900</v>
          </cell>
          <cell r="J499">
            <v>-496400</v>
          </cell>
          <cell r="K499">
            <v>-305920.48</v>
          </cell>
          <cell r="L499">
            <v>-498200</v>
          </cell>
          <cell r="M499">
            <v>-527187.46</v>
          </cell>
        </row>
        <row r="500">
          <cell r="A500">
            <v>1315740953</v>
          </cell>
          <cell r="B500">
            <v>953</v>
          </cell>
          <cell r="C500">
            <v>315740</v>
          </cell>
          <cell r="D500">
            <v>1</v>
          </cell>
          <cell r="F500" t="str">
            <v>מערכת גפ"ן</v>
          </cell>
          <cell r="G500" t="str">
            <v>גמיש</v>
          </cell>
          <cell r="H500">
            <v>-3.4282955094157463E-2</v>
          </cell>
          <cell r="I500">
            <v>-1600000</v>
          </cell>
          <cell r="J500">
            <v>-1656800</v>
          </cell>
          <cell r="K500">
            <v>-835530.79</v>
          </cell>
          <cell r="L500">
            <v>-2534700</v>
          </cell>
          <cell r="M500">
            <v>-1373811.51</v>
          </cell>
        </row>
        <row r="501">
          <cell r="A501" t="e">
            <v>#VALUE!</v>
          </cell>
          <cell r="B501" t="str">
            <v>315740  סך הכל</v>
          </cell>
          <cell r="F501" t="str">
            <v xml:space="preserve">תיכון קרית - שרת  </v>
          </cell>
          <cell r="H501">
            <v>0.16405741270718543</v>
          </cell>
          <cell r="I501">
            <v>-42545600</v>
          </cell>
          <cell r="J501">
            <v>-36549400</v>
          </cell>
          <cell r="K501">
            <v>-23154464.190000001</v>
          </cell>
          <cell r="L501">
            <v>-36596200</v>
          </cell>
          <cell r="M501">
            <v>-37572076.960000001</v>
          </cell>
        </row>
        <row r="502">
          <cell r="A502">
            <v>13157500</v>
          </cell>
          <cell r="B502">
            <v>0</v>
          </cell>
          <cell r="C502">
            <v>315750</v>
          </cell>
          <cell r="D502">
            <v>1</v>
          </cell>
          <cell r="F502" t="str">
            <v xml:space="preserve">בי"ס תיכון אילון  </v>
          </cell>
          <cell r="G502" t="str">
            <v xml:space="preserve"> </v>
          </cell>
        </row>
        <row r="503">
          <cell r="A503">
            <v>1315750312</v>
          </cell>
          <cell r="B503">
            <v>312</v>
          </cell>
          <cell r="C503">
            <v>315750</v>
          </cell>
          <cell r="D503">
            <v>1</v>
          </cell>
          <cell r="F503" t="str">
            <v>מסיבות כיתתיות</v>
          </cell>
          <cell r="G503" t="str">
            <v>גמיש</v>
          </cell>
          <cell r="H503">
            <v>0</v>
          </cell>
          <cell r="I503">
            <v>-25000</v>
          </cell>
          <cell r="J503">
            <v>-25000</v>
          </cell>
          <cell r="K503">
            <v>0</v>
          </cell>
          <cell r="L503">
            <v>-310800</v>
          </cell>
          <cell r="M503">
            <v>-24706</v>
          </cell>
        </row>
        <row r="504">
          <cell r="A504">
            <v>1315750416</v>
          </cell>
          <cell r="B504">
            <v>416</v>
          </cell>
          <cell r="C504">
            <v>315750</v>
          </cell>
          <cell r="D504">
            <v>1</v>
          </cell>
          <cell r="F504" t="str">
            <v>פר' קשישים-משתתפים</v>
          </cell>
          <cell r="G504" t="str">
            <v>גמיש</v>
          </cell>
          <cell r="H504">
            <v>0</v>
          </cell>
          <cell r="I504">
            <v>-30000</v>
          </cell>
          <cell r="J504">
            <v>-30000</v>
          </cell>
          <cell r="K504">
            <v>0</v>
          </cell>
          <cell r="L504">
            <v>0</v>
          </cell>
          <cell r="M504">
            <v>0</v>
          </cell>
        </row>
        <row r="505">
          <cell r="A505">
            <v>1315750440</v>
          </cell>
          <cell r="B505">
            <v>440</v>
          </cell>
          <cell r="C505">
            <v>315750</v>
          </cell>
          <cell r="D505">
            <v>1</v>
          </cell>
          <cell r="F505" t="str">
            <v>הכנסות גפ"ן בית ספרי</v>
          </cell>
          <cell r="G505" t="str">
            <v>גמיש</v>
          </cell>
          <cell r="H505">
            <v>0</v>
          </cell>
          <cell r="I505">
            <v>-200000</v>
          </cell>
          <cell r="J505">
            <v>-200000</v>
          </cell>
          <cell r="K505">
            <v>-156920.32000000001</v>
          </cell>
          <cell r="L505">
            <v>0</v>
          </cell>
          <cell r="M505">
            <v>-316512</v>
          </cell>
        </row>
        <row r="506">
          <cell r="A506">
            <v>1315750452</v>
          </cell>
          <cell r="B506">
            <v>452</v>
          </cell>
          <cell r="C506">
            <v>315750</v>
          </cell>
          <cell r="D506">
            <v>1</v>
          </cell>
          <cell r="F506" t="str">
            <v>השתתפות עירונית בגפ"ן</v>
          </cell>
          <cell r="G506" t="str">
            <v>גמיש</v>
          </cell>
          <cell r="H506">
            <v>-4.1533546325878579E-2</v>
          </cell>
          <cell r="I506">
            <v>-300000</v>
          </cell>
          <cell r="J506">
            <v>-313000</v>
          </cell>
          <cell r="K506">
            <v>-163801</v>
          </cell>
          <cell r="L506">
            <v>0</v>
          </cell>
          <cell r="M506">
            <v>0</v>
          </cell>
        </row>
        <row r="507">
          <cell r="A507">
            <v>1315750920</v>
          </cell>
          <cell r="B507">
            <v>920</v>
          </cell>
          <cell r="C507">
            <v>315750</v>
          </cell>
          <cell r="D507">
            <v>1</v>
          </cell>
          <cell r="F507" t="str">
            <v>השת' הממשלה בשכל"מ</v>
          </cell>
          <cell r="G507" t="str">
            <v>גמיש</v>
          </cell>
          <cell r="H507">
            <v>0.11454658368679072</v>
          </cell>
          <cell r="I507">
            <v>-16870000</v>
          </cell>
          <cell r="J507">
            <v>-15136200</v>
          </cell>
          <cell r="K507">
            <v>-10492399.98</v>
          </cell>
          <cell r="L507">
            <v>-15267200</v>
          </cell>
          <cell r="M507">
            <v>-16725108.98</v>
          </cell>
        </row>
        <row r="508">
          <cell r="A508">
            <v>1315750921</v>
          </cell>
          <cell r="B508">
            <v>921</v>
          </cell>
          <cell r="C508">
            <v>315750</v>
          </cell>
          <cell r="D508">
            <v>1</v>
          </cell>
          <cell r="F508" t="str">
            <v>השתת' ממשלה - חט"ב</v>
          </cell>
          <cell r="G508" t="str">
            <v>גמיש</v>
          </cell>
          <cell r="H508">
            <v>-2.4248236180560268E-2</v>
          </cell>
          <cell r="I508">
            <v>-1424500</v>
          </cell>
          <cell r="J508">
            <v>-1459900</v>
          </cell>
          <cell r="K508">
            <v>-840523.09</v>
          </cell>
          <cell r="L508">
            <v>-1440700</v>
          </cell>
          <cell r="M508">
            <v>-1403208.73</v>
          </cell>
        </row>
        <row r="509">
          <cell r="A509">
            <v>1315750922</v>
          </cell>
          <cell r="B509">
            <v>922</v>
          </cell>
          <cell r="C509">
            <v>315750</v>
          </cell>
          <cell r="D509">
            <v>1</v>
          </cell>
          <cell r="F509" t="str">
            <v xml:space="preserve">שעורי עזר לעולים  </v>
          </cell>
          <cell r="G509" t="str">
            <v>גמיש</v>
          </cell>
          <cell r="I509">
            <v>-18000</v>
          </cell>
          <cell r="J509">
            <v>0</v>
          </cell>
          <cell r="K509">
            <v>-8560.06</v>
          </cell>
          <cell r="L509">
            <v>0</v>
          </cell>
          <cell r="M509">
            <v>-6579.26</v>
          </cell>
        </row>
        <row r="510">
          <cell r="A510">
            <v>1315750925</v>
          </cell>
          <cell r="B510">
            <v>925</v>
          </cell>
          <cell r="C510">
            <v>315750</v>
          </cell>
          <cell r="D510">
            <v>1</v>
          </cell>
          <cell r="F510" t="str">
            <v xml:space="preserve">קרן השתלמות לשכ"ל </v>
          </cell>
          <cell r="G510" t="str">
            <v>גמיש</v>
          </cell>
          <cell r="H510">
            <v>0.43157894736842106</v>
          </cell>
          <cell r="I510">
            <v>-1360000</v>
          </cell>
          <cell r="J510">
            <v>-950000</v>
          </cell>
          <cell r="K510">
            <v>-609905.86</v>
          </cell>
          <cell r="L510">
            <v>-1003000</v>
          </cell>
          <cell r="M510">
            <v>-973609.85</v>
          </cell>
        </row>
        <row r="511">
          <cell r="A511">
            <v>1315750926</v>
          </cell>
          <cell r="B511">
            <v>926</v>
          </cell>
          <cell r="C511">
            <v>315750</v>
          </cell>
          <cell r="D511">
            <v>1</v>
          </cell>
          <cell r="F511" t="str">
            <v xml:space="preserve">השאלת מורים לחט"ב </v>
          </cell>
          <cell r="G511" t="str">
            <v>גמיש</v>
          </cell>
          <cell r="H511">
            <v>-0.47127247091998592</v>
          </cell>
          <cell r="I511">
            <v>-150000</v>
          </cell>
          <cell r="J511">
            <v>-283700</v>
          </cell>
          <cell r="K511">
            <v>-60999.12</v>
          </cell>
          <cell r="L511">
            <v>-111800</v>
          </cell>
          <cell r="M511">
            <v>-104548.58</v>
          </cell>
        </row>
        <row r="512">
          <cell r="A512">
            <v>1315750928</v>
          </cell>
          <cell r="B512">
            <v>928</v>
          </cell>
          <cell r="C512">
            <v>315750</v>
          </cell>
          <cell r="D512">
            <v>1</v>
          </cell>
          <cell r="F512" t="str">
            <v xml:space="preserve">ליווי לטיולים     </v>
          </cell>
          <cell r="G512" t="str">
            <v>גמיש</v>
          </cell>
          <cell r="H512">
            <v>-5.8396946564885477E-2</v>
          </cell>
          <cell r="I512">
            <v>-246700</v>
          </cell>
          <cell r="J512">
            <v>-262000</v>
          </cell>
          <cell r="K512">
            <v>-135332.42000000001</v>
          </cell>
          <cell r="L512">
            <v>-215900</v>
          </cell>
          <cell r="M512">
            <v>-232655.41</v>
          </cell>
        </row>
        <row r="513">
          <cell r="A513">
            <v>1315750930</v>
          </cell>
          <cell r="B513">
            <v>930</v>
          </cell>
          <cell r="C513">
            <v>315750</v>
          </cell>
          <cell r="D513">
            <v>1</v>
          </cell>
          <cell r="F513" t="str">
            <v>עוז לתמורה</v>
          </cell>
          <cell r="G513" t="str">
            <v>גמיש</v>
          </cell>
          <cell r="H513">
            <v>0.10946369567059233</v>
          </cell>
          <cell r="I513">
            <v>-7857000</v>
          </cell>
          <cell r="J513">
            <v>-7081800</v>
          </cell>
          <cell r="K513">
            <v>-3643279</v>
          </cell>
          <cell r="L513">
            <v>-6828400</v>
          </cell>
          <cell r="M513">
            <v>-6824242.4199999999</v>
          </cell>
        </row>
        <row r="514">
          <cell r="A514">
            <v>1315750932</v>
          </cell>
          <cell r="B514">
            <v>932</v>
          </cell>
          <cell r="C514">
            <v>315750</v>
          </cell>
          <cell r="D514">
            <v>1</v>
          </cell>
          <cell r="F514" t="str">
            <v>גמול בגרות אחוזי</v>
          </cell>
          <cell r="G514" t="str">
            <v>גמיש</v>
          </cell>
          <cell r="H514">
            <v>-9.554140127389088E-4</v>
          </cell>
          <cell r="I514">
            <v>-313700</v>
          </cell>
          <cell r="J514">
            <v>-314000</v>
          </cell>
          <cell r="K514">
            <v>-187755.67</v>
          </cell>
          <cell r="L514">
            <v>-292500</v>
          </cell>
          <cell r="M514">
            <v>-331440.82</v>
          </cell>
        </row>
        <row r="515">
          <cell r="A515">
            <v>1315750953</v>
          </cell>
          <cell r="B515">
            <v>953</v>
          </cell>
          <cell r="C515">
            <v>315750</v>
          </cell>
          <cell r="D515">
            <v>1</v>
          </cell>
          <cell r="F515" t="str">
            <v>מערכת גפ"ן</v>
          </cell>
          <cell r="G515" t="str">
            <v>גמיש</v>
          </cell>
          <cell r="H515">
            <v>-9.5846645367412275E-3</v>
          </cell>
          <cell r="I515">
            <v>-1240000</v>
          </cell>
          <cell r="J515">
            <v>-1252000</v>
          </cell>
          <cell r="K515">
            <v>-558469.87</v>
          </cell>
          <cell r="L515">
            <v>-1365600</v>
          </cell>
          <cell r="M515">
            <v>-1019721.95</v>
          </cell>
        </row>
        <row r="516">
          <cell r="A516" t="e">
            <v>#VALUE!</v>
          </cell>
          <cell r="B516" t="str">
            <v>315750  סך הכל</v>
          </cell>
          <cell r="F516" t="str">
            <v xml:space="preserve">בי"ס תיכון אילון  </v>
          </cell>
          <cell r="H516">
            <v>9.9873295346350366E-2</v>
          </cell>
          <cell r="I516">
            <v>-30034900</v>
          </cell>
          <cell r="J516">
            <v>-27307600</v>
          </cell>
          <cell r="K516">
            <v>-16857946.390000001</v>
          </cell>
          <cell r="L516">
            <v>-26835900</v>
          </cell>
          <cell r="M516">
            <v>-27962334.000000004</v>
          </cell>
        </row>
        <row r="517">
          <cell r="A517">
            <v>13157600</v>
          </cell>
          <cell r="B517">
            <v>0</v>
          </cell>
          <cell r="C517">
            <v>315760</v>
          </cell>
          <cell r="D517">
            <v>1</v>
          </cell>
          <cell r="F517" t="str">
            <v xml:space="preserve">בי"ס תיכון יבנה   </v>
          </cell>
          <cell r="G517" t="str">
            <v xml:space="preserve"> </v>
          </cell>
          <cell r="L517" t="str">
            <v xml:space="preserve">       </v>
          </cell>
        </row>
        <row r="518">
          <cell r="A518">
            <v>1315760312</v>
          </cell>
          <cell r="B518">
            <v>312</v>
          </cell>
          <cell r="C518">
            <v>315760</v>
          </cell>
          <cell r="D518">
            <v>1</v>
          </cell>
          <cell r="F518" t="str">
            <v>מסיבות כיתתיות</v>
          </cell>
          <cell r="G518" t="str">
            <v>גמיש</v>
          </cell>
          <cell r="H518">
            <v>0.22222222222222232</v>
          </cell>
          <cell r="I518">
            <v>-11000</v>
          </cell>
          <cell r="J518">
            <v>-9000</v>
          </cell>
          <cell r="K518">
            <v>0</v>
          </cell>
          <cell r="L518">
            <v>-310800</v>
          </cell>
          <cell r="M518">
            <v>-10186</v>
          </cell>
        </row>
        <row r="519">
          <cell r="A519">
            <v>1315760440</v>
          </cell>
          <cell r="B519">
            <v>440</v>
          </cell>
          <cell r="C519">
            <v>315760</v>
          </cell>
          <cell r="D519">
            <v>1</v>
          </cell>
          <cell r="F519" t="str">
            <v>הכנסות גפ"ן בית ספרי</v>
          </cell>
          <cell r="G519" t="str">
            <v>גמיש</v>
          </cell>
          <cell r="H519">
            <v>5.4137664346480818E-3</v>
          </cell>
          <cell r="I519">
            <v>-130000</v>
          </cell>
          <cell r="J519">
            <v>-129300</v>
          </cell>
          <cell r="K519">
            <v>-50000</v>
          </cell>
          <cell r="L519">
            <v>0</v>
          </cell>
          <cell r="M519">
            <v>-154369</v>
          </cell>
        </row>
        <row r="520">
          <cell r="A520">
            <v>1315760452</v>
          </cell>
          <cell r="B520">
            <v>452</v>
          </cell>
          <cell r="C520">
            <v>315760</v>
          </cell>
          <cell r="D520">
            <v>1</v>
          </cell>
          <cell r="F520" t="str">
            <v>השתתפות עירונית בגפ"ן</v>
          </cell>
          <cell r="G520" t="str">
            <v>גמיש</v>
          </cell>
          <cell r="H520">
            <v>3.8681948424068802E-2</v>
          </cell>
          <cell r="I520">
            <v>-145000</v>
          </cell>
          <cell r="J520">
            <v>-139600</v>
          </cell>
          <cell r="K520">
            <v>-140000</v>
          </cell>
          <cell r="L520">
            <v>0</v>
          </cell>
          <cell r="M520">
            <v>0</v>
          </cell>
        </row>
        <row r="521">
          <cell r="A521">
            <v>1315760920</v>
          </cell>
          <cell r="B521">
            <v>920</v>
          </cell>
          <cell r="C521">
            <v>315760</v>
          </cell>
          <cell r="D521">
            <v>1</v>
          </cell>
          <cell r="F521" t="str">
            <v>השת' הממשלה בשכל"מ</v>
          </cell>
          <cell r="G521" t="str">
            <v>גמיש</v>
          </cell>
          <cell r="H521">
            <v>0.50373279552772177</v>
          </cell>
          <cell r="I521">
            <v>-4250000</v>
          </cell>
          <cell r="J521">
            <v>-2826300</v>
          </cell>
          <cell r="K521">
            <v>-2228737.16</v>
          </cell>
          <cell r="L521">
            <v>-2772900</v>
          </cell>
          <cell r="M521">
            <v>-3265251.8</v>
          </cell>
        </row>
        <row r="522">
          <cell r="A522">
            <v>1315760921</v>
          </cell>
          <cell r="B522">
            <v>921</v>
          </cell>
          <cell r="C522">
            <v>315760</v>
          </cell>
          <cell r="D522">
            <v>1</v>
          </cell>
          <cell r="F522" t="str">
            <v>השתת' ממשלה - חט"ב</v>
          </cell>
          <cell r="G522" t="str">
            <v>גמיש</v>
          </cell>
          <cell r="H522">
            <v>5.0835556803819681E-2</v>
          </cell>
          <cell r="I522">
            <v>-748300</v>
          </cell>
          <cell r="J522">
            <v>-712100</v>
          </cell>
          <cell r="K522">
            <v>-482633.75</v>
          </cell>
          <cell r="L522">
            <v>-627800</v>
          </cell>
          <cell r="M522">
            <v>-760784.5</v>
          </cell>
        </row>
        <row r="523">
          <cell r="A523">
            <v>1315760922</v>
          </cell>
          <cell r="B523">
            <v>922</v>
          </cell>
          <cell r="C523">
            <v>315760</v>
          </cell>
          <cell r="D523">
            <v>1</v>
          </cell>
          <cell r="F523" t="str">
            <v xml:space="preserve">שעורי עזר לעולים  </v>
          </cell>
          <cell r="G523" t="str">
            <v>גמיש</v>
          </cell>
          <cell r="I523">
            <v>-64000</v>
          </cell>
          <cell r="J523">
            <v>0</v>
          </cell>
          <cell r="K523">
            <v>-28829.78</v>
          </cell>
          <cell r="L523">
            <v>0</v>
          </cell>
          <cell r="M523">
            <v>-71504.62</v>
          </cell>
        </row>
        <row r="524">
          <cell r="A524">
            <v>1315760923</v>
          </cell>
          <cell r="B524">
            <v>923</v>
          </cell>
          <cell r="C524">
            <v>315760</v>
          </cell>
          <cell r="D524">
            <v>1</v>
          </cell>
          <cell r="F524" t="str">
            <v xml:space="preserve">שעורי עזר לנכים   </v>
          </cell>
          <cell r="G524" t="str">
            <v>גמיש</v>
          </cell>
          <cell r="H524">
            <v>5.0000000000000044E-2</v>
          </cell>
          <cell r="I524">
            <v>-12600</v>
          </cell>
          <cell r="J524">
            <v>-12000</v>
          </cell>
          <cell r="K524">
            <v>-12399.78</v>
          </cell>
          <cell r="L524">
            <v>-12000</v>
          </cell>
          <cell r="M524">
            <v>-11517.4</v>
          </cell>
        </row>
        <row r="525">
          <cell r="A525">
            <v>1315760924</v>
          </cell>
          <cell r="B525">
            <v>924</v>
          </cell>
          <cell r="C525">
            <v>315760</v>
          </cell>
          <cell r="D525">
            <v>1</v>
          </cell>
          <cell r="F525" t="str">
            <v>שעות רב</v>
          </cell>
          <cell r="G525" t="str">
            <v>גמיש</v>
          </cell>
          <cell r="H525">
            <v>-0.39130434782608692</v>
          </cell>
          <cell r="I525">
            <v>-70000</v>
          </cell>
          <cell r="J525">
            <v>-115000</v>
          </cell>
          <cell r="K525">
            <v>0</v>
          </cell>
          <cell r="L525">
            <v>0</v>
          </cell>
          <cell r="M525">
            <v>-76443.48</v>
          </cell>
        </row>
        <row r="526">
          <cell r="A526">
            <v>1315760925</v>
          </cell>
          <cell r="B526">
            <v>925</v>
          </cell>
          <cell r="C526">
            <v>315760</v>
          </cell>
          <cell r="D526">
            <v>1</v>
          </cell>
          <cell r="F526" t="str">
            <v xml:space="preserve">קרן השתלמות לשכ"ל </v>
          </cell>
          <cell r="G526" t="str">
            <v>גמיש</v>
          </cell>
          <cell r="H526">
            <v>0.61518727552591068</v>
          </cell>
          <cell r="I526">
            <v>-314800</v>
          </cell>
          <cell r="J526">
            <v>-194900</v>
          </cell>
          <cell r="K526">
            <v>-135874.92000000001</v>
          </cell>
          <cell r="L526">
            <v>-174600</v>
          </cell>
          <cell r="M526">
            <v>-210566.88</v>
          </cell>
        </row>
        <row r="527">
          <cell r="A527">
            <v>1315760926</v>
          </cell>
          <cell r="B527">
            <v>926</v>
          </cell>
          <cell r="C527">
            <v>315760</v>
          </cell>
          <cell r="D527">
            <v>1</v>
          </cell>
          <cell r="F527" t="str">
            <v xml:space="preserve">השאלת מורים לחט"ב </v>
          </cell>
          <cell r="G527" t="str">
            <v>גמיש</v>
          </cell>
          <cell r="H527">
            <v>-0.70526315789473681</v>
          </cell>
          <cell r="I527">
            <v>-70000</v>
          </cell>
          <cell r="J527">
            <v>-237500</v>
          </cell>
          <cell r="K527">
            <v>0</v>
          </cell>
          <cell r="L527">
            <v>-184500</v>
          </cell>
          <cell r="M527">
            <v>-5410.61</v>
          </cell>
        </row>
        <row r="528">
          <cell r="A528">
            <v>1315760928</v>
          </cell>
          <cell r="B528">
            <v>928</v>
          </cell>
          <cell r="C528">
            <v>315760</v>
          </cell>
          <cell r="D528">
            <v>1</v>
          </cell>
          <cell r="F528" t="str">
            <v xml:space="preserve">ליווי לטיולים     </v>
          </cell>
          <cell r="G528" t="str">
            <v>גמיש</v>
          </cell>
          <cell r="H528">
            <v>0.17520661157024797</v>
          </cell>
          <cell r="I528">
            <v>-71100</v>
          </cell>
          <cell r="J528">
            <v>-60500</v>
          </cell>
          <cell r="K528">
            <v>-39143.410000000003</v>
          </cell>
          <cell r="L528">
            <v>-55000</v>
          </cell>
          <cell r="M528">
            <v>-66380.83</v>
          </cell>
        </row>
        <row r="529">
          <cell r="A529">
            <v>1315760930</v>
          </cell>
          <cell r="B529">
            <v>930</v>
          </cell>
          <cell r="C529">
            <v>315760</v>
          </cell>
          <cell r="D529">
            <v>1</v>
          </cell>
          <cell r="F529" t="str">
            <v>עוז לתמורה</v>
          </cell>
          <cell r="G529" t="str">
            <v>גמיש</v>
          </cell>
          <cell r="H529">
            <v>0.51568049118160486</v>
          </cell>
          <cell r="I529">
            <v>-2518000</v>
          </cell>
          <cell r="J529">
            <v>-1661300</v>
          </cell>
          <cell r="K529">
            <v>-1002078.17</v>
          </cell>
          <cell r="L529">
            <v>-1754000</v>
          </cell>
          <cell r="M529">
            <v>-1931421.5</v>
          </cell>
        </row>
        <row r="530">
          <cell r="A530">
            <v>1315760932</v>
          </cell>
          <cell r="B530">
            <v>932</v>
          </cell>
          <cell r="C530">
            <v>315760</v>
          </cell>
          <cell r="D530">
            <v>1</v>
          </cell>
          <cell r="F530" t="str">
            <v>גמול בגרות אחוזי</v>
          </cell>
          <cell r="G530" t="str">
            <v>גמיש</v>
          </cell>
          <cell r="H530">
            <v>0.13596491228070184</v>
          </cell>
          <cell r="I530">
            <v>-103600</v>
          </cell>
          <cell r="J530">
            <v>-91200</v>
          </cell>
          <cell r="K530">
            <v>-61292.77</v>
          </cell>
          <cell r="L530">
            <v>-81500</v>
          </cell>
          <cell r="M530">
            <v>-103083.44</v>
          </cell>
        </row>
        <row r="531">
          <cell r="A531">
            <v>1315760953</v>
          </cell>
          <cell r="B531">
            <v>953</v>
          </cell>
          <cell r="C531">
            <v>315760</v>
          </cell>
          <cell r="D531">
            <v>1</v>
          </cell>
          <cell r="F531" t="str">
            <v>מערכת גפ"ן</v>
          </cell>
          <cell r="G531" t="str">
            <v>גמיש</v>
          </cell>
          <cell r="H531">
            <v>2.0773638968481389E-2</v>
          </cell>
          <cell r="I531">
            <v>-570000</v>
          </cell>
          <cell r="J531">
            <v>-558400</v>
          </cell>
          <cell r="K531">
            <v>-323457.06</v>
          </cell>
          <cell r="L531">
            <v>-613900</v>
          </cell>
          <cell r="M531">
            <v>-484160.61</v>
          </cell>
        </row>
        <row r="532">
          <cell r="A532" t="e">
            <v>#VALUE!</v>
          </cell>
          <cell r="B532" t="str">
            <v>315760  סך הכל</v>
          </cell>
          <cell r="F532" t="str">
            <v xml:space="preserve">בי"ס תיכון יבנה   </v>
          </cell>
          <cell r="H532">
            <v>0.34552622608231687</v>
          </cell>
          <cell r="I532">
            <v>-9078400</v>
          </cell>
          <cell r="J532">
            <v>-6747100</v>
          </cell>
          <cell r="K532">
            <v>-4504446.8</v>
          </cell>
          <cell r="L532">
            <v>-6587000</v>
          </cell>
          <cell r="M532">
            <v>-7151080.6700000018</v>
          </cell>
        </row>
        <row r="533">
          <cell r="A533">
            <v>13157700</v>
          </cell>
          <cell r="B533">
            <v>0</v>
          </cell>
          <cell r="C533">
            <v>315770</v>
          </cell>
          <cell r="D533">
            <v>1</v>
          </cell>
          <cell r="F533" t="str">
            <v>גמנסיה למדעים-קציר</v>
          </cell>
          <cell r="G533" t="str">
            <v xml:space="preserve"> </v>
          </cell>
        </row>
        <row r="534">
          <cell r="A534">
            <v>1315770312</v>
          </cell>
          <cell r="B534">
            <v>312</v>
          </cell>
          <cell r="C534">
            <v>315770</v>
          </cell>
          <cell r="D534">
            <v>1</v>
          </cell>
          <cell r="F534" t="str">
            <v>מסיבות כיתתיות</v>
          </cell>
          <cell r="G534" t="str">
            <v>גמיש</v>
          </cell>
          <cell r="H534">
            <v>0.1333333333333333</v>
          </cell>
          <cell r="I534">
            <v>-34000</v>
          </cell>
          <cell r="J534">
            <v>-30000</v>
          </cell>
          <cell r="K534">
            <v>0</v>
          </cell>
          <cell r="L534">
            <v>-310800</v>
          </cell>
          <cell r="M534">
            <v>-33484</v>
          </cell>
        </row>
        <row r="535">
          <cell r="A535">
            <v>1315770440</v>
          </cell>
          <cell r="B535">
            <v>440</v>
          </cell>
          <cell r="C535">
            <v>315770</v>
          </cell>
          <cell r="D535">
            <v>1</v>
          </cell>
          <cell r="F535" t="str">
            <v>הכנסות גפ"ן בית ספרי</v>
          </cell>
          <cell r="G535" t="str">
            <v>גמיש</v>
          </cell>
          <cell r="H535">
            <v>-9.0909090909090939E-2</v>
          </cell>
          <cell r="I535">
            <v>-300000</v>
          </cell>
          <cell r="J535">
            <v>-330000</v>
          </cell>
          <cell r="K535">
            <v>0</v>
          </cell>
          <cell r="L535">
            <v>0</v>
          </cell>
          <cell r="M535">
            <v>-488957</v>
          </cell>
        </row>
        <row r="536">
          <cell r="A536">
            <v>1315770452</v>
          </cell>
          <cell r="B536">
            <v>452</v>
          </cell>
          <cell r="C536">
            <v>315770</v>
          </cell>
          <cell r="D536">
            <v>1</v>
          </cell>
          <cell r="F536" t="str">
            <v>השתתפות עירונית בגפ"ן</v>
          </cell>
          <cell r="G536" t="str">
            <v>גמיש</v>
          </cell>
          <cell r="H536">
            <v>0</v>
          </cell>
          <cell r="I536">
            <v>-400000</v>
          </cell>
          <cell r="J536">
            <v>-400000</v>
          </cell>
          <cell r="K536">
            <v>-394929</v>
          </cell>
          <cell r="L536">
            <v>0</v>
          </cell>
          <cell r="M536">
            <v>0</v>
          </cell>
        </row>
        <row r="537">
          <cell r="A537">
            <v>1315770920</v>
          </cell>
          <cell r="B537">
            <v>920</v>
          </cell>
          <cell r="C537">
            <v>315770</v>
          </cell>
          <cell r="D537">
            <v>1</v>
          </cell>
          <cell r="F537" t="str">
            <v>השת' הממשלה בשכל"מ</v>
          </cell>
          <cell r="G537" t="str">
            <v>גמיש</v>
          </cell>
          <cell r="H537">
            <v>0.19763606137884815</v>
          </cell>
          <cell r="I537">
            <v>-13760000</v>
          </cell>
          <cell r="J537">
            <v>-11489300</v>
          </cell>
          <cell r="K537">
            <v>-8370385.7000000002</v>
          </cell>
          <cell r="L537">
            <v>-11617500</v>
          </cell>
          <cell r="M537">
            <v>-12958466.779999999</v>
          </cell>
        </row>
        <row r="538">
          <cell r="A538">
            <v>1315770921</v>
          </cell>
          <cell r="B538">
            <v>921</v>
          </cell>
          <cell r="C538">
            <v>315770</v>
          </cell>
          <cell r="D538">
            <v>1</v>
          </cell>
          <cell r="F538" t="str">
            <v>השתת' ממשלה - חט"ב</v>
          </cell>
          <cell r="G538" t="str">
            <v>גמיש</v>
          </cell>
          <cell r="H538">
            <v>6.2603333482282419E-2</v>
          </cell>
          <cell r="I538">
            <v>-2378000</v>
          </cell>
          <cell r="J538">
            <v>-2237900</v>
          </cell>
          <cell r="K538">
            <v>-1416876.58</v>
          </cell>
          <cell r="L538">
            <v>-2013500</v>
          </cell>
          <cell r="M538">
            <v>-2226607.54</v>
          </cell>
        </row>
        <row r="539">
          <cell r="A539">
            <v>1315770922</v>
          </cell>
          <cell r="B539">
            <v>922</v>
          </cell>
          <cell r="C539">
            <v>315770</v>
          </cell>
          <cell r="D539">
            <v>1</v>
          </cell>
          <cell r="F539" t="str">
            <v xml:space="preserve">שעורי עזר לעולים  </v>
          </cell>
          <cell r="G539" t="str">
            <v>גמיש</v>
          </cell>
          <cell r="I539">
            <v>-9000</v>
          </cell>
          <cell r="J539">
            <v>0</v>
          </cell>
          <cell r="K539">
            <v>-4183.66</v>
          </cell>
          <cell r="L539">
            <v>-17900</v>
          </cell>
          <cell r="M539">
            <v>-2236.6799999999998</v>
          </cell>
        </row>
        <row r="540">
          <cell r="A540">
            <v>1315770923</v>
          </cell>
          <cell r="B540">
            <v>923</v>
          </cell>
          <cell r="C540">
            <v>315770</v>
          </cell>
          <cell r="D540">
            <v>1</v>
          </cell>
          <cell r="F540" t="str">
            <v xml:space="preserve">שעורי עזר לנכים   </v>
          </cell>
          <cell r="G540" t="str">
            <v>גמיש</v>
          </cell>
          <cell r="I540">
            <v>-4800</v>
          </cell>
          <cell r="J540">
            <v>0</v>
          </cell>
          <cell r="K540">
            <v>-2449.3200000000002</v>
          </cell>
          <cell r="L540">
            <v>-1100</v>
          </cell>
          <cell r="M540">
            <v>-1411.76</v>
          </cell>
        </row>
        <row r="541">
          <cell r="A541">
            <v>1315770925</v>
          </cell>
          <cell r="B541">
            <v>925</v>
          </cell>
          <cell r="C541">
            <v>315770</v>
          </cell>
          <cell r="D541">
            <v>1</v>
          </cell>
          <cell r="F541" t="str">
            <v xml:space="preserve">קרן השתלמות לשכ"ל </v>
          </cell>
          <cell r="G541" t="str">
            <v>גמיש</v>
          </cell>
          <cell r="H541">
            <v>0.3896656534954408</v>
          </cell>
          <cell r="I541">
            <v>-1143000</v>
          </cell>
          <cell r="J541">
            <v>-822500</v>
          </cell>
          <cell r="K541">
            <v>-539744.07999999996</v>
          </cell>
          <cell r="L541">
            <v>-796100</v>
          </cell>
          <cell r="M541">
            <v>-877301.77</v>
          </cell>
        </row>
        <row r="542">
          <cell r="A542">
            <v>1315770926</v>
          </cell>
          <cell r="B542">
            <v>926</v>
          </cell>
          <cell r="C542">
            <v>315770</v>
          </cell>
          <cell r="D542">
            <v>1</v>
          </cell>
          <cell r="F542" t="str">
            <v xml:space="preserve">השאלת מורים לחט"ב </v>
          </cell>
          <cell r="G542" t="str">
            <v>גמיש</v>
          </cell>
          <cell r="I542">
            <v>0</v>
          </cell>
          <cell r="J542">
            <v>0</v>
          </cell>
          <cell r="K542">
            <v>0</v>
          </cell>
          <cell r="L542">
            <v>-31200</v>
          </cell>
          <cell r="M542">
            <v>0</v>
          </cell>
        </row>
        <row r="543">
          <cell r="A543">
            <v>1315770928</v>
          </cell>
          <cell r="B543">
            <v>928</v>
          </cell>
          <cell r="C543">
            <v>315770</v>
          </cell>
          <cell r="D543">
            <v>1</v>
          </cell>
          <cell r="F543" t="str">
            <v xml:space="preserve">ליווי לטיולים     </v>
          </cell>
          <cell r="G543" t="str">
            <v>גמיש</v>
          </cell>
          <cell r="H543">
            <v>8.5714285714285632E-2</v>
          </cell>
          <cell r="I543">
            <v>-247000</v>
          </cell>
          <cell r="J543">
            <v>-227500</v>
          </cell>
          <cell r="K543">
            <v>-138788.04</v>
          </cell>
          <cell r="L543">
            <v>-220000</v>
          </cell>
          <cell r="M543">
            <v>-238727.3</v>
          </cell>
        </row>
        <row r="544">
          <cell r="A544">
            <v>1315770929</v>
          </cell>
          <cell r="B544">
            <v>929</v>
          </cell>
          <cell r="C544">
            <v>315770</v>
          </cell>
          <cell r="D544">
            <v>1</v>
          </cell>
          <cell r="F544" t="str">
            <v xml:space="preserve">אשכולות פיס       </v>
          </cell>
          <cell r="G544" t="str">
            <v>גמיש</v>
          </cell>
          <cell r="H544">
            <v>3.4499999999999975E-2</v>
          </cell>
          <cell r="I544">
            <v>-620700</v>
          </cell>
          <cell r="J544">
            <v>-600000</v>
          </cell>
          <cell r="K544">
            <v>-373169.05</v>
          </cell>
          <cell r="L544">
            <v>-537500</v>
          </cell>
          <cell r="M544">
            <v>-593045.11</v>
          </cell>
        </row>
        <row r="545">
          <cell r="A545">
            <v>1315770930</v>
          </cell>
          <cell r="B545">
            <v>930</v>
          </cell>
          <cell r="C545">
            <v>315770</v>
          </cell>
          <cell r="D545">
            <v>1</v>
          </cell>
          <cell r="F545" t="str">
            <v>עוז לתמורה</v>
          </cell>
          <cell r="G545" t="str">
            <v>גמיש</v>
          </cell>
          <cell r="H545">
            <v>0.22146606706222327</v>
          </cell>
          <cell r="I545">
            <v>-7143500</v>
          </cell>
          <cell r="J545">
            <v>-5848300</v>
          </cell>
          <cell r="K545">
            <v>-3256101.35</v>
          </cell>
          <cell r="L545">
            <v>-5848300</v>
          </cell>
          <cell r="M545">
            <v>-5781625.8399999999</v>
          </cell>
        </row>
        <row r="546">
          <cell r="A546">
            <v>1315770932</v>
          </cell>
          <cell r="B546">
            <v>932</v>
          </cell>
          <cell r="C546">
            <v>315770</v>
          </cell>
          <cell r="D546">
            <v>1</v>
          </cell>
          <cell r="F546" t="str">
            <v>גמול בגרות אחוזי</v>
          </cell>
          <cell r="G546" t="str">
            <v>גמיש</v>
          </cell>
          <cell r="H546">
            <v>1.772616136919325E-2</v>
          </cell>
          <cell r="I546">
            <v>-333000</v>
          </cell>
          <cell r="J546">
            <v>-327200</v>
          </cell>
          <cell r="K546">
            <v>-203213.21</v>
          </cell>
          <cell r="L546">
            <v>-318100</v>
          </cell>
          <cell r="M546">
            <v>-347497.48</v>
          </cell>
        </row>
        <row r="547">
          <cell r="A547">
            <v>1315770953</v>
          </cell>
          <cell r="B547">
            <v>953</v>
          </cell>
          <cell r="C547">
            <v>315770</v>
          </cell>
          <cell r="D547">
            <v>1</v>
          </cell>
          <cell r="F547" t="str">
            <v>מערכת גפ"ן</v>
          </cell>
          <cell r="G547" t="str">
            <v>גמיש</v>
          </cell>
          <cell r="H547">
            <v>6.25E-2</v>
          </cell>
          <cell r="I547">
            <v>-1700000</v>
          </cell>
          <cell r="J547">
            <v>-1600000</v>
          </cell>
          <cell r="K547">
            <v>-806270.54</v>
          </cell>
          <cell r="L547">
            <v>-1693000</v>
          </cell>
          <cell r="M547">
            <v>-1320876.6399999999</v>
          </cell>
        </row>
        <row r="548">
          <cell r="A548" t="e">
            <v>#VALUE!</v>
          </cell>
          <cell r="B548" t="str">
            <v>315770  סך הכל</v>
          </cell>
          <cell r="F548" t="str">
            <v>גמנסיה למדעים-קציר</v>
          </cell>
          <cell r="H548">
            <v>0.1739786807846877</v>
          </cell>
          <cell r="I548">
            <v>-28073000</v>
          </cell>
          <cell r="J548">
            <v>-23912700</v>
          </cell>
          <cell r="K548">
            <v>-15506110.530000001</v>
          </cell>
          <cell r="L548">
            <v>-23405000</v>
          </cell>
          <cell r="M548">
            <v>-24870237.899999999</v>
          </cell>
        </row>
        <row r="549">
          <cell r="A549">
            <v>13157900</v>
          </cell>
          <cell r="B549">
            <v>0</v>
          </cell>
          <cell r="C549">
            <v>315790</v>
          </cell>
          <cell r="D549">
            <v>1</v>
          </cell>
          <cell r="F549" t="str">
            <v>תיכון דמוקרטי (יחד)</v>
          </cell>
          <cell r="G549" t="str">
            <v xml:space="preserve"> </v>
          </cell>
          <cell r="L549">
            <v>0</v>
          </cell>
        </row>
        <row r="550">
          <cell r="A550">
            <v>1315790921</v>
          </cell>
          <cell r="B550">
            <v>921</v>
          </cell>
          <cell r="C550">
            <v>315790</v>
          </cell>
          <cell r="D550">
            <v>1</v>
          </cell>
          <cell r="F550" t="str">
            <v xml:space="preserve">השתת' משרד החינוך </v>
          </cell>
          <cell r="G550" t="str">
            <v>גמיש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</row>
        <row r="551">
          <cell r="A551" t="e">
            <v>#VALUE!</v>
          </cell>
          <cell r="B551" t="str">
            <v>315790  סך הכל</v>
          </cell>
          <cell r="F551" t="str">
            <v>תיכון דמוקרטי (יחד)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</row>
        <row r="552">
          <cell r="A552">
            <v>13158000</v>
          </cell>
          <cell r="B552">
            <v>0</v>
          </cell>
          <cell r="C552">
            <v>315800</v>
          </cell>
          <cell r="D552">
            <v>1</v>
          </cell>
          <cell r="F552" t="str">
            <v>בי"ס תיכון עתידים</v>
          </cell>
          <cell r="G552" t="str">
            <v xml:space="preserve"> </v>
          </cell>
        </row>
        <row r="553">
          <cell r="A553">
            <v>1315800312</v>
          </cell>
          <cell r="B553">
            <v>312</v>
          </cell>
          <cell r="C553">
            <v>315800</v>
          </cell>
          <cell r="D553">
            <v>1</v>
          </cell>
          <cell r="F553" t="str">
            <v>מסיבות כיתתיות</v>
          </cell>
          <cell r="G553" t="str">
            <v>גמיש</v>
          </cell>
          <cell r="H553">
            <v>0.10000000000000009</v>
          </cell>
          <cell r="I553">
            <v>-22000</v>
          </cell>
          <cell r="J553">
            <v>-20000</v>
          </cell>
          <cell r="K553">
            <v>0</v>
          </cell>
          <cell r="L553">
            <v>-19900</v>
          </cell>
          <cell r="M553">
            <v>-21164</v>
          </cell>
        </row>
        <row r="554">
          <cell r="A554">
            <v>1315800416</v>
          </cell>
          <cell r="B554">
            <v>416</v>
          </cell>
          <cell r="C554">
            <v>315800</v>
          </cell>
          <cell r="D554">
            <v>1</v>
          </cell>
          <cell r="F554" t="str">
            <v>פר' קשישים-משתתפים</v>
          </cell>
          <cell r="G554" t="str">
            <v>גמיש</v>
          </cell>
          <cell r="H554">
            <v>0</v>
          </cell>
          <cell r="I554">
            <v>-30000</v>
          </cell>
          <cell r="J554">
            <v>-30000</v>
          </cell>
          <cell r="K554">
            <v>0</v>
          </cell>
          <cell r="L554">
            <v>0</v>
          </cell>
          <cell r="M554">
            <v>-18281.59</v>
          </cell>
        </row>
        <row r="555">
          <cell r="A555">
            <v>1315800440</v>
          </cell>
          <cell r="B555">
            <v>440</v>
          </cell>
          <cell r="C555">
            <v>315800</v>
          </cell>
          <cell r="D555">
            <v>1</v>
          </cell>
          <cell r="F555" t="str">
            <v>הכנסות גפ"ן בית ספרי</v>
          </cell>
          <cell r="G555" t="str">
            <v>גמיש</v>
          </cell>
          <cell r="H555">
            <v>-4.4585987261146487E-2</v>
          </cell>
          <cell r="I555">
            <v>-300000</v>
          </cell>
          <cell r="J555">
            <v>-314000</v>
          </cell>
          <cell r="K555">
            <v>-28283</v>
          </cell>
          <cell r="L555">
            <v>0</v>
          </cell>
          <cell r="M555">
            <v>-330232.42</v>
          </cell>
        </row>
        <row r="556">
          <cell r="A556">
            <v>1315800452</v>
          </cell>
          <cell r="B556">
            <v>452</v>
          </cell>
          <cell r="C556">
            <v>315800</v>
          </cell>
          <cell r="D556">
            <v>1</v>
          </cell>
          <cell r="F556" t="str">
            <v>השתתפות עירונית בגפ"ן</v>
          </cell>
          <cell r="G556" t="str">
            <v>גמיש</v>
          </cell>
          <cell r="H556">
            <v>2.3299748110831242E-2</v>
          </cell>
          <cell r="I556">
            <v>-325000</v>
          </cell>
          <cell r="J556">
            <v>-317600</v>
          </cell>
          <cell r="K556">
            <v>-279495</v>
          </cell>
          <cell r="L556">
            <v>0</v>
          </cell>
          <cell r="M556">
            <v>0</v>
          </cell>
        </row>
        <row r="557">
          <cell r="A557">
            <v>1315800920</v>
          </cell>
          <cell r="B557">
            <v>920</v>
          </cell>
          <cell r="C557">
            <v>315800</v>
          </cell>
          <cell r="D557">
            <v>1</v>
          </cell>
          <cell r="F557" t="str">
            <v>השת' הממשלה בשכל"מ</v>
          </cell>
          <cell r="G557" t="str">
            <v>גמיש</v>
          </cell>
          <cell r="H557">
            <v>0.10052306229196395</v>
          </cell>
          <cell r="I557">
            <v>-10414800</v>
          </cell>
          <cell r="J557">
            <v>-9463500</v>
          </cell>
          <cell r="K557">
            <v>-6211250.5499999998</v>
          </cell>
          <cell r="L557">
            <v>-8107800</v>
          </cell>
          <cell r="M557">
            <v>-9351924.0399999991</v>
          </cell>
        </row>
        <row r="558">
          <cell r="A558">
            <v>1315800921</v>
          </cell>
          <cell r="B558">
            <v>921</v>
          </cell>
          <cell r="C558">
            <v>315800</v>
          </cell>
          <cell r="D558">
            <v>1</v>
          </cell>
          <cell r="F558" t="str">
            <v>השתת' הממשלה-חט"ב</v>
          </cell>
          <cell r="G558" t="str">
            <v>גמיש</v>
          </cell>
          <cell r="H558">
            <v>4.0814887917665299E-2</v>
          </cell>
          <cell r="I558">
            <v>-1476500</v>
          </cell>
          <cell r="J558">
            <v>-1418600</v>
          </cell>
          <cell r="K558">
            <v>-909351.48</v>
          </cell>
          <cell r="L558">
            <v>-1355700</v>
          </cell>
          <cell r="M558">
            <v>-1456971.32</v>
          </cell>
        </row>
        <row r="559">
          <cell r="A559">
            <v>1315800922</v>
          </cell>
          <cell r="B559">
            <v>922</v>
          </cell>
          <cell r="C559">
            <v>315800</v>
          </cell>
          <cell r="D559">
            <v>1</v>
          </cell>
          <cell r="F559" t="str">
            <v xml:space="preserve">שעורי עזר לעולים  </v>
          </cell>
          <cell r="G559" t="str">
            <v>גמיש</v>
          </cell>
          <cell r="H559">
            <v>1.2222222222222223</v>
          </cell>
          <cell r="I559">
            <v>-200000</v>
          </cell>
          <cell r="J559">
            <v>-90000</v>
          </cell>
          <cell r="K559">
            <v>-114884.36</v>
          </cell>
          <cell r="L559">
            <v>-90000</v>
          </cell>
          <cell r="M559">
            <v>-119415.16</v>
          </cell>
        </row>
        <row r="560">
          <cell r="A560">
            <v>1315800925</v>
          </cell>
          <cell r="B560">
            <v>925</v>
          </cell>
          <cell r="C560">
            <v>315800</v>
          </cell>
          <cell r="D560">
            <v>1</v>
          </cell>
          <cell r="F560" t="str">
            <v xml:space="preserve">קרן השתלמות לשכ"ל </v>
          </cell>
          <cell r="G560" t="str">
            <v>גמיש</v>
          </cell>
          <cell r="H560">
            <v>0.43801652892561993</v>
          </cell>
          <cell r="I560">
            <v>-870000</v>
          </cell>
          <cell r="J560">
            <v>-605000</v>
          </cell>
          <cell r="K560">
            <v>-381465.05</v>
          </cell>
          <cell r="L560">
            <v>-566700</v>
          </cell>
          <cell r="M560">
            <v>-598679.15</v>
          </cell>
        </row>
        <row r="561">
          <cell r="A561">
            <v>1315800926</v>
          </cell>
          <cell r="B561">
            <v>926</v>
          </cell>
          <cell r="C561">
            <v>315800</v>
          </cell>
          <cell r="D561">
            <v>1</v>
          </cell>
          <cell r="F561" t="str">
            <v xml:space="preserve">השאלת מורים לחט"ב </v>
          </cell>
          <cell r="G561" t="str">
            <v>גמיש</v>
          </cell>
          <cell r="H561">
            <v>-0.769638332181525</v>
          </cell>
          <cell r="I561">
            <v>-100000</v>
          </cell>
          <cell r="J561">
            <v>-434100</v>
          </cell>
          <cell r="K561">
            <v>-43829.58</v>
          </cell>
          <cell r="L561">
            <v>-160400</v>
          </cell>
          <cell r="M561">
            <v>-167414.89000000001</v>
          </cell>
        </row>
        <row r="562">
          <cell r="A562">
            <v>1315800928</v>
          </cell>
          <cell r="B562">
            <v>928</v>
          </cell>
          <cell r="C562">
            <v>315800</v>
          </cell>
          <cell r="D562">
            <v>1</v>
          </cell>
          <cell r="F562" t="str">
            <v xml:space="preserve">ליווי טיולים     </v>
          </cell>
          <cell r="G562" t="str">
            <v>גמיש</v>
          </cell>
          <cell r="H562">
            <v>0.54385964912280693</v>
          </cell>
          <cell r="I562">
            <v>-176000</v>
          </cell>
          <cell r="J562">
            <v>-114000</v>
          </cell>
          <cell r="K562">
            <v>-97165.9</v>
          </cell>
          <cell r="L562">
            <v>-144400</v>
          </cell>
          <cell r="M562">
            <v>-156757.41</v>
          </cell>
        </row>
        <row r="563">
          <cell r="A563">
            <v>1315800930</v>
          </cell>
          <cell r="B563">
            <v>930</v>
          </cell>
          <cell r="C563">
            <v>315800</v>
          </cell>
          <cell r="D563">
            <v>1</v>
          </cell>
          <cell r="F563" t="str">
            <v>עוז לתמורה</v>
          </cell>
          <cell r="G563" t="str">
            <v>גמיש</v>
          </cell>
          <cell r="H563">
            <v>0.11025591687512026</v>
          </cell>
          <cell r="I563">
            <v>-5770000</v>
          </cell>
          <cell r="J563">
            <v>-5197000</v>
          </cell>
          <cell r="K563">
            <v>-2653994.67</v>
          </cell>
          <cell r="L563">
            <v>-4535600</v>
          </cell>
          <cell r="M563">
            <v>-4501987.92</v>
          </cell>
        </row>
        <row r="564">
          <cell r="A564">
            <v>1315800932</v>
          </cell>
          <cell r="B564">
            <v>932</v>
          </cell>
          <cell r="C564">
            <v>315800</v>
          </cell>
          <cell r="D564">
            <v>1</v>
          </cell>
          <cell r="F564" t="str">
            <v>גמול בגרות אחוזי</v>
          </cell>
          <cell r="G564" t="str">
            <v>גמיש</v>
          </cell>
          <cell r="H564">
            <v>8.2683982683982693E-2</v>
          </cell>
          <cell r="I564">
            <v>-250100</v>
          </cell>
          <cell r="J564">
            <v>-231000</v>
          </cell>
          <cell r="K564">
            <v>-148330.53</v>
          </cell>
          <cell r="L564">
            <v>-219500</v>
          </cell>
          <cell r="M564">
            <v>-241497.17</v>
          </cell>
        </row>
        <row r="565">
          <cell r="A565">
            <v>1315800953</v>
          </cell>
          <cell r="B565">
            <v>953</v>
          </cell>
          <cell r="C565">
            <v>315800</v>
          </cell>
          <cell r="D565">
            <v>1</v>
          </cell>
          <cell r="F565" t="str">
            <v>מערכת גפ"ן</v>
          </cell>
          <cell r="G565" t="str">
            <v>גמיש</v>
          </cell>
          <cell r="H565">
            <v>-3.1486146095716094E-4</v>
          </cell>
          <cell r="I565">
            <v>-1270000</v>
          </cell>
          <cell r="J565">
            <v>-1270400</v>
          </cell>
          <cell r="K565">
            <v>-612789.52</v>
          </cell>
          <cell r="L565">
            <v>-1414700</v>
          </cell>
          <cell r="M565">
            <v>-1085440.75</v>
          </cell>
        </row>
        <row r="566">
          <cell r="A566" t="e">
            <v>#VALUE!</v>
          </cell>
          <cell r="B566" t="str">
            <v>315800  סך הכל</v>
          </cell>
          <cell r="F566" t="str">
            <v>שש שנתי עתידים</v>
          </cell>
          <cell r="H566">
            <v>8.7115230810245414E-2</v>
          </cell>
          <cell r="I566">
            <v>-21204400</v>
          </cell>
          <cell r="J566">
            <v>-19505200</v>
          </cell>
          <cell r="K566">
            <v>-11480839.639999999</v>
          </cell>
          <cell r="L566">
            <v>-16614700</v>
          </cell>
          <cell r="M566">
            <v>-18049765.82</v>
          </cell>
        </row>
        <row r="567">
          <cell r="A567">
            <v>13158100</v>
          </cell>
          <cell r="B567">
            <v>0</v>
          </cell>
          <cell r="C567">
            <v>315810</v>
          </cell>
          <cell r="D567">
            <v>1</v>
          </cell>
          <cell r="F567" t="str">
            <v>בי"ס תיכון הייטק - היי</v>
          </cell>
          <cell r="G567" t="str">
            <v xml:space="preserve"> </v>
          </cell>
        </row>
        <row r="568">
          <cell r="A568">
            <v>1315810312</v>
          </cell>
          <cell r="B568">
            <v>312</v>
          </cell>
          <cell r="C568">
            <v>315810</v>
          </cell>
          <cell r="D568">
            <v>1</v>
          </cell>
          <cell r="F568" t="str">
            <v>מסיבות כיתתיות</v>
          </cell>
          <cell r="G568" t="str">
            <v>גמיש</v>
          </cell>
          <cell r="H568">
            <v>0.19999999999999996</v>
          </cell>
          <cell r="I568">
            <v>-15000</v>
          </cell>
          <cell r="J568">
            <v>-12500</v>
          </cell>
          <cell r="K568">
            <v>0</v>
          </cell>
          <cell r="L568">
            <v>-12300</v>
          </cell>
          <cell r="M568">
            <v>-14520</v>
          </cell>
        </row>
        <row r="569">
          <cell r="A569">
            <v>1315810440</v>
          </cell>
          <cell r="B569">
            <v>440</v>
          </cell>
          <cell r="C569">
            <v>315810</v>
          </cell>
          <cell r="D569">
            <v>1</v>
          </cell>
          <cell r="F569" t="str">
            <v>הכנסות גפ"ן בית ספרי</v>
          </cell>
          <cell r="G569" t="str">
            <v>גמיש</v>
          </cell>
          <cell r="H569">
            <v>0</v>
          </cell>
          <cell r="I569">
            <v>-143000</v>
          </cell>
          <cell r="J569">
            <v>-143000</v>
          </cell>
          <cell r="K569">
            <v>0</v>
          </cell>
          <cell r="L569">
            <v>0</v>
          </cell>
          <cell r="M569">
            <v>-142490</v>
          </cell>
        </row>
        <row r="570">
          <cell r="A570">
            <v>1315810452</v>
          </cell>
          <cell r="B570">
            <v>452</v>
          </cell>
          <cell r="C570">
            <v>315810</v>
          </cell>
          <cell r="D570">
            <v>1</v>
          </cell>
          <cell r="F570" t="str">
            <v>השתתפות עירונית בגפ"ן</v>
          </cell>
          <cell r="G570" t="str">
            <v>גמיש</v>
          </cell>
          <cell r="H570">
            <v>5.1660516605166018E-2</v>
          </cell>
          <cell r="I570">
            <v>-171000</v>
          </cell>
          <cell r="J570">
            <v>-162600</v>
          </cell>
          <cell r="K570">
            <v>-137773</v>
          </cell>
          <cell r="L570">
            <v>0</v>
          </cell>
          <cell r="M570">
            <v>0</v>
          </cell>
        </row>
        <row r="571">
          <cell r="A571">
            <v>1315810920</v>
          </cell>
          <cell r="B571">
            <v>920</v>
          </cell>
          <cell r="C571">
            <v>315810</v>
          </cell>
          <cell r="D571">
            <v>1</v>
          </cell>
          <cell r="F571" t="str">
            <v>השת' הממשלה בשכל"מ</v>
          </cell>
          <cell r="G571" t="str">
            <v>גמיש</v>
          </cell>
          <cell r="H571">
            <v>0.25057690303562663</v>
          </cell>
          <cell r="I571">
            <v>-8400000</v>
          </cell>
          <cell r="J571">
            <v>-6716900</v>
          </cell>
          <cell r="K571">
            <v>-5174620.3899999997</v>
          </cell>
          <cell r="L571">
            <v>-5421400</v>
          </cell>
          <cell r="M571">
            <v>-7684599.71</v>
          </cell>
        </row>
        <row r="572">
          <cell r="A572">
            <v>1315810921</v>
          </cell>
          <cell r="B572">
            <v>921</v>
          </cell>
          <cell r="C572">
            <v>315810</v>
          </cell>
          <cell r="D572">
            <v>1</v>
          </cell>
          <cell r="F572" t="str">
            <v>השתת' הממשלה-חט"ב</v>
          </cell>
          <cell r="G572" t="str">
            <v>גמיש</v>
          </cell>
          <cell r="H572">
            <v>4.2001042209484085E-2</v>
          </cell>
          <cell r="I572">
            <v>-999800</v>
          </cell>
          <cell r="J572">
            <v>-959500</v>
          </cell>
          <cell r="K572">
            <v>-581483.59</v>
          </cell>
          <cell r="L572">
            <v>-792900</v>
          </cell>
          <cell r="M572">
            <v>-955434.46</v>
          </cell>
        </row>
        <row r="573">
          <cell r="A573">
            <v>1315810922</v>
          </cell>
          <cell r="B573">
            <v>922</v>
          </cell>
          <cell r="C573">
            <v>315810</v>
          </cell>
          <cell r="D573">
            <v>1</v>
          </cell>
          <cell r="F573" t="str">
            <v xml:space="preserve">שעורי עזר לעולים  </v>
          </cell>
          <cell r="G573" t="str">
            <v>גמיש</v>
          </cell>
          <cell r="H573">
            <v>-1</v>
          </cell>
          <cell r="I573">
            <v>0</v>
          </cell>
          <cell r="J573">
            <v>-7000</v>
          </cell>
          <cell r="K573">
            <v>0</v>
          </cell>
          <cell r="L573">
            <v>-7000</v>
          </cell>
          <cell r="M573">
            <v>-7320.4</v>
          </cell>
        </row>
        <row r="574">
          <cell r="A574">
            <v>1315810925</v>
          </cell>
          <cell r="B574">
            <v>925</v>
          </cell>
          <cell r="C574">
            <v>315810</v>
          </cell>
          <cell r="D574">
            <v>1</v>
          </cell>
          <cell r="F574" t="str">
            <v xml:space="preserve">קרן השתלמות לשכ"ל </v>
          </cell>
          <cell r="G574" t="str">
            <v>גמיש</v>
          </cell>
          <cell r="H574">
            <v>0.75991594431310738</v>
          </cell>
          <cell r="I574">
            <v>-670000</v>
          </cell>
          <cell r="J574">
            <v>-380700</v>
          </cell>
          <cell r="K574">
            <v>-292609.43</v>
          </cell>
          <cell r="L574">
            <v>-363200</v>
          </cell>
          <cell r="M574">
            <v>-423172.07</v>
          </cell>
        </row>
        <row r="575">
          <cell r="A575">
            <v>1315810928</v>
          </cell>
          <cell r="B575">
            <v>928</v>
          </cell>
          <cell r="C575">
            <v>315810</v>
          </cell>
          <cell r="D575">
            <v>1</v>
          </cell>
          <cell r="F575" t="str">
            <v xml:space="preserve">ליווי לטיולים     </v>
          </cell>
          <cell r="G575" t="str">
            <v>גמיש</v>
          </cell>
          <cell r="H575">
            <v>0.24494382022471917</v>
          </cell>
          <cell r="I575">
            <v>-110800</v>
          </cell>
          <cell r="J575">
            <v>-89000</v>
          </cell>
          <cell r="K575">
            <v>-59739.91</v>
          </cell>
          <cell r="L575">
            <v>-68500</v>
          </cell>
          <cell r="M575">
            <v>-96966.64</v>
          </cell>
        </row>
        <row r="576">
          <cell r="A576">
            <v>1315810930</v>
          </cell>
          <cell r="B576">
            <v>930</v>
          </cell>
          <cell r="C576">
            <v>315810</v>
          </cell>
          <cell r="D576">
            <v>1</v>
          </cell>
          <cell r="F576" t="str">
            <v>עוז לתמורה</v>
          </cell>
          <cell r="G576" t="str">
            <v>גמיש</v>
          </cell>
          <cell r="H576">
            <v>0.25354868939665387</v>
          </cell>
          <cell r="I576">
            <v>-4548000</v>
          </cell>
          <cell r="J576">
            <v>-3628100</v>
          </cell>
          <cell r="K576">
            <v>-1645597.04</v>
          </cell>
          <cell r="L576">
            <v>-3044100</v>
          </cell>
          <cell r="M576">
            <v>-2416366.2799999998</v>
          </cell>
        </row>
        <row r="577">
          <cell r="A577">
            <v>1315810932</v>
          </cell>
          <cell r="B577">
            <v>932</v>
          </cell>
          <cell r="C577">
            <v>315810</v>
          </cell>
          <cell r="D577">
            <v>1</v>
          </cell>
          <cell r="F577" t="str">
            <v>גמול בגרות אחוזי</v>
          </cell>
          <cell r="G577" t="str">
            <v>גמיש</v>
          </cell>
          <cell r="H577">
            <v>5.7770545158665643E-2</v>
          </cell>
          <cell r="I577">
            <v>-130000</v>
          </cell>
          <cell r="J577">
            <v>-122900</v>
          </cell>
          <cell r="K577">
            <v>-81227.13</v>
          </cell>
          <cell r="L577">
            <v>-108800</v>
          </cell>
          <cell r="M577">
            <v>-133673.23000000001</v>
          </cell>
        </row>
        <row r="578">
          <cell r="A578">
            <v>1315810953</v>
          </cell>
          <cell r="B578">
            <v>953</v>
          </cell>
          <cell r="C578">
            <v>315810</v>
          </cell>
          <cell r="D578">
            <v>1</v>
          </cell>
          <cell r="F578" t="str">
            <v>מערכת גפ"ן</v>
          </cell>
          <cell r="G578" t="str">
            <v>גמיש</v>
          </cell>
          <cell r="H578">
            <v>6.0885608856088513E-2</v>
          </cell>
          <cell r="I578">
            <v>-690000</v>
          </cell>
          <cell r="J578">
            <v>-650400</v>
          </cell>
          <cell r="K578">
            <v>-344758.57</v>
          </cell>
          <cell r="L578">
            <v>-690600</v>
          </cell>
          <cell r="M578">
            <v>-714093.14</v>
          </cell>
        </row>
        <row r="579">
          <cell r="A579" t="e">
            <v>#VALUE!</v>
          </cell>
          <cell r="B579" t="str">
            <v>315810  סך הכל</v>
          </cell>
          <cell r="F579" t="str">
            <v>בי"ס תיכון הייטק - היי</v>
          </cell>
          <cell r="H579">
            <v>0.23344157357488005</v>
          </cell>
          <cell r="I579">
            <v>-15877600</v>
          </cell>
          <cell r="J579">
            <v>-12872600</v>
          </cell>
          <cell r="K579">
            <v>-8317809.0599999996</v>
          </cell>
          <cell r="L579">
            <v>-10508800</v>
          </cell>
          <cell r="M579">
            <v>-12588635.930000002</v>
          </cell>
        </row>
        <row r="580">
          <cell r="A580">
            <v>13158200</v>
          </cell>
          <cell r="B580">
            <v>0</v>
          </cell>
          <cell r="C580">
            <v>315820</v>
          </cell>
          <cell r="D580">
            <v>1</v>
          </cell>
          <cell r="F580" t="str">
            <v>תיכון חרדי לווית  חן</v>
          </cell>
          <cell r="G580" t="str">
            <v xml:space="preserve"> </v>
          </cell>
        </row>
        <row r="581">
          <cell r="A581">
            <v>1315820312</v>
          </cell>
          <cell r="B581">
            <v>312</v>
          </cell>
          <cell r="C581">
            <v>315820</v>
          </cell>
          <cell r="D581">
            <v>1</v>
          </cell>
          <cell r="F581" t="str">
            <v>מסיבות כיתתיות</v>
          </cell>
          <cell r="G581" t="str">
            <v>גמיש</v>
          </cell>
          <cell r="H581">
            <v>-0.11111111111111116</v>
          </cell>
          <cell r="I581">
            <v>-8000</v>
          </cell>
          <cell r="J581">
            <v>-9000</v>
          </cell>
          <cell r="K581">
            <v>0</v>
          </cell>
          <cell r="L581">
            <v>-6000</v>
          </cell>
          <cell r="M581">
            <v>-7524</v>
          </cell>
        </row>
        <row r="582">
          <cell r="A582">
            <v>1315820440</v>
          </cell>
          <cell r="B582">
            <v>440</v>
          </cell>
          <cell r="C582">
            <v>315820</v>
          </cell>
          <cell r="D582">
            <v>1</v>
          </cell>
          <cell r="F582" t="str">
            <v>הכנסות גפ"ן בית ספרי</v>
          </cell>
          <cell r="G582" t="str">
            <v>גמיש</v>
          </cell>
          <cell r="H582">
            <v>-9.0909090909090939E-2</v>
          </cell>
          <cell r="I582">
            <v>-100000</v>
          </cell>
          <cell r="J582">
            <v>-110000</v>
          </cell>
          <cell r="K582">
            <v>-2761</v>
          </cell>
          <cell r="L582">
            <v>0</v>
          </cell>
          <cell r="M582">
            <v>-106464</v>
          </cell>
        </row>
        <row r="583">
          <cell r="A583">
            <v>1315820452</v>
          </cell>
          <cell r="B583">
            <v>452</v>
          </cell>
          <cell r="C583">
            <v>315820</v>
          </cell>
          <cell r="D583">
            <v>1</v>
          </cell>
          <cell r="F583" t="str">
            <v>השתתפות עירונית בגפ"ן</v>
          </cell>
          <cell r="G583" t="str">
            <v>גמיש</v>
          </cell>
          <cell r="H583">
            <v>0.14541832669322718</v>
          </cell>
          <cell r="I583">
            <v>-115000</v>
          </cell>
          <cell r="J583">
            <v>-100400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>
            <v>1315820920</v>
          </cell>
          <cell r="B584">
            <v>920</v>
          </cell>
          <cell r="C584">
            <v>315820</v>
          </cell>
          <cell r="D584">
            <v>1</v>
          </cell>
          <cell r="F584" t="str">
            <v>השת' הממשלה בשכל"מ</v>
          </cell>
          <cell r="G584" t="str">
            <v>גמיש</v>
          </cell>
          <cell r="H584">
            <v>0.15994404290044306</v>
          </cell>
          <cell r="I584">
            <v>-5970000</v>
          </cell>
          <cell r="J584">
            <v>-5146800</v>
          </cell>
          <cell r="K584">
            <v>-3605315.54</v>
          </cell>
          <cell r="L584">
            <v>-4358900</v>
          </cell>
          <cell r="M584">
            <v>-5557700.2599999998</v>
          </cell>
        </row>
        <row r="585">
          <cell r="A585">
            <v>1315820923</v>
          </cell>
          <cell r="B585">
            <v>923</v>
          </cell>
          <cell r="C585">
            <v>315820</v>
          </cell>
          <cell r="D585">
            <v>1</v>
          </cell>
          <cell r="F585" t="str">
            <v>שעורי עזר לנכים</v>
          </cell>
          <cell r="G585" t="str">
            <v>גמיש</v>
          </cell>
          <cell r="H585">
            <v>6.4935064935065512E-3</v>
          </cell>
          <cell r="I585">
            <v>-108500</v>
          </cell>
          <cell r="J585">
            <v>-107800</v>
          </cell>
          <cell r="K585">
            <v>-79297.5</v>
          </cell>
          <cell r="L585">
            <v>-114500</v>
          </cell>
          <cell r="M585">
            <v>-116588.2</v>
          </cell>
        </row>
        <row r="586">
          <cell r="A586">
            <v>1315820925</v>
          </cell>
          <cell r="B586">
            <v>925</v>
          </cell>
          <cell r="C586">
            <v>315820</v>
          </cell>
          <cell r="D586">
            <v>1</v>
          </cell>
          <cell r="F586" t="str">
            <v xml:space="preserve">קרן השתלמות לשכ"ל </v>
          </cell>
          <cell r="G586" t="str">
            <v>גמיש</v>
          </cell>
          <cell r="H586">
            <v>0.54984709480122329</v>
          </cell>
          <cell r="I586">
            <v>-506800</v>
          </cell>
          <cell r="J586">
            <v>-327000</v>
          </cell>
          <cell r="K586">
            <v>-218767.28</v>
          </cell>
          <cell r="L586">
            <v>-280000</v>
          </cell>
          <cell r="M586">
            <v>-337665.91</v>
          </cell>
        </row>
        <row r="587">
          <cell r="A587">
            <v>1315820928</v>
          </cell>
          <cell r="B587">
            <v>928</v>
          </cell>
          <cell r="C587">
            <v>315820</v>
          </cell>
          <cell r="D587">
            <v>1</v>
          </cell>
          <cell r="F587" t="str">
            <v xml:space="preserve">ליווי לטיולים     </v>
          </cell>
          <cell r="G587" t="str">
            <v>גמיש</v>
          </cell>
          <cell r="H587">
            <v>0.26452410383189129</v>
          </cell>
          <cell r="I587">
            <v>-102300</v>
          </cell>
          <cell r="J587">
            <v>-80900</v>
          </cell>
          <cell r="K587">
            <v>-56125.120000000003</v>
          </cell>
          <cell r="L587">
            <v>-75200</v>
          </cell>
          <cell r="M587">
            <v>-90102.49</v>
          </cell>
        </row>
        <row r="588">
          <cell r="A588">
            <v>1315820930</v>
          </cell>
          <cell r="B588">
            <v>930</v>
          </cell>
          <cell r="C588">
            <v>315820</v>
          </cell>
          <cell r="D588">
            <v>1</v>
          </cell>
          <cell r="F588" t="str">
            <v>עוז לתמורה</v>
          </cell>
          <cell r="G588" t="str">
            <v>גמיש</v>
          </cell>
          <cell r="H588">
            <v>0.19905213270142186</v>
          </cell>
          <cell r="I588">
            <v>-2656500</v>
          </cell>
          <cell r="J588">
            <v>-2215500</v>
          </cell>
          <cell r="K588">
            <v>-1419412.98</v>
          </cell>
          <cell r="L588">
            <v>-1883500</v>
          </cell>
          <cell r="M588">
            <v>-2119753.7799999998</v>
          </cell>
        </row>
        <row r="589">
          <cell r="A589">
            <v>1315820932</v>
          </cell>
          <cell r="B589">
            <v>932</v>
          </cell>
          <cell r="C589">
            <v>315820</v>
          </cell>
          <cell r="D589">
            <v>1</v>
          </cell>
          <cell r="F589" t="str">
            <v>גמול בגרות אחוזי</v>
          </cell>
          <cell r="G589" t="str">
            <v>גמיש</v>
          </cell>
          <cell r="H589">
            <v>0.19664804469273744</v>
          </cell>
          <cell r="I589">
            <v>-107100</v>
          </cell>
          <cell r="J589">
            <v>-89500</v>
          </cell>
          <cell r="K589">
            <v>-63340.25</v>
          </cell>
          <cell r="L589">
            <v>-84200</v>
          </cell>
          <cell r="M589">
            <v>-101345.9</v>
          </cell>
        </row>
        <row r="590">
          <cell r="A590">
            <v>1315820953</v>
          </cell>
          <cell r="B590">
            <v>953</v>
          </cell>
          <cell r="C590">
            <v>315820</v>
          </cell>
          <cell r="D590">
            <v>1</v>
          </cell>
          <cell r="F590" t="str">
            <v>מערכת גפ"ן</v>
          </cell>
          <cell r="G590" t="str">
            <v>גמיש</v>
          </cell>
          <cell r="H590">
            <v>0.1777888446215139</v>
          </cell>
          <cell r="I590">
            <v>-473000</v>
          </cell>
          <cell r="J590">
            <v>-401600</v>
          </cell>
          <cell r="K590">
            <v>-209487.01</v>
          </cell>
          <cell r="L590">
            <v>-372000</v>
          </cell>
          <cell r="M590">
            <v>-319010.5</v>
          </cell>
        </row>
        <row r="591">
          <cell r="A591" t="e">
            <v>#VALUE!</v>
          </cell>
          <cell r="B591" t="str">
            <v>315820  סך הכל</v>
          </cell>
          <cell r="F591" t="str">
            <v>תיכון חרדי לווית  חן</v>
          </cell>
          <cell r="H591">
            <v>0.18148687197997315</v>
          </cell>
          <cell r="I591">
            <v>-10147200</v>
          </cell>
          <cell r="J591">
            <v>-8588500</v>
          </cell>
          <cell r="K591">
            <v>-5654506.6799999997</v>
          </cell>
          <cell r="L591">
            <v>-7174300</v>
          </cell>
          <cell r="M591">
            <v>-8756155.040000001</v>
          </cell>
        </row>
        <row r="592">
          <cell r="A592">
            <v>13158300</v>
          </cell>
          <cell r="B592" t="str">
            <v>000</v>
          </cell>
          <cell r="C592" t="str">
            <v>315830</v>
          </cell>
          <cell r="D592">
            <v>1</v>
          </cell>
          <cell r="F592" t="str">
            <v>תיכון חנקין</v>
          </cell>
        </row>
        <row r="593">
          <cell r="A593">
            <v>1315830312</v>
          </cell>
          <cell r="B593">
            <v>312</v>
          </cell>
          <cell r="C593" t="str">
            <v>315830</v>
          </cell>
          <cell r="D593">
            <v>1</v>
          </cell>
          <cell r="F593" t="str">
            <v>מסיבות כיתתיות</v>
          </cell>
          <cell r="G593" t="str">
            <v>גמיש</v>
          </cell>
          <cell r="H593">
            <v>0.51162790697674421</v>
          </cell>
          <cell r="I593">
            <v>-13000</v>
          </cell>
          <cell r="J593">
            <v>-8600</v>
          </cell>
          <cell r="K593">
            <v>0</v>
          </cell>
          <cell r="L593">
            <v>0</v>
          </cell>
          <cell r="M593">
            <v>0</v>
          </cell>
        </row>
        <row r="594">
          <cell r="A594">
            <v>1315830440</v>
          </cell>
          <cell r="B594">
            <v>440</v>
          </cell>
          <cell r="C594">
            <v>315830</v>
          </cell>
          <cell r="D594">
            <v>1</v>
          </cell>
          <cell r="F594" t="str">
            <v>הכנסות גפ"ן בית ספרי</v>
          </cell>
          <cell r="G594" t="str">
            <v>גמיש</v>
          </cell>
          <cell r="I594">
            <v>-100000</v>
          </cell>
          <cell r="J594">
            <v>0</v>
          </cell>
          <cell r="K594">
            <v>0</v>
          </cell>
          <cell r="L594">
            <v>0</v>
          </cell>
          <cell r="M594">
            <v>-50000</v>
          </cell>
        </row>
        <row r="595">
          <cell r="A595">
            <v>1315830452</v>
          </cell>
          <cell r="B595">
            <v>452</v>
          </cell>
          <cell r="C595">
            <v>315830</v>
          </cell>
          <cell r="D595">
            <v>1</v>
          </cell>
          <cell r="F595" t="str">
            <v>השתתפות עירונית בגפ"ן</v>
          </cell>
          <cell r="G595" t="str">
            <v>גמיש</v>
          </cell>
          <cell r="I595">
            <v>-120000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</row>
        <row r="596">
          <cell r="A596">
            <v>1315830920</v>
          </cell>
          <cell r="B596">
            <v>920</v>
          </cell>
          <cell r="C596">
            <v>315830</v>
          </cell>
          <cell r="D596">
            <v>1</v>
          </cell>
          <cell r="F596" t="str">
            <v>השת' הממשלה בשכל"מ</v>
          </cell>
          <cell r="G596" t="str">
            <v>גמיש</v>
          </cell>
          <cell r="I596">
            <v>-3200000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>
            <v>1315830921</v>
          </cell>
          <cell r="B597">
            <v>921</v>
          </cell>
          <cell r="C597">
            <v>315830</v>
          </cell>
          <cell r="D597">
            <v>1</v>
          </cell>
          <cell r="F597" t="str">
            <v>השתת' ממשלה-חט"ב</v>
          </cell>
          <cell r="G597" t="str">
            <v>גמיש</v>
          </cell>
          <cell r="H597">
            <v>0.57992342665709495</v>
          </cell>
          <cell r="I597">
            <v>-1320500</v>
          </cell>
          <cell r="J597">
            <v>-835800</v>
          </cell>
          <cell r="K597">
            <v>-792068.65</v>
          </cell>
          <cell r="L597">
            <v>-330200</v>
          </cell>
          <cell r="M597">
            <v>-970644.12</v>
          </cell>
        </row>
        <row r="598">
          <cell r="A598">
            <v>1315830923</v>
          </cell>
          <cell r="B598">
            <v>923</v>
          </cell>
          <cell r="C598">
            <v>315830</v>
          </cell>
          <cell r="D598">
            <v>1</v>
          </cell>
          <cell r="F598" t="str">
            <v>שיעורי עזר לנכים</v>
          </cell>
          <cell r="G598" t="str">
            <v>גמיש</v>
          </cell>
          <cell r="I598">
            <v>-50000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</row>
        <row r="599">
          <cell r="A599">
            <v>1315830925</v>
          </cell>
          <cell r="B599">
            <v>925</v>
          </cell>
          <cell r="C599">
            <v>315830</v>
          </cell>
          <cell r="D599">
            <v>1</v>
          </cell>
          <cell r="F599" t="str">
            <v>קרן השתלמות לשכל"מ</v>
          </cell>
          <cell r="G599" t="str">
            <v>גמיש</v>
          </cell>
          <cell r="I599">
            <v>-337000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>
            <v>1315830928</v>
          </cell>
          <cell r="B600">
            <v>928</v>
          </cell>
          <cell r="C600">
            <v>315830</v>
          </cell>
          <cell r="D600">
            <v>1</v>
          </cell>
          <cell r="F600" t="str">
            <v xml:space="preserve">ליווי טיולים </v>
          </cell>
          <cell r="G600" t="str">
            <v>גמיש</v>
          </cell>
          <cell r="I600">
            <v>-68000</v>
          </cell>
          <cell r="K600">
            <v>0</v>
          </cell>
        </row>
        <row r="601">
          <cell r="A601">
            <v>1315830930</v>
          </cell>
          <cell r="B601">
            <v>930</v>
          </cell>
          <cell r="C601">
            <v>315830</v>
          </cell>
          <cell r="D601">
            <v>1</v>
          </cell>
          <cell r="F601" t="str">
            <v>עוז לתמורה</v>
          </cell>
          <cell r="G601" t="str">
            <v>גמיש</v>
          </cell>
          <cell r="I601">
            <v>-1391000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</row>
        <row r="602">
          <cell r="A602">
            <v>1315830932</v>
          </cell>
          <cell r="B602">
            <v>932</v>
          </cell>
          <cell r="C602">
            <v>315830</v>
          </cell>
          <cell r="D602">
            <v>1</v>
          </cell>
          <cell r="F602" t="str">
            <v>גמול בגרות אחוזי</v>
          </cell>
          <cell r="G602" t="str">
            <v>גמיש</v>
          </cell>
          <cell r="I602">
            <v>-68000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>
            <v>1315830953</v>
          </cell>
          <cell r="B603">
            <v>953</v>
          </cell>
          <cell r="C603">
            <v>315830</v>
          </cell>
          <cell r="D603">
            <v>1</v>
          </cell>
          <cell r="F603" t="str">
            <v>מערכת גפ"ן</v>
          </cell>
          <cell r="G603" t="str">
            <v>גמיש</v>
          </cell>
          <cell r="I603">
            <v>-463000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</row>
        <row r="604">
          <cell r="A604" t="e">
            <v>#VALUE!</v>
          </cell>
          <cell r="B604" t="str">
            <v>315830  סך הכל</v>
          </cell>
          <cell r="F604" t="str">
            <v>תיכון חנקין</v>
          </cell>
          <cell r="H604">
            <v>7.4444576030317382</v>
          </cell>
          <cell r="I604">
            <v>-7130500</v>
          </cell>
          <cell r="J604">
            <v>-844400</v>
          </cell>
          <cell r="K604">
            <v>-792068.65</v>
          </cell>
          <cell r="L604">
            <v>-330200</v>
          </cell>
          <cell r="M604">
            <v>-1020644.12</v>
          </cell>
        </row>
        <row r="605">
          <cell r="A605">
            <v>13158400</v>
          </cell>
          <cell r="B605" t="str">
            <v>000</v>
          </cell>
          <cell r="C605" t="str">
            <v>315840</v>
          </cell>
          <cell r="D605">
            <v>1</v>
          </cell>
          <cell r="F605" t="str">
            <v>בית ספר חרדי חב"ד</v>
          </cell>
          <cell r="L605">
            <v>0</v>
          </cell>
        </row>
        <row r="606">
          <cell r="A606">
            <v>1315840312</v>
          </cell>
          <cell r="B606" t="str">
            <v>312</v>
          </cell>
          <cell r="C606" t="str">
            <v>315840</v>
          </cell>
          <cell r="D606">
            <v>1</v>
          </cell>
          <cell r="F606" t="str">
            <v>מסיבות כיתתיות</v>
          </cell>
          <cell r="G606" t="str">
            <v>גמיש</v>
          </cell>
          <cell r="I606">
            <v>-2000</v>
          </cell>
          <cell r="K606">
            <v>0</v>
          </cell>
          <cell r="L606">
            <v>0</v>
          </cell>
        </row>
        <row r="607">
          <cell r="A607">
            <v>1315840440</v>
          </cell>
          <cell r="B607" t="str">
            <v>440</v>
          </cell>
          <cell r="C607" t="str">
            <v>315840</v>
          </cell>
          <cell r="D607">
            <v>1</v>
          </cell>
          <cell r="F607" t="str">
            <v>הכנסות גפ"ן בית ספרי</v>
          </cell>
          <cell r="G607" t="str">
            <v>גמיש</v>
          </cell>
          <cell r="I607">
            <v>-10000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</row>
        <row r="608">
          <cell r="A608">
            <v>1315840452</v>
          </cell>
          <cell r="B608" t="str">
            <v>452</v>
          </cell>
          <cell r="C608" t="str">
            <v>315840</v>
          </cell>
          <cell r="D608">
            <v>1</v>
          </cell>
          <cell r="F608" t="str">
            <v>השתתפות עירונית בגפ"ן</v>
          </cell>
          <cell r="G608" t="str">
            <v>גמיש</v>
          </cell>
          <cell r="I608">
            <v>6800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>
            <v>1315840920</v>
          </cell>
          <cell r="B609" t="str">
            <v>920</v>
          </cell>
          <cell r="C609" t="str">
            <v>315840</v>
          </cell>
          <cell r="D609">
            <v>1</v>
          </cell>
          <cell r="F609" t="str">
            <v>השת' הממשלה בשכל"מ</v>
          </cell>
          <cell r="G609" t="str">
            <v>גמיש</v>
          </cell>
          <cell r="H609">
            <v>0.32585365853658543</v>
          </cell>
          <cell r="I609">
            <v>-1359000</v>
          </cell>
          <cell r="J609">
            <v>-1025000</v>
          </cell>
          <cell r="K609">
            <v>-230238.72</v>
          </cell>
          <cell r="L609">
            <v>0</v>
          </cell>
          <cell r="M609">
            <v>0</v>
          </cell>
        </row>
        <row r="610">
          <cell r="A610">
            <v>1315840923</v>
          </cell>
          <cell r="B610" t="str">
            <v>923</v>
          </cell>
          <cell r="C610" t="str">
            <v>315840</v>
          </cell>
          <cell r="D610">
            <v>1</v>
          </cell>
          <cell r="F610" t="str">
            <v>שעורי עזר לנכים</v>
          </cell>
          <cell r="G610" t="str">
            <v>גמיש</v>
          </cell>
          <cell r="H610">
            <v>-1</v>
          </cell>
          <cell r="I610">
            <v>0</v>
          </cell>
          <cell r="J610">
            <v>-32000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>
            <v>1315840925</v>
          </cell>
          <cell r="B611" t="str">
            <v>925</v>
          </cell>
          <cell r="C611" t="str">
            <v>315840</v>
          </cell>
          <cell r="D611">
            <v>1</v>
          </cell>
          <cell r="F611" t="str">
            <v xml:space="preserve">קרן השתלמות לשכ"ל </v>
          </cell>
          <cell r="G611" t="str">
            <v>גמיש</v>
          </cell>
          <cell r="H611">
            <v>1.34375</v>
          </cell>
          <cell r="I611">
            <v>-150000</v>
          </cell>
          <cell r="J611">
            <v>-64000</v>
          </cell>
          <cell r="K611">
            <v>-9130.5499999999993</v>
          </cell>
          <cell r="L611">
            <v>0</v>
          </cell>
          <cell r="M611">
            <v>0</v>
          </cell>
        </row>
        <row r="612">
          <cell r="A612">
            <v>1315840928</v>
          </cell>
          <cell r="B612" t="str">
            <v>928</v>
          </cell>
          <cell r="C612" t="str">
            <v>315840</v>
          </cell>
          <cell r="D612">
            <v>1</v>
          </cell>
          <cell r="F612" t="str">
            <v xml:space="preserve">ליווי לטיולים     </v>
          </cell>
          <cell r="G612" t="str">
            <v>גמיש</v>
          </cell>
          <cell r="H612">
            <v>0.55000000000000004</v>
          </cell>
          <cell r="I612">
            <v>-31000</v>
          </cell>
          <cell r="J612">
            <v>-20000</v>
          </cell>
          <cell r="K612">
            <v>-3986.62</v>
          </cell>
          <cell r="L612">
            <v>0</v>
          </cell>
          <cell r="M612">
            <v>0</v>
          </cell>
        </row>
        <row r="613">
          <cell r="A613">
            <v>1315840930</v>
          </cell>
          <cell r="B613" t="str">
            <v>930</v>
          </cell>
          <cell r="C613" t="str">
            <v>315840</v>
          </cell>
          <cell r="D613">
            <v>1</v>
          </cell>
          <cell r="F613" t="str">
            <v>עוז לתמורה</v>
          </cell>
          <cell r="G613" t="str">
            <v>גמיש</v>
          </cell>
          <cell r="H613">
            <v>4.1666666666666741E-2</v>
          </cell>
          <cell r="I613">
            <v>-450000</v>
          </cell>
          <cell r="J613">
            <v>-432000</v>
          </cell>
          <cell r="K613">
            <v>-58739.25</v>
          </cell>
          <cell r="L613">
            <v>0</v>
          </cell>
          <cell r="M613">
            <v>0</v>
          </cell>
        </row>
        <row r="614">
          <cell r="A614">
            <v>1315840932</v>
          </cell>
          <cell r="B614" t="str">
            <v>932</v>
          </cell>
          <cell r="C614" t="str">
            <v>315840</v>
          </cell>
          <cell r="D614">
            <v>1</v>
          </cell>
          <cell r="F614" t="str">
            <v>גמול בגרות אחוזי</v>
          </cell>
          <cell r="G614" t="str">
            <v>גמיש</v>
          </cell>
          <cell r="H614">
            <v>0.55000000000000004</v>
          </cell>
          <cell r="I614">
            <v>-31000</v>
          </cell>
          <cell r="J614">
            <v>-20000</v>
          </cell>
          <cell r="K614">
            <v>-2364.9499999999998</v>
          </cell>
          <cell r="L614">
            <v>0</v>
          </cell>
          <cell r="M614">
            <v>0</v>
          </cell>
        </row>
        <row r="615">
          <cell r="A615">
            <v>1315840953</v>
          </cell>
          <cell r="B615" t="str">
            <v>953</v>
          </cell>
          <cell r="C615" t="str">
            <v>315840</v>
          </cell>
          <cell r="D615">
            <v>1</v>
          </cell>
          <cell r="F615" t="str">
            <v>מערכת גפ"ן</v>
          </cell>
          <cell r="G615" t="str">
            <v>גמיש</v>
          </cell>
          <cell r="I615">
            <v>-31000</v>
          </cell>
          <cell r="K615">
            <v>-6180.77</v>
          </cell>
          <cell r="L615">
            <v>0</v>
          </cell>
        </row>
        <row r="616">
          <cell r="A616" t="e">
            <v>#VALUE!</v>
          </cell>
          <cell r="B616" t="str">
            <v>סך הכל 315840</v>
          </cell>
          <cell r="F616" t="str">
            <v>בית ספר חרדי חב"ד</v>
          </cell>
          <cell r="H616">
            <v>0.29139987445072202</v>
          </cell>
          <cell r="I616">
            <v>-2057200</v>
          </cell>
          <cell r="J616">
            <v>-1593000</v>
          </cell>
          <cell r="K616">
            <v>-310640.86000000004</v>
          </cell>
          <cell r="L616">
            <v>0</v>
          </cell>
          <cell r="M616">
            <v>0</v>
          </cell>
        </row>
        <row r="617">
          <cell r="A617">
            <v>13170000</v>
          </cell>
          <cell r="B617">
            <v>0</v>
          </cell>
          <cell r="C617">
            <v>317000</v>
          </cell>
          <cell r="D617">
            <v>1</v>
          </cell>
          <cell r="F617" t="str">
            <v xml:space="preserve">שרותים נוספים     </v>
          </cell>
          <cell r="G617" t="str">
            <v xml:space="preserve"> </v>
          </cell>
          <cell r="L617">
            <v>0</v>
          </cell>
        </row>
        <row r="618">
          <cell r="A618">
            <v>1317000221</v>
          </cell>
          <cell r="B618">
            <v>221</v>
          </cell>
          <cell r="C618">
            <v>317000</v>
          </cell>
          <cell r="D618">
            <v>1</v>
          </cell>
          <cell r="F618" t="str">
            <v>אג' חנוך גני ילדים</v>
          </cell>
          <cell r="G618" t="str">
            <v>גמיש</v>
          </cell>
          <cell r="I618">
            <v>0</v>
          </cell>
          <cell r="J618">
            <v>0</v>
          </cell>
          <cell r="K618">
            <v>-197980.03</v>
          </cell>
          <cell r="L618">
            <v>0</v>
          </cell>
          <cell r="M618">
            <v>-576906.18999999994</v>
          </cell>
        </row>
        <row r="619">
          <cell r="A619">
            <v>1317000223</v>
          </cell>
          <cell r="B619">
            <v>223</v>
          </cell>
          <cell r="C619">
            <v>317000</v>
          </cell>
          <cell r="D619">
            <v>1</v>
          </cell>
          <cell r="F619" t="str">
            <v xml:space="preserve">אגרת שירותים      </v>
          </cell>
          <cell r="G619" t="str">
            <v>גמיש</v>
          </cell>
          <cell r="H619">
            <v>-1</v>
          </cell>
          <cell r="I619">
            <v>0</v>
          </cell>
          <cell r="J619">
            <v>-4112700</v>
          </cell>
          <cell r="K619">
            <v>-69549.67</v>
          </cell>
          <cell r="L619">
            <v>-4112700</v>
          </cell>
          <cell r="M619">
            <v>-3420743.11</v>
          </cell>
        </row>
        <row r="620">
          <cell r="A620">
            <v>1317000420</v>
          </cell>
          <cell r="B620">
            <v>420</v>
          </cell>
          <cell r="C620">
            <v>317000</v>
          </cell>
          <cell r="D620">
            <v>1</v>
          </cell>
          <cell r="F620" t="str">
            <v>ביטוח תלמידי תיכון</v>
          </cell>
          <cell r="G620" t="str">
            <v>גמיש</v>
          </cell>
          <cell r="H620">
            <v>1.4</v>
          </cell>
          <cell r="I620">
            <v>-1800000</v>
          </cell>
          <cell r="J620">
            <v>-750000</v>
          </cell>
          <cell r="K620">
            <v>-774089.05</v>
          </cell>
          <cell r="L620">
            <v>-666000</v>
          </cell>
          <cell r="M620">
            <v>-745234</v>
          </cell>
        </row>
        <row r="621">
          <cell r="A621">
            <v>1317000421</v>
          </cell>
          <cell r="B621">
            <v>421</v>
          </cell>
          <cell r="C621">
            <v>317000</v>
          </cell>
          <cell r="D621">
            <v>1</v>
          </cell>
          <cell r="F621" t="str">
            <v>הכנסות השאלת ספרים</v>
          </cell>
          <cell r="G621" t="str">
            <v>גמיש</v>
          </cell>
          <cell r="I621">
            <v>-3253000</v>
          </cell>
          <cell r="J621">
            <v>0</v>
          </cell>
          <cell r="K621">
            <v>-547246.6</v>
          </cell>
          <cell r="L621">
            <v>0</v>
          </cell>
          <cell r="M621">
            <v>0</v>
          </cell>
        </row>
        <row r="622">
          <cell r="A622">
            <v>1317000490</v>
          </cell>
          <cell r="B622">
            <v>490</v>
          </cell>
          <cell r="C622">
            <v>317000</v>
          </cell>
          <cell r="D622">
            <v>1</v>
          </cell>
          <cell r="F622" t="str">
            <v>שמירה - חברות בנות</v>
          </cell>
          <cell r="G622" t="str">
            <v>גמיש</v>
          </cell>
          <cell r="I622">
            <v>0</v>
          </cell>
          <cell r="J622">
            <v>0</v>
          </cell>
          <cell r="K622">
            <v>0</v>
          </cell>
          <cell r="L622">
            <v>-1000000</v>
          </cell>
          <cell r="M622">
            <v>-1457065.87</v>
          </cell>
        </row>
        <row r="623">
          <cell r="A623">
            <v>1317000921</v>
          </cell>
          <cell r="B623">
            <v>921</v>
          </cell>
          <cell r="C623">
            <v>317000</v>
          </cell>
          <cell r="D623">
            <v>1</v>
          </cell>
          <cell r="F623" t="str">
            <v xml:space="preserve">השתתפות בשיכפול   </v>
          </cell>
          <cell r="G623" t="str">
            <v>גמיש</v>
          </cell>
          <cell r="I623">
            <v>0</v>
          </cell>
          <cell r="J623">
            <v>0</v>
          </cell>
          <cell r="K623">
            <v>-16592.14</v>
          </cell>
          <cell r="L623">
            <v>0</v>
          </cell>
          <cell r="M623">
            <v>-113141.36</v>
          </cell>
        </row>
        <row r="624">
          <cell r="A624">
            <v>1317000922</v>
          </cell>
          <cell r="B624">
            <v>922</v>
          </cell>
          <cell r="C624">
            <v>317000</v>
          </cell>
          <cell r="D624">
            <v>1</v>
          </cell>
          <cell r="F624" t="str">
            <v xml:space="preserve">סל לעולים         </v>
          </cell>
          <cell r="G624" t="str">
            <v>גמיש</v>
          </cell>
          <cell r="H624">
            <v>-0.42528735632183912</v>
          </cell>
          <cell r="I624">
            <v>-100000</v>
          </cell>
          <cell r="J624">
            <v>-174000</v>
          </cell>
          <cell r="K624">
            <v>0</v>
          </cell>
          <cell r="L624">
            <v>-140000</v>
          </cell>
          <cell r="M624">
            <v>-96687.16</v>
          </cell>
        </row>
        <row r="625">
          <cell r="A625">
            <v>1317000924</v>
          </cell>
          <cell r="B625">
            <v>924</v>
          </cell>
          <cell r="C625">
            <v>317000</v>
          </cell>
          <cell r="D625">
            <v>1</v>
          </cell>
          <cell r="F625" t="str">
            <v>השאלת ספרי לימוד</v>
          </cell>
          <cell r="G625" t="str">
            <v>גמיש</v>
          </cell>
          <cell r="I625">
            <v>0</v>
          </cell>
          <cell r="J625">
            <v>0</v>
          </cell>
          <cell r="K625">
            <v>0</v>
          </cell>
          <cell r="L625">
            <v>-50000</v>
          </cell>
          <cell r="M625">
            <v>0</v>
          </cell>
        </row>
        <row r="626">
          <cell r="A626">
            <v>1317000926</v>
          </cell>
          <cell r="B626">
            <v>926</v>
          </cell>
          <cell r="C626">
            <v>317000</v>
          </cell>
          <cell r="D626">
            <v>1</v>
          </cell>
          <cell r="F626" t="str">
            <v>השת' מ'חינוך באגרה</v>
          </cell>
          <cell r="G626" t="str">
            <v>גמיש</v>
          </cell>
          <cell r="H626">
            <v>0</v>
          </cell>
          <cell r="I626">
            <v>-135000</v>
          </cell>
          <cell r="J626">
            <v>-135000</v>
          </cell>
          <cell r="K626">
            <v>-78428.06</v>
          </cell>
          <cell r="L626">
            <v>-135000</v>
          </cell>
          <cell r="M626">
            <v>-132405.07</v>
          </cell>
        </row>
        <row r="627">
          <cell r="A627">
            <v>1317000990</v>
          </cell>
          <cell r="B627">
            <v>990</v>
          </cell>
          <cell r="C627">
            <v>317000</v>
          </cell>
          <cell r="D627">
            <v>1</v>
          </cell>
          <cell r="F627" t="str">
            <v>השת' הממשלה בשמירה</v>
          </cell>
          <cell r="G627" t="str">
            <v>גמיש</v>
          </cell>
          <cell r="H627">
            <v>-2.8182701652089359E-2</v>
          </cell>
          <cell r="I627">
            <v>-8000000</v>
          </cell>
          <cell r="J627">
            <v>-8232000</v>
          </cell>
          <cell r="K627">
            <v>-2895581.48</v>
          </cell>
          <cell r="L627">
            <v>-8000000</v>
          </cell>
          <cell r="M627">
            <v>-7683514.1600000001</v>
          </cell>
        </row>
        <row r="628">
          <cell r="A628" t="e">
            <v>#VALUE!</v>
          </cell>
          <cell r="B628" t="str">
            <v>317000  סך הכל</v>
          </cell>
          <cell r="F628" t="str">
            <v xml:space="preserve">שרותים נוספים     </v>
          </cell>
          <cell r="H628">
            <v>-8.6319449107336021E-3</v>
          </cell>
          <cell r="I628">
            <v>-13288000</v>
          </cell>
          <cell r="J628">
            <v>-13403700</v>
          </cell>
          <cell r="K628">
            <v>-4579467.03</v>
          </cell>
          <cell r="L628">
            <v>-14103700</v>
          </cell>
          <cell r="M628">
            <v>-14225696.920000002</v>
          </cell>
        </row>
        <row r="629">
          <cell r="A629">
            <v>13172100</v>
          </cell>
          <cell r="B629">
            <v>0</v>
          </cell>
          <cell r="C629">
            <v>317210</v>
          </cell>
          <cell r="D629">
            <v>1</v>
          </cell>
          <cell r="F629" t="str">
            <v xml:space="preserve">מרכזיה פדגוגית    </v>
          </cell>
          <cell r="G629" t="str">
            <v xml:space="preserve"> </v>
          </cell>
        </row>
        <row r="630">
          <cell r="A630">
            <v>1317210920</v>
          </cell>
          <cell r="B630">
            <v>920</v>
          </cell>
          <cell r="C630">
            <v>317210</v>
          </cell>
          <cell r="D630">
            <v>1</v>
          </cell>
          <cell r="F630" t="str">
            <v>הכנסות משרד החינוך</v>
          </cell>
          <cell r="G630" t="str">
            <v>גמיש</v>
          </cell>
          <cell r="H630">
            <v>0</v>
          </cell>
          <cell r="I630">
            <v>-15000</v>
          </cell>
          <cell r="J630">
            <v>-15000</v>
          </cell>
          <cell r="K630">
            <v>0</v>
          </cell>
          <cell r="L630">
            <v>-80000</v>
          </cell>
          <cell r="M630">
            <v>-5408</v>
          </cell>
        </row>
        <row r="631">
          <cell r="A631" t="e">
            <v>#VALUE!</v>
          </cell>
          <cell r="B631" t="str">
            <v>317210  סך הכל</v>
          </cell>
          <cell r="F631" t="str">
            <v xml:space="preserve">מרכזיה פדגוגית    </v>
          </cell>
          <cell r="H631">
            <v>0</v>
          </cell>
          <cell r="I631">
            <v>-15000</v>
          </cell>
          <cell r="J631">
            <v>-15000</v>
          </cell>
          <cell r="K631">
            <v>0</v>
          </cell>
          <cell r="L631">
            <v>-80000</v>
          </cell>
          <cell r="M631">
            <v>-5408</v>
          </cell>
        </row>
        <row r="632">
          <cell r="A632">
            <v>13173000</v>
          </cell>
          <cell r="B632">
            <v>0</v>
          </cell>
          <cell r="C632">
            <v>317300</v>
          </cell>
          <cell r="D632">
            <v>1</v>
          </cell>
          <cell r="F632" t="str">
            <v>שרותים פסיכולוגיים</v>
          </cell>
          <cell r="G632" t="str">
            <v xml:space="preserve"> </v>
          </cell>
        </row>
        <row r="633">
          <cell r="A633">
            <v>1317300420</v>
          </cell>
          <cell r="B633">
            <v>420</v>
          </cell>
          <cell r="C633">
            <v>317300</v>
          </cell>
          <cell r="D633">
            <v>1</v>
          </cell>
          <cell r="F633" t="str">
            <v>הש'-יוזמות ואיבחון</v>
          </cell>
          <cell r="G633" t="str">
            <v>גמיש</v>
          </cell>
          <cell r="H633">
            <v>0</v>
          </cell>
          <cell r="I633">
            <v>-30000</v>
          </cell>
          <cell r="J633">
            <v>-30000</v>
          </cell>
          <cell r="K633">
            <v>-1200</v>
          </cell>
          <cell r="L633">
            <v>-90000</v>
          </cell>
          <cell r="M633">
            <v>-65500</v>
          </cell>
        </row>
        <row r="634">
          <cell r="A634">
            <v>1317300421</v>
          </cell>
          <cell r="B634">
            <v>421</v>
          </cell>
          <cell r="C634">
            <v>317300</v>
          </cell>
          <cell r="D634">
            <v>1</v>
          </cell>
          <cell r="F634" t="str">
            <v xml:space="preserve">שרות משלים        </v>
          </cell>
          <cell r="G634" t="str">
            <v>גמיש</v>
          </cell>
          <cell r="H634">
            <v>0.22222222222222232</v>
          </cell>
          <cell r="I634">
            <v>-550000</v>
          </cell>
          <cell r="J634">
            <v>-450000</v>
          </cell>
          <cell r="K634">
            <v>-660100</v>
          </cell>
          <cell r="L634">
            <v>-300000</v>
          </cell>
          <cell r="M634">
            <v>-422362.5</v>
          </cell>
        </row>
        <row r="635">
          <cell r="A635">
            <v>1317300422</v>
          </cell>
          <cell r="B635">
            <v>422</v>
          </cell>
          <cell r="C635">
            <v>317300</v>
          </cell>
          <cell r="D635">
            <v>1</v>
          </cell>
          <cell r="F635" t="str">
            <v>הכלה שפ"מ</v>
          </cell>
          <cell r="G635" t="str">
            <v>גמיש</v>
          </cell>
          <cell r="H635">
            <v>0.19999999999999996</v>
          </cell>
          <cell r="I635">
            <v>-600000</v>
          </cell>
          <cell r="J635">
            <v>-500000</v>
          </cell>
          <cell r="K635">
            <v>-334488</v>
          </cell>
          <cell r="L635">
            <v>-470000</v>
          </cell>
          <cell r="M635">
            <v>-465907</v>
          </cell>
        </row>
        <row r="636">
          <cell r="A636">
            <v>1317300423</v>
          </cell>
          <cell r="B636">
            <v>423</v>
          </cell>
          <cell r="C636">
            <v>317300</v>
          </cell>
          <cell r="D636">
            <v>1</v>
          </cell>
          <cell r="F636" t="str">
            <v>לקויות למידה בשפח</v>
          </cell>
          <cell r="G636" t="str">
            <v>גמיש</v>
          </cell>
          <cell r="I636">
            <v>-50000</v>
          </cell>
          <cell r="K636">
            <v>-14400</v>
          </cell>
          <cell r="L636">
            <v>0</v>
          </cell>
          <cell r="M636">
            <v>0</v>
          </cell>
        </row>
        <row r="637">
          <cell r="A637">
            <v>1317300920</v>
          </cell>
          <cell r="B637">
            <v>920</v>
          </cell>
          <cell r="C637">
            <v>317300</v>
          </cell>
          <cell r="D637">
            <v>1</v>
          </cell>
          <cell r="F637" t="str">
            <v xml:space="preserve">שרות פסיכולוגי    </v>
          </cell>
          <cell r="G637" t="str">
            <v>גמיש</v>
          </cell>
          <cell r="H637">
            <v>6.373394286936418E-2</v>
          </cell>
          <cell r="I637">
            <v>-7957900</v>
          </cell>
          <cell r="J637">
            <v>-7481100</v>
          </cell>
          <cell r="K637">
            <v>-6159852.04</v>
          </cell>
          <cell r="L637">
            <v>-6930000</v>
          </cell>
          <cell r="M637">
            <v>-7587979.1699999999</v>
          </cell>
        </row>
        <row r="638">
          <cell r="A638">
            <v>1317300922</v>
          </cell>
          <cell r="B638">
            <v>922</v>
          </cell>
          <cell r="C638">
            <v>317300</v>
          </cell>
          <cell r="D638">
            <v>1</v>
          </cell>
          <cell r="F638" t="str">
            <v>יוזמות שפ"י</v>
          </cell>
          <cell r="G638" t="str">
            <v>גמיש</v>
          </cell>
          <cell r="H638">
            <v>1.5</v>
          </cell>
          <cell r="I638">
            <v>-100000</v>
          </cell>
          <cell r="J638">
            <v>-40000</v>
          </cell>
          <cell r="K638">
            <v>0</v>
          </cell>
          <cell r="L638">
            <v>-30000</v>
          </cell>
          <cell r="M638">
            <v>-128910</v>
          </cell>
        </row>
        <row r="639">
          <cell r="A639">
            <v>1317300923</v>
          </cell>
          <cell r="B639">
            <v>923</v>
          </cell>
          <cell r="C639">
            <v>317300</v>
          </cell>
          <cell r="D639">
            <v>1</v>
          </cell>
          <cell r="F639" t="str">
            <v xml:space="preserve">השתל' והדרכה משה"ח   </v>
          </cell>
          <cell r="G639" t="str">
            <v>גמיש</v>
          </cell>
          <cell r="H639">
            <v>0.10033821871476878</v>
          </cell>
          <cell r="I639">
            <v>-195200</v>
          </cell>
          <cell r="J639">
            <v>-177400</v>
          </cell>
          <cell r="K639">
            <v>-114229.5</v>
          </cell>
          <cell r="L639">
            <v>-160000</v>
          </cell>
          <cell r="M639">
            <v>-378518.25</v>
          </cell>
        </row>
        <row r="640">
          <cell r="A640">
            <v>1317300925</v>
          </cell>
          <cell r="B640">
            <v>925</v>
          </cell>
          <cell r="C640">
            <v>317300</v>
          </cell>
          <cell r="D640">
            <v>1</v>
          </cell>
          <cell r="F640" t="str">
            <v>הכנסות ביטוח לאומי מרכז טראומה</v>
          </cell>
          <cell r="G640" t="str">
            <v>גמיש</v>
          </cell>
          <cell r="H640">
            <v>-0.11993033092809158</v>
          </cell>
          <cell r="I640">
            <v>-707400</v>
          </cell>
          <cell r="J640">
            <v>-803800</v>
          </cell>
          <cell r="K640">
            <v>0</v>
          </cell>
          <cell r="L640">
            <v>0</v>
          </cell>
          <cell r="M640">
            <v>-116868</v>
          </cell>
        </row>
        <row r="641">
          <cell r="A641">
            <v>1317300926</v>
          </cell>
          <cell r="B641">
            <v>926</v>
          </cell>
          <cell r="C641">
            <v>317300</v>
          </cell>
          <cell r="D641">
            <v>1</v>
          </cell>
          <cell r="F641" t="str">
            <v>מלגות</v>
          </cell>
          <cell r="G641" t="str">
            <v>גמיש</v>
          </cell>
          <cell r="H641">
            <v>0</v>
          </cell>
          <cell r="I641">
            <v>-123000</v>
          </cell>
          <cell r="J641">
            <v>-123000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e">
            <v>#VALUE!</v>
          </cell>
          <cell r="B642" t="str">
            <v>317300  סך הכל</v>
          </cell>
          <cell r="F642" t="str">
            <v>שרותים פסיכולוגיים</v>
          </cell>
          <cell r="H642">
            <v>7.3730128158412622E-2</v>
          </cell>
          <cell r="I642">
            <v>-10313500</v>
          </cell>
          <cell r="J642">
            <v>-9605300</v>
          </cell>
          <cell r="K642">
            <v>-7284269.54</v>
          </cell>
          <cell r="L642">
            <v>-7980000</v>
          </cell>
          <cell r="M642">
            <v>-9166044.9199999999</v>
          </cell>
        </row>
        <row r="643">
          <cell r="A643">
            <v>13176000</v>
          </cell>
          <cell r="B643">
            <v>0</v>
          </cell>
          <cell r="C643">
            <v>317600</v>
          </cell>
          <cell r="D643">
            <v>1</v>
          </cell>
          <cell r="F643" t="str">
            <v xml:space="preserve">רווחה חינוכית     </v>
          </cell>
          <cell r="G643" t="str">
            <v xml:space="preserve"> </v>
          </cell>
        </row>
        <row r="644">
          <cell r="A644">
            <v>1317600921</v>
          </cell>
          <cell r="B644">
            <v>921</v>
          </cell>
          <cell r="C644">
            <v>317600</v>
          </cell>
          <cell r="D644">
            <v>1</v>
          </cell>
          <cell r="F644" t="str">
            <v xml:space="preserve">משרד החינוך רווחה </v>
          </cell>
          <cell r="G644" t="str">
            <v>גמיש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</row>
        <row r="645">
          <cell r="A645">
            <v>1317600923</v>
          </cell>
          <cell r="B645">
            <v>923</v>
          </cell>
          <cell r="C645">
            <v>317600</v>
          </cell>
          <cell r="D645">
            <v>1</v>
          </cell>
          <cell r="F645" t="str">
            <v>מגשרת בוכרית+אתיופית</v>
          </cell>
          <cell r="G645" t="str">
            <v>גמיש</v>
          </cell>
          <cell r="H645">
            <v>-1</v>
          </cell>
          <cell r="I645">
            <v>0</v>
          </cell>
          <cell r="J645">
            <v>-60000</v>
          </cell>
          <cell r="K645">
            <v>0</v>
          </cell>
          <cell r="L645">
            <v>-125000</v>
          </cell>
          <cell r="M645">
            <v>0</v>
          </cell>
        </row>
        <row r="646">
          <cell r="A646" t="e">
            <v>#VALUE!</v>
          </cell>
          <cell r="B646" t="str">
            <v>317600  סך הכל</v>
          </cell>
          <cell r="F646" t="str">
            <v xml:space="preserve">רווחה חינוכית     </v>
          </cell>
          <cell r="H646">
            <v>-1</v>
          </cell>
          <cell r="I646">
            <v>0</v>
          </cell>
          <cell r="J646">
            <v>-60000</v>
          </cell>
          <cell r="K646">
            <v>0</v>
          </cell>
          <cell r="L646">
            <v>-125000</v>
          </cell>
          <cell r="M646">
            <v>0</v>
          </cell>
        </row>
        <row r="647">
          <cell r="A647">
            <v>13178000</v>
          </cell>
          <cell r="B647">
            <v>0</v>
          </cell>
          <cell r="C647">
            <v>317800</v>
          </cell>
          <cell r="D647">
            <v>1</v>
          </cell>
          <cell r="F647" t="str">
            <v>הכנסות מהסעת ילדים</v>
          </cell>
          <cell r="G647" t="str">
            <v xml:space="preserve"> </v>
          </cell>
        </row>
        <row r="648">
          <cell r="A648">
            <v>1317800420</v>
          </cell>
          <cell r="B648">
            <v>420</v>
          </cell>
          <cell r="C648">
            <v>317800</v>
          </cell>
          <cell r="D648">
            <v>1</v>
          </cell>
          <cell r="F648" t="str">
            <v xml:space="preserve">השת' הורים בהסעות </v>
          </cell>
          <cell r="G648" t="str">
            <v>גמיש</v>
          </cell>
          <cell r="H648">
            <v>0</v>
          </cell>
          <cell r="I648">
            <v>-200000</v>
          </cell>
          <cell r="J648">
            <v>-200000</v>
          </cell>
          <cell r="K648">
            <v>0</v>
          </cell>
          <cell r="L648">
            <v>-200000</v>
          </cell>
          <cell r="M648">
            <v>-162785</v>
          </cell>
        </row>
        <row r="649">
          <cell r="A649">
            <v>1317800920</v>
          </cell>
          <cell r="B649">
            <v>920</v>
          </cell>
          <cell r="C649">
            <v>317800</v>
          </cell>
          <cell r="D649">
            <v>1</v>
          </cell>
          <cell r="F649" t="str">
            <v>השת' הממשלה בהסעות</v>
          </cell>
          <cell r="G649" t="str">
            <v>גמיש</v>
          </cell>
          <cell r="H649">
            <v>-6.6666666666666652E-2</v>
          </cell>
          <cell r="I649">
            <v>-7000000</v>
          </cell>
          <cell r="J649">
            <v>-7500000</v>
          </cell>
          <cell r="K649">
            <v>-3335410.29</v>
          </cell>
          <cell r="L649">
            <v>-13200000</v>
          </cell>
          <cell r="M649">
            <v>-6184670.8300000001</v>
          </cell>
        </row>
        <row r="650">
          <cell r="A650">
            <v>1317800922</v>
          </cell>
          <cell r="B650">
            <v>922</v>
          </cell>
          <cell r="C650">
            <v>317800</v>
          </cell>
          <cell r="D650">
            <v>1</v>
          </cell>
          <cell r="F650" t="str">
            <v>מלווים בהסעים</v>
          </cell>
          <cell r="G650" t="str">
            <v>גמיש</v>
          </cell>
          <cell r="H650">
            <v>0</v>
          </cell>
          <cell r="I650">
            <v>-13500000</v>
          </cell>
          <cell r="J650">
            <v>-13500000</v>
          </cell>
          <cell r="K650">
            <v>-7792457.4000000004</v>
          </cell>
          <cell r="L650">
            <v>-13000000</v>
          </cell>
          <cell r="M650">
            <v>-10202666.25</v>
          </cell>
        </row>
        <row r="651">
          <cell r="A651">
            <v>1317800924</v>
          </cell>
          <cell r="B651">
            <v>924</v>
          </cell>
          <cell r="C651">
            <v>317800</v>
          </cell>
          <cell r="D651">
            <v>1</v>
          </cell>
          <cell r="F651" t="str">
            <v>הסעות מסגרות קיץ</v>
          </cell>
          <cell r="G651" t="str">
            <v>גמיש</v>
          </cell>
          <cell r="H651">
            <v>0</v>
          </cell>
          <cell r="I651">
            <v>-20000</v>
          </cell>
          <cell r="J651">
            <v>-20000</v>
          </cell>
          <cell r="K651">
            <v>0</v>
          </cell>
          <cell r="L651">
            <v>-20000</v>
          </cell>
          <cell r="M651">
            <v>-15788.76</v>
          </cell>
        </row>
        <row r="652">
          <cell r="A652" t="e">
            <v>#VALUE!</v>
          </cell>
          <cell r="B652" t="str">
            <v>317800  סך הכל</v>
          </cell>
          <cell r="F652" t="str">
            <v>הכנסות מהסעת ילדים</v>
          </cell>
          <cell r="H652">
            <v>-2.3562676720075393E-2</v>
          </cell>
          <cell r="I652">
            <v>-20720000</v>
          </cell>
          <cell r="J652">
            <v>-21220000</v>
          </cell>
          <cell r="K652">
            <v>-11127867.690000001</v>
          </cell>
          <cell r="L652">
            <v>-26420000</v>
          </cell>
          <cell r="M652">
            <v>-16565910.84</v>
          </cell>
        </row>
        <row r="653">
          <cell r="A653">
            <v>13179300</v>
          </cell>
          <cell r="B653">
            <v>0</v>
          </cell>
          <cell r="C653">
            <v>317930</v>
          </cell>
          <cell r="D653">
            <v>1</v>
          </cell>
          <cell r="F653" t="str">
            <v xml:space="preserve">תיאטרון סל-תרבות  </v>
          </cell>
          <cell r="G653" t="str">
            <v xml:space="preserve"> </v>
          </cell>
        </row>
        <row r="654">
          <cell r="A654">
            <v>1317930424</v>
          </cell>
          <cell r="B654">
            <v>424</v>
          </cell>
          <cell r="C654">
            <v>317930</v>
          </cell>
          <cell r="D654">
            <v>1</v>
          </cell>
          <cell r="F654" t="str">
            <v xml:space="preserve">הכנסות מתיאטרון   </v>
          </cell>
          <cell r="G654" t="str">
            <v>גמיש</v>
          </cell>
          <cell r="H654">
            <v>0</v>
          </cell>
          <cell r="I654">
            <v>-2000000</v>
          </cell>
          <cell r="J654">
            <v>-2000000</v>
          </cell>
          <cell r="K654">
            <v>-1642960</v>
          </cell>
          <cell r="L654">
            <v>-2000000</v>
          </cell>
          <cell r="M654">
            <v>-1506927.23</v>
          </cell>
        </row>
        <row r="655">
          <cell r="A655" t="e">
            <v>#VALUE!</v>
          </cell>
          <cell r="B655" t="str">
            <v>317930  סך הכל</v>
          </cell>
          <cell r="F655" t="str">
            <v xml:space="preserve">תיאטרון סל-תרבות  </v>
          </cell>
          <cell r="H655">
            <v>0</v>
          </cell>
          <cell r="I655">
            <v>-2000000</v>
          </cell>
          <cell r="J655">
            <v>-2000000</v>
          </cell>
          <cell r="K655">
            <v>-1642960</v>
          </cell>
          <cell r="L655">
            <v>-2000000</v>
          </cell>
          <cell r="M655">
            <v>-1506927.23</v>
          </cell>
        </row>
        <row r="656">
          <cell r="A656">
            <v>13222000</v>
          </cell>
          <cell r="B656">
            <v>0</v>
          </cell>
          <cell r="C656">
            <v>322200</v>
          </cell>
          <cell r="D656">
            <v>1</v>
          </cell>
          <cell r="F656" t="str">
            <v xml:space="preserve">חינוך מבוגרים     </v>
          </cell>
          <cell r="G656" t="str">
            <v xml:space="preserve"> </v>
          </cell>
        </row>
        <row r="657">
          <cell r="A657">
            <v>1322200421</v>
          </cell>
          <cell r="B657">
            <v>421</v>
          </cell>
          <cell r="C657">
            <v>322200</v>
          </cell>
          <cell r="D657">
            <v>1</v>
          </cell>
          <cell r="F657" t="str">
            <v>הכנסות ממחלקת  צעירים</v>
          </cell>
          <cell r="G657" t="str">
            <v>גמיש</v>
          </cell>
          <cell r="H657">
            <v>-1</v>
          </cell>
          <cell r="I657">
            <v>0</v>
          </cell>
          <cell r="J657">
            <v>-50000</v>
          </cell>
          <cell r="K657">
            <v>-1907</v>
          </cell>
          <cell r="L657">
            <v>0</v>
          </cell>
          <cell r="M657">
            <v>-29392</v>
          </cell>
        </row>
        <row r="658">
          <cell r="A658">
            <v>1322200424</v>
          </cell>
          <cell r="B658">
            <v>424</v>
          </cell>
          <cell r="C658">
            <v>322200</v>
          </cell>
          <cell r="D658">
            <v>1</v>
          </cell>
          <cell r="F658" t="str">
            <v>תרבות תורנית</v>
          </cell>
          <cell r="G658" t="str">
            <v>גמיש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M658">
            <v>-4650</v>
          </cell>
        </row>
        <row r="659">
          <cell r="A659">
            <v>1322200920</v>
          </cell>
          <cell r="B659">
            <v>920</v>
          </cell>
          <cell r="C659">
            <v>322200</v>
          </cell>
          <cell r="D659">
            <v>1</v>
          </cell>
          <cell r="F659" t="str">
            <v>מש' החינוך - תרבות תורנית</v>
          </cell>
          <cell r="G659" t="str">
            <v>גמיש</v>
          </cell>
          <cell r="H659">
            <v>-1</v>
          </cell>
          <cell r="I659">
            <v>0</v>
          </cell>
          <cell r="J659">
            <v>-100000</v>
          </cell>
          <cell r="K659">
            <v>0</v>
          </cell>
          <cell r="L659">
            <v>0</v>
          </cell>
          <cell r="M659">
            <v>-113048.4</v>
          </cell>
        </row>
        <row r="660">
          <cell r="A660" t="e">
            <v>#VALUE!</v>
          </cell>
          <cell r="B660" t="str">
            <v>322200  סך הכל</v>
          </cell>
          <cell r="F660" t="str">
            <v xml:space="preserve">פעולות תרבותיות   </v>
          </cell>
          <cell r="H660">
            <v>-1</v>
          </cell>
          <cell r="I660">
            <v>0</v>
          </cell>
          <cell r="J660">
            <v>-150000</v>
          </cell>
          <cell r="K660">
            <v>-1907</v>
          </cell>
          <cell r="L660">
            <v>0</v>
          </cell>
          <cell r="M660">
            <v>-147090.4</v>
          </cell>
        </row>
        <row r="661">
          <cell r="A661">
            <v>13230000</v>
          </cell>
          <cell r="B661">
            <v>0</v>
          </cell>
          <cell r="C661">
            <v>323000</v>
          </cell>
          <cell r="D661">
            <v>1</v>
          </cell>
          <cell r="F661" t="str">
            <v xml:space="preserve">ספריות            </v>
          </cell>
          <cell r="G661" t="str">
            <v xml:space="preserve"> </v>
          </cell>
        </row>
        <row r="662">
          <cell r="A662">
            <v>1323000420</v>
          </cell>
          <cell r="B662">
            <v>420</v>
          </cell>
          <cell r="C662">
            <v>323000</v>
          </cell>
          <cell r="D662">
            <v>1</v>
          </cell>
          <cell r="F662" t="str">
            <v>מנויים</v>
          </cell>
          <cell r="G662" t="str">
            <v>גמיש</v>
          </cell>
          <cell r="I662">
            <v>0</v>
          </cell>
          <cell r="J662">
            <v>0</v>
          </cell>
          <cell r="K662">
            <v>-140.46</v>
          </cell>
          <cell r="L662">
            <v>0</v>
          </cell>
          <cell r="M662">
            <v>0</v>
          </cell>
        </row>
        <row r="663">
          <cell r="A663">
            <v>1323000641</v>
          </cell>
          <cell r="B663">
            <v>641</v>
          </cell>
          <cell r="C663">
            <v>323000</v>
          </cell>
          <cell r="D663">
            <v>1</v>
          </cell>
          <cell r="F663" t="str">
            <v>ביטוח כנגד הוצאות</v>
          </cell>
          <cell r="G663" t="str">
            <v>גמיש</v>
          </cell>
          <cell r="H663">
            <v>0</v>
          </cell>
          <cell r="I663">
            <v>-20600</v>
          </cell>
          <cell r="J663">
            <v>-20600</v>
          </cell>
          <cell r="K663">
            <v>0</v>
          </cell>
          <cell r="L663">
            <v>-20600</v>
          </cell>
          <cell r="M663">
            <v>-20600</v>
          </cell>
        </row>
        <row r="664">
          <cell r="A664" t="e">
            <v>#VALUE!</v>
          </cell>
          <cell r="B664" t="str">
            <v>323000  סך הכל</v>
          </cell>
          <cell r="F664" t="str">
            <v xml:space="preserve">ספריות            </v>
          </cell>
          <cell r="H664">
            <v>0</v>
          </cell>
          <cell r="I664">
            <v>-20600</v>
          </cell>
          <cell r="J664">
            <v>-20600</v>
          </cell>
          <cell r="K664">
            <v>-140.46</v>
          </cell>
          <cell r="L664">
            <v>-20600</v>
          </cell>
          <cell r="M664">
            <v>-20600</v>
          </cell>
        </row>
        <row r="665">
          <cell r="A665">
            <v>13261000</v>
          </cell>
          <cell r="B665">
            <v>0</v>
          </cell>
          <cell r="C665">
            <v>326100</v>
          </cell>
          <cell r="D665">
            <v>1</v>
          </cell>
          <cell r="F665" t="str">
            <v xml:space="preserve">תיאטרון חולון     </v>
          </cell>
          <cell r="G665" t="str">
            <v xml:space="preserve"> </v>
          </cell>
        </row>
        <row r="666">
          <cell r="A666">
            <v>1326100641</v>
          </cell>
          <cell r="B666">
            <v>641</v>
          </cell>
          <cell r="C666">
            <v>326100</v>
          </cell>
          <cell r="D666">
            <v>1</v>
          </cell>
          <cell r="F666" t="str">
            <v xml:space="preserve">ביטוח-כנגד הוצאות             </v>
          </cell>
          <cell r="G666" t="str">
            <v>גמיש</v>
          </cell>
          <cell r="H666">
            <v>0</v>
          </cell>
          <cell r="I666">
            <v>-29400</v>
          </cell>
          <cell r="J666">
            <v>-29400</v>
          </cell>
          <cell r="K666">
            <v>0</v>
          </cell>
          <cell r="L666">
            <v>-29400</v>
          </cell>
          <cell r="M666">
            <v>-29400</v>
          </cell>
        </row>
        <row r="667">
          <cell r="A667" t="e">
            <v>#VALUE!</v>
          </cell>
          <cell r="B667" t="str">
            <v>326100  סך הכל</v>
          </cell>
          <cell r="F667" t="str">
            <v xml:space="preserve">תיאטרון חולון     </v>
          </cell>
          <cell r="H667">
            <v>0</v>
          </cell>
          <cell r="I667">
            <v>-29400</v>
          </cell>
          <cell r="J667">
            <v>-29400</v>
          </cell>
          <cell r="K667">
            <v>0</v>
          </cell>
          <cell r="L667">
            <v>-29400</v>
          </cell>
          <cell r="M667">
            <v>-29400</v>
          </cell>
        </row>
        <row r="668">
          <cell r="A668">
            <v>13263000</v>
          </cell>
          <cell r="B668">
            <v>0</v>
          </cell>
          <cell r="C668">
            <v>326300</v>
          </cell>
          <cell r="D668">
            <v>1</v>
          </cell>
          <cell r="F668" t="str">
            <v>מוזיאון עולמות ילד</v>
          </cell>
          <cell r="G668" t="str">
            <v xml:space="preserve"> </v>
          </cell>
        </row>
        <row r="669">
          <cell r="A669">
            <v>1326300640</v>
          </cell>
          <cell r="B669">
            <v>640</v>
          </cell>
          <cell r="C669">
            <v>326300</v>
          </cell>
          <cell r="D669">
            <v>1</v>
          </cell>
          <cell r="F669" t="str">
            <v xml:space="preserve">שכר דירה    </v>
          </cell>
          <cell r="G669" t="str">
            <v>גמיש</v>
          </cell>
          <cell r="H669">
            <v>-1</v>
          </cell>
          <cell r="I669">
            <v>0</v>
          </cell>
          <cell r="J669">
            <v>-40000</v>
          </cell>
          <cell r="K669">
            <v>0</v>
          </cell>
          <cell r="L669">
            <v>-40000</v>
          </cell>
          <cell r="M669">
            <v>-40000</v>
          </cell>
        </row>
        <row r="670">
          <cell r="A670">
            <v>1326300641</v>
          </cell>
          <cell r="B670">
            <v>641</v>
          </cell>
          <cell r="C670">
            <v>326300</v>
          </cell>
          <cell r="D670">
            <v>1</v>
          </cell>
          <cell r="F670" t="str">
            <v xml:space="preserve">ביטוח-כנגד הוצאות             </v>
          </cell>
          <cell r="G670" t="str">
            <v>גמיש</v>
          </cell>
          <cell r="H670">
            <v>0</v>
          </cell>
          <cell r="I670">
            <v>-45500</v>
          </cell>
          <cell r="J670">
            <v>-45500</v>
          </cell>
          <cell r="K670">
            <v>0</v>
          </cell>
          <cell r="L670">
            <v>-40500</v>
          </cell>
          <cell r="M670">
            <v>-40500</v>
          </cell>
        </row>
        <row r="671">
          <cell r="A671" t="e">
            <v>#VALUE!</v>
          </cell>
          <cell r="B671" t="str">
            <v>326300  סך הכל</v>
          </cell>
          <cell r="F671" t="str">
            <v>מוזיאון עולמות ילד</v>
          </cell>
          <cell r="H671">
            <v>-0.46783625730994149</v>
          </cell>
          <cell r="I671">
            <v>-45500</v>
          </cell>
          <cell r="J671">
            <v>-85500</v>
          </cell>
          <cell r="K671">
            <v>0</v>
          </cell>
          <cell r="L671">
            <v>-80500</v>
          </cell>
          <cell r="M671">
            <v>-80500</v>
          </cell>
        </row>
        <row r="672">
          <cell r="A672">
            <v>13264000</v>
          </cell>
          <cell r="B672">
            <v>0</v>
          </cell>
          <cell r="C672">
            <v>326400</v>
          </cell>
          <cell r="D672">
            <v>1</v>
          </cell>
          <cell r="F672" t="str">
            <v>מתנ"ס ע"ש שטיינברג</v>
          </cell>
          <cell r="G672" t="str">
            <v xml:space="preserve"> </v>
          </cell>
        </row>
        <row r="673">
          <cell r="A673">
            <v>1326400641</v>
          </cell>
          <cell r="B673">
            <v>641</v>
          </cell>
          <cell r="C673">
            <v>326400</v>
          </cell>
          <cell r="D673">
            <v>1</v>
          </cell>
          <cell r="F673" t="str">
            <v xml:space="preserve">ביטוח-כנגד הוצאות             </v>
          </cell>
          <cell r="G673" t="str">
            <v>גמיש</v>
          </cell>
          <cell r="H673">
            <v>0</v>
          </cell>
          <cell r="I673">
            <v>-13500</v>
          </cell>
          <cell r="J673">
            <v>-13500</v>
          </cell>
          <cell r="K673">
            <v>0</v>
          </cell>
          <cell r="L673">
            <v>-13500</v>
          </cell>
          <cell r="M673">
            <v>-13500</v>
          </cell>
        </row>
        <row r="674">
          <cell r="A674" t="e">
            <v>#VALUE!</v>
          </cell>
          <cell r="B674" t="str">
            <v>326400  סך הכל</v>
          </cell>
          <cell r="F674" t="str">
            <v>מתנ"ס ע"ש שטיינברג</v>
          </cell>
          <cell r="H674">
            <v>0</v>
          </cell>
          <cell r="I674">
            <v>-13500</v>
          </cell>
          <cell r="J674">
            <v>-13500</v>
          </cell>
          <cell r="K674">
            <v>0</v>
          </cell>
          <cell r="L674">
            <v>-13500</v>
          </cell>
          <cell r="M674">
            <v>-13500</v>
          </cell>
        </row>
        <row r="675">
          <cell r="A675">
            <v>13265000</v>
          </cell>
          <cell r="B675">
            <v>0</v>
          </cell>
          <cell r="C675">
            <v>326500</v>
          </cell>
          <cell r="D675">
            <v>1</v>
          </cell>
          <cell r="F675" t="str">
            <v xml:space="preserve">המחלקה לארועים    </v>
          </cell>
          <cell r="G675" t="str">
            <v xml:space="preserve"> </v>
          </cell>
        </row>
        <row r="676">
          <cell r="A676">
            <v>1326500491</v>
          </cell>
          <cell r="B676">
            <v>491</v>
          </cell>
          <cell r="C676">
            <v>326500</v>
          </cell>
          <cell r="D676">
            <v>1</v>
          </cell>
          <cell r="F676" t="str">
            <v>הכנס' מחלקת אירועים</v>
          </cell>
          <cell r="G676" t="str">
            <v>גמיש</v>
          </cell>
          <cell r="H676">
            <v>-1</v>
          </cell>
          <cell r="I676">
            <v>0</v>
          </cell>
          <cell r="J676">
            <v>-1000000</v>
          </cell>
          <cell r="K676">
            <v>-18979</v>
          </cell>
          <cell r="L676">
            <v>0</v>
          </cell>
          <cell r="M676">
            <v>-1016780.55</v>
          </cell>
        </row>
        <row r="677">
          <cell r="A677">
            <v>1326500788</v>
          </cell>
          <cell r="B677">
            <v>788</v>
          </cell>
          <cell r="C677">
            <v>326500</v>
          </cell>
          <cell r="D677">
            <v>1</v>
          </cell>
          <cell r="F677" t="str">
            <v>מופעי קיץ</v>
          </cell>
          <cell r="G677" t="str">
            <v>גמיש</v>
          </cell>
          <cell r="I677">
            <v>-250000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>
            <v>1326500920</v>
          </cell>
          <cell r="B678">
            <v>920</v>
          </cell>
          <cell r="C678">
            <v>326500</v>
          </cell>
          <cell r="D678">
            <v>1</v>
          </cell>
          <cell r="F678" t="str">
            <v>תוכנית סל"ע מ.תרבות</v>
          </cell>
          <cell r="G678" t="str">
            <v>גמיש</v>
          </cell>
          <cell r="H678">
            <v>0</v>
          </cell>
          <cell r="I678">
            <v>-200000</v>
          </cell>
          <cell r="J678">
            <v>-200000</v>
          </cell>
          <cell r="K678">
            <v>-43378</v>
          </cell>
          <cell r="L678">
            <v>0</v>
          </cell>
          <cell r="M678">
            <v>-506303.31</v>
          </cell>
        </row>
        <row r="679">
          <cell r="A679" t="e">
            <v>#VALUE!</v>
          </cell>
          <cell r="B679" t="str">
            <v>326500  סך הכל</v>
          </cell>
          <cell r="F679" t="str">
            <v xml:space="preserve">המחלקה לארועים    </v>
          </cell>
          <cell r="H679">
            <v>-0.625</v>
          </cell>
          <cell r="I679">
            <v>-450000</v>
          </cell>
          <cell r="J679">
            <v>-1200000</v>
          </cell>
          <cell r="K679">
            <v>-62357</v>
          </cell>
          <cell r="L679">
            <v>0</v>
          </cell>
          <cell r="M679">
            <v>-1523083.86</v>
          </cell>
        </row>
        <row r="680">
          <cell r="A680">
            <v>13267000</v>
          </cell>
          <cell r="B680">
            <v>0</v>
          </cell>
          <cell r="C680">
            <v>326700</v>
          </cell>
          <cell r="D680">
            <v>1</v>
          </cell>
          <cell r="F680" t="str">
            <v>מרכז סירקין</v>
          </cell>
          <cell r="G680" t="str">
            <v xml:space="preserve"> </v>
          </cell>
        </row>
        <row r="681">
          <cell r="A681">
            <v>1326700990</v>
          </cell>
          <cell r="B681">
            <v>990</v>
          </cell>
          <cell r="C681">
            <v>326700</v>
          </cell>
          <cell r="D681">
            <v>1</v>
          </cell>
          <cell r="F681" t="str">
            <v>הכנסות ממשרד התרבות</v>
          </cell>
          <cell r="G681" t="str">
            <v>גמיש</v>
          </cell>
          <cell r="H681">
            <v>-1</v>
          </cell>
          <cell r="I681">
            <v>0</v>
          </cell>
          <cell r="J681">
            <v>-390000</v>
          </cell>
          <cell r="K681">
            <v>0</v>
          </cell>
          <cell r="L681">
            <v>-350000</v>
          </cell>
          <cell r="M681">
            <v>-180823</v>
          </cell>
        </row>
        <row r="682">
          <cell r="A682" t="e">
            <v>#VALUE!</v>
          </cell>
          <cell r="B682" t="str">
            <v>326700  סך הכל</v>
          </cell>
          <cell r="F682" t="str">
            <v>מרכז סירקין</v>
          </cell>
          <cell r="H682">
            <v>-1</v>
          </cell>
          <cell r="I682">
            <v>0</v>
          </cell>
          <cell r="J682">
            <v>-390000</v>
          </cell>
          <cell r="K682">
            <v>0</v>
          </cell>
          <cell r="L682">
            <v>-350000</v>
          </cell>
          <cell r="M682">
            <v>-180823</v>
          </cell>
        </row>
        <row r="683">
          <cell r="A683">
            <v>13268000</v>
          </cell>
          <cell r="B683">
            <v>0</v>
          </cell>
          <cell r="C683">
            <v>326800</v>
          </cell>
          <cell r="D683">
            <v>1</v>
          </cell>
          <cell r="F683" t="str">
            <v>מוזיאון העיצוב</v>
          </cell>
        </row>
        <row r="684">
          <cell r="A684">
            <v>1326800641</v>
          </cell>
          <cell r="B684">
            <v>641</v>
          </cell>
          <cell r="C684">
            <v>326800</v>
          </cell>
          <cell r="D684">
            <v>1</v>
          </cell>
          <cell r="F684" t="str">
            <v>ביטוח כנגד הוצאות</v>
          </cell>
          <cell r="G684" t="str">
            <v>גמיש</v>
          </cell>
          <cell r="H684">
            <v>0</v>
          </cell>
          <cell r="I684">
            <v>-45000</v>
          </cell>
          <cell r="J684">
            <v>-45000</v>
          </cell>
          <cell r="K684">
            <v>0</v>
          </cell>
          <cell r="L684">
            <v>-45000</v>
          </cell>
          <cell r="M684">
            <v>-45000</v>
          </cell>
        </row>
        <row r="685">
          <cell r="A685" t="e">
            <v>#VALUE!</v>
          </cell>
          <cell r="B685" t="str">
            <v>326800  סך הכל</v>
          </cell>
          <cell r="F685" t="str">
            <v>מוזיאון העיצוב</v>
          </cell>
          <cell r="H685">
            <v>0</v>
          </cell>
          <cell r="I685">
            <v>-45000</v>
          </cell>
          <cell r="J685">
            <v>-45000</v>
          </cell>
          <cell r="K685">
            <v>0</v>
          </cell>
          <cell r="L685">
            <v>-45000</v>
          </cell>
          <cell r="M685">
            <v>-45000</v>
          </cell>
        </row>
        <row r="686">
          <cell r="A686">
            <v>13280000</v>
          </cell>
          <cell r="B686">
            <v>0</v>
          </cell>
          <cell r="C686">
            <v>328000</v>
          </cell>
          <cell r="D686">
            <v>1</v>
          </cell>
          <cell r="F686" t="str">
            <v xml:space="preserve">נוער וצעירים </v>
          </cell>
          <cell r="G686" t="str">
            <v xml:space="preserve"> </v>
          </cell>
        </row>
        <row r="687">
          <cell r="A687">
            <v>1328100420</v>
          </cell>
          <cell r="B687">
            <v>420</v>
          </cell>
          <cell r="C687">
            <v>328100</v>
          </cell>
          <cell r="D687">
            <v>1</v>
          </cell>
          <cell r="F687" t="str">
            <v>הכנסות מפעולות</v>
          </cell>
          <cell r="G687" t="str">
            <v>גמיש</v>
          </cell>
          <cell r="I687">
            <v>0</v>
          </cell>
          <cell r="J687">
            <v>0</v>
          </cell>
          <cell r="K687">
            <v>-1178</v>
          </cell>
          <cell r="L687">
            <v>0</v>
          </cell>
          <cell r="M687">
            <v>0</v>
          </cell>
        </row>
        <row r="688">
          <cell r="A688">
            <v>1328100493</v>
          </cell>
          <cell r="B688">
            <v>493</v>
          </cell>
          <cell r="C688">
            <v>328100</v>
          </cell>
          <cell r="D688">
            <v>1</v>
          </cell>
          <cell r="F688" t="str">
            <v>תוכנית פיס חוסן קהילתי</v>
          </cell>
          <cell r="G688" t="str">
            <v>קשיח</v>
          </cell>
          <cell r="I688">
            <v>-135000</v>
          </cell>
          <cell r="J688">
            <v>0</v>
          </cell>
          <cell r="K688">
            <v>0</v>
          </cell>
          <cell r="L688">
            <v>0</v>
          </cell>
          <cell r="M688">
            <v>0</v>
          </cell>
        </row>
        <row r="689">
          <cell r="A689">
            <v>1328100495</v>
          </cell>
          <cell r="B689">
            <v>495</v>
          </cell>
          <cell r="C689">
            <v>328100</v>
          </cell>
          <cell r="D689">
            <v>1</v>
          </cell>
          <cell r="F689" t="str">
            <v>אורינות</v>
          </cell>
          <cell r="G689" t="str">
            <v>גמיש</v>
          </cell>
        </row>
        <row r="690">
          <cell r="A690">
            <v>1328100510</v>
          </cell>
          <cell r="B690">
            <v>510</v>
          </cell>
          <cell r="C690">
            <v>328100</v>
          </cell>
          <cell r="D690">
            <v>1</v>
          </cell>
          <cell r="F690" t="str">
            <v>מפעל הפיס נוער וצעירים</v>
          </cell>
          <cell r="G690" t="str">
            <v>גמיש</v>
          </cell>
          <cell r="I690">
            <v>-500000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>
            <v>1328100790</v>
          </cell>
          <cell r="B691">
            <v>790</v>
          </cell>
          <cell r="C691">
            <v>328100</v>
          </cell>
          <cell r="D691">
            <v>1</v>
          </cell>
          <cell r="F691" t="str">
            <v>מעשים טובים-הרוח הטובה</v>
          </cell>
          <cell r="G691" t="str">
            <v>גמיש</v>
          </cell>
          <cell r="I691">
            <v>-36000</v>
          </cell>
          <cell r="J691">
            <v>0</v>
          </cell>
          <cell r="K691">
            <v>-36154</v>
          </cell>
          <cell r="L691">
            <v>0</v>
          </cell>
          <cell r="M691">
            <v>-22540</v>
          </cell>
        </row>
        <row r="692">
          <cell r="A692">
            <v>1328100929</v>
          </cell>
          <cell r="B692">
            <v>929</v>
          </cell>
          <cell r="C692">
            <v>328100</v>
          </cell>
          <cell r="D692">
            <v>1</v>
          </cell>
          <cell r="F692" t="str">
            <v>הכנ' משרד החינוך</v>
          </cell>
          <cell r="G692" t="str">
            <v>גמיש</v>
          </cell>
          <cell r="H692">
            <v>0</v>
          </cell>
          <cell r="I692">
            <v>-167000</v>
          </cell>
          <cell r="J692">
            <v>-167000</v>
          </cell>
          <cell r="K692">
            <v>-34125</v>
          </cell>
          <cell r="L692">
            <v>-369000</v>
          </cell>
          <cell r="M692">
            <v>-388390</v>
          </cell>
        </row>
        <row r="693">
          <cell r="A693" t="e">
            <v>#VALUE!</v>
          </cell>
          <cell r="B693" t="str">
            <v>328100  סך הכל</v>
          </cell>
          <cell r="F693" t="str">
            <v>מינהלת מחלקת הנוער וצעירים</v>
          </cell>
          <cell r="H693">
            <v>4.0179640718562872</v>
          </cell>
          <cell r="I693">
            <v>-838000</v>
          </cell>
          <cell r="J693">
            <v>-167000</v>
          </cell>
          <cell r="K693">
            <v>-71457</v>
          </cell>
          <cell r="L693">
            <v>-369000</v>
          </cell>
          <cell r="M693">
            <v>-410930</v>
          </cell>
        </row>
        <row r="694">
          <cell r="A694">
            <v>13281200</v>
          </cell>
          <cell r="B694">
            <v>0</v>
          </cell>
          <cell r="C694">
            <v>328120</v>
          </cell>
          <cell r="D694">
            <v>1</v>
          </cell>
          <cell r="F694" t="str">
            <v xml:space="preserve">קידום נוער        </v>
          </cell>
          <cell r="G694" t="str">
            <v xml:space="preserve"> </v>
          </cell>
        </row>
        <row r="695">
          <cell r="A695">
            <v>1328120929</v>
          </cell>
          <cell r="B695">
            <v>929</v>
          </cell>
          <cell r="C695">
            <v>328120</v>
          </cell>
          <cell r="D695">
            <v>1</v>
          </cell>
          <cell r="F695" t="str">
            <v>הכנ' משרד החינוך</v>
          </cell>
          <cell r="G695" t="str">
            <v>גמיש</v>
          </cell>
          <cell r="H695">
            <v>0</v>
          </cell>
          <cell r="I695">
            <v>-500000</v>
          </cell>
          <cell r="J695">
            <v>-500000</v>
          </cell>
          <cell r="K695">
            <v>0</v>
          </cell>
          <cell r="L695">
            <v>0</v>
          </cell>
          <cell r="M695">
            <v>-450169</v>
          </cell>
        </row>
        <row r="696">
          <cell r="A696" t="e">
            <v>#VALUE!</v>
          </cell>
          <cell r="B696" t="str">
            <v>328120  סך הכל</v>
          </cell>
          <cell r="F696" t="str">
            <v xml:space="preserve">קידום נוער        </v>
          </cell>
          <cell r="H696">
            <v>0</v>
          </cell>
          <cell r="I696">
            <v>-500000</v>
          </cell>
          <cell r="J696">
            <v>-500000</v>
          </cell>
          <cell r="K696">
            <v>0</v>
          </cell>
          <cell r="L696">
            <v>0</v>
          </cell>
          <cell r="M696">
            <v>-450169</v>
          </cell>
        </row>
        <row r="697">
          <cell r="A697">
            <v>13281300</v>
          </cell>
          <cell r="B697">
            <v>0</v>
          </cell>
          <cell r="C697">
            <v>328130</v>
          </cell>
          <cell r="D697">
            <v>1</v>
          </cell>
          <cell r="F697" t="str">
            <v>אגף קהילה</v>
          </cell>
          <cell r="G697" t="str">
            <v xml:space="preserve"> </v>
          </cell>
        </row>
        <row r="698">
          <cell r="A698">
            <v>1328130421</v>
          </cell>
          <cell r="B698">
            <v>421</v>
          </cell>
          <cell r="C698">
            <v>328130</v>
          </cell>
          <cell r="D698">
            <v>1</v>
          </cell>
          <cell r="F698" t="str">
            <v>הכנסות ממחלקת צעירים</v>
          </cell>
          <cell r="G698" t="str">
            <v>גמיש</v>
          </cell>
          <cell r="I698">
            <v>-40000</v>
          </cell>
          <cell r="J698">
            <v>0</v>
          </cell>
          <cell r="K698">
            <v>-19176.39</v>
          </cell>
          <cell r="L698">
            <v>0</v>
          </cell>
          <cell r="M698">
            <v>-23446</v>
          </cell>
        </row>
        <row r="699">
          <cell r="A699">
            <v>1328130510</v>
          </cell>
          <cell r="B699">
            <v>510</v>
          </cell>
          <cell r="C699">
            <v>328130</v>
          </cell>
          <cell r="D699">
            <v>1</v>
          </cell>
          <cell r="F699" t="str">
            <v>הכנסות מפעל הפיס</v>
          </cell>
          <cell r="G699" t="str">
            <v>גמיש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>
            <v>1328130523</v>
          </cell>
          <cell r="B700">
            <v>523</v>
          </cell>
          <cell r="C700">
            <v>328130</v>
          </cell>
          <cell r="D700">
            <v>1</v>
          </cell>
          <cell r="F700" t="str">
            <v>הכנסות מגבייה</v>
          </cell>
          <cell r="G700" t="str">
            <v>גמיש</v>
          </cell>
          <cell r="I700">
            <v>0</v>
          </cell>
          <cell r="J700">
            <v>0</v>
          </cell>
          <cell r="K700">
            <v>-980</v>
          </cell>
          <cell r="L700">
            <v>0</v>
          </cell>
          <cell r="M700">
            <v>0</v>
          </cell>
        </row>
        <row r="701">
          <cell r="A701">
            <v>1328130691</v>
          </cell>
          <cell r="B701">
            <v>691</v>
          </cell>
          <cell r="C701">
            <v>328130</v>
          </cell>
          <cell r="D701">
            <v>1</v>
          </cell>
          <cell r="F701" t="str">
            <v>הכנסות אירוע התנדבות</v>
          </cell>
          <cell r="G701" t="str">
            <v>גמיש</v>
          </cell>
          <cell r="H701">
            <v>0</v>
          </cell>
          <cell r="I701">
            <v>-10000</v>
          </cell>
          <cell r="J701">
            <v>-10000</v>
          </cell>
          <cell r="K701">
            <v>0</v>
          </cell>
          <cell r="L701">
            <v>-10000</v>
          </cell>
          <cell r="M701">
            <v>0</v>
          </cell>
        </row>
        <row r="702">
          <cell r="A702">
            <v>1328130970</v>
          </cell>
          <cell r="B702">
            <v>970</v>
          </cell>
          <cell r="C702">
            <v>328130</v>
          </cell>
          <cell r="D702">
            <v>1</v>
          </cell>
          <cell r="F702" t="str">
            <v>השת' משרד הביטחון</v>
          </cell>
          <cell r="G702" t="str">
            <v>גמיש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  <cell r="M702">
            <v>-96000</v>
          </cell>
        </row>
        <row r="703">
          <cell r="A703" t="e">
            <v>#VALUE!</v>
          </cell>
          <cell r="B703" t="str">
            <v>328130  סך הכל</v>
          </cell>
          <cell r="F703" t="str">
            <v>אגף קהילה</v>
          </cell>
          <cell r="H703">
            <v>4</v>
          </cell>
          <cell r="I703">
            <v>-50000</v>
          </cell>
          <cell r="J703">
            <v>-10000</v>
          </cell>
          <cell r="K703">
            <v>-20156.39</v>
          </cell>
          <cell r="L703">
            <v>-10000</v>
          </cell>
          <cell r="M703">
            <v>-119446</v>
          </cell>
        </row>
        <row r="704">
          <cell r="A704">
            <v>13282000</v>
          </cell>
          <cell r="B704">
            <v>0</v>
          </cell>
          <cell r="C704">
            <v>328200</v>
          </cell>
          <cell r="D704">
            <v>1</v>
          </cell>
          <cell r="F704" t="str">
            <v xml:space="preserve">המח' לקהילה ופנאי </v>
          </cell>
          <cell r="G704" t="str">
            <v xml:space="preserve"> </v>
          </cell>
        </row>
        <row r="705">
          <cell r="A705">
            <v>1328200420</v>
          </cell>
          <cell r="B705">
            <v>420</v>
          </cell>
          <cell r="C705">
            <v>328200</v>
          </cell>
          <cell r="D705">
            <v>1</v>
          </cell>
          <cell r="F705" t="str">
            <v>העברה לבתי ספר</v>
          </cell>
          <cell r="G705" t="str">
            <v>גמיש</v>
          </cell>
          <cell r="I705">
            <v>0</v>
          </cell>
          <cell r="J705">
            <v>0</v>
          </cell>
          <cell r="K705">
            <v>-60905</v>
          </cell>
          <cell r="L705">
            <v>0</v>
          </cell>
          <cell r="M705">
            <v>-296432.14</v>
          </cell>
        </row>
        <row r="706">
          <cell r="A706">
            <v>1328200523</v>
          </cell>
          <cell r="B706">
            <v>523</v>
          </cell>
          <cell r="C706">
            <v>328200</v>
          </cell>
          <cell r="D706">
            <v>1</v>
          </cell>
          <cell r="F706" t="str">
            <v>מפעל הפיס נוער בסיכון</v>
          </cell>
          <cell r="G706" t="str">
            <v>גמיש</v>
          </cell>
          <cell r="I706">
            <v>0</v>
          </cell>
          <cell r="J706">
            <v>0</v>
          </cell>
          <cell r="K706">
            <v>0</v>
          </cell>
          <cell r="L706">
            <v>-760000</v>
          </cell>
          <cell r="M706">
            <v>0</v>
          </cell>
        </row>
        <row r="707">
          <cell r="A707">
            <v>1328200641</v>
          </cell>
          <cell r="B707">
            <v>641</v>
          </cell>
          <cell r="C707">
            <v>328200</v>
          </cell>
          <cell r="D707">
            <v>1</v>
          </cell>
          <cell r="F707" t="str">
            <v xml:space="preserve">ביטוח-כנגד הוצאות             </v>
          </cell>
          <cell r="G707" t="str">
            <v>גמיש</v>
          </cell>
          <cell r="H707">
            <v>0</v>
          </cell>
          <cell r="I707">
            <v>-35300</v>
          </cell>
          <cell r="J707">
            <v>-35300</v>
          </cell>
          <cell r="K707">
            <v>0</v>
          </cell>
          <cell r="L707">
            <v>-35300</v>
          </cell>
          <cell r="M707">
            <v>-35300</v>
          </cell>
        </row>
        <row r="708">
          <cell r="A708" t="e">
            <v>#VALUE!</v>
          </cell>
          <cell r="B708" t="str">
            <v>328200  סך הכל</v>
          </cell>
          <cell r="F708" t="str">
            <v xml:space="preserve">המח' לקהילה ופנאי </v>
          </cell>
          <cell r="H708">
            <v>0</v>
          </cell>
          <cell r="I708">
            <v>-35300</v>
          </cell>
          <cell r="J708">
            <v>-35300</v>
          </cell>
          <cell r="K708">
            <v>-60905</v>
          </cell>
          <cell r="L708">
            <v>-795300</v>
          </cell>
          <cell r="M708">
            <v>-331732.14</v>
          </cell>
        </row>
        <row r="709">
          <cell r="A709">
            <v>13282400</v>
          </cell>
          <cell r="B709">
            <v>0</v>
          </cell>
          <cell r="C709">
            <v>328240</v>
          </cell>
          <cell r="D709">
            <v>1</v>
          </cell>
          <cell r="F709" t="str">
            <v xml:space="preserve">המרכז לאומנויות   </v>
          </cell>
          <cell r="G709" t="str">
            <v xml:space="preserve"> </v>
          </cell>
        </row>
        <row r="710">
          <cell r="A710">
            <v>1328240431</v>
          </cell>
          <cell r="B710">
            <v>431</v>
          </cell>
          <cell r="C710">
            <v>328240</v>
          </cell>
          <cell r="D710">
            <v>1</v>
          </cell>
          <cell r="F710" t="str">
            <v>חשמל - אומנות דיגיטלית</v>
          </cell>
          <cell r="G710" t="str">
            <v>קשיח</v>
          </cell>
          <cell r="I710">
            <v>-17000</v>
          </cell>
          <cell r="J710">
            <v>0</v>
          </cell>
          <cell r="K710">
            <v>-30234.97</v>
          </cell>
          <cell r="L710">
            <v>0</v>
          </cell>
          <cell r="M710">
            <v>-17385.11</v>
          </cell>
        </row>
        <row r="711">
          <cell r="A711">
            <v>1328240641</v>
          </cell>
          <cell r="B711">
            <v>641</v>
          </cell>
          <cell r="C711">
            <v>328240</v>
          </cell>
          <cell r="D711">
            <v>1</v>
          </cell>
          <cell r="F711" t="str">
            <v xml:space="preserve">ביטוח-כנגד הוצאות             </v>
          </cell>
          <cell r="G711" t="str">
            <v>גמיש</v>
          </cell>
          <cell r="H711">
            <v>0</v>
          </cell>
          <cell r="I711">
            <v>-4400</v>
          </cell>
          <cell r="J711">
            <v>-4400</v>
          </cell>
          <cell r="K711">
            <v>0</v>
          </cell>
          <cell r="L711">
            <v>-4400</v>
          </cell>
          <cell r="M711">
            <v>-4400</v>
          </cell>
        </row>
        <row r="712">
          <cell r="A712" t="e">
            <v>#VALUE!</v>
          </cell>
          <cell r="B712" t="str">
            <v>328240  סך הכל</v>
          </cell>
          <cell r="F712" t="str">
            <v xml:space="preserve">המרכז לאומנויות   </v>
          </cell>
          <cell r="H712">
            <v>3.8636363636363633</v>
          </cell>
          <cell r="I712">
            <v>-21400</v>
          </cell>
          <cell r="J712">
            <v>-4400</v>
          </cell>
          <cell r="K712">
            <v>-30234.97</v>
          </cell>
          <cell r="L712">
            <v>-4400</v>
          </cell>
          <cell r="M712">
            <v>-21785.11</v>
          </cell>
        </row>
        <row r="713">
          <cell r="A713">
            <v>13290000</v>
          </cell>
          <cell r="B713">
            <v>0</v>
          </cell>
          <cell r="C713">
            <v>329000</v>
          </cell>
          <cell r="D713">
            <v>1</v>
          </cell>
          <cell r="F713" t="str">
            <v xml:space="preserve">ספורט             </v>
          </cell>
          <cell r="G713" t="str">
            <v xml:space="preserve"> </v>
          </cell>
        </row>
        <row r="714">
          <cell r="A714">
            <v>1329100641</v>
          </cell>
          <cell r="B714">
            <v>641</v>
          </cell>
          <cell r="C714">
            <v>329100</v>
          </cell>
          <cell r="D714">
            <v>1</v>
          </cell>
          <cell r="F714" t="str">
            <v xml:space="preserve">ביטוח-כנגד הוצאות             </v>
          </cell>
          <cell r="G714" t="str">
            <v>גמיש</v>
          </cell>
          <cell r="H714">
            <v>0</v>
          </cell>
          <cell r="I714">
            <v>-43900</v>
          </cell>
          <cell r="J714">
            <v>-43900</v>
          </cell>
          <cell r="K714">
            <v>0</v>
          </cell>
          <cell r="L714">
            <v>-43900</v>
          </cell>
          <cell r="M714">
            <v>-43900</v>
          </cell>
        </row>
        <row r="715">
          <cell r="A715">
            <v>1329100652</v>
          </cell>
          <cell r="B715">
            <v>652</v>
          </cell>
          <cell r="C715">
            <v>329100</v>
          </cell>
          <cell r="D715">
            <v>1</v>
          </cell>
          <cell r="F715" t="str">
            <v xml:space="preserve">דמי שימוש באולם   </v>
          </cell>
          <cell r="G715" t="str">
            <v>גמיש</v>
          </cell>
          <cell r="H715">
            <v>0</v>
          </cell>
          <cell r="I715">
            <v>-795000</v>
          </cell>
          <cell r="J715">
            <v>-795000</v>
          </cell>
          <cell r="K715">
            <v>0</v>
          </cell>
          <cell r="L715">
            <v>-795000</v>
          </cell>
          <cell r="M715">
            <v>-795000</v>
          </cell>
        </row>
        <row r="716">
          <cell r="A716">
            <v>1329100922</v>
          </cell>
          <cell r="B716">
            <v>922</v>
          </cell>
          <cell r="C716">
            <v>329100</v>
          </cell>
          <cell r="D716">
            <v>1</v>
          </cell>
          <cell r="F716" t="str">
            <v>מועדוני ספ' תרבות</v>
          </cell>
          <cell r="G716" t="str">
            <v>גמיש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  <cell r="M716">
            <v>-85000</v>
          </cell>
        </row>
        <row r="717">
          <cell r="A717">
            <v>1329100990</v>
          </cell>
          <cell r="B717">
            <v>990</v>
          </cell>
          <cell r="C717">
            <v>329100</v>
          </cell>
          <cell r="D717">
            <v>1</v>
          </cell>
          <cell r="F717" t="str">
            <v xml:space="preserve">סל ספורט          </v>
          </cell>
          <cell r="G717" t="str">
            <v>גמיש</v>
          </cell>
          <cell r="H717">
            <v>0</v>
          </cell>
          <cell r="I717">
            <v>-300700</v>
          </cell>
          <cell r="J717">
            <v>-300700</v>
          </cell>
          <cell r="K717">
            <v>-84244</v>
          </cell>
          <cell r="L717">
            <v>-300700</v>
          </cell>
          <cell r="M717">
            <v>-372653</v>
          </cell>
        </row>
        <row r="718">
          <cell r="A718">
            <v>1329100991</v>
          </cell>
          <cell r="B718">
            <v>991</v>
          </cell>
          <cell r="C718">
            <v>329100</v>
          </cell>
          <cell r="D718">
            <v>1</v>
          </cell>
          <cell r="F718" t="str">
            <v>מועדוני ספ' תרבות</v>
          </cell>
          <cell r="G718" t="str">
            <v>גמיש</v>
          </cell>
          <cell r="H718">
            <v>-1</v>
          </cell>
          <cell r="I718">
            <v>0</v>
          </cell>
          <cell r="J718">
            <v>-155000</v>
          </cell>
          <cell r="K718">
            <v>0</v>
          </cell>
          <cell r="L718">
            <v>-155000</v>
          </cell>
          <cell r="M718">
            <v>0</v>
          </cell>
        </row>
        <row r="719">
          <cell r="A719">
            <v>1329100992</v>
          </cell>
          <cell r="B719">
            <v>992</v>
          </cell>
          <cell r="C719">
            <v>329100</v>
          </cell>
          <cell r="D719">
            <v>1</v>
          </cell>
          <cell r="F719" t="str">
            <v>מרכזי מצוינות</v>
          </cell>
          <cell r="G719" t="str">
            <v>גמיש</v>
          </cell>
          <cell r="H719">
            <v>-1</v>
          </cell>
          <cell r="I719">
            <v>0</v>
          </cell>
          <cell r="J719">
            <v>-110000</v>
          </cell>
          <cell r="K719">
            <v>0</v>
          </cell>
          <cell r="L719">
            <v>-110000</v>
          </cell>
          <cell r="M719">
            <v>0</v>
          </cell>
        </row>
        <row r="720">
          <cell r="A720" t="e">
            <v>#VALUE!</v>
          </cell>
          <cell r="B720" t="str">
            <v>329100  סך הכל</v>
          </cell>
          <cell r="F720" t="str">
            <v xml:space="preserve">מינהל הספורט      </v>
          </cell>
          <cell r="H720">
            <v>-0.18866581233091273</v>
          </cell>
          <cell r="I720">
            <v>-1139600</v>
          </cell>
          <cell r="J720">
            <v>-1404600</v>
          </cell>
          <cell r="K720">
            <v>-84244</v>
          </cell>
          <cell r="L720">
            <v>-1404600</v>
          </cell>
          <cell r="M720">
            <v>-1296553</v>
          </cell>
        </row>
        <row r="721">
          <cell r="A721">
            <v>13400000</v>
          </cell>
          <cell r="B721">
            <v>0</v>
          </cell>
          <cell r="C721">
            <v>340000</v>
          </cell>
          <cell r="D721">
            <v>1</v>
          </cell>
          <cell r="F721" t="str">
            <v xml:space="preserve">רווחה             </v>
          </cell>
          <cell r="G721" t="str">
            <v xml:space="preserve"> </v>
          </cell>
        </row>
        <row r="722">
          <cell r="A722">
            <v>1341000176</v>
          </cell>
          <cell r="B722">
            <v>176</v>
          </cell>
          <cell r="C722">
            <v>341000</v>
          </cell>
          <cell r="D722">
            <v>1</v>
          </cell>
          <cell r="F722" t="str">
            <v xml:space="preserve">גביות שונות לחלוקה - רווחה </v>
          </cell>
          <cell r="G722" t="str">
            <v>גמיש</v>
          </cell>
          <cell r="I722">
            <v>0</v>
          </cell>
          <cell r="J722">
            <v>0</v>
          </cell>
          <cell r="K722">
            <v>-5267</v>
          </cell>
          <cell r="L722">
            <v>0</v>
          </cell>
          <cell r="M722">
            <v>0</v>
          </cell>
        </row>
        <row r="723">
          <cell r="A723">
            <v>1341000421</v>
          </cell>
          <cell r="B723">
            <v>421</v>
          </cell>
          <cell r="C723">
            <v>341000</v>
          </cell>
          <cell r="D723">
            <v>1</v>
          </cell>
          <cell r="F723" t="str">
            <v xml:space="preserve">הכנסות עבור יעוץ  </v>
          </cell>
          <cell r="G723" t="str">
            <v>גמיש</v>
          </cell>
          <cell r="H723">
            <v>0</v>
          </cell>
          <cell r="I723">
            <v>-80000</v>
          </cell>
          <cell r="J723">
            <v>-80000</v>
          </cell>
          <cell r="K723">
            <v>-64283</v>
          </cell>
          <cell r="L723">
            <v>-80000</v>
          </cell>
          <cell r="M723">
            <v>-99553</v>
          </cell>
        </row>
        <row r="724">
          <cell r="A724">
            <v>1341000690</v>
          </cell>
          <cell r="B724">
            <v>690</v>
          </cell>
          <cell r="C724">
            <v>341000</v>
          </cell>
          <cell r="D724">
            <v>1</v>
          </cell>
          <cell r="F724" t="str">
            <v>בטל"א-תחזוקה</v>
          </cell>
          <cell r="G724" t="str">
            <v>קשיח</v>
          </cell>
          <cell r="H724">
            <v>-1</v>
          </cell>
          <cell r="I724">
            <v>0</v>
          </cell>
          <cell r="J724">
            <v>-35000</v>
          </cell>
          <cell r="K724">
            <v>0</v>
          </cell>
          <cell r="L724">
            <v>-35000</v>
          </cell>
          <cell r="M724">
            <v>-34956</v>
          </cell>
        </row>
        <row r="725">
          <cell r="A725">
            <v>1341000692</v>
          </cell>
          <cell r="B725">
            <v>692</v>
          </cell>
          <cell r="C725">
            <v>341000</v>
          </cell>
          <cell r="D725">
            <v>1</v>
          </cell>
          <cell r="F725" t="str">
            <v>קרן שלם - מענק תמר</v>
          </cell>
          <cell r="G725" t="str">
            <v>גמיש</v>
          </cell>
          <cell r="I725">
            <v>0</v>
          </cell>
          <cell r="K725">
            <v>0</v>
          </cell>
          <cell r="L725">
            <v>0</v>
          </cell>
        </row>
        <row r="726">
          <cell r="A726">
            <v>1341000693</v>
          </cell>
          <cell r="B726">
            <v>693</v>
          </cell>
          <cell r="C726">
            <v>341000</v>
          </cell>
          <cell r="D726">
            <v>1</v>
          </cell>
          <cell r="F726" t="str">
            <v>קרן שלם - מענק "עם כלביא"</v>
          </cell>
          <cell r="G726" t="str">
            <v>גמיש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>
            <v>1341000696</v>
          </cell>
          <cell r="B727">
            <v>696</v>
          </cell>
          <cell r="C727">
            <v>341000</v>
          </cell>
          <cell r="D727">
            <v>1</v>
          </cell>
          <cell r="F727" t="str">
            <v xml:space="preserve">הכנסות שונות      </v>
          </cell>
          <cell r="G727" t="str">
            <v>גמיש</v>
          </cell>
          <cell r="I727">
            <v>0</v>
          </cell>
          <cell r="J727">
            <v>0</v>
          </cell>
          <cell r="K727">
            <v>0</v>
          </cell>
          <cell r="L727">
            <v>-12000</v>
          </cell>
          <cell r="M727">
            <v>-41118</v>
          </cell>
        </row>
        <row r="728">
          <cell r="A728">
            <v>1341000930</v>
          </cell>
          <cell r="B728">
            <v>930</v>
          </cell>
          <cell r="C728">
            <v>341000</v>
          </cell>
          <cell r="D728">
            <v>1</v>
          </cell>
          <cell r="F728" t="str">
            <v>פעולות ארגוניות</v>
          </cell>
          <cell r="G728" t="str">
            <v>גמיש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-90773</v>
          </cell>
        </row>
        <row r="729">
          <cell r="A729">
            <v>1341000934</v>
          </cell>
          <cell r="B729">
            <v>934</v>
          </cell>
          <cell r="C729">
            <v>341000</v>
          </cell>
          <cell r="D729">
            <v>1</v>
          </cell>
          <cell r="F729" t="str">
            <v xml:space="preserve">שכר עובדים </v>
          </cell>
          <cell r="G729" t="str">
            <v>גמיש</v>
          </cell>
          <cell r="H729">
            <v>1.551724137931032E-2</v>
          </cell>
          <cell r="I729">
            <v>-1767000</v>
          </cell>
          <cell r="J729">
            <v>-1740000</v>
          </cell>
          <cell r="K729">
            <v>-1015000</v>
          </cell>
          <cell r="L729">
            <v>-1650000</v>
          </cell>
          <cell r="M729">
            <v>-1746309</v>
          </cell>
        </row>
        <row r="730">
          <cell r="A730">
            <v>1341000935</v>
          </cell>
          <cell r="B730">
            <v>935</v>
          </cell>
          <cell r="C730">
            <v>341000</v>
          </cell>
          <cell r="D730">
            <v>1</v>
          </cell>
          <cell r="F730" t="str">
            <v>מאבטחים - רווחה</v>
          </cell>
          <cell r="G730" t="str">
            <v>גמיש</v>
          </cell>
          <cell r="H730">
            <v>0.24916147580258752</v>
          </cell>
          <cell r="I730">
            <v>-521400</v>
          </cell>
          <cell r="J730">
            <v>-417400</v>
          </cell>
          <cell r="K730">
            <v>-252136</v>
          </cell>
          <cell r="L730">
            <v>-240100</v>
          </cell>
          <cell r="M730">
            <v>-290379</v>
          </cell>
        </row>
        <row r="731">
          <cell r="A731">
            <v>1341000937</v>
          </cell>
          <cell r="B731">
            <v>937</v>
          </cell>
          <cell r="C731">
            <v>341000</v>
          </cell>
          <cell r="D731">
            <v>1</v>
          </cell>
          <cell r="F731" t="str">
            <v>הערכות לחירום</v>
          </cell>
          <cell r="G731" t="str">
            <v>גמיש</v>
          </cell>
          <cell r="H731">
            <v>0</v>
          </cell>
          <cell r="I731">
            <v>-57000</v>
          </cell>
          <cell r="J731">
            <v>-57000</v>
          </cell>
          <cell r="K731">
            <v>0</v>
          </cell>
          <cell r="L731">
            <v>-57000</v>
          </cell>
          <cell r="M731">
            <v>0</v>
          </cell>
        </row>
        <row r="732">
          <cell r="A732">
            <v>1341000938</v>
          </cell>
          <cell r="B732">
            <v>938</v>
          </cell>
          <cell r="C732">
            <v>341000</v>
          </cell>
          <cell r="D732">
            <v>1</v>
          </cell>
          <cell r="F732" t="str">
            <v>חליפת מיגון</v>
          </cell>
          <cell r="G732" t="str">
            <v>קשיח</v>
          </cell>
          <cell r="H732">
            <v>0</v>
          </cell>
          <cell r="I732">
            <v>-60000</v>
          </cell>
          <cell r="J732">
            <v>-60000</v>
          </cell>
          <cell r="K732">
            <v>0</v>
          </cell>
          <cell r="L732">
            <v>0</v>
          </cell>
          <cell r="M732">
            <v>-56178</v>
          </cell>
        </row>
        <row r="733">
          <cell r="A733" t="e">
            <v>#VALUE!</v>
          </cell>
          <cell r="B733" t="str">
            <v>341000  סך הכל</v>
          </cell>
          <cell r="F733" t="str">
            <v xml:space="preserve">מינהל הרווחה      </v>
          </cell>
          <cell r="H733">
            <v>4.0177450405959547E-2</v>
          </cell>
          <cell r="I733">
            <v>-2485400</v>
          </cell>
          <cell r="J733">
            <v>-2389400</v>
          </cell>
          <cell r="K733">
            <v>-1336686</v>
          </cell>
          <cell r="L733">
            <v>-2074100</v>
          </cell>
          <cell r="M733">
            <v>-2359266</v>
          </cell>
        </row>
        <row r="734">
          <cell r="A734">
            <v>13420000</v>
          </cell>
          <cell r="B734">
            <v>0</v>
          </cell>
          <cell r="C734">
            <v>342000</v>
          </cell>
          <cell r="D734">
            <v>1</v>
          </cell>
          <cell r="F734" t="str">
            <v>רווחת הפרט והמשפחה</v>
          </cell>
          <cell r="G734" t="str">
            <v xml:space="preserve"> </v>
          </cell>
        </row>
        <row r="735">
          <cell r="A735">
            <v>1342500421</v>
          </cell>
          <cell r="B735">
            <v>421</v>
          </cell>
          <cell r="C735">
            <v>342500</v>
          </cell>
          <cell r="D735">
            <v>1</v>
          </cell>
          <cell r="F735" t="str">
            <v xml:space="preserve">השתתפות פונים     </v>
          </cell>
          <cell r="G735" t="str">
            <v>גמיש</v>
          </cell>
          <cell r="H735">
            <v>-1</v>
          </cell>
          <cell r="I735">
            <v>0</v>
          </cell>
          <cell r="J735">
            <v>-5000</v>
          </cell>
          <cell r="K735">
            <v>0</v>
          </cell>
          <cell r="L735">
            <v>-5000</v>
          </cell>
          <cell r="M735">
            <v>-33359</v>
          </cell>
        </row>
        <row r="736">
          <cell r="A736">
            <v>1342500423</v>
          </cell>
          <cell r="B736">
            <v>423</v>
          </cell>
          <cell r="C736">
            <v>342500</v>
          </cell>
          <cell r="D736">
            <v>1</v>
          </cell>
          <cell r="F736" t="str">
            <v>השת'-טיפול באלימות</v>
          </cell>
          <cell r="G736" t="str">
            <v>גמיש</v>
          </cell>
          <cell r="H736">
            <v>-0.43478260869565222</v>
          </cell>
          <cell r="I736">
            <v>-26000</v>
          </cell>
          <cell r="J736">
            <v>-46000</v>
          </cell>
          <cell r="K736">
            <v>-13650</v>
          </cell>
          <cell r="L736">
            <v>-17000</v>
          </cell>
          <cell r="M736">
            <v>-23410</v>
          </cell>
        </row>
        <row r="737">
          <cell r="A737">
            <v>1342500791</v>
          </cell>
          <cell r="B737">
            <v>791</v>
          </cell>
          <cell r="C737">
            <v>342500</v>
          </cell>
          <cell r="D737">
            <v>1</v>
          </cell>
          <cell r="F737" t="str">
            <v>אג'לשיקום האסיר50%</v>
          </cell>
          <cell r="G737" t="str">
            <v>גמיש</v>
          </cell>
          <cell r="H737">
            <v>0.19999999999999996</v>
          </cell>
          <cell r="I737">
            <v>-135000</v>
          </cell>
          <cell r="J737">
            <v>-112500</v>
          </cell>
          <cell r="K737">
            <v>-135000</v>
          </cell>
          <cell r="L737">
            <v>-112500</v>
          </cell>
          <cell r="M737">
            <v>-135000</v>
          </cell>
        </row>
        <row r="738">
          <cell r="A738">
            <v>1342500931</v>
          </cell>
          <cell r="B738">
            <v>931</v>
          </cell>
          <cell r="C738">
            <v>342500</v>
          </cell>
          <cell r="D738">
            <v>1</v>
          </cell>
          <cell r="F738" t="str">
            <v>משפ' במצוקה</v>
          </cell>
          <cell r="G738" t="str">
            <v>גמיש</v>
          </cell>
          <cell r="H738">
            <v>5.6170886075949333E-2</v>
          </cell>
          <cell r="I738">
            <v>-267000</v>
          </cell>
          <cell r="J738">
            <v>-252800</v>
          </cell>
          <cell r="K738">
            <v>-81167</v>
          </cell>
          <cell r="L738">
            <v>-444400</v>
          </cell>
          <cell r="M738">
            <v>-352976</v>
          </cell>
        </row>
        <row r="739">
          <cell r="A739">
            <v>1342500932</v>
          </cell>
          <cell r="B739">
            <v>932</v>
          </cell>
          <cell r="C739">
            <v>342500</v>
          </cell>
          <cell r="D739">
            <v>1</v>
          </cell>
          <cell r="F739" t="str">
            <v xml:space="preserve">עולים מצ'  </v>
          </cell>
          <cell r="G739" t="str">
            <v>גמיש</v>
          </cell>
          <cell r="H739">
            <v>-0.25</v>
          </cell>
          <cell r="I739">
            <v>-45000</v>
          </cell>
          <cell r="J739">
            <v>-60000</v>
          </cell>
          <cell r="K739">
            <v>225</v>
          </cell>
          <cell r="L739">
            <v>-60000</v>
          </cell>
          <cell r="M739">
            <v>-32820</v>
          </cell>
        </row>
        <row r="740">
          <cell r="A740">
            <v>1342500933</v>
          </cell>
          <cell r="B740">
            <v>933</v>
          </cell>
          <cell r="C740">
            <v>342500</v>
          </cell>
          <cell r="D740">
            <v>1</v>
          </cell>
          <cell r="F740" t="str">
            <v>פגיעות מיניות</v>
          </cell>
          <cell r="G740" t="str">
            <v>גמיש</v>
          </cell>
          <cell r="H740">
            <v>1.0577482876712327</v>
          </cell>
          <cell r="I740">
            <v>-480690</v>
          </cell>
          <cell r="J740">
            <v>-233600</v>
          </cell>
          <cell r="K740">
            <v>-243036</v>
          </cell>
          <cell r="L740">
            <v>-150000</v>
          </cell>
          <cell r="M740">
            <v>-269748</v>
          </cell>
        </row>
        <row r="741">
          <cell r="A741">
            <v>1342500934</v>
          </cell>
          <cell r="B741">
            <v>934</v>
          </cell>
          <cell r="C741">
            <v>342500</v>
          </cell>
          <cell r="D741">
            <v>1</v>
          </cell>
          <cell r="F741" t="str">
            <v xml:space="preserve">שכר משפחה  </v>
          </cell>
          <cell r="G741" t="str">
            <v>גמיש</v>
          </cell>
          <cell r="H741">
            <v>1.5281720430107448E-2</v>
          </cell>
          <cell r="I741">
            <v>-18884240</v>
          </cell>
          <cell r="J741">
            <v>-18600000</v>
          </cell>
          <cell r="K741">
            <v>-11068182</v>
          </cell>
          <cell r="L741">
            <v>-18150000</v>
          </cell>
          <cell r="M741">
            <v>-16328575</v>
          </cell>
        </row>
        <row r="742">
          <cell r="A742">
            <v>1342500936</v>
          </cell>
          <cell r="B742">
            <v>936</v>
          </cell>
          <cell r="C742">
            <v>342500</v>
          </cell>
          <cell r="D742">
            <v>1</v>
          </cell>
          <cell r="F742" t="str">
            <v>טיפול בשורדות זנות</v>
          </cell>
          <cell r="G742" t="str">
            <v>גמיש</v>
          </cell>
          <cell r="H742">
            <v>0.4285714285714286</v>
          </cell>
          <cell r="I742">
            <v>-200000</v>
          </cell>
          <cell r="J742">
            <v>-140000</v>
          </cell>
          <cell r="K742">
            <v>-105918</v>
          </cell>
          <cell r="L742">
            <v>-140000</v>
          </cell>
          <cell r="M742">
            <v>-40739</v>
          </cell>
        </row>
        <row r="743">
          <cell r="A743">
            <v>1342500937</v>
          </cell>
          <cell r="B743">
            <v>937</v>
          </cell>
          <cell r="C743">
            <v>342500</v>
          </cell>
          <cell r="D743">
            <v>1</v>
          </cell>
          <cell r="F743" t="str">
            <v>מרכז קשר</v>
          </cell>
          <cell r="G743" t="str">
            <v>גמיש</v>
          </cell>
          <cell r="H743">
            <v>0</v>
          </cell>
          <cell r="I743">
            <v>-192800</v>
          </cell>
          <cell r="J743">
            <v>-192800</v>
          </cell>
          <cell r="K743">
            <v>-173666</v>
          </cell>
          <cell r="L743">
            <v>-567800</v>
          </cell>
          <cell r="M743">
            <v>-210320</v>
          </cell>
        </row>
        <row r="744">
          <cell r="A744">
            <v>1342500939</v>
          </cell>
          <cell r="B744">
            <v>939</v>
          </cell>
          <cell r="C744">
            <v>342500</v>
          </cell>
          <cell r="D744">
            <v>1</v>
          </cell>
          <cell r="F744" t="str">
            <v>שירותים בקהילה</v>
          </cell>
          <cell r="G744" t="str">
            <v>גמיש</v>
          </cell>
          <cell r="H744">
            <v>0</v>
          </cell>
          <cell r="I744">
            <v>-330500</v>
          </cell>
          <cell r="J744">
            <v>-330500</v>
          </cell>
          <cell r="K744">
            <v>-208925</v>
          </cell>
          <cell r="L744">
            <v>-434000</v>
          </cell>
          <cell r="M744">
            <v>-155376</v>
          </cell>
        </row>
        <row r="745">
          <cell r="A745">
            <v>1342500940</v>
          </cell>
          <cell r="B745">
            <v>940</v>
          </cell>
          <cell r="C745">
            <v>342500</v>
          </cell>
          <cell r="D745">
            <v>1</v>
          </cell>
          <cell r="F745" t="str">
            <v xml:space="preserve">דרי רחוב   </v>
          </cell>
          <cell r="G745" t="str">
            <v>גמיש</v>
          </cell>
          <cell r="H745">
            <v>-1</v>
          </cell>
          <cell r="I745">
            <v>0</v>
          </cell>
          <cell r="J745">
            <v>-375000</v>
          </cell>
          <cell r="K745">
            <v>-344262</v>
          </cell>
          <cell r="L745">
            <v>-375000</v>
          </cell>
          <cell r="M745">
            <v>-536617</v>
          </cell>
        </row>
        <row r="746">
          <cell r="A746">
            <v>1342500941</v>
          </cell>
          <cell r="B746">
            <v>941</v>
          </cell>
          <cell r="C746">
            <v>342500</v>
          </cell>
          <cell r="D746">
            <v>1</v>
          </cell>
          <cell r="F746" t="str">
            <v>מרכז טיפול באלימות</v>
          </cell>
          <cell r="G746" t="str">
            <v>גמיש</v>
          </cell>
          <cell r="H746">
            <v>0</v>
          </cell>
          <cell r="I746">
            <v>-206800</v>
          </cell>
          <cell r="J746">
            <v>-206800</v>
          </cell>
          <cell r="K746">
            <v>-102053</v>
          </cell>
          <cell r="L746">
            <v>-350000</v>
          </cell>
          <cell r="M746">
            <v>-262384</v>
          </cell>
        </row>
        <row r="747">
          <cell r="A747">
            <v>1342500942</v>
          </cell>
          <cell r="B747">
            <v>942</v>
          </cell>
          <cell r="C747">
            <v>342500</v>
          </cell>
          <cell r="D747">
            <v>1</v>
          </cell>
          <cell r="F747" t="str">
            <v xml:space="preserve">מקלט לנשים מוכות  </v>
          </cell>
          <cell r="G747" t="str">
            <v>גמיש</v>
          </cell>
          <cell r="H747">
            <v>0</v>
          </cell>
          <cell r="I747">
            <v>-600000</v>
          </cell>
          <cell r="J747">
            <v>-600000</v>
          </cell>
          <cell r="K747">
            <v>-267188</v>
          </cell>
          <cell r="L747">
            <v>-750000</v>
          </cell>
          <cell r="M747">
            <v>-533005</v>
          </cell>
        </row>
        <row r="748">
          <cell r="A748">
            <v>1342500945</v>
          </cell>
          <cell r="B748">
            <v>945</v>
          </cell>
          <cell r="C748">
            <v>342500</v>
          </cell>
          <cell r="D748">
            <v>1</v>
          </cell>
          <cell r="F748" t="str">
            <v>תרגום שפה-פגישות חוק נוער</v>
          </cell>
          <cell r="G748" t="str">
            <v>גמיש</v>
          </cell>
          <cell r="H748">
            <v>-0.9</v>
          </cell>
          <cell r="I748">
            <v>-3750</v>
          </cell>
          <cell r="J748">
            <v>-37500</v>
          </cell>
          <cell r="K748">
            <v>-44</v>
          </cell>
          <cell r="L748">
            <v>-37500</v>
          </cell>
          <cell r="M748">
            <v>-310</v>
          </cell>
        </row>
        <row r="749">
          <cell r="A749">
            <v>1342500946</v>
          </cell>
          <cell r="B749">
            <v>946</v>
          </cell>
          <cell r="C749">
            <v>342500</v>
          </cell>
          <cell r="D749">
            <v>1</v>
          </cell>
          <cell r="F749" t="str">
            <v>חומש אתיופים-פעולות</v>
          </cell>
          <cell r="G749" t="str">
            <v>גמיש</v>
          </cell>
          <cell r="H749">
            <v>-0.41304347826086951</v>
          </cell>
          <cell r="I749">
            <v>-108000</v>
          </cell>
          <cell r="J749">
            <v>-184000</v>
          </cell>
          <cell r="K749">
            <v>-31498</v>
          </cell>
          <cell r="L749">
            <v>-184000</v>
          </cell>
          <cell r="M749">
            <v>-160126</v>
          </cell>
        </row>
        <row r="750">
          <cell r="A750">
            <v>1342500949</v>
          </cell>
          <cell r="B750">
            <v>949</v>
          </cell>
          <cell r="C750">
            <v>342500</v>
          </cell>
          <cell r="D750">
            <v>1</v>
          </cell>
          <cell r="F750" t="str">
            <v>טיפול באובדן ושכול</v>
          </cell>
          <cell r="G750" t="str">
            <v>גמיש</v>
          </cell>
          <cell r="H750">
            <v>-0.31034482758620685</v>
          </cell>
          <cell r="I750">
            <v>-60000</v>
          </cell>
          <cell r="J750">
            <v>-87000</v>
          </cell>
          <cell r="K750">
            <v>-29747</v>
          </cell>
          <cell r="L750">
            <v>-87000</v>
          </cell>
          <cell r="M750">
            <v>-58371</v>
          </cell>
        </row>
        <row r="751">
          <cell r="A751" t="e">
            <v>#VALUE!</v>
          </cell>
          <cell r="B751" t="str">
            <v>342500  סך הכל</v>
          </cell>
          <cell r="F751" t="str">
            <v xml:space="preserve">טיפול במשפחה      </v>
          </cell>
          <cell r="H751">
            <v>3.5539404104643069E-3</v>
          </cell>
          <cell r="I751">
            <v>-21539780</v>
          </cell>
          <cell r="J751">
            <v>-21463500</v>
          </cell>
          <cell r="K751">
            <v>-12804111</v>
          </cell>
          <cell r="L751">
            <v>-21864200</v>
          </cell>
          <cell r="M751">
            <v>-19133136</v>
          </cell>
        </row>
        <row r="752">
          <cell r="A752">
            <v>13430000</v>
          </cell>
          <cell r="B752">
            <v>0</v>
          </cell>
          <cell r="C752">
            <v>343000</v>
          </cell>
          <cell r="D752">
            <v>1</v>
          </cell>
          <cell r="F752" t="str">
            <v>שרותים לילד ולנוער</v>
          </cell>
          <cell r="G752" t="str">
            <v xml:space="preserve"> </v>
          </cell>
        </row>
        <row r="753">
          <cell r="A753">
            <v>1343800421</v>
          </cell>
          <cell r="B753">
            <v>421</v>
          </cell>
          <cell r="C753">
            <v>343800</v>
          </cell>
          <cell r="D753">
            <v>1</v>
          </cell>
          <cell r="F753" t="str">
            <v xml:space="preserve">ילד בפנימיות </v>
          </cell>
          <cell r="G753" t="str">
            <v>גמיש</v>
          </cell>
          <cell r="H753">
            <v>0</v>
          </cell>
          <cell r="I753">
            <v>-315000</v>
          </cell>
          <cell r="J753">
            <v>-315000</v>
          </cell>
          <cell r="K753">
            <v>-286622.09999999998</v>
          </cell>
          <cell r="L753">
            <v>-315000</v>
          </cell>
          <cell r="M753">
            <v>-367979.6</v>
          </cell>
        </row>
        <row r="754">
          <cell r="A754">
            <v>1343800422</v>
          </cell>
          <cell r="B754">
            <v>422</v>
          </cell>
          <cell r="C754">
            <v>343800</v>
          </cell>
          <cell r="D754">
            <v>1</v>
          </cell>
          <cell r="F754" t="str">
            <v>הכנסות פנדה</v>
          </cell>
          <cell r="G754" t="str">
            <v>גמיש</v>
          </cell>
          <cell r="H754">
            <v>0</v>
          </cell>
          <cell r="I754">
            <v>-70000</v>
          </cell>
          <cell r="J754">
            <v>-70000</v>
          </cell>
          <cell r="K754">
            <v>-65470</v>
          </cell>
          <cell r="L754">
            <v>0</v>
          </cell>
          <cell r="M754">
            <v>-79230</v>
          </cell>
        </row>
        <row r="755">
          <cell r="A755">
            <v>1343800920</v>
          </cell>
          <cell r="B755">
            <v>920</v>
          </cell>
          <cell r="C755">
            <v>343800</v>
          </cell>
          <cell r="D755">
            <v>1</v>
          </cell>
          <cell r="F755" t="str">
            <v>נוער חרדי</v>
          </cell>
          <cell r="G755" t="str">
            <v>גמיש</v>
          </cell>
          <cell r="H755">
            <v>6.3829787234042534E-2</v>
          </cell>
          <cell r="I755">
            <v>-500000</v>
          </cell>
          <cell r="J755">
            <v>-470000</v>
          </cell>
          <cell r="K755">
            <v>-228069</v>
          </cell>
          <cell r="L755">
            <v>-470000</v>
          </cell>
          <cell r="M755">
            <v>-482888</v>
          </cell>
        </row>
        <row r="756">
          <cell r="A756">
            <v>1343800931</v>
          </cell>
          <cell r="B756">
            <v>931</v>
          </cell>
          <cell r="C756">
            <v>343800</v>
          </cell>
          <cell r="D756">
            <v>1</v>
          </cell>
          <cell r="F756" t="str">
            <v xml:space="preserve">ילד בפנימיות </v>
          </cell>
          <cell r="G756" t="str">
            <v>גמיש</v>
          </cell>
          <cell r="H756">
            <v>0.29595588235294112</v>
          </cell>
          <cell r="I756">
            <v>-17625000</v>
          </cell>
          <cell r="J756">
            <v>-13600000</v>
          </cell>
          <cell r="K756">
            <v>-9418134</v>
          </cell>
          <cell r="L756">
            <v>-13600000</v>
          </cell>
          <cell r="M756">
            <v>-13911123</v>
          </cell>
        </row>
        <row r="757">
          <cell r="A757">
            <v>1343800932</v>
          </cell>
          <cell r="B757">
            <v>932</v>
          </cell>
          <cell r="C757">
            <v>343800</v>
          </cell>
          <cell r="D757">
            <v>1</v>
          </cell>
          <cell r="F757" t="str">
            <v>ילדי פנימיות-עולים</v>
          </cell>
          <cell r="G757" t="str">
            <v>גמיש</v>
          </cell>
          <cell r="H757">
            <v>-0.4285714285714286</v>
          </cell>
          <cell r="I757">
            <v>-300000</v>
          </cell>
          <cell r="J757">
            <v>-525000</v>
          </cell>
          <cell r="K757">
            <v>-135548</v>
          </cell>
          <cell r="L757">
            <v>-1575000</v>
          </cell>
          <cell r="M757">
            <v>-359946</v>
          </cell>
        </row>
        <row r="758">
          <cell r="A758">
            <v>1343800935</v>
          </cell>
          <cell r="B758">
            <v>935</v>
          </cell>
          <cell r="C758">
            <v>343800</v>
          </cell>
          <cell r="D758">
            <v>1</v>
          </cell>
          <cell r="F758" t="str">
            <v xml:space="preserve">ילד במעונות </v>
          </cell>
          <cell r="G758" t="str">
            <v>גמיש</v>
          </cell>
          <cell r="H758">
            <v>3.4296296296296269E-2</v>
          </cell>
          <cell r="I758">
            <v>-4188900</v>
          </cell>
          <cell r="J758">
            <v>-4050000</v>
          </cell>
          <cell r="K758">
            <v>-2540672</v>
          </cell>
          <cell r="L758">
            <v>-4650000</v>
          </cell>
          <cell r="M758">
            <v>-4145185</v>
          </cell>
        </row>
        <row r="759">
          <cell r="A759">
            <v>1343800937</v>
          </cell>
          <cell r="B759">
            <v>937</v>
          </cell>
          <cell r="C759">
            <v>343800</v>
          </cell>
          <cell r="D759">
            <v>1</v>
          </cell>
          <cell r="F759" t="str">
            <v>משפחות וילדים בקהילה</v>
          </cell>
          <cell r="G759" t="str">
            <v>גמיש</v>
          </cell>
          <cell r="H759">
            <v>0</v>
          </cell>
          <cell r="I759">
            <v>-2447000</v>
          </cell>
          <cell r="J759">
            <v>-2447000</v>
          </cell>
          <cell r="K759">
            <v>-1134176</v>
          </cell>
          <cell r="L759">
            <v>-1615600</v>
          </cell>
          <cell r="M759">
            <v>-2409249</v>
          </cell>
        </row>
        <row r="760">
          <cell r="A760">
            <v>1343800939</v>
          </cell>
          <cell r="B760">
            <v>939</v>
          </cell>
          <cell r="C760">
            <v>343800</v>
          </cell>
          <cell r="D760">
            <v>1</v>
          </cell>
          <cell r="F760" t="str">
            <v xml:space="preserve">מפתן מקומי </v>
          </cell>
          <cell r="G760" t="str">
            <v>גמיש</v>
          </cell>
          <cell r="H760">
            <v>-0.2857142857142857</v>
          </cell>
          <cell r="I760">
            <v>-150000</v>
          </cell>
          <cell r="J760">
            <v>-210000</v>
          </cell>
          <cell r="K760">
            <v>-75888</v>
          </cell>
          <cell r="L760">
            <v>-210000</v>
          </cell>
          <cell r="M760">
            <v>-139412</v>
          </cell>
        </row>
        <row r="761">
          <cell r="A761">
            <v>1343800941</v>
          </cell>
          <cell r="B761">
            <v>941</v>
          </cell>
          <cell r="C761">
            <v>343800</v>
          </cell>
          <cell r="D761">
            <v>1</v>
          </cell>
          <cell r="F761" t="str">
            <v>תכנית לילדים בסיכון</v>
          </cell>
          <cell r="G761" t="str">
            <v>גמיש</v>
          </cell>
          <cell r="H761">
            <v>-0.16936957514846962</v>
          </cell>
          <cell r="I761">
            <v>-2181900</v>
          </cell>
          <cell r="J761">
            <v>-2626800</v>
          </cell>
          <cell r="K761">
            <v>-517759</v>
          </cell>
          <cell r="L761">
            <v>-2626800</v>
          </cell>
          <cell r="M761">
            <v>-2558209</v>
          </cell>
        </row>
        <row r="762">
          <cell r="A762">
            <v>1343800942</v>
          </cell>
          <cell r="B762">
            <v>942</v>
          </cell>
          <cell r="C762">
            <v>343800</v>
          </cell>
          <cell r="D762">
            <v>1</v>
          </cell>
          <cell r="F762" t="str">
            <v>מרכז חכ"ם</v>
          </cell>
          <cell r="G762" t="str">
            <v>גמיש</v>
          </cell>
          <cell r="I762">
            <v>0</v>
          </cell>
          <cell r="J762">
            <v>0</v>
          </cell>
          <cell r="K762">
            <v>0</v>
          </cell>
          <cell r="L762">
            <v>-675000</v>
          </cell>
          <cell r="M762">
            <v>0</v>
          </cell>
        </row>
        <row r="763">
          <cell r="A763">
            <v>1343800943</v>
          </cell>
          <cell r="B763">
            <v>943</v>
          </cell>
          <cell r="C763">
            <v>343800</v>
          </cell>
          <cell r="D763">
            <v>1</v>
          </cell>
          <cell r="F763" t="str">
            <v>חולון 360 שנים קודמות</v>
          </cell>
          <cell r="G763" t="str">
            <v>גמיש</v>
          </cell>
          <cell r="H763">
            <v>0</v>
          </cell>
          <cell r="I763">
            <v>-1300000</v>
          </cell>
          <cell r="J763">
            <v>-1300000</v>
          </cell>
          <cell r="K763">
            <v>-848280</v>
          </cell>
          <cell r="L763">
            <v>-1300000</v>
          </cell>
          <cell r="M763">
            <v>-1517520</v>
          </cell>
        </row>
        <row r="764">
          <cell r="A764">
            <v>1343800944</v>
          </cell>
          <cell r="B764">
            <v>944</v>
          </cell>
          <cell r="C764">
            <v>343800</v>
          </cell>
          <cell r="D764">
            <v>1</v>
          </cell>
          <cell r="F764" t="str">
            <v>תוכנית "אל הגן "</v>
          </cell>
          <cell r="G764" t="str">
            <v>גמיש</v>
          </cell>
          <cell r="I764">
            <v>-49800</v>
          </cell>
          <cell r="J764">
            <v>0</v>
          </cell>
          <cell r="K764">
            <v>0</v>
          </cell>
          <cell r="L764">
            <v>0</v>
          </cell>
          <cell r="M764">
            <v>0</v>
          </cell>
        </row>
        <row r="765">
          <cell r="A765">
            <v>1343800988</v>
          </cell>
          <cell r="B765">
            <v>988</v>
          </cell>
          <cell r="C765">
            <v>343800</v>
          </cell>
          <cell r="D765">
            <v>1</v>
          </cell>
          <cell r="F765" t="str">
            <v>תוכניות טיפול בעולים</v>
          </cell>
          <cell r="G765" t="str">
            <v>גמיש</v>
          </cell>
          <cell r="H765">
            <v>-1</v>
          </cell>
          <cell r="I765">
            <v>0</v>
          </cell>
          <cell r="J765">
            <v>-177000</v>
          </cell>
          <cell r="K765">
            <v>0</v>
          </cell>
          <cell r="L765">
            <v>0</v>
          </cell>
          <cell r="M765">
            <v>0</v>
          </cell>
        </row>
        <row r="766">
          <cell r="A766">
            <v>1343800993</v>
          </cell>
          <cell r="B766">
            <v>993</v>
          </cell>
          <cell r="C766">
            <v>343800</v>
          </cell>
          <cell r="D766">
            <v>1</v>
          </cell>
          <cell r="F766" t="str">
            <v xml:space="preserve">ילדים במצוקה </v>
          </cell>
          <cell r="G766" t="str">
            <v>גמיש</v>
          </cell>
          <cell r="I766">
            <v>0</v>
          </cell>
          <cell r="J766">
            <v>0</v>
          </cell>
          <cell r="K766">
            <v>0</v>
          </cell>
          <cell r="L766">
            <v>-67500</v>
          </cell>
          <cell r="M766">
            <v>0</v>
          </cell>
        </row>
        <row r="767">
          <cell r="A767">
            <v>1343800994</v>
          </cell>
          <cell r="B767">
            <v>994</v>
          </cell>
          <cell r="C767">
            <v>343800</v>
          </cell>
          <cell r="D767">
            <v>1</v>
          </cell>
          <cell r="F767" t="str">
            <v>מועד'משותפ'</v>
          </cell>
          <cell r="G767" t="str">
            <v>גמיש</v>
          </cell>
          <cell r="H767">
            <v>0</v>
          </cell>
          <cell r="I767">
            <v>-750000</v>
          </cell>
          <cell r="J767">
            <v>-750000</v>
          </cell>
          <cell r="K767">
            <v>-335281</v>
          </cell>
          <cell r="L767">
            <v>-750000</v>
          </cell>
          <cell r="M767">
            <v>-728423</v>
          </cell>
        </row>
        <row r="768">
          <cell r="A768">
            <v>1343800995</v>
          </cell>
          <cell r="B768">
            <v>995</v>
          </cell>
          <cell r="C768">
            <v>343800</v>
          </cell>
          <cell r="D768">
            <v>1</v>
          </cell>
          <cell r="F768" t="str">
            <v xml:space="preserve">הפנים לקהילה </v>
          </cell>
          <cell r="G768" t="str">
            <v>גמיש</v>
          </cell>
          <cell r="H768">
            <v>0</v>
          </cell>
          <cell r="I768">
            <v>-972000</v>
          </cell>
          <cell r="J768">
            <v>-972000</v>
          </cell>
          <cell r="K768">
            <v>-534313</v>
          </cell>
          <cell r="L768">
            <v>-1272000</v>
          </cell>
          <cell r="M768">
            <v>-1023742</v>
          </cell>
        </row>
        <row r="769">
          <cell r="A769">
            <v>1343800996</v>
          </cell>
          <cell r="B769">
            <v>996</v>
          </cell>
          <cell r="C769">
            <v>343800</v>
          </cell>
          <cell r="D769">
            <v>1</v>
          </cell>
          <cell r="F769" t="str">
            <v>טיפול במשפחות אומנה</v>
          </cell>
          <cell r="G769" t="str">
            <v>גמיש</v>
          </cell>
          <cell r="H769">
            <v>0</v>
          </cell>
          <cell r="I769">
            <v>-1323100</v>
          </cell>
          <cell r="J769">
            <v>-1323100</v>
          </cell>
          <cell r="K769">
            <v>-554138</v>
          </cell>
          <cell r="L769">
            <v>-1323100</v>
          </cell>
          <cell r="M769">
            <v>-1324053</v>
          </cell>
        </row>
        <row r="770">
          <cell r="A770">
            <v>1343800997</v>
          </cell>
          <cell r="B770">
            <v>997</v>
          </cell>
          <cell r="C770">
            <v>343800</v>
          </cell>
          <cell r="D770">
            <v>1</v>
          </cell>
          <cell r="F770" t="str">
            <v>מרכז אורים</v>
          </cell>
          <cell r="G770" t="str">
            <v>גמיש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</row>
        <row r="771">
          <cell r="A771">
            <v>1343800999</v>
          </cell>
          <cell r="B771">
            <v>999</v>
          </cell>
          <cell r="C771">
            <v>343800</v>
          </cell>
          <cell r="D771">
            <v>1</v>
          </cell>
          <cell r="F771" t="str">
            <v>טיפול בפגיעות מיניות</v>
          </cell>
          <cell r="G771" t="str">
            <v>גמיש</v>
          </cell>
          <cell r="H771">
            <v>0.66666666666666674</v>
          </cell>
          <cell r="I771">
            <v>-1100000</v>
          </cell>
          <cell r="J771">
            <v>-660000</v>
          </cell>
          <cell r="K771">
            <v>-341815</v>
          </cell>
          <cell r="L771">
            <v>-660000</v>
          </cell>
          <cell r="M771">
            <v>-802900</v>
          </cell>
        </row>
        <row r="772">
          <cell r="A772" t="e">
            <v>#VALUE!</v>
          </cell>
          <cell r="B772" t="str">
            <v>343800  סך הכל</v>
          </cell>
          <cell r="F772" t="str">
            <v xml:space="preserve">טיפול בילד ובנוער </v>
          </cell>
          <cell r="H772">
            <v>0.12804491471696067</v>
          </cell>
          <cell r="I772">
            <v>-33272700</v>
          </cell>
          <cell r="J772">
            <v>-29495900</v>
          </cell>
          <cell r="K772">
            <v>-17016165.100000001</v>
          </cell>
          <cell r="L772">
            <v>-31110000</v>
          </cell>
          <cell r="M772">
            <v>-29849859.600000001</v>
          </cell>
        </row>
        <row r="773">
          <cell r="A773">
            <v>13440000</v>
          </cell>
          <cell r="B773">
            <v>0</v>
          </cell>
          <cell r="C773">
            <v>344000</v>
          </cell>
          <cell r="D773">
            <v>1</v>
          </cell>
          <cell r="F773" t="str">
            <v xml:space="preserve">שרותים לקשיש      </v>
          </cell>
          <cell r="G773" t="str">
            <v xml:space="preserve"> </v>
          </cell>
        </row>
        <row r="774">
          <cell r="A774">
            <v>1344300421</v>
          </cell>
          <cell r="B774">
            <v>421</v>
          </cell>
          <cell r="C774">
            <v>344300</v>
          </cell>
          <cell r="D774">
            <v>1</v>
          </cell>
          <cell r="F774" t="str">
            <v>השתתפות קשישים</v>
          </cell>
          <cell r="G774" t="str">
            <v>גמיש</v>
          </cell>
          <cell r="H774">
            <v>0</v>
          </cell>
          <cell r="I774">
            <v>-5000</v>
          </cell>
          <cell r="J774">
            <v>-5000</v>
          </cell>
          <cell r="K774">
            <v>0</v>
          </cell>
          <cell r="L774">
            <v>-5000</v>
          </cell>
          <cell r="M774">
            <v>-14692.99</v>
          </cell>
        </row>
        <row r="775">
          <cell r="A775">
            <v>1344300422</v>
          </cell>
          <cell r="B775">
            <v>422</v>
          </cell>
          <cell r="C775">
            <v>344300</v>
          </cell>
          <cell r="D775">
            <v>1</v>
          </cell>
          <cell r="F775" t="str">
            <v xml:space="preserve">מט"ב עצמיות       </v>
          </cell>
          <cell r="G775" t="str">
            <v>גמיש</v>
          </cell>
          <cell r="I775">
            <v>0</v>
          </cell>
          <cell r="J775">
            <v>0</v>
          </cell>
          <cell r="K775">
            <v>-2148</v>
          </cell>
          <cell r="L775">
            <v>-5000</v>
          </cell>
          <cell r="M775">
            <v>0</v>
          </cell>
        </row>
        <row r="776">
          <cell r="A776">
            <v>1344300424</v>
          </cell>
          <cell r="B776">
            <v>424</v>
          </cell>
          <cell r="C776">
            <v>344300</v>
          </cell>
          <cell r="D776">
            <v>1</v>
          </cell>
          <cell r="F776" t="str">
            <v>פרוייקט אשל</v>
          </cell>
          <cell r="G776" t="str">
            <v>גמיש</v>
          </cell>
          <cell r="I776">
            <v>0</v>
          </cell>
          <cell r="J776">
            <v>0</v>
          </cell>
          <cell r="K776">
            <v>0</v>
          </cell>
          <cell r="L776">
            <v>-300000</v>
          </cell>
          <cell r="M776">
            <v>-69581</v>
          </cell>
        </row>
        <row r="777">
          <cell r="A777">
            <v>1344300426</v>
          </cell>
          <cell r="B777">
            <v>426</v>
          </cell>
          <cell r="C777">
            <v>344300</v>
          </cell>
          <cell r="D777">
            <v>1</v>
          </cell>
          <cell r="F777" t="str">
            <v>השת' קשישים-מעונות</v>
          </cell>
          <cell r="G777" t="str">
            <v>גמיש</v>
          </cell>
          <cell r="H777">
            <v>-0.1875</v>
          </cell>
          <cell r="I777">
            <v>-650000</v>
          </cell>
          <cell r="J777">
            <v>-800000</v>
          </cell>
          <cell r="K777">
            <v>-396062.32</v>
          </cell>
          <cell r="L777">
            <v>-800000</v>
          </cell>
          <cell r="M777">
            <v>-592849.28</v>
          </cell>
        </row>
        <row r="778">
          <cell r="A778">
            <v>1344300523</v>
          </cell>
          <cell r="B778">
            <v>523</v>
          </cell>
          <cell r="C778">
            <v>344300</v>
          </cell>
          <cell r="D778">
            <v>1</v>
          </cell>
          <cell r="F778" t="str">
            <v>תכנית אב לאזרחים ותיקים</v>
          </cell>
          <cell r="G778" t="str">
            <v>גמיש</v>
          </cell>
          <cell r="H778">
            <v>0</v>
          </cell>
          <cell r="I778">
            <v>-675200</v>
          </cell>
          <cell r="J778">
            <v>-675200</v>
          </cell>
          <cell r="K778">
            <v>0</v>
          </cell>
          <cell r="L778">
            <v>-675200</v>
          </cell>
          <cell r="M778">
            <v>-567186</v>
          </cell>
        </row>
        <row r="779">
          <cell r="A779">
            <v>1344300931</v>
          </cell>
          <cell r="B779">
            <v>931</v>
          </cell>
          <cell r="C779">
            <v>344300</v>
          </cell>
          <cell r="D779">
            <v>1</v>
          </cell>
          <cell r="F779" t="str">
            <v>סיוע לאזרחים ותיקים</v>
          </cell>
          <cell r="G779" t="str">
            <v>גמיש</v>
          </cell>
          <cell r="H779">
            <v>0</v>
          </cell>
          <cell r="I779">
            <v>-225000</v>
          </cell>
          <cell r="J779">
            <v>-225000</v>
          </cell>
          <cell r="K779">
            <v>-25979</v>
          </cell>
          <cell r="L779">
            <v>-225000</v>
          </cell>
          <cell r="M779">
            <v>-70053</v>
          </cell>
        </row>
        <row r="780">
          <cell r="A780">
            <v>1344300937</v>
          </cell>
          <cell r="B780">
            <v>937</v>
          </cell>
          <cell r="C780">
            <v>344300</v>
          </cell>
          <cell r="D780">
            <v>1</v>
          </cell>
          <cell r="F780" t="str">
            <v xml:space="preserve">אח'במעונות </v>
          </cell>
          <cell r="G780" t="str">
            <v>גמיש</v>
          </cell>
          <cell r="H780">
            <v>0.11068702290076327</v>
          </cell>
          <cell r="I780">
            <v>-7275000</v>
          </cell>
          <cell r="J780">
            <v>-6550000</v>
          </cell>
          <cell r="K780">
            <v>-4260729</v>
          </cell>
          <cell r="L780">
            <v>-6550000</v>
          </cell>
          <cell r="M780">
            <v>-7342699</v>
          </cell>
        </row>
        <row r="781">
          <cell r="A781">
            <v>1344300938</v>
          </cell>
          <cell r="B781">
            <v>938</v>
          </cell>
          <cell r="C781">
            <v>344300</v>
          </cell>
          <cell r="D781">
            <v>1</v>
          </cell>
          <cell r="F781" t="str">
            <v>הזדקנות מיטבית בקהילה</v>
          </cell>
          <cell r="G781" t="str">
            <v>גמיש</v>
          </cell>
          <cell r="H781">
            <v>-0.5</v>
          </cell>
          <cell r="I781">
            <v>-675000</v>
          </cell>
          <cell r="J781">
            <v>-1350000</v>
          </cell>
          <cell r="K781">
            <v>-241231</v>
          </cell>
          <cell r="L781">
            <v>-1350000</v>
          </cell>
          <cell r="M781">
            <v>-449661</v>
          </cell>
        </row>
        <row r="782">
          <cell r="A782">
            <v>1344300940</v>
          </cell>
          <cell r="B782">
            <v>940</v>
          </cell>
          <cell r="C782">
            <v>344300</v>
          </cell>
          <cell r="D782">
            <v>1</v>
          </cell>
          <cell r="F782" t="str">
            <v>שרותים לניצולי שואה</v>
          </cell>
          <cell r="G782" t="str">
            <v>גמיש</v>
          </cell>
          <cell r="H782">
            <v>0</v>
          </cell>
          <cell r="I782">
            <v>-1173000</v>
          </cell>
          <cell r="J782">
            <v>-1173000</v>
          </cell>
          <cell r="K782">
            <v>-631802</v>
          </cell>
          <cell r="L782">
            <v>-1100000</v>
          </cell>
          <cell r="M782">
            <v>-977734</v>
          </cell>
        </row>
        <row r="783">
          <cell r="A783">
            <v>1344300971</v>
          </cell>
          <cell r="B783">
            <v>971</v>
          </cell>
          <cell r="C783">
            <v>344300</v>
          </cell>
          <cell r="D783">
            <v>1</v>
          </cell>
          <cell r="F783" t="str">
            <v>שעת כושר אזרחים ותיקים</v>
          </cell>
          <cell r="G783" t="str">
            <v>קשיח</v>
          </cell>
          <cell r="I783">
            <v>0</v>
          </cell>
          <cell r="K783">
            <v>0</v>
          </cell>
          <cell r="L783">
            <v>0</v>
          </cell>
        </row>
        <row r="784">
          <cell r="A784">
            <v>1344300983</v>
          </cell>
          <cell r="B784">
            <v>983</v>
          </cell>
          <cell r="C784">
            <v>344300</v>
          </cell>
          <cell r="D784">
            <v>1</v>
          </cell>
          <cell r="F784" t="str">
            <v>קול קורא להפגת בדידות</v>
          </cell>
          <cell r="G784" t="str">
            <v>קשיח</v>
          </cell>
          <cell r="I784">
            <v>0</v>
          </cell>
          <cell r="K784">
            <v>0</v>
          </cell>
          <cell r="L784">
            <v>0</v>
          </cell>
        </row>
        <row r="785">
          <cell r="A785">
            <v>1344300990</v>
          </cell>
          <cell r="B785">
            <v>990</v>
          </cell>
          <cell r="C785">
            <v>344300</v>
          </cell>
          <cell r="D785">
            <v>1</v>
          </cell>
          <cell r="F785" t="str">
            <v>תכנית אב לאזרחים ותיקים</v>
          </cell>
          <cell r="G785" t="str">
            <v>גמיש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</row>
        <row r="786">
          <cell r="A786" t="e">
            <v>#VALUE!</v>
          </cell>
          <cell r="B786" t="str">
            <v>344300  סך הכל</v>
          </cell>
          <cell r="F786" t="str">
            <v xml:space="preserve">טיפול בזקן        </v>
          </cell>
          <cell r="H786">
            <v>-9.2779870479300364E-3</v>
          </cell>
          <cell r="I786">
            <v>-10678200</v>
          </cell>
          <cell r="J786">
            <v>-10778200</v>
          </cell>
          <cell r="K786">
            <v>-5557951.3200000003</v>
          </cell>
          <cell r="L786">
            <v>-11010200</v>
          </cell>
          <cell r="M786">
            <v>-10084456.27</v>
          </cell>
        </row>
        <row r="787">
          <cell r="A787">
            <v>13445000</v>
          </cell>
          <cell r="B787">
            <v>0</v>
          </cell>
          <cell r="C787">
            <v>344500</v>
          </cell>
          <cell r="D787">
            <v>1</v>
          </cell>
          <cell r="F787" t="str">
            <v>תעס'+מרכז יום קשיש</v>
          </cell>
          <cell r="G787" t="str">
            <v xml:space="preserve"> </v>
          </cell>
        </row>
        <row r="788">
          <cell r="A788">
            <v>1344500931</v>
          </cell>
          <cell r="B788">
            <v>931</v>
          </cell>
          <cell r="C788">
            <v>344500</v>
          </cell>
          <cell r="D788">
            <v>1</v>
          </cell>
          <cell r="F788" t="str">
            <v>מועדוני קשיש</v>
          </cell>
          <cell r="G788" t="str">
            <v>גמיש</v>
          </cell>
          <cell r="H788">
            <v>0</v>
          </cell>
          <cell r="I788">
            <v>-250000</v>
          </cell>
          <cell r="J788">
            <v>-250000</v>
          </cell>
          <cell r="K788">
            <v>-75829</v>
          </cell>
          <cell r="L788">
            <v>-250000</v>
          </cell>
          <cell r="M788">
            <v>-207668</v>
          </cell>
        </row>
        <row r="789">
          <cell r="A789" t="e">
            <v>#VALUE!</v>
          </cell>
          <cell r="B789" t="str">
            <v>344500  סך הכל</v>
          </cell>
          <cell r="F789" t="str">
            <v>תעס'+מרכז יום קשיש</v>
          </cell>
          <cell r="H789">
            <v>0</v>
          </cell>
          <cell r="I789">
            <v>-250000</v>
          </cell>
          <cell r="J789">
            <v>-250000</v>
          </cell>
          <cell r="K789">
            <v>-75829</v>
          </cell>
          <cell r="L789">
            <v>-250000</v>
          </cell>
          <cell r="M789">
            <v>-207668</v>
          </cell>
        </row>
        <row r="790">
          <cell r="A790">
            <v>13453000</v>
          </cell>
          <cell r="B790">
            <v>0</v>
          </cell>
          <cell r="C790">
            <v>345300</v>
          </cell>
          <cell r="D790">
            <v>1</v>
          </cell>
          <cell r="F790" t="str">
            <v xml:space="preserve">שרות למוגבלים שכה"ת-קהילתי </v>
          </cell>
          <cell r="G790" t="str">
            <v xml:space="preserve"> </v>
          </cell>
        </row>
        <row r="791">
          <cell r="A791">
            <v>1345300421</v>
          </cell>
          <cell r="B791">
            <v>421</v>
          </cell>
          <cell r="C791">
            <v>345300</v>
          </cell>
          <cell r="D791">
            <v>1</v>
          </cell>
          <cell r="F791" t="str">
            <v>השתתפויות</v>
          </cell>
          <cell r="G791" t="str">
            <v>גמיש</v>
          </cell>
          <cell r="H791">
            <v>0</v>
          </cell>
          <cell r="I791">
            <v>-610000</v>
          </cell>
          <cell r="J791">
            <v>-610000</v>
          </cell>
          <cell r="K791">
            <v>-407531</v>
          </cell>
          <cell r="L791">
            <v>-610000</v>
          </cell>
          <cell r="M791">
            <v>-598466</v>
          </cell>
        </row>
        <row r="792">
          <cell r="A792">
            <v>1345300931</v>
          </cell>
          <cell r="B792">
            <v>931</v>
          </cell>
          <cell r="C792">
            <v>345300</v>
          </cell>
          <cell r="D792">
            <v>1</v>
          </cell>
          <cell r="F792" t="str">
            <v xml:space="preserve">מעונות יום </v>
          </cell>
          <cell r="G792" t="str">
            <v>גמיש</v>
          </cell>
          <cell r="H792">
            <v>-0.5</v>
          </cell>
          <cell r="I792">
            <v>-37500</v>
          </cell>
          <cell r="J792">
            <v>-75000</v>
          </cell>
          <cell r="K792">
            <v>-9598</v>
          </cell>
          <cell r="L792">
            <v>-75000</v>
          </cell>
          <cell r="M792">
            <v>-33898</v>
          </cell>
        </row>
        <row r="793">
          <cell r="A793">
            <v>1345300932</v>
          </cell>
          <cell r="B793">
            <v>932</v>
          </cell>
          <cell r="C793">
            <v>345300</v>
          </cell>
          <cell r="D793">
            <v>1</v>
          </cell>
          <cell r="F793" t="str">
            <v>מע' יום טיפולים</v>
          </cell>
          <cell r="G793" t="str">
            <v>גמיש</v>
          </cell>
          <cell r="H793">
            <v>0.5481845835221022</v>
          </cell>
          <cell r="I793">
            <v>-7176300</v>
          </cell>
          <cell r="J793">
            <v>-4635300</v>
          </cell>
          <cell r="K793">
            <v>-4014003</v>
          </cell>
          <cell r="L793">
            <v>-4635300</v>
          </cell>
          <cell r="M793">
            <v>-5731178</v>
          </cell>
        </row>
        <row r="794">
          <cell r="A794">
            <v>1345300936</v>
          </cell>
          <cell r="B794">
            <v>936</v>
          </cell>
          <cell r="C794">
            <v>345300</v>
          </cell>
          <cell r="D794">
            <v>1</v>
          </cell>
          <cell r="F794" t="str">
            <v>הסעות למוגבלים שכה"ת</v>
          </cell>
          <cell r="G794" t="str">
            <v>גמיש</v>
          </cell>
          <cell r="H794">
            <v>0.66828675577156749</v>
          </cell>
          <cell r="I794">
            <v>-2059500</v>
          </cell>
          <cell r="J794">
            <v>-1234500</v>
          </cell>
          <cell r="K794">
            <v>-414510</v>
          </cell>
          <cell r="L794">
            <v>-1234500</v>
          </cell>
          <cell r="M794">
            <v>-1186345</v>
          </cell>
        </row>
        <row r="795">
          <cell r="A795">
            <v>1345300937</v>
          </cell>
          <cell r="B795">
            <v>937</v>
          </cell>
          <cell r="C795">
            <v>345300</v>
          </cell>
          <cell r="D795">
            <v>1</v>
          </cell>
          <cell r="F795" t="str">
            <v xml:space="preserve">סידור מוסד </v>
          </cell>
          <cell r="G795" t="str">
            <v>גמיש</v>
          </cell>
          <cell r="H795">
            <v>0.11570247933884303</v>
          </cell>
          <cell r="I795">
            <v>-40500000</v>
          </cell>
          <cell r="J795">
            <v>-36300000</v>
          </cell>
          <cell r="K795">
            <v>-23399170</v>
          </cell>
          <cell r="L795">
            <v>-36300000</v>
          </cell>
          <cell r="M795">
            <v>-37283699</v>
          </cell>
        </row>
        <row r="796">
          <cell r="A796">
            <v>1345300938</v>
          </cell>
          <cell r="B796">
            <v>938</v>
          </cell>
          <cell r="C796">
            <v>345300</v>
          </cell>
          <cell r="D796">
            <v>1</v>
          </cell>
          <cell r="F796" t="str">
            <v xml:space="preserve">מוסדות ממש </v>
          </cell>
          <cell r="G796" t="str">
            <v>גמיש</v>
          </cell>
          <cell r="H796">
            <v>9.565217391304337E-2</v>
          </cell>
          <cell r="I796">
            <v>-6300000</v>
          </cell>
          <cell r="J796">
            <v>-5750000</v>
          </cell>
          <cell r="K796">
            <v>-3685071</v>
          </cell>
          <cell r="L796">
            <v>-5750000</v>
          </cell>
          <cell r="M796">
            <v>-6177738</v>
          </cell>
        </row>
        <row r="797">
          <cell r="A797">
            <v>1345300939</v>
          </cell>
          <cell r="B797">
            <v>939</v>
          </cell>
          <cell r="C797">
            <v>345300</v>
          </cell>
          <cell r="D797">
            <v>1</v>
          </cell>
          <cell r="F797" t="str">
            <v>סביבה תומכת לבוגרים</v>
          </cell>
          <cell r="G797" t="str">
            <v>גמיש</v>
          </cell>
          <cell r="H797">
            <v>0</v>
          </cell>
          <cell r="I797">
            <v>-180000</v>
          </cell>
          <cell r="J797">
            <v>-180000</v>
          </cell>
          <cell r="K797">
            <v>-104257</v>
          </cell>
          <cell r="L797">
            <v>-180000</v>
          </cell>
          <cell r="M797">
            <v>-212435</v>
          </cell>
        </row>
        <row r="798">
          <cell r="A798" t="e">
            <v>#VALUE!</v>
          </cell>
          <cell r="B798" t="str">
            <v>345300  סך הכל</v>
          </cell>
          <cell r="F798" t="str">
            <v xml:space="preserve">ש. למוגבלים שכה"ת-קהילתי </v>
          </cell>
          <cell r="H798">
            <v>0.16559461143634913</v>
          </cell>
          <cell r="I798">
            <v>-56863300</v>
          </cell>
          <cell r="J798">
            <v>-48784800</v>
          </cell>
          <cell r="K798">
            <v>-32034140</v>
          </cell>
          <cell r="L798">
            <v>-48784800</v>
          </cell>
          <cell r="M798">
            <v>-51223759</v>
          </cell>
        </row>
        <row r="799">
          <cell r="A799">
            <v>13454000</v>
          </cell>
          <cell r="B799">
            <v>0</v>
          </cell>
          <cell r="C799">
            <v>345400</v>
          </cell>
          <cell r="D799">
            <v>1</v>
          </cell>
          <cell r="F799" t="str">
            <v>מרכז קש"ת</v>
          </cell>
          <cell r="G799" t="str">
            <v xml:space="preserve"> </v>
          </cell>
        </row>
        <row r="800">
          <cell r="A800">
            <v>1345400421</v>
          </cell>
          <cell r="B800">
            <v>421</v>
          </cell>
          <cell r="C800">
            <v>345400</v>
          </cell>
          <cell r="D800">
            <v>1</v>
          </cell>
          <cell r="F800" t="str">
            <v xml:space="preserve">השתתפות צד-שלישי  </v>
          </cell>
          <cell r="G800" t="str">
            <v>גמיש</v>
          </cell>
          <cell r="H800">
            <v>0</v>
          </cell>
          <cell r="I800">
            <v>-140000</v>
          </cell>
          <cell r="J800">
            <v>-140000</v>
          </cell>
          <cell r="K800">
            <v>-97978</v>
          </cell>
          <cell r="L800">
            <v>-140000</v>
          </cell>
          <cell r="M800">
            <v>-143677</v>
          </cell>
        </row>
        <row r="801">
          <cell r="A801">
            <v>1345400423</v>
          </cell>
          <cell r="B801">
            <v>423</v>
          </cell>
          <cell r="C801">
            <v>345400</v>
          </cell>
          <cell r="D801">
            <v>1</v>
          </cell>
          <cell r="F801" t="str">
            <v xml:space="preserve">חניכים הסעות      </v>
          </cell>
          <cell r="G801" t="str">
            <v>גמיש</v>
          </cell>
          <cell r="H801">
            <v>0</v>
          </cell>
          <cell r="I801">
            <v>-40000</v>
          </cell>
          <cell r="J801">
            <v>-40000</v>
          </cell>
          <cell r="K801">
            <v>-13179</v>
          </cell>
          <cell r="L801">
            <v>0</v>
          </cell>
          <cell r="M801">
            <v>-40419.5</v>
          </cell>
        </row>
        <row r="802">
          <cell r="A802">
            <v>1345400931</v>
          </cell>
          <cell r="B802">
            <v>931</v>
          </cell>
          <cell r="C802">
            <v>345400</v>
          </cell>
          <cell r="D802">
            <v>1</v>
          </cell>
          <cell r="F802" t="str">
            <v xml:space="preserve">מע"ש ממשלה </v>
          </cell>
          <cell r="G802" t="str">
            <v>גמיש</v>
          </cell>
          <cell r="H802">
            <v>0</v>
          </cell>
          <cell r="I802">
            <v>-1548800</v>
          </cell>
          <cell r="J802">
            <v>-1548800</v>
          </cell>
          <cell r="K802">
            <v>-775210</v>
          </cell>
          <cell r="L802">
            <v>-1548800</v>
          </cell>
          <cell r="M802">
            <v>-1372151</v>
          </cell>
        </row>
        <row r="803">
          <cell r="A803" t="e">
            <v>#VALUE!</v>
          </cell>
          <cell r="B803" t="str">
            <v>345400  סך הכל</v>
          </cell>
          <cell r="F803" t="str">
            <v>מרכז קש"ת</v>
          </cell>
          <cell r="H803">
            <v>0</v>
          </cell>
          <cell r="I803">
            <v>-1728800</v>
          </cell>
          <cell r="J803">
            <v>-1728800</v>
          </cell>
          <cell r="K803">
            <v>-886367</v>
          </cell>
          <cell r="L803">
            <v>-1688800</v>
          </cell>
          <cell r="M803">
            <v>-1556247.5</v>
          </cell>
        </row>
        <row r="804">
          <cell r="A804">
            <v>13460000</v>
          </cell>
          <cell r="B804">
            <v>0</v>
          </cell>
          <cell r="C804">
            <v>346000</v>
          </cell>
          <cell r="D804">
            <v>1</v>
          </cell>
          <cell r="F804" t="str">
            <v xml:space="preserve">שרותי שיקום       </v>
          </cell>
          <cell r="G804" t="str">
            <v xml:space="preserve"> </v>
          </cell>
        </row>
        <row r="805">
          <cell r="A805">
            <v>1346200932</v>
          </cell>
          <cell r="B805">
            <v>932</v>
          </cell>
          <cell r="C805">
            <v>346200</v>
          </cell>
          <cell r="D805">
            <v>1</v>
          </cell>
          <cell r="F805" t="str">
            <v>מועדון חברתי לבוגרים</v>
          </cell>
          <cell r="G805" t="str">
            <v>גמיש</v>
          </cell>
          <cell r="H805">
            <v>0</v>
          </cell>
          <cell r="I805">
            <v>-525000</v>
          </cell>
          <cell r="J805">
            <v>-525000</v>
          </cell>
          <cell r="K805">
            <v>-304311</v>
          </cell>
          <cell r="L805">
            <v>-525000</v>
          </cell>
          <cell r="M805">
            <v>-488603</v>
          </cell>
        </row>
        <row r="806">
          <cell r="A806">
            <v>1346200938</v>
          </cell>
          <cell r="B806">
            <v>938</v>
          </cell>
          <cell r="C806">
            <v>346200</v>
          </cell>
          <cell r="D806">
            <v>1</v>
          </cell>
          <cell r="F806" t="str">
            <v xml:space="preserve">ילדים במוסדות </v>
          </cell>
          <cell r="G806" t="str">
            <v>גמיש</v>
          </cell>
          <cell r="H806">
            <v>0</v>
          </cell>
          <cell r="I806">
            <v>-474800</v>
          </cell>
          <cell r="J806">
            <v>-474800</v>
          </cell>
          <cell r="K806">
            <v>-246733</v>
          </cell>
          <cell r="L806">
            <v>-474800</v>
          </cell>
          <cell r="M806">
            <v>-413874</v>
          </cell>
        </row>
        <row r="807">
          <cell r="A807">
            <v>1346200939</v>
          </cell>
          <cell r="B807">
            <v>939</v>
          </cell>
          <cell r="C807">
            <v>346200</v>
          </cell>
          <cell r="D807">
            <v>1</v>
          </cell>
          <cell r="F807" t="str">
            <v>הדרכת עיוורים</v>
          </cell>
          <cell r="G807" t="str">
            <v>גמיש</v>
          </cell>
          <cell r="H807">
            <v>0</v>
          </cell>
          <cell r="I807">
            <v>-210000</v>
          </cell>
          <cell r="J807">
            <v>-210000</v>
          </cell>
          <cell r="K807">
            <v>-57390</v>
          </cell>
          <cell r="L807">
            <v>-210000</v>
          </cell>
          <cell r="M807">
            <v>-167016</v>
          </cell>
        </row>
        <row r="808">
          <cell r="A808" t="e">
            <v>#VALUE!</v>
          </cell>
          <cell r="B808" t="str">
            <v>346200  סך הכל</v>
          </cell>
          <cell r="F808" t="str">
            <v xml:space="preserve">טיפול בעיוור       </v>
          </cell>
          <cell r="H808">
            <v>0</v>
          </cell>
          <cell r="I808">
            <v>-1209800</v>
          </cell>
          <cell r="J808">
            <v>-1209800</v>
          </cell>
          <cell r="K808">
            <v>-608434</v>
          </cell>
          <cell r="L808">
            <v>-1209800</v>
          </cell>
          <cell r="M808">
            <v>-1069493</v>
          </cell>
        </row>
        <row r="809">
          <cell r="A809">
            <v>13465000</v>
          </cell>
          <cell r="B809">
            <v>0</v>
          </cell>
          <cell r="C809">
            <v>346500</v>
          </cell>
          <cell r="D809">
            <v>1</v>
          </cell>
          <cell r="F809" t="str">
            <v xml:space="preserve">שיקום נכים        </v>
          </cell>
          <cell r="G809" t="str">
            <v xml:space="preserve"> </v>
          </cell>
        </row>
        <row r="810">
          <cell r="A810">
            <v>1346500421</v>
          </cell>
          <cell r="B810">
            <v>421</v>
          </cell>
          <cell r="C810">
            <v>346500</v>
          </cell>
          <cell r="D810">
            <v>1</v>
          </cell>
          <cell r="F810" t="str">
            <v>השתתפויות</v>
          </cell>
          <cell r="G810" t="str">
            <v>גמיש</v>
          </cell>
          <cell r="H810">
            <v>0</v>
          </cell>
          <cell r="I810">
            <v>-1450000</v>
          </cell>
          <cell r="J810">
            <v>-1450000</v>
          </cell>
          <cell r="K810">
            <v>-778240</v>
          </cell>
          <cell r="L810">
            <v>-1450000</v>
          </cell>
          <cell r="M810">
            <v>-1313472.7</v>
          </cell>
        </row>
        <row r="811">
          <cell r="A811">
            <v>1346500423</v>
          </cell>
          <cell r="B811">
            <v>423</v>
          </cell>
          <cell r="C811">
            <v>346500</v>
          </cell>
          <cell r="D811">
            <v>1</v>
          </cell>
          <cell r="F811" t="str">
            <v xml:space="preserve">השתתפות פונים     </v>
          </cell>
          <cell r="G811" t="str">
            <v>גמיש</v>
          </cell>
          <cell r="I811">
            <v>-15000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>
            <v>1346500783</v>
          </cell>
          <cell r="B812">
            <v>783</v>
          </cell>
          <cell r="C812">
            <v>346500</v>
          </cell>
          <cell r="D812">
            <v>1</v>
          </cell>
          <cell r="F812" t="str">
            <v>מרכז למשפחה -  השתתפות פונים</v>
          </cell>
          <cell r="G812" t="str">
            <v>גמיש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M812">
            <v>0</v>
          </cell>
        </row>
        <row r="813">
          <cell r="A813">
            <v>1346500931</v>
          </cell>
          <cell r="B813">
            <v>931</v>
          </cell>
          <cell r="C813">
            <v>346500</v>
          </cell>
          <cell r="D813">
            <v>1</v>
          </cell>
          <cell r="F813" t="str">
            <v>מרכזי איבחון ושיקום</v>
          </cell>
          <cell r="G813" t="str">
            <v>גמיש</v>
          </cell>
          <cell r="I813">
            <v>-32250</v>
          </cell>
          <cell r="J813">
            <v>0</v>
          </cell>
          <cell r="K813">
            <v>-14584</v>
          </cell>
          <cell r="L813">
            <v>-240000</v>
          </cell>
          <cell r="M813">
            <v>-2457</v>
          </cell>
        </row>
        <row r="814">
          <cell r="A814">
            <v>1346500932</v>
          </cell>
          <cell r="B814">
            <v>932</v>
          </cell>
          <cell r="C814">
            <v>346500</v>
          </cell>
          <cell r="D814">
            <v>1</v>
          </cell>
          <cell r="F814" t="str">
            <v xml:space="preserve">הסעות נכים </v>
          </cell>
          <cell r="G814" t="str">
            <v>גמיש</v>
          </cell>
          <cell r="H814">
            <v>-1</v>
          </cell>
          <cell r="I814">
            <v>0</v>
          </cell>
          <cell r="J814">
            <v>-37500</v>
          </cell>
          <cell r="K814">
            <v>-54162</v>
          </cell>
          <cell r="L814">
            <v>-37500</v>
          </cell>
          <cell r="M814">
            <v>-134483</v>
          </cell>
        </row>
        <row r="815">
          <cell r="A815">
            <v>1346500933</v>
          </cell>
          <cell r="B815">
            <v>933</v>
          </cell>
          <cell r="C815">
            <v>346500</v>
          </cell>
          <cell r="D815">
            <v>1</v>
          </cell>
          <cell r="F815" t="str">
            <v>שיקום מוגבלויות</v>
          </cell>
          <cell r="G815" t="str">
            <v>גמיש</v>
          </cell>
          <cell r="H815">
            <v>7.1428571428571397E-2</v>
          </cell>
          <cell r="I815">
            <v>-562500</v>
          </cell>
          <cell r="J815">
            <v>-525000</v>
          </cell>
          <cell r="K815">
            <v>-138242</v>
          </cell>
          <cell r="L815">
            <v>-525000</v>
          </cell>
          <cell r="M815">
            <v>-368460</v>
          </cell>
        </row>
        <row r="816">
          <cell r="A816">
            <v>1346500935</v>
          </cell>
          <cell r="B816">
            <v>935</v>
          </cell>
          <cell r="C816">
            <v>346500</v>
          </cell>
          <cell r="D816">
            <v>1</v>
          </cell>
          <cell r="F816" t="str">
            <v>פעולות קיץ לאוטיסטים</v>
          </cell>
          <cell r="G816" t="str">
            <v>גמיש</v>
          </cell>
          <cell r="H816">
            <v>-1</v>
          </cell>
          <cell r="I816">
            <v>0</v>
          </cell>
          <cell r="J816">
            <v>-117000</v>
          </cell>
          <cell r="K816">
            <v>0</v>
          </cell>
          <cell r="L816">
            <v>-117000</v>
          </cell>
          <cell r="M816">
            <v>-48750</v>
          </cell>
        </row>
        <row r="817">
          <cell r="A817">
            <v>1346500936</v>
          </cell>
          <cell r="B817">
            <v>936</v>
          </cell>
          <cell r="C817">
            <v>346500</v>
          </cell>
          <cell r="D817">
            <v>1</v>
          </cell>
          <cell r="F817" t="str">
            <v>מרכז נוער לשיקום</v>
          </cell>
          <cell r="G817" t="str">
            <v>גמיש</v>
          </cell>
          <cell r="H817">
            <v>0</v>
          </cell>
          <cell r="I817">
            <v>-375000</v>
          </cell>
          <cell r="J817">
            <v>-375000</v>
          </cell>
          <cell r="K817">
            <v>-111150</v>
          </cell>
          <cell r="L817">
            <v>-375000</v>
          </cell>
          <cell r="M817">
            <v>-354709</v>
          </cell>
        </row>
        <row r="818">
          <cell r="A818">
            <v>1346500937</v>
          </cell>
          <cell r="B818">
            <v>937</v>
          </cell>
          <cell r="C818">
            <v>346500</v>
          </cell>
          <cell r="D818">
            <v>1</v>
          </cell>
          <cell r="F818" t="str">
            <v>נכים קשים בקהילה</v>
          </cell>
          <cell r="G818" t="str">
            <v>גמיש</v>
          </cell>
          <cell r="H818">
            <v>0</v>
          </cell>
          <cell r="I818">
            <v>-165000</v>
          </cell>
          <cell r="J818">
            <v>-165000</v>
          </cell>
          <cell r="K818">
            <v>-80844</v>
          </cell>
          <cell r="L818">
            <v>-165000</v>
          </cell>
          <cell r="M818">
            <v>-58575</v>
          </cell>
        </row>
        <row r="819">
          <cell r="A819">
            <v>1346500938</v>
          </cell>
          <cell r="B819">
            <v>938</v>
          </cell>
          <cell r="C819">
            <v>346500</v>
          </cell>
          <cell r="D819">
            <v>1</v>
          </cell>
          <cell r="F819" t="str">
            <v>תעסוקה מוגנת למוגבל</v>
          </cell>
          <cell r="G819" t="str">
            <v>גמיש</v>
          </cell>
          <cell r="H819">
            <v>0.16514360313315923</v>
          </cell>
          <cell r="I819">
            <v>-1338750</v>
          </cell>
          <cell r="J819">
            <v>-1149000</v>
          </cell>
          <cell r="K819">
            <v>-717459</v>
          </cell>
          <cell r="L819">
            <v>-1149000</v>
          </cell>
          <cell r="M819">
            <v>-1226294</v>
          </cell>
        </row>
        <row r="820">
          <cell r="A820">
            <v>1346500939</v>
          </cell>
          <cell r="B820">
            <v>939</v>
          </cell>
          <cell r="C820">
            <v>346500</v>
          </cell>
          <cell r="D820">
            <v>1</v>
          </cell>
          <cell r="F820" t="str">
            <v>הסעות למעונות יום</v>
          </cell>
          <cell r="G820" t="str">
            <v>גמיש</v>
          </cell>
          <cell r="H820">
            <v>-0.13419913419913421</v>
          </cell>
          <cell r="I820">
            <v>-1800000</v>
          </cell>
          <cell r="J820">
            <v>-2079000</v>
          </cell>
          <cell r="K820">
            <v>-1026608</v>
          </cell>
          <cell r="L820">
            <v>-2079000</v>
          </cell>
          <cell r="M820">
            <v>-883257</v>
          </cell>
        </row>
        <row r="821">
          <cell r="A821">
            <v>1346500941</v>
          </cell>
          <cell r="B821">
            <v>941</v>
          </cell>
          <cell r="C821">
            <v>346500</v>
          </cell>
          <cell r="D821">
            <v>1</v>
          </cell>
          <cell r="F821" t="str">
            <v>קהילה תומכת</v>
          </cell>
          <cell r="G821" t="str">
            <v>גמיש</v>
          </cell>
          <cell r="H821">
            <v>0.36250000000000004</v>
          </cell>
          <cell r="I821">
            <v>-327000</v>
          </cell>
          <cell r="J821">
            <v>-240000</v>
          </cell>
          <cell r="K821">
            <v>-185838</v>
          </cell>
          <cell r="L821">
            <v>-240000</v>
          </cell>
          <cell r="M821">
            <v>-318039</v>
          </cell>
        </row>
        <row r="822">
          <cell r="A822">
            <v>1346500942</v>
          </cell>
          <cell r="B822">
            <v>942</v>
          </cell>
          <cell r="C822">
            <v>346500</v>
          </cell>
          <cell r="D822">
            <v>1</v>
          </cell>
          <cell r="F822" t="str">
            <v>מלווים למעונות יום</v>
          </cell>
          <cell r="G822" t="str">
            <v>גמיש</v>
          </cell>
          <cell r="H822">
            <v>0.4375</v>
          </cell>
          <cell r="I822">
            <v>-1725000</v>
          </cell>
          <cell r="J822">
            <v>-1200000</v>
          </cell>
          <cell r="K822">
            <v>-752466</v>
          </cell>
          <cell r="L822">
            <v>-1200000</v>
          </cell>
          <cell r="M822">
            <v>-604575</v>
          </cell>
        </row>
        <row r="823">
          <cell r="A823">
            <v>1346500947</v>
          </cell>
          <cell r="B823">
            <v>947</v>
          </cell>
          <cell r="C823">
            <v>346500</v>
          </cell>
          <cell r="D823">
            <v>1</v>
          </cell>
          <cell r="F823" t="str">
            <v>תכניות תעסוקה</v>
          </cell>
          <cell r="G823" t="str">
            <v>גמיש</v>
          </cell>
          <cell r="H823">
            <v>0</v>
          </cell>
          <cell r="I823">
            <v>-450000</v>
          </cell>
          <cell r="J823">
            <v>-450000</v>
          </cell>
          <cell r="K823">
            <v>-212905</v>
          </cell>
          <cell r="L823">
            <v>-450000</v>
          </cell>
          <cell r="M823">
            <v>-420758</v>
          </cell>
        </row>
        <row r="824">
          <cell r="A824">
            <v>1346500982</v>
          </cell>
          <cell r="B824">
            <v>982</v>
          </cell>
          <cell r="C824">
            <v>346500</v>
          </cell>
          <cell r="D824">
            <v>1</v>
          </cell>
          <cell r="F824" t="str">
            <v>נפגעי ראש</v>
          </cell>
          <cell r="G824" t="str">
            <v>גמיש</v>
          </cell>
          <cell r="H824">
            <v>0.22476190476190472</v>
          </cell>
          <cell r="I824">
            <v>-1286000</v>
          </cell>
          <cell r="J824">
            <v>-1050000</v>
          </cell>
          <cell r="K824">
            <v>-485832</v>
          </cell>
          <cell r="L824">
            <v>-1050000</v>
          </cell>
          <cell r="M824">
            <v>-973948</v>
          </cell>
        </row>
        <row r="825">
          <cell r="A825">
            <v>1346500987</v>
          </cell>
          <cell r="B825">
            <v>987</v>
          </cell>
          <cell r="C825">
            <v>346500</v>
          </cell>
          <cell r="D825">
            <v>1</v>
          </cell>
          <cell r="F825" t="str">
            <v>מ.יום שיקומי</v>
          </cell>
          <cell r="G825" t="str">
            <v>גמיש</v>
          </cell>
          <cell r="H825">
            <v>0.20523415977961434</v>
          </cell>
          <cell r="I825">
            <v>-7000000</v>
          </cell>
          <cell r="J825">
            <v>-5808000</v>
          </cell>
          <cell r="K825">
            <v>-3419296</v>
          </cell>
          <cell r="L825">
            <v>-5808000</v>
          </cell>
          <cell r="M825">
            <v>-6461774</v>
          </cell>
        </row>
        <row r="826">
          <cell r="A826">
            <v>1346500988</v>
          </cell>
          <cell r="B826">
            <v>988</v>
          </cell>
          <cell r="C826">
            <v>346500</v>
          </cell>
          <cell r="D826">
            <v>1</v>
          </cell>
          <cell r="F826" t="str">
            <v>מעטפת מגורים בקהילה</v>
          </cell>
          <cell r="G826" t="str">
            <v>גמיש</v>
          </cell>
          <cell r="H826">
            <v>0.9189723320158103</v>
          </cell>
          <cell r="I826">
            <v>-48550</v>
          </cell>
          <cell r="J826">
            <v>-25300</v>
          </cell>
          <cell r="K826">
            <v>-16332</v>
          </cell>
          <cell r="L826">
            <v>-17300</v>
          </cell>
          <cell r="M826">
            <v>-21938</v>
          </cell>
        </row>
        <row r="827">
          <cell r="A827">
            <v>1346500990</v>
          </cell>
          <cell r="B827">
            <v>990</v>
          </cell>
          <cell r="C827">
            <v>346500</v>
          </cell>
          <cell r="D827">
            <v>1</v>
          </cell>
          <cell r="F827" t="str">
            <v>טיפול בילד חריג</v>
          </cell>
          <cell r="G827" t="str">
            <v>גמיש</v>
          </cell>
          <cell r="H827">
            <v>-0.375</v>
          </cell>
          <cell r="I827">
            <v>-225000</v>
          </cell>
          <cell r="J827">
            <v>-360000</v>
          </cell>
          <cell r="K827">
            <v>-65856</v>
          </cell>
          <cell r="L827">
            <v>-360000</v>
          </cell>
          <cell r="M827">
            <v>-204888</v>
          </cell>
        </row>
        <row r="828">
          <cell r="A828">
            <v>1346500991</v>
          </cell>
          <cell r="B828">
            <v>991</v>
          </cell>
          <cell r="C828">
            <v>346500</v>
          </cell>
          <cell r="D828">
            <v>1</v>
          </cell>
          <cell r="F828" t="str">
            <v>מעונות ממשלתיים-נכים</v>
          </cell>
          <cell r="G828" t="str">
            <v>גמיש</v>
          </cell>
          <cell r="H828">
            <v>0.31725888324873086</v>
          </cell>
          <cell r="I828">
            <v>-544950</v>
          </cell>
          <cell r="J828">
            <v>-413700</v>
          </cell>
          <cell r="K828">
            <v>-344243</v>
          </cell>
          <cell r="L828">
            <v>-413700</v>
          </cell>
          <cell r="M828">
            <v>-433381</v>
          </cell>
        </row>
        <row r="829">
          <cell r="A829">
            <v>1346500992</v>
          </cell>
          <cell r="B829">
            <v>992</v>
          </cell>
          <cell r="C829">
            <v>346500</v>
          </cell>
          <cell r="D829">
            <v>1</v>
          </cell>
          <cell r="F829" t="str">
            <v>הסעות לאוטיסטים</v>
          </cell>
          <cell r="G829" t="str">
            <v>גמיש</v>
          </cell>
          <cell r="H829">
            <v>0.79333333333333322</v>
          </cell>
          <cell r="I829">
            <v>-403500</v>
          </cell>
          <cell r="J829">
            <v>-225000</v>
          </cell>
          <cell r="K829">
            <v>-134159</v>
          </cell>
          <cell r="L829">
            <v>-225000</v>
          </cell>
          <cell r="M829">
            <v>-238190</v>
          </cell>
        </row>
        <row r="830">
          <cell r="A830">
            <v>1346500994</v>
          </cell>
          <cell r="B830">
            <v>994</v>
          </cell>
          <cell r="C830">
            <v>346500</v>
          </cell>
          <cell r="D830">
            <v>1</v>
          </cell>
          <cell r="F830" t="str">
            <v>אוטיסטים</v>
          </cell>
          <cell r="G830" t="str">
            <v>גמיש</v>
          </cell>
          <cell r="H830">
            <v>0.22473803164166828</v>
          </cell>
          <cell r="I830">
            <v>-29804000</v>
          </cell>
          <cell r="J830">
            <v>-24335000</v>
          </cell>
          <cell r="K830">
            <v>-17224974</v>
          </cell>
          <cell r="L830">
            <v>-24035000</v>
          </cell>
          <cell r="M830">
            <v>-29401616</v>
          </cell>
        </row>
        <row r="831">
          <cell r="A831">
            <v>1346500995</v>
          </cell>
          <cell r="B831">
            <v>995</v>
          </cell>
          <cell r="C831">
            <v>346500</v>
          </cell>
          <cell r="D831">
            <v>1</v>
          </cell>
          <cell r="F831" t="str">
            <v>נופשונים מש"ה ושיקום</v>
          </cell>
          <cell r="G831" t="str">
            <v>גמיש</v>
          </cell>
          <cell r="H831">
            <v>0.60000000000000009</v>
          </cell>
          <cell r="I831">
            <v>-312000</v>
          </cell>
          <cell r="J831">
            <v>-195000</v>
          </cell>
          <cell r="K831">
            <v>-80405</v>
          </cell>
          <cell r="L831">
            <v>-195000</v>
          </cell>
          <cell r="M831">
            <v>-145738</v>
          </cell>
        </row>
        <row r="832">
          <cell r="A832">
            <v>1346500996</v>
          </cell>
          <cell r="B832">
            <v>996</v>
          </cell>
          <cell r="C832">
            <v>346500</v>
          </cell>
          <cell r="D832">
            <v>1</v>
          </cell>
          <cell r="F832" t="str">
            <v>מרכז למשפחה</v>
          </cell>
          <cell r="G832" t="str">
            <v>גמיש</v>
          </cell>
          <cell r="H832">
            <v>0</v>
          </cell>
          <cell r="I832">
            <v>-207400</v>
          </cell>
          <cell r="J832">
            <v>-207400</v>
          </cell>
          <cell r="K832">
            <v>-155273</v>
          </cell>
          <cell r="L832">
            <v>-207400</v>
          </cell>
          <cell r="M832">
            <v>-220226</v>
          </cell>
        </row>
        <row r="833">
          <cell r="A833">
            <v>1346500997</v>
          </cell>
          <cell r="B833">
            <v>997</v>
          </cell>
          <cell r="C833">
            <v>346500</v>
          </cell>
          <cell r="D833">
            <v>1</v>
          </cell>
          <cell r="F833" t="str">
            <v>נכים בפנימיה</v>
          </cell>
          <cell r="G833" t="str">
            <v>גמיש</v>
          </cell>
          <cell r="H833">
            <v>6.2453806356245423E-2</v>
          </cell>
          <cell r="I833">
            <v>-13800000</v>
          </cell>
          <cell r="J833">
            <v>-12988800</v>
          </cell>
          <cell r="K833">
            <v>-8067697</v>
          </cell>
          <cell r="L833">
            <v>-12300000</v>
          </cell>
          <cell r="M833">
            <v>-13157353</v>
          </cell>
        </row>
        <row r="834">
          <cell r="A834">
            <v>1346500998</v>
          </cell>
          <cell r="B834">
            <v>998</v>
          </cell>
          <cell r="C834">
            <v>346500</v>
          </cell>
          <cell r="D834">
            <v>1</v>
          </cell>
          <cell r="F834" t="str">
            <v xml:space="preserve">נכה באומנה </v>
          </cell>
          <cell r="G834" t="str">
            <v>גמיש</v>
          </cell>
          <cell r="H834">
            <v>-0.40740740740740744</v>
          </cell>
          <cell r="I834">
            <v>-240000</v>
          </cell>
          <cell r="J834">
            <v>-405000</v>
          </cell>
          <cell r="K834">
            <v>-131244</v>
          </cell>
          <cell r="L834">
            <v>-405000</v>
          </cell>
          <cell r="M834">
            <v>-235412</v>
          </cell>
        </row>
        <row r="835">
          <cell r="A835" t="e">
            <v>#VALUE!</v>
          </cell>
          <cell r="B835" t="str">
            <v>346500  סך הכל</v>
          </cell>
          <cell r="F835" t="str">
            <v xml:space="preserve">שיקום נכים        </v>
          </cell>
          <cell r="H835">
            <v>0.1544812613962272</v>
          </cell>
          <cell r="I835">
            <v>-62111900</v>
          </cell>
          <cell r="J835">
            <v>-53800700</v>
          </cell>
          <cell r="K835">
            <v>-34197809</v>
          </cell>
          <cell r="L835">
            <v>-53043900</v>
          </cell>
          <cell r="M835">
            <v>-57228293.700000003</v>
          </cell>
        </row>
        <row r="836">
          <cell r="A836">
            <v>13470000</v>
          </cell>
          <cell r="B836">
            <v>0</v>
          </cell>
          <cell r="C836">
            <v>347000</v>
          </cell>
          <cell r="D836">
            <v>1</v>
          </cell>
          <cell r="F836" t="str">
            <v xml:space="preserve">שרותי תיקון       </v>
          </cell>
          <cell r="G836" t="str">
            <v xml:space="preserve"> </v>
          </cell>
        </row>
        <row r="837">
          <cell r="A837">
            <v>1347100932</v>
          </cell>
          <cell r="B837">
            <v>932</v>
          </cell>
          <cell r="C837">
            <v>347100</v>
          </cell>
          <cell r="D837">
            <v>1</v>
          </cell>
          <cell r="F837" t="str">
            <v>בתים חמים לנערות</v>
          </cell>
          <cell r="G837" t="str">
            <v>גמיש</v>
          </cell>
          <cell r="I837">
            <v>0</v>
          </cell>
          <cell r="J837">
            <v>0</v>
          </cell>
          <cell r="K837">
            <v>0</v>
          </cell>
          <cell r="M837">
            <v>0</v>
          </cell>
        </row>
        <row r="838">
          <cell r="A838">
            <v>1347100933</v>
          </cell>
          <cell r="B838">
            <v>933</v>
          </cell>
          <cell r="C838">
            <v>347100</v>
          </cell>
          <cell r="D838">
            <v>1</v>
          </cell>
          <cell r="F838" t="str">
            <v xml:space="preserve">מע' חסות   </v>
          </cell>
          <cell r="G838" t="str">
            <v>גמיש</v>
          </cell>
          <cell r="H838">
            <v>0</v>
          </cell>
          <cell r="I838">
            <v>-1456500</v>
          </cell>
          <cell r="J838">
            <v>-1456500</v>
          </cell>
          <cell r="K838">
            <v>-643817</v>
          </cell>
          <cell r="L838">
            <v>-1456500</v>
          </cell>
          <cell r="M838">
            <v>-1553111</v>
          </cell>
        </row>
        <row r="839">
          <cell r="A839">
            <v>1347100936</v>
          </cell>
          <cell r="B839">
            <v>936</v>
          </cell>
          <cell r="C839">
            <v>347100</v>
          </cell>
          <cell r="D839">
            <v>1</v>
          </cell>
          <cell r="F839" t="str">
            <v xml:space="preserve">נוער וצעירים </v>
          </cell>
          <cell r="G839" t="str">
            <v>גמיש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</row>
        <row r="840">
          <cell r="A840">
            <v>1347100937</v>
          </cell>
          <cell r="B840">
            <v>937</v>
          </cell>
          <cell r="C840">
            <v>347100</v>
          </cell>
          <cell r="D840">
            <v>1</v>
          </cell>
          <cell r="F840" t="str">
            <v>נוצץ שירותים בקהילה</v>
          </cell>
          <cell r="G840" t="str">
            <v>גמיש</v>
          </cell>
          <cell r="H840">
            <v>-0.41277795176949572</v>
          </cell>
          <cell r="I840">
            <v>-750000</v>
          </cell>
          <cell r="J840">
            <v>-1277200</v>
          </cell>
          <cell r="K840">
            <v>-405086</v>
          </cell>
          <cell r="L840">
            <v>-1277200</v>
          </cell>
          <cell r="M840">
            <v>-669153</v>
          </cell>
        </row>
        <row r="841">
          <cell r="A841">
            <v>1347100938</v>
          </cell>
          <cell r="B841">
            <v>938</v>
          </cell>
          <cell r="C841">
            <v>347100</v>
          </cell>
          <cell r="D841">
            <v>1</v>
          </cell>
          <cell r="F841" t="str">
            <v>חוץ ביתי נוצץ</v>
          </cell>
          <cell r="G841" t="str">
            <v>גמיש</v>
          </cell>
          <cell r="H841">
            <v>-1</v>
          </cell>
          <cell r="I841">
            <v>0</v>
          </cell>
          <cell r="J841">
            <v>-187500</v>
          </cell>
          <cell r="K841">
            <v>0</v>
          </cell>
          <cell r="L841">
            <v>-187500</v>
          </cell>
          <cell r="M841">
            <v>0</v>
          </cell>
        </row>
        <row r="842">
          <cell r="A842">
            <v>1347100940</v>
          </cell>
          <cell r="B842">
            <v>940</v>
          </cell>
          <cell r="C842">
            <v>347100</v>
          </cell>
          <cell r="D842">
            <v>1</v>
          </cell>
          <cell r="F842" t="str">
            <v>תכנית מית"ר</v>
          </cell>
          <cell r="G842" t="str">
            <v>גמיש</v>
          </cell>
          <cell r="H842">
            <v>0</v>
          </cell>
          <cell r="I842">
            <v>-980000</v>
          </cell>
          <cell r="J842">
            <v>-980000</v>
          </cell>
          <cell r="K842">
            <v>-553738</v>
          </cell>
          <cell r="L842">
            <v>-980000</v>
          </cell>
          <cell r="M842">
            <v>-907032</v>
          </cell>
        </row>
        <row r="843">
          <cell r="A843">
            <v>1347100941</v>
          </cell>
          <cell r="B843">
            <v>941</v>
          </cell>
          <cell r="C843">
            <v>347100</v>
          </cell>
          <cell r="D843">
            <v>1</v>
          </cell>
          <cell r="F843" t="str">
            <v>תכנית "יתד"</v>
          </cell>
          <cell r="G843" t="str">
            <v>גמיש</v>
          </cell>
          <cell r="H843">
            <v>0.18518518518518512</v>
          </cell>
          <cell r="I843">
            <v>-672000</v>
          </cell>
          <cell r="J843">
            <v>-567000</v>
          </cell>
          <cell r="K843">
            <v>-409479</v>
          </cell>
          <cell r="L843">
            <v>-567000</v>
          </cell>
          <cell r="M843">
            <v>-609900</v>
          </cell>
        </row>
        <row r="844">
          <cell r="A844">
            <v>1347100942</v>
          </cell>
          <cell r="B844">
            <v>942</v>
          </cell>
          <cell r="C844">
            <v>347100</v>
          </cell>
          <cell r="D844">
            <v>1</v>
          </cell>
          <cell r="F844" t="str">
            <v>תכנית ניצוץ</v>
          </cell>
          <cell r="G844" t="str">
            <v>גמיש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-261338</v>
          </cell>
        </row>
        <row r="845">
          <cell r="A845">
            <v>1347100943</v>
          </cell>
          <cell r="B845">
            <v>943</v>
          </cell>
          <cell r="C845">
            <v>347100</v>
          </cell>
          <cell r="D845">
            <v>1</v>
          </cell>
          <cell r="F845" t="str">
            <v>צעירים חוץ ביתי</v>
          </cell>
          <cell r="G845" t="str">
            <v>גמיש</v>
          </cell>
          <cell r="I845">
            <v>0</v>
          </cell>
          <cell r="J845">
            <v>0</v>
          </cell>
          <cell r="K845">
            <v>0</v>
          </cell>
          <cell r="L845">
            <v>-336000</v>
          </cell>
          <cell r="M845">
            <v>0</v>
          </cell>
        </row>
        <row r="846">
          <cell r="A846" t="e">
            <v>#VALUE!</v>
          </cell>
          <cell r="B846" t="str">
            <v>347100  סך הכל</v>
          </cell>
          <cell r="F846" t="str">
            <v xml:space="preserve">נוער מצוקה        </v>
          </cell>
          <cell r="H846">
            <v>-0.13645315787117851</v>
          </cell>
          <cell r="I846">
            <v>-3858500</v>
          </cell>
          <cell r="J846">
            <v>-4468200</v>
          </cell>
          <cell r="K846">
            <v>-2012120</v>
          </cell>
          <cell r="L846">
            <v>-4804200</v>
          </cell>
          <cell r="M846">
            <v>-4000534</v>
          </cell>
        </row>
        <row r="847">
          <cell r="A847">
            <v>13472000</v>
          </cell>
          <cell r="B847">
            <v>0</v>
          </cell>
          <cell r="C847">
            <v>347200</v>
          </cell>
          <cell r="D847">
            <v>1</v>
          </cell>
          <cell r="F847" t="str">
            <v>מניעת אלימות וסמים</v>
          </cell>
          <cell r="G847" t="str">
            <v xml:space="preserve"> </v>
          </cell>
        </row>
        <row r="848">
          <cell r="A848">
            <v>1347200920</v>
          </cell>
          <cell r="B848">
            <v>920</v>
          </cell>
          <cell r="C848">
            <v>347200</v>
          </cell>
          <cell r="D848">
            <v>1</v>
          </cell>
          <cell r="F848" t="str">
            <v>משרד החינוך</v>
          </cell>
          <cell r="G848" t="str">
            <v>גמיש</v>
          </cell>
          <cell r="H848" t="e">
            <v>#DIV/0!</v>
          </cell>
          <cell r="I848">
            <v>-10500</v>
          </cell>
        </row>
        <row r="849">
          <cell r="A849">
            <v>1347200937</v>
          </cell>
          <cell r="B849">
            <v>937</v>
          </cell>
          <cell r="C849">
            <v>347200</v>
          </cell>
          <cell r="D849">
            <v>1</v>
          </cell>
          <cell r="F849" t="str">
            <v>הכנסות משנים קודמות</v>
          </cell>
          <cell r="G849" t="str">
            <v>גמיש</v>
          </cell>
          <cell r="H849" t="e">
            <v>#DIV/0!</v>
          </cell>
          <cell r="I849">
            <v>-200000</v>
          </cell>
        </row>
        <row r="850">
          <cell r="A850">
            <v>1347200990</v>
          </cell>
          <cell r="B850">
            <v>990</v>
          </cell>
          <cell r="C850">
            <v>347200</v>
          </cell>
          <cell r="D850">
            <v>1</v>
          </cell>
          <cell r="F850" t="str">
            <v>המשרד לביטחון פנים</v>
          </cell>
          <cell r="G850" t="str">
            <v>גמיש</v>
          </cell>
          <cell r="H850" t="e">
            <v>#DIV/0!</v>
          </cell>
          <cell r="I850">
            <v>-401200</v>
          </cell>
        </row>
        <row r="851">
          <cell r="A851" t="e">
            <v>#VALUE!</v>
          </cell>
          <cell r="B851" t="str">
            <v>347200  סך הכל</v>
          </cell>
          <cell r="F851" t="str">
            <v>מניעת אלימות וסמים</v>
          </cell>
          <cell r="H851" t="e">
            <v>#DIV/0!</v>
          </cell>
          <cell r="I851">
            <v>-611700</v>
          </cell>
          <cell r="J851">
            <v>0</v>
          </cell>
          <cell r="K851">
            <v>0</v>
          </cell>
          <cell r="L851">
            <v>0</v>
          </cell>
          <cell r="M851">
            <v>0</v>
          </cell>
        </row>
        <row r="852">
          <cell r="A852">
            <v>13473000</v>
          </cell>
          <cell r="B852">
            <v>0</v>
          </cell>
          <cell r="C852">
            <v>347300</v>
          </cell>
          <cell r="D852">
            <v>1</v>
          </cell>
          <cell r="F852" t="str">
            <v xml:space="preserve">מלחמה בסמים       </v>
          </cell>
          <cell r="G852" t="str">
            <v xml:space="preserve"> </v>
          </cell>
        </row>
        <row r="853">
          <cell r="A853">
            <v>1347300421</v>
          </cell>
          <cell r="B853">
            <v>421</v>
          </cell>
          <cell r="C853">
            <v>347300</v>
          </cell>
          <cell r="D853">
            <v>1</v>
          </cell>
          <cell r="F853" t="str">
            <v>השתתפות נפגעי סמים</v>
          </cell>
          <cell r="G853" t="str">
            <v>גמיש</v>
          </cell>
          <cell r="H853">
            <v>0</v>
          </cell>
          <cell r="I853">
            <v>-45000</v>
          </cell>
          <cell r="J853">
            <v>-45000</v>
          </cell>
          <cell r="K853">
            <v>-21930</v>
          </cell>
          <cell r="L853">
            <v>-45000</v>
          </cell>
          <cell r="M853">
            <v>-60627</v>
          </cell>
        </row>
        <row r="854">
          <cell r="A854">
            <v>1347300422</v>
          </cell>
          <cell r="B854">
            <v>422</v>
          </cell>
          <cell r="C854">
            <v>347300</v>
          </cell>
          <cell r="D854">
            <v>1</v>
          </cell>
          <cell r="F854" t="str">
            <v>טיפול במשפחות מכורים</v>
          </cell>
          <cell r="G854" t="str">
            <v>גמיש</v>
          </cell>
          <cell r="H854">
            <v>0</v>
          </cell>
          <cell r="I854">
            <v>-20000</v>
          </cell>
          <cell r="J854">
            <v>-20000</v>
          </cell>
          <cell r="K854">
            <v>-15495</v>
          </cell>
          <cell r="L854">
            <v>-20000</v>
          </cell>
          <cell r="M854">
            <v>-17235</v>
          </cell>
        </row>
        <row r="855">
          <cell r="A855">
            <v>1347300423</v>
          </cell>
          <cell r="B855">
            <v>423</v>
          </cell>
          <cell r="C855">
            <v>347300</v>
          </cell>
          <cell r="D855">
            <v>1</v>
          </cell>
          <cell r="F855" t="str">
            <v>טיפול בנגמלים חוץ ביתי</v>
          </cell>
          <cell r="G855" t="str">
            <v>גמיש</v>
          </cell>
          <cell r="I855">
            <v>-480000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</row>
        <row r="856">
          <cell r="A856">
            <v>1347300933</v>
          </cell>
          <cell r="B856">
            <v>933</v>
          </cell>
          <cell r="C856">
            <v>347300</v>
          </cell>
          <cell r="D856">
            <v>1</v>
          </cell>
          <cell r="F856" t="str">
            <v>טיפול בהתמכרויות</v>
          </cell>
          <cell r="G856" t="str">
            <v>גמיש</v>
          </cell>
          <cell r="H856">
            <v>0</v>
          </cell>
          <cell r="I856">
            <v>-410000</v>
          </cell>
          <cell r="J856">
            <v>-410000</v>
          </cell>
          <cell r="K856">
            <v>-174052</v>
          </cell>
          <cell r="L856">
            <v>-410000</v>
          </cell>
          <cell r="M856">
            <v>-272442</v>
          </cell>
        </row>
        <row r="857">
          <cell r="A857" t="e">
            <v>#VALUE!</v>
          </cell>
          <cell r="B857" t="str">
            <v>347300  סך הכל</v>
          </cell>
          <cell r="F857" t="str">
            <v xml:space="preserve">מלחמה בסמים       </v>
          </cell>
          <cell r="H857">
            <v>1.0105263157894737</v>
          </cell>
          <cell r="I857">
            <v>-955000</v>
          </cell>
          <cell r="J857">
            <v>-475000</v>
          </cell>
          <cell r="K857">
            <v>-211477</v>
          </cell>
          <cell r="L857">
            <v>-475000</v>
          </cell>
          <cell r="M857">
            <v>-350304</v>
          </cell>
        </row>
        <row r="858">
          <cell r="A858">
            <v>13480000</v>
          </cell>
          <cell r="B858">
            <v>0</v>
          </cell>
          <cell r="C858">
            <v>348000</v>
          </cell>
          <cell r="D858">
            <v>1</v>
          </cell>
          <cell r="F858" t="str">
            <v xml:space="preserve">עבודה קהילתית     </v>
          </cell>
          <cell r="G858" t="str">
            <v xml:space="preserve"> </v>
          </cell>
        </row>
        <row r="859">
          <cell r="A859">
            <v>1348100421</v>
          </cell>
          <cell r="B859">
            <v>421</v>
          </cell>
          <cell r="C859">
            <v>348100</v>
          </cell>
          <cell r="D859">
            <v>1</v>
          </cell>
          <cell r="F859" t="str">
            <v>השת' למשפחות בקהילה</v>
          </cell>
          <cell r="G859" t="str">
            <v>גמיש</v>
          </cell>
          <cell r="H859">
            <v>-1</v>
          </cell>
          <cell r="I859">
            <v>0</v>
          </cell>
          <cell r="J859">
            <v>-7500</v>
          </cell>
          <cell r="K859">
            <v>0</v>
          </cell>
          <cell r="L859">
            <v>-7500</v>
          </cell>
          <cell r="M859">
            <v>0</v>
          </cell>
        </row>
        <row r="860">
          <cell r="A860">
            <v>1348100931</v>
          </cell>
          <cell r="B860">
            <v>931</v>
          </cell>
          <cell r="C860">
            <v>348100</v>
          </cell>
          <cell r="D860">
            <v>1</v>
          </cell>
          <cell r="F860" t="str">
            <v xml:space="preserve">פע' התנדבות </v>
          </cell>
          <cell r="G860" t="str">
            <v>גמיש</v>
          </cell>
          <cell r="H860">
            <v>0</v>
          </cell>
          <cell r="I860">
            <v>-19500</v>
          </cell>
          <cell r="J860">
            <v>-19500</v>
          </cell>
          <cell r="K860">
            <v>-2606</v>
          </cell>
          <cell r="L860">
            <v>-37500</v>
          </cell>
          <cell r="M860">
            <v>-8869</v>
          </cell>
        </row>
        <row r="861">
          <cell r="A861">
            <v>1348100932</v>
          </cell>
          <cell r="B861">
            <v>932</v>
          </cell>
          <cell r="C861">
            <v>348100</v>
          </cell>
          <cell r="D861">
            <v>1</v>
          </cell>
          <cell r="F861" t="str">
            <v>פרוייקט עוצמה</v>
          </cell>
          <cell r="G861" t="str">
            <v>גמיש</v>
          </cell>
          <cell r="H861">
            <v>-0.64117647058823524</v>
          </cell>
          <cell r="I861">
            <v>-91500</v>
          </cell>
          <cell r="J861">
            <v>-255000</v>
          </cell>
          <cell r="K861">
            <v>-70682</v>
          </cell>
          <cell r="L861">
            <v>-255000</v>
          </cell>
          <cell r="M861">
            <v>-322029</v>
          </cell>
        </row>
        <row r="862">
          <cell r="A862">
            <v>1348100933</v>
          </cell>
          <cell r="B862">
            <v>933</v>
          </cell>
          <cell r="C862">
            <v>348100</v>
          </cell>
          <cell r="D862">
            <v>1</v>
          </cell>
          <cell r="F862" t="str">
            <v>אחז'מרכ'קהל</v>
          </cell>
          <cell r="G862" t="str">
            <v>גמיש</v>
          </cell>
          <cell r="H862">
            <v>0</v>
          </cell>
          <cell r="I862">
            <v>-14300</v>
          </cell>
          <cell r="J862">
            <v>-14300</v>
          </cell>
          <cell r="K862">
            <v>0</v>
          </cell>
          <cell r="L862">
            <v>-14300</v>
          </cell>
          <cell r="M862">
            <v>0</v>
          </cell>
        </row>
        <row r="863">
          <cell r="A863">
            <v>1348100936</v>
          </cell>
          <cell r="B863">
            <v>936</v>
          </cell>
          <cell r="C863">
            <v>348100</v>
          </cell>
          <cell r="D863">
            <v>1</v>
          </cell>
          <cell r="F863" t="str">
            <v>לשכת יעוץ לאזרח</v>
          </cell>
          <cell r="G863" t="str">
            <v>גמיש</v>
          </cell>
          <cell r="H863">
            <v>0.46750000000000003</v>
          </cell>
          <cell r="I863">
            <v>-5870</v>
          </cell>
          <cell r="J863">
            <v>-4000</v>
          </cell>
          <cell r="K863">
            <v>-1130</v>
          </cell>
          <cell r="L863">
            <v>-15000</v>
          </cell>
          <cell r="M863">
            <v>-5449</v>
          </cell>
        </row>
        <row r="864">
          <cell r="A864" t="e">
            <v>#VALUE!</v>
          </cell>
          <cell r="B864" t="str">
            <v>348100  סך הכל</v>
          </cell>
          <cell r="F864" t="str">
            <v xml:space="preserve">עבודה קהילתית     </v>
          </cell>
          <cell r="H864">
            <v>-0.56320346320346326</v>
          </cell>
          <cell r="I864">
            <v>-131170</v>
          </cell>
          <cell r="J864">
            <v>-300300</v>
          </cell>
          <cell r="K864">
            <v>-74418</v>
          </cell>
          <cell r="L864">
            <v>-329300</v>
          </cell>
          <cell r="M864">
            <v>-336347</v>
          </cell>
        </row>
        <row r="865">
          <cell r="A865">
            <v>13600000</v>
          </cell>
          <cell r="B865">
            <v>0</v>
          </cell>
          <cell r="C865">
            <v>360000</v>
          </cell>
          <cell r="D865">
            <v>1</v>
          </cell>
          <cell r="F865" t="str">
            <v xml:space="preserve">קליטת עליה        </v>
          </cell>
          <cell r="G865" t="str">
            <v xml:space="preserve"> </v>
          </cell>
        </row>
        <row r="866">
          <cell r="A866">
            <v>1368000491</v>
          </cell>
          <cell r="B866">
            <v>491</v>
          </cell>
          <cell r="C866">
            <v>368000</v>
          </cell>
          <cell r="D866">
            <v>1</v>
          </cell>
          <cell r="F866" t="str">
            <v xml:space="preserve">הכנסות מארועים    </v>
          </cell>
          <cell r="G866" t="str">
            <v>גמיש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-10370</v>
          </cell>
        </row>
        <row r="867">
          <cell r="A867">
            <v>1368000750</v>
          </cell>
          <cell r="B867">
            <v>750</v>
          </cell>
          <cell r="C867">
            <v>368000</v>
          </cell>
          <cell r="D867">
            <v>1</v>
          </cell>
          <cell r="F867" t="str">
            <v xml:space="preserve">אולפני סוכנות     </v>
          </cell>
          <cell r="G867" t="str">
            <v>גמיש</v>
          </cell>
          <cell r="I867">
            <v>-80000</v>
          </cell>
          <cell r="J867">
            <v>0</v>
          </cell>
          <cell r="K867">
            <v>-4052</v>
          </cell>
          <cell r="L867">
            <v>0</v>
          </cell>
          <cell r="M867">
            <v>-85382.55</v>
          </cell>
        </row>
        <row r="868">
          <cell r="A868">
            <v>1368000780</v>
          </cell>
          <cell r="B868">
            <v>780</v>
          </cell>
          <cell r="C868">
            <v>368000</v>
          </cell>
          <cell r="D868">
            <v>1</v>
          </cell>
          <cell r="F868" t="str">
            <v>תוכנית מחוברים</v>
          </cell>
          <cell r="G868" t="str">
            <v>קשיח</v>
          </cell>
          <cell r="I868">
            <v>-210000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</row>
        <row r="869">
          <cell r="A869">
            <v>1368000920</v>
          </cell>
          <cell r="B869">
            <v>920</v>
          </cell>
          <cell r="C869">
            <v>368000</v>
          </cell>
          <cell r="D869">
            <v>1</v>
          </cell>
          <cell r="F869" t="str">
            <v>משרד הקליטה - שכר עובדים</v>
          </cell>
          <cell r="G869" t="str">
            <v>גמיש</v>
          </cell>
          <cell r="H869">
            <v>0.7976653696498055</v>
          </cell>
          <cell r="I869">
            <v>-462000</v>
          </cell>
          <cell r="J869">
            <v>-257000</v>
          </cell>
          <cell r="K869">
            <v>0</v>
          </cell>
          <cell r="L869">
            <v>-150000</v>
          </cell>
          <cell r="M869">
            <v>0</v>
          </cell>
        </row>
        <row r="870">
          <cell r="A870">
            <v>1368000950</v>
          </cell>
          <cell r="B870">
            <v>950</v>
          </cell>
          <cell r="C870">
            <v>368000</v>
          </cell>
          <cell r="D870">
            <v>1</v>
          </cell>
          <cell r="F870" t="str">
            <v>הכנסות משרד ממשלה</v>
          </cell>
          <cell r="G870" t="str">
            <v>גמיש</v>
          </cell>
          <cell r="I870">
            <v>0</v>
          </cell>
          <cell r="J870">
            <v>0</v>
          </cell>
          <cell r="K870">
            <v>-8073</v>
          </cell>
          <cell r="L870">
            <v>0</v>
          </cell>
          <cell r="M870">
            <v>-63875</v>
          </cell>
        </row>
        <row r="871">
          <cell r="A871">
            <v>1368000951</v>
          </cell>
          <cell r="B871">
            <v>951</v>
          </cell>
          <cell r="C871">
            <v>368000</v>
          </cell>
          <cell r="D871">
            <v>1</v>
          </cell>
          <cell r="F871" t="str">
            <v>משרד הקליטה-ארועים</v>
          </cell>
          <cell r="G871" t="str">
            <v>גמיש</v>
          </cell>
          <cell r="H871">
            <v>0.23428571428571421</v>
          </cell>
          <cell r="I871">
            <v>-432000</v>
          </cell>
          <cell r="J871">
            <v>-350000</v>
          </cell>
          <cell r="K871">
            <v>0</v>
          </cell>
          <cell r="L871">
            <v>-580000</v>
          </cell>
          <cell r="M871">
            <v>-104999</v>
          </cell>
        </row>
        <row r="872">
          <cell r="A872" t="e">
            <v>#VALUE!</v>
          </cell>
          <cell r="B872" t="str">
            <v>368000  סך הכל</v>
          </cell>
          <cell r="F872" t="str">
            <v xml:space="preserve">אולפנים לעברית    </v>
          </cell>
          <cell r="H872">
            <v>0.9505766062602965</v>
          </cell>
          <cell r="I872">
            <v>-1184000</v>
          </cell>
          <cell r="J872">
            <v>-607000</v>
          </cell>
          <cell r="K872">
            <v>-12125</v>
          </cell>
          <cell r="L872">
            <v>-730000</v>
          </cell>
          <cell r="M872">
            <v>-264626.55</v>
          </cell>
        </row>
        <row r="873">
          <cell r="A873">
            <v>13690000</v>
          </cell>
          <cell r="B873">
            <v>0</v>
          </cell>
          <cell r="C873">
            <v>369000</v>
          </cell>
          <cell r="D873">
            <v>1</v>
          </cell>
          <cell r="F873" t="str">
            <v>שרותים לקליטת עליה</v>
          </cell>
          <cell r="G873" t="str">
            <v xml:space="preserve"> </v>
          </cell>
        </row>
        <row r="874">
          <cell r="A874">
            <v>1369000490</v>
          </cell>
          <cell r="B874">
            <v>490</v>
          </cell>
          <cell r="C874">
            <v>369000</v>
          </cell>
          <cell r="D874">
            <v>1</v>
          </cell>
          <cell r="F874" t="str">
            <v>הכנסות מארועים</v>
          </cell>
          <cell r="G874" t="str">
            <v>גמיש</v>
          </cell>
          <cell r="I874">
            <v>0</v>
          </cell>
          <cell r="J874">
            <v>0</v>
          </cell>
          <cell r="K874">
            <v>-8380</v>
          </cell>
          <cell r="L874">
            <v>0</v>
          </cell>
          <cell r="M874">
            <v>-74893</v>
          </cell>
        </row>
        <row r="875">
          <cell r="A875">
            <v>1369000950</v>
          </cell>
          <cell r="B875">
            <v>950</v>
          </cell>
          <cell r="C875">
            <v>369000</v>
          </cell>
          <cell r="D875">
            <v>1</v>
          </cell>
          <cell r="F875" t="str">
            <v xml:space="preserve">הכנסות משנים קודמות-קליטה </v>
          </cell>
          <cell r="G875" t="str">
            <v>גמיש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0</v>
          </cell>
        </row>
        <row r="876">
          <cell r="A876" t="e">
            <v>#VALUE!</v>
          </cell>
          <cell r="B876" t="str">
            <v>369000  סך הכל</v>
          </cell>
          <cell r="F876" t="str">
            <v>שרותים לקליטת עליה</v>
          </cell>
          <cell r="I876">
            <v>0</v>
          </cell>
          <cell r="J876">
            <v>0</v>
          </cell>
          <cell r="K876">
            <v>-8380</v>
          </cell>
          <cell r="L876">
            <v>0</v>
          </cell>
          <cell r="M876">
            <v>-74893</v>
          </cell>
        </row>
        <row r="877">
          <cell r="A877">
            <v>13700000</v>
          </cell>
          <cell r="B877">
            <v>0</v>
          </cell>
          <cell r="C877">
            <v>370000</v>
          </cell>
          <cell r="D877">
            <v>1</v>
          </cell>
          <cell r="F877" t="str">
            <v xml:space="preserve">איכות הסביבה      </v>
          </cell>
          <cell r="G877" t="str">
            <v xml:space="preserve"> </v>
          </cell>
        </row>
        <row r="878">
          <cell r="A878">
            <v>1379000790</v>
          </cell>
          <cell r="B878">
            <v>790</v>
          </cell>
          <cell r="C878">
            <v>379000</v>
          </cell>
          <cell r="D878">
            <v>1</v>
          </cell>
          <cell r="F878" t="str">
            <v>השתתפות מועצת אזור</v>
          </cell>
          <cell r="G878" t="str">
            <v>גמיש</v>
          </cell>
          <cell r="H878">
            <v>0</v>
          </cell>
          <cell r="I878">
            <v>-138000</v>
          </cell>
          <cell r="J878">
            <v>-138000</v>
          </cell>
          <cell r="K878">
            <v>0</v>
          </cell>
          <cell r="L878">
            <v>-138000</v>
          </cell>
          <cell r="M878">
            <v>-103500</v>
          </cell>
        </row>
        <row r="879">
          <cell r="A879">
            <v>1379000791</v>
          </cell>
          <cell r="B879">
            <v>791</v>
          </cell>
          <cell r="C879">
            <v>379000</v>
          </cell>
          <cell r="D879">
            <v>1</v>
          </cell>
          <cell r="F879" t="str">
            <v>הכנסות מפעילות לתושבים</v>
          </cell>
          <cell r="G879" t="str">
            <v>גמיש</v>
          </cell>
          <cell r="H879">
            <v>1</v>
          </cell>
          <cell r="I879">
            <v>-10000</v>
          </cell>
          <cell r="J879">
            <v>-5000</v>
          </cell>
          <cell r="K879">
            <v>-1935</v>
          </cell>
          <cell r="L879">
            <v>-5000</v>
          </cell>
          <cell r="M879">
            <v>-6661</v>
          </cell>
        </row>
        <row r="880">
          <cell r="A880">
            <v>1379000990</v>
          </cell>
          <cell r="B880">
            <v>990</v>
          </cell>
          <cell r="C880">
            <v>379000</v>
          </cell>
          <cell r="D880">
            <v>1</v>
          </cell>
          <cell r="F880" t="str">
            <v xml:space="preserve">מש' איכות הסביבה  </v>
          </cell>
          <cell r="G880" t="str">
            <v>גמיש</v>
          </cell>
          <cell r="H880">
            <v>0</v>
          </cell>
          <cell r="I880">
            <v>-75000</v>
          </cell>
          <cell r="J880">
            <v>-75000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>
            <v>1379000991</v>
          </cell>
          <cell r="B881">
            <v>991</v>
          </cell>
          <cell r="C881">
            <v>379000</v>
          </cell>
          <cell r="D881">
            <v>1</v>
          </cell>
          <cell r="F881" t="str">
            <v>קרן לשמירת הנקיון-מ'איכות</v>
          </cell>
          <cell r="G881" t="str">
            <v>גמיש</v>
          </cell>
          <cell r="H881">
            <v>0</v>
          </cell>
          <cell r="I881">
            <v>-75000</v>
          </cell>
          <cell r="J881">
            <v>-75000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e">
            <v>#VALUE!</v>
          </cell>
          <cell r="B882" t="str">
            <v>379000  סך הכל</v>
          </cell>
          <cell r="F882" t="str">
            <v xml:space="preserve">יח' לאיכות סביבה  </v>
          </cell>
          <cell r="H882">
            <v>1.7064846416382284E-2</v>
          </cell>
          <cell r="I882">
            <v>-298000</v>
          </cell>
          <cell r="J882">
            <v>-293000</v>
          </cell>
          <cell r="K882">
            <v>-1935</v>
          </cell>
          <cell r="L882">
            <v>-143000</v>
          </cell>
          <cell r="M882">
            <v>-110161</v>
          </cell>
        </row>
        <row r="883">
          <cell r="A883">
            <v>14000000</v>
          </cell>
          <cell r="B883">
            <v>0</v>
          </cell>
          <cell r="C883">
            <v>400000</v>
          </cell>
          <cell r="D883">
            <v>1</v>
          </cell>
          <cell r="F883" t="str">
            <v xml:space="preserve">מפעלים            </v>
          </cell>
          <cell r="G883" t="str">
            <v xml:space="preserve"> </v>
          </cell>
        </row>
        <row r="884">
          <cell r="A884">
            <v>1412000211</v>
          </cell>
          <cell r="B884">
            <v>211</v>
          </cell>
          <cell r="C884">
            <v>412000</v>
          </cell>
          <cell r="D884">
            <v>1</v>
          </cell>
          <cell r="F884" t="str">
            <v xml:space="preserve">אספקת מים גביה    </v>
          </cell>
          <cell r="G884" t="str">
            <v>גמיש</v>
          </cell>
          <cell r="H884">
            <v>-0.5</v>
          </cell>
          <cell r="I884">
            <v>-150000</v>
          </cell>
          <cell r="J884">
            <v>-300000</v>
          </cell>
          <cell r="K884">
            <v>-92991.81</v>
          </cell>
          <cell r="L884">
            <v>-50000</v>
          </cell>
          <cell r="M884">
            <v>-182156.32</v>
          </cell>
        </row>
        <row r="885">
          <cell r="A885">
            <v>1412000212</v>
          </cell>
          <cell r="B885">
            <v>212</v>
          </cell>
          <cell r="C885">
            <v>412000</v>
          </cell>
          <cell r="D885">
            <v>1</v>
          </cell>
          <cell r="F885" t="str">
            <v xml:space="preserve">דמי בדיקת מדים    </v>
          </cell>
          <cell r="G885" t="str">
            <v>גמיש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M885">
            <v>0</v>
          </cell>
        </row>
        <row r="886">
          <cell r="A886">
            <v>1412000214</v>
          </cell>
          <cell r="B886">
            <v>214</v>
          </cell>
          <cell r="C886">
            <v>412000</v>
          </cell>
          <cell r="D886">
            <v>1</v>
          </cell>
          <cell r="F886" t="str">
            <v>גביה - חב' מילגם</v>
          </cell>
          <cell r="G886" t="str">
            <v>גמיש</v>
          </cell>
          <cell r="I886">
            <v>0</v>
          </cell>
          <cell r="J886">
            <v>0</v>
          </cell>
          <cell r="K886">
            <v>-1357.97</v>
          </cell>
          <cell r="L886">
            <v>0</v>
          </cell>
          <cell r="M886">
            <v>-3824.64</v>
          </cell>
        </row>
        <row r="887">
          <cell r="A887">
            <v>1412000662</v>
          </cell>
          <cell r="B887">
            <v>662</v>
          </cell>
          <cell r="C887">
            <v>412000</v>
          </cell>
          <cell r="D887">
            <v>1</v>
          </cell>
          <cell r="F887" t="str">
            <v>שרותים לתאגיד</v>
          </cell>
          <cell r="G887" t="str">
            <v>גמיש</v>
          </cell>
          <cell r="H887">
            <v>4.0000000000000036E-2</v>
          </cell>
          <cell r="I887">
            <v>-416000</v>
          </cell>
          <cell r="J887">
            <v>-400000</v>
          </cell>
          <cell r="K887">
            <v>-208254</v>
          </cell>
          <cell r="L887">
            <v>-381800</v>
          </cell>
          <cell r="M887">
            <v>-402702</v>
          </cell>
        </row>
        <row r="888">
          <cell r="A888" t="e">
            <v>#VALUE!</v>
          </cell>
          <cell r="B888" t="str">
            <v>412000  סך הכל</v>
          </cell>
          <cell r="F888" t="str">
            <v>מים גבייה</v>
          </cell>
          <cell r="H888">
            <v>-0.19142857142857139</v>
          </cell>
          <cell r="I888">
            <v>-566000</v>
          </cell>
          <cell r="J888">
            <v>-700000</v>
          </cell>
          <cell r="K888">
            <v>-302603.78000000003</v>
          </cell>
          <cell r="L888">
            <v>-431800</v>
          </cell>
          <cell r="M888">
            <v>-588682.96</v>
          </cell>
        </row>
        <row r="889">
          <cell r="A889">
            <v>14300000</v>
          </cell>
          <cell r="B889">
            <v>0</v>
          </cell>
          <cell r="C889">
            <v>430000</v>
          </cell>
          <cell r="D889">
            <v>1</v>
          </cell>
          <cell r="F889" t="str">
            <v xml:space="preserve">נכסים             </v>
          </cell>
          <cell r="G889" t="str">
            <v xml:space="preserve"> </v>
          </cell>
        </row>
        <row r="890">
          <cell r="A890">
            <v>1433000420</v>
          </cell>
          <cell r="B890">
            <v>420</v>
          </cell>
          <cell r="C890">
            <v>433000</v>
          </cell>
          <cell r="D890">
            <v>1</v>
          </cell>
          <cell r="F890" t="str">
            <v>שכ"ד - בית קפה "בובו"710</v>
          </cell>
          <cell r="G890" t="str">
            <v>גמיש</v>
          </cell>
          <cell r="H890">
            <v>0</v>
          </cell>
          <cell r="I890">
            <v>-306000</v>
          </cell>
          <cell r="J890">
            <v>-306000</v>
          </cell>
          <cell r="K890">
            <v>-39421</v>
          </cell>
          <cell r="L890">
            <v>-306000</v>
          </cell>
          <cell r="M890">
            <v>-190276</v>
          </cell>
        </row>
        <row r="891">
          <cell r="A891">
            <v>1433000429</v>
          </cell>
          <cell r="B891">
            <v>429</v>
          </cell>
          <cell r="C891">
            <v>433000</v>
          </cell>
          <cell r="D891">
            <v>1</v>
          </cell>
          <cell r="F891" t="str">
            <v>בנות יעל-מעיין החינוך התורני</v>
          </cell>
          <cell r="G891" t="str">
            <v>גמיש</v>
          </cell>
          <cell r="I891">
            <v>0</v>
          </cell>
          <cell r="J891">
            <v>0</v>
          </cell>
          <cell r="K891">
            <v>0</v>
          </cell>
          <cell r="L891">
            <v>-231500</v>
          </cell>
          <cell r="M891">
            <v>0</v>
          </cell>
        </row>
        <row r="892">
          <cell r="A892">
            <v>1433000430</v>
          </cell>
          <cell r="B892">
            <v>430</v>
          </cell>
          <cell r="C892">
            <v>433000</v>
          </cell>
          <cell r="D892">
            <v>1</v>
          </cell>
          <cell r="F892" t="str">
            <v>בית קפה-גן בח' - 300</v>
          </cell>
          <cell r="G892" t="str">
            <v>גמיש</v>
          </cell>
          <cell r="H892">
            <v>0</v>
          </cell>
          <cell r="I892">
            <v>-900000</v>
          </cell>
          <cell r="J892">
            <v>-900000</v>
          </cell>
          <cell r="K892">
            <v>-425681</v>
          </cell>
          <cell r="L892">
            <v>-900000</v>
          </cell>
          <cell r="M892">
            <v>-864346</v>
          </cell>
        </row>
        <row r="893">
          <cell r="A893">
            <v>1433000431</v>
          </cell>
          <cell r="B893">
            <v>431</v>
          </cell>
          <cell r="C893">
            <v>433000</v>
          </cell>
          <cell r="D893">
            <v>1</v>
          </cell>
          <cell r="F893" t="str">
            <v>חשמל - בית קפה "בובו"</v>
          </cell>
          <cell r="G893" t="str">
            <v>קשיח</v>
          </cell>
          <cell r="H893">
            <v>0</v>
          </cell>
          <cell r="I893">
            <v>-40400</v>
          </cell>
          <cell r="J893">
            <v>-40400</v>
          </cell>
          <cell r="K893">
            <v>0</v>
          </cell>
          <cell r="L893">
            <v>-40000</v>
          </cell>
          <cell r="M893">
            <v>-13784.54</v>
          </cell>
        </row>
        <row r="894">
          <cell r="A894">
            <v>1433000640</v>
          </cell>
          <cell r="B894">
            <v>640</v>
          </cell>
          <cell r="C894">
            <v>433000</v>
          </cell>
          <cell r="D894">
            <v>1</v>
          </cell>
          <cell r="F894" t="str">
            <v>שכ"ד - חכ"ל  686</v>
          </cell>
          <cell r="G894" t="str">
            <v>גמיש</v>
          </cell>
          <cell r="H894">
            <v>9.0222222222222204E-2</v>
          </cell>
          <cell r="I894">
            <v>-24530000</v>
          </cell>
          <cell r="J894">
            <v>-22500000</v>
          </cell>
          <cell r="K894">
            <v>0</v>
          </cell>
          <cell r="L894">
            <v>-19852000</v>
          </cell>
          <cell r="M894">
            <v>-19768483</v>
          </cell>
        </row>
        <row r="895">
          <cell r="A895">
            <v>1433000642</v>
          </cell>
          <cell r="B895">
            <v>642</v>
          </cell>
          <cell r="C895">
            <v>433000</v>
          </cell>
          <cell r="D895">
            <v>1</v>
          </cell>
          <cell r="F895" t="str">
            <v>דמ"ח חכ"ל - 716</v>
          </cell>
          <cell r="G895" t="str">
            <v>גמיש</v>
          </cell>
          <cell r="H895">
            <v>0</v>
          </cell>
          <cell r="I895">
            <v>-300000</v>
          </cell>
          <cell r="J895">
            <v>-300000</v>
          </cell>
          <cell r="K895">
            <v>0</v>
          </cell>
          <cell r="L895">
            <v>-280000</v>
          </cell>
          <cell r="M895">
            <v>-292859</v>
          </cell>
        </row>
        <row r="896">
          <cell r="A896">
            <v>1433000643</v>
          </cell>
          <cell r="B896">
            <v>643</v>
          </cell>
          <cell r="C896">
            <v>433000</v>
          </cell>
          <cell r="D896">
            <v>1</v>
          </cell>
          <cell r="F896" t="str">
            <v>שכ"ד - משען  683</v>
          </cell>
          <cell r="G896" t="str">
            <v>גמיש</v>
          </cell>
          <cell r="H896">
            <v>0</v>
          </cell>
          <cell r="I896">
            <v>-772200</v>
          </cell>
          <cell r="J896">
            <v>-772200</v>
          </cell>
          <cell r="K896">
            <v>-390453</v>
          </cell>
          <cell r="L896">
            <v>-660000</v>
          </cell>
          <cell r="M896">
            <v>-1871746.99</v>
          </cell>
        </row>
        <row r="897">
          <cell r="A897">
            <v>1433000644</v>
          </cell>
          <cell r="B897">
            <v>644</v>
          </cell>
          <cell r="C897">
            <v>433000</v>
          </cell>
          <cell r="D897">
            <v>1</v>
          </cell>
          <cell r="F897" t="str">
            <v>שכ"ד-מכון טכנולוגי  684</v>
          </cell>
          <cell r="G897" t="str">
            <v>גמיש</v>
          </cell>
          <cell r="H897">
            <v>0</v>
          </cell>
          <cell r="I897">
            <v>-590000</v>
          </cell>
          <cell r="J897">
            <v>-590000</v>
          </cell>
          <cell r="K897">
            <v>0</v>
          </cell>
          <cell r="L897">
            <v>-560000</v>
          </cell>
          <cell r="M897">
            <v>-565724</v>
          </cell>
        </row>
        <row r="898">
          <cell r="A898">
            <v>1433000645</v>
          </cell>
          <cell r="B898">
            <v>645</v>
          </cell>
          <cell r="C898">
            <v>433000</v>
          </cell>
          <cell r="D898">
            <v>1</v>
          </cell>
          <cell r="F898" t="str">
            <v>שכ"ד - אג"ד  555</v>
          </cell>
          <cell r="G898" t="str">
            <v>גמיש</v>
          </cell>
          <cell r="H898">
            <v>-1</v>
          </cell>
          <cell r="I898">
            <v>0</v>
          </cell>
          <cell r="J898">
            <v>-62000</v>
          </cell>
          <cell r="K898">
            <v>0</v>
          </cell>
          <cell r="L898">
            <v>-62000</v>
          </cell>
          <cell r="M898">
            <v>0</v>
          </cell>
        </row>
        <row r="899">
          <cell r="A899">
            <v>1433000646</v>
          </cell>
          <cell r="B899">
            <v>646</v>
          </cell>
          <cell r="C899">
            <v>433000</v>
          </cell>
          <cell r="D899">
            <v>1</v>
          </cell>
          <cell r="F899" t="str">
            <v>שכ"ד - תלפיות 685</v>
          </cell>
          <cell r="G899" t="str">
            <v>גמיש</v>
          </cell>
          <cell r="H899">
            <v>0</v>
          </cell>
          <cell r="I899">
            <v>-1400000</v>
          </cell>
          <cell r="J899">
            <v>-1400000</v>
          </cell>
          <cell r="K899">
            <v>-691380</v>
          </cell>
          <cell r="L899">
            <v>-1365000</v>
          </cell>
          <cell r="M899">
            <v>-1349696</v>
          </cell>
        </row>
        <row r="900">
          <cell r="A900">
            <v>1433000647</v>
          </cell>
          <cell r="B900">
            <v>647</v>
          </cell>
          <cell r="C900">
            <v>433000</v>
          </cell>
          <cell r="D900">
            <v>1</v>
          </cell>
          <cell r="F900" t="str">
            <v>שכ"ד - עמותת אל"י</v>
          </cell>
          <cell r="G900" t="str">
            <v>גמיש</v>
          </cell>
          <cell r="I900">
            <v>0</v>
          </cell>
          <cell r="J900">
            <v>0</v>
          </cell>
          <cell r="K900">
            <v>0</v>
          </cell>
          <cell r="L900">
            <v>-18000</v>
          </cell>
          <cell r="M900">
            <v>-4500</v>
          </cell>
        </row>
        <row r="901">
          <cell r="A901">
            <v>1433000648</v>
          </cell>
          <cell r="B901">
            <v>648</v>
          </cell>
          <cell r="C901">
            <v>433000</v>
          </cell>
          <cell r="D901">
            <v>1</v>
          </cell>
          <cell r="F901" t="str">
            <v>שכ"ד - נכס אילון פינת גולדה</v>
          </cell>
          <cell r="G901" t="str">
            <v>גמיש</v>
          </cell>
          <cell r="H901">
            <v>-4.3749999999999956E-2</v>
          </cell>
          <cell r="I901">
            <v>-153000</v>
          </cell>
          <cell r="J901">
            <v>-160000</v>
          </cell>
          <cell r="K901">
            <v>-76506</v>
          </cell>
          <cell r="L901">
            <v>-90000</v>
          </cell>
          <cell r="M901">
            <v>-126992</v>
          </cell>
        </row>
        <row r="902">
          <cell r="A902">
            <v>1433000650</v>
          </cell>
          <cell r="B902">
            <v>650</v>
          </cell>
          <cell r="C902">
            <v>433000</v>
          </cell>
          <cell r="D902">
            <v>1</v>
          </cell>
          <cell r="F902" t="str">
            <v>שכ"ד - דן 105</v>
          </cell>
          <cell r="G902" t="str">
            <v>גמיש</v>
          </cell>
          <cell r="H902">
            <v>-1</v>
          </cell>
          <cell r="I902">
            <v>0</v>
          </cell>
          <cell r="J902">
            <v>-21000</v>
          </cell>
          <cell r="K902">
            <v>0</v>
          </cell>
          <cell r="L902">
            <v>-21000</v>
          </cell>
          <cell r="M902">
            <v>-19544</v>
          </cell>
        </row>
        <row r="903">
          <cell r="A903">
            <v>1433000651</v>
          </cell>
          <cell r="B903">
            <v>651</v>
          </cell>
          <cell r="C903">
            <v>433000</v>
          </cell>
          <cell r="D903">
            <v>1</v>
          </cell>
          <cell r="F903" t="str">
            <v>דמ"ח מרפאות בריאות כללית</v>
          </cell>
          <cell r="G903" t="str">
            <v>גמיש</v>
          </cell>
          <cell r="H903">
            <v>1.5625E-2</v>
          </cell>
          <cell r="I903">
            <v>-650000</v>
          </cell>
          <cell r="J903">
            <v>-640000</v>
          </cell>
          <cell r="K903">
            <v>-650980</v>
          </cell>
          <cell r="L903">
            <v>-606000</v>
          </cell>
          <cell r="M903">
            <v>-608126</v>
          </cell>
        </row>
        <row r="904">
          <cell r="A904">
            <v>1433000652</v>
          </cell>
          <cell r="B904">
            <v>652</v>
          </cell>
          <cell r="C904">
            <v>433000</v>
          </cell>
          <cell r="D904">
            <v>1</v>
          </cell>
          <cell r="F904" t="str">
            <v>שכ"ד-מרפאה לבריאות הנפש</v>
          </cell>
          <cell r="G904" t="str">
            <v>גמיש</v>
          </cell>
          <cell r="I904">
            <v>0</v>
          </cell>
          <cell r="J904">
            <v>0</v>
          </cell>
          <cell r="K904">
            <v>-145128.97</v>
          </cell>
          <cell r="L904">
            <v>-427600</v>
          </cell>
          <cell r="M904">
            <v>-404690.39</v>
          </cell>
        </row>
        <row r="905">
          <cell r="A905">
            <v>1433000653</v>
          </cell>
          <cell r="B905">
            <v>653</v>
          </cell>
          <cell r="C905">
            <v>433000</v>
          </cell>
          <cell r="D905">
            <v>1</v>
          </cell>
          <cell r="F905" t="str">
            <v>דמ"ש פוטו וולטאי</v>
          </cell>
          <cell r="G905" t="str">
            <v>גמיש</v>
          </cell>
          <cell r="H905">
            <v>0</v>
          </cell>
          <cell r="I905">
            <v>-252000</v>
          </cell>
          <cell r="J905">
            <v>-252000</v>
          </cell>
          <cell r="K905">
            <v>-63000</v>
          </cell>
          <cell r="L905">
            <v>-252000</v>
          </cell>
          <cell r="M905">
            <v>-734000</v>
          </cell>
        </row>
        <row r="906">
          <cell r="A906">
            <v>1433000654</v>
          </cell>
          <cell r="B906">
            <v>654</v>
          </cell>
          <cell r="C906">
            <v>433000</v>
          </cell>
          <cell r="D906">
            <v>1</v>
          </cell>
          <cell r="F906" t="str">
            <v>הכנסות חניות עזריאלי</v>
          </cell>
          <cell r="G906" t="str">
            <v>גמיש</v>
          </cell>
          <cell r="H906">
            <v>-1</v>
          </cell>
          <cell r="I906">
            <v>0</v>
          </cell>
          <cell r="J906">
            <v>-2677000</v>
          </cell>
          <cell r="K906">
            <v>0</v>
          </cell>
          <cell r="L906">
            <v>0</v>
          </cell>
          <cell r="M906">
            <v>0</v>
          </cell>
        </row>
        <row r="907">
          <cell r="A907">
            <v>1433000655</v>
          </cell>
          <cell r="B907">
            <v>655</v>
          </cell>
          <cell r="C907">
            <v>433000</v>
          </cell>
          <cell r="D907">
            <v>1</v>
          </cell>
          <cell r="F907" t="str">
            <v>דמי שימוש גב ים</v>
          </cell>
          <cell r="G907" t="str">
            <v>גמיש</v>
          </cell>
          <cell r="H907">
            <v>-1</v>
          </cell>
          <cell r="I907">
            <v>0</v>
          </cell>
          <cell r="J907">
            <v>-1522000</v>
          </cell>
          <cell r="K907">
            <v>0</v>
          </cell>
          <cell r="L907">
            <v>0</v>
          </cell>
          <cell r="M907">
            <v>-1000000</v>
          </cell>
        </row>
        <row r="908">
          <cell r="A908">
            <v>1433000656</v>
          </cell>
          <cell r="B908">
            <v>656</v>
          </cell>
          <cell r="C908">
            <v>433000</v>
          </cell>
          <cell r="D908">
            <v>1</v>
          </cell>
          <cell r="F908" t="str">
            <v>שכ"ד עמותת אושר למען ילדי חינוך המיוחד</v>
          </cell>
          <cell r="G908" t="str">
            <v>גמיש</v>
          </cell>
          <cell r="I908">
            <v>-351170</v>
          </cell>
          <cell r="J908">
            <v>0</v>
          </cell>
          <cell r="K908">
            <v>0</v>
          </cell>
          <cell r="L908">
            <v>0</v>
          </cell>
          <cell r="M908">
            <v>0</v>
          </cell>
        </row>
        <row r="909">
          <cell r="A909">
            <v>1433000657</v>
          </cell>
          <cell r="B909">
            <v>657</v>
          </cell>
          <cell r="C909">
            <v>433000</v>
          </cell>
          <cell r="D909">
            <v>1</v>
          </cell>
          <cell r="F909" t="str">
            <v>הכנסות דמי שימוש שונות</v>
          </cell>
          <cell r="G909" t="str">
            <v>גמיש</v>
          </cell>
          <cell r="I909">
            <v>-1000000</v>
          </cell>
        </row>
        <row r="910">
          <cell r="A910" t="e">
            <v>#VALUE!</v>
          </cell>
          <cell r="B910" t="str">
            <v>433000  סך הכל</v>
          </cell>
          <cell r="F910" t="str">
            <v xml:space="preserve">משרדים ועסקים     </v>
          </cell>
          <cell r="H910">
            <v>-2.7932712350587696E-2</v>
          </cell>
          <cell r="I910">
            <v>-31244770</v>
          </cell>
          <cell r="J910">
            <v>-32142600</v>
          </cell>
          <cell r="K910">
            <v>-2482549.9700000002</v>
          </cell>
          <cell r="L910">
            <v>-25671100</v>
          </cell>
          <cell r="M910">
            <v>-27814767.919999998</v>
          </cell>
        </row>
        <row r="911">
          <cell r="A911">
            <v>14390000</v>
          </cell>
          <cell r="B911">
            <v>0</v>
          </cell>
          <cell r="C911">
            <v>439000</v>
          </cell>
          <cell r="D911">
            <v>1</v>
          </cell>
          <cell r="F911" t="str">
            <v xml:space="preserve">דמי זיכיון        </v>
          </cell>
          <cell r="G911" t="str">
            <v xml:space="preserve"> </v>
          </cell>
        </row>
        <row r="912">
          <cell r="A912">
            <v>1439000413</v>
          </cell>
          <cell r="B912">
            <v>413</v>
          </cell>
          <cell r="C912">
            <v>439000</v>
          </cell>
          <cell r="D912">
            <v>1</v>
          </cell>
          <cell r="F912" t="str">
            <v>דמי שימוש בקרקע ציבורית</v>
          </cell>
          <cell r="G912" t="str">
            <v>קשיח</v>
          </cell>
          <cell r="H912">
            <v>2.3333333333333335</v>
          </cell>
          <cell r="I912">
            <v>-500000</v>
          </cell>
          <cell r="J912">
            <v>-150000</v>
          </cell>
          <cell r="K912">
            <v>-478100.7</v>
          </cell>
          <cell r="L912">
            <v>-100000</v>
          </cell>
          <cell r="M912">
            <v>-160319.16</v>
          </cell>
        </row>
        <row r="913">
          <cell r="A913">
            <v>1439000670</v>
          </cell>
          <cell r="B913">
            <v>670</v>
          </cell>
          <cell r="C913">
            <v>439000</v>
          </cell>
          <cell r="D913">
            <v>1</v>
          </cell>
          <cell r="F913" t="str">
            <v>דמ"ז - ח' לבידור  556</v>
          </cell>
          <cell r="G913" t="str">
            <v>גמיש</v>
          </cell>
          <cell r="H913">
            <v>0</v>
          </cell>
          <cell r="I913">
            <v>-4960000</v>
          </cell>
          <cell r="J913">
            <v>-4960000</v>
          </cell>
          <cell r="K913">
            <v>0</v>
          </cell>
          <cell r="L913">
            <v>-4750000</v>
          </cell>
          <cell r="M913">
            <v>-4809459</v>
          </cell>
        </row>
        <row r="914">
          <cell r="A914">
            <v>1439000671</v>
          </cell>
          <cell r="B914">
            <v>671</v>
          </cell>
          <cell r="C914">
            <v>439000</v>
          </cell>
          <cell r="D914">
            <v>1</v>
          </cell>
          <cell r="F914" t="str">
            <v xml:space="preserve">דמי זכיון  משלטים        </v>
          </cell>
          <cell r="G914" t="str">
            <v>גמיש</v>
          </cell>
          <cell r="H914">
            <v>-0.30000000000000004</v>
          </cell>
          <cell r="I914">
            <v>-1400000</v>
          </cell>
          <cell r="J914">
            <v>-2000000</v>
          </cell>
          <cell r="K914">
            <v>-940680.3</v>
          </cell>
          <cell r="L914">
            <v>-2250000</v>
          </cell>
          <cell r="M914">
            <v>-1648580.3</v>
          </cell>
        </row>
        <row r="915">
          <cell r="A915" t="e">
            <v>#VALUE!</v>
          </cell>
          <cell r="B915" t="str">
            <v>439000  סך הכל</v>
          </cell>
          <cell r="F915" t="str">
            <v xml:space="preserve">דמי זיכיון        </v>
          </cell>
          <cell r="H915">
            <v>-3.5161744022503494E-2</v>
          </cell>
          <cell r="I915">
            <v>-6860000</v>
          </cell>
          <cell r="J915">
            <v>-7110000</v>
          </cell>
          <cell r="K915">
            <v>-1418781</v>
          </cell>
          <cell r="L915">
            <v>-7100000</v>
          </cell>
          <cell r="M915">
            <v>-6618358.46</v>
          </cell>
        </row>
        <row r="916">
          <cell r="A916">
            <v>14700000</v>
          </cell>
          <cell r="B916">
            <v>0</v>
          </cell>
          <cell r="C916">
            <v>470000</v>
          </cell>
          <cell r="D916">
            <v>1</v>
          </cell>
          <cell r="F916" t="str">
            <v xml:space="preserve">מפעל הביוב        </v>
          </cell>
          <cell r="G916" t="str">
            <v xml:space="preserve"> </v>
          </cell>
        </row>
        <row r="917">
          <cell r="A917">
            <v>1472000210</v>
          </cell>
          <cell r="B917">
            <v>210</v>
          </cell>
          <cell r="C917">
            <v>472000</v>
          </cell>
          <cell r="D917">
            <v>1</v>
          </cell>
          <cell r="F917" t="str">
            <v xml:space="preserve">אג' ביוב-איגוד ערים         </v>
          </cell>
          <cell r="G917" t="str">
            <v>גמיש</v>
          </cell>
          <cell r="H917">
            <v>-0.56666666666666665</v>
          </cell>
          <cell r="I917">
            <v>-26000</v>
          </cell>
          <cell r="J917">
            <v>-60000</v>
          </cell>
          <cell r="K917">
            <v>-12681.72</v>
          </cell>
          <cell r="L917">
            <v>-60000</v>
          </cell>
          <cell r="M917">
            <v>-26408.1</v>
          </cell>
        </row>
        <row r="918">
          <cell r="A918" t="e">
            <v>#VALUE!</v>
          </cell>
          <cell r="B918" t="str">
            <v>472000  סך הכל</v>
          </cell>
          <cell r="F918" t="str">
            <v xml:space="preserve">ביוב עירוני       </v>
          </cell>
          <cell r="H918">
            <v>-0.56666666666666665</v>
          </cell>
          <cell r="I918">
            <v>-26000</v>
          </cell>
          <cell r="J918">
            <v>-60000</v>
          </cell>
          <cell r="K918">
            <v>-12681.72</v>
          </cell>
          <cell r="L918">
            <v>-60000</v>
          </cell>
          <cell r="M918">
            <v>-26408.1</v>
          </cell>
        </row>
        <row r="919">
          <cell r="A919">
            <v>15000000</v>
          </cell>
          <cell r="B919">
            <v>0</v>
          </cell>
          <cell r="C919">
            <v>500000</v>
          </cell>
          <cell r="D919">
            <v>1</v>
          </cell>
          <cell r="F919" t="str">
            <v xml:space="preserve">תקבולים לא רגילים </v>
          </cell>
          <cell r="G919" t="str">
            <v xml:space="preserve"> </v>
          </cell>
        </row>
        <row r="920">
          <cell r="A920">
            <v>1511000662</v>
          </cell>
          <cell r="B920">
            <v>662</v>
          </cell>
          <cell r="C920">
            <v>511000</v>
          </cell>
          <cell r="D920">
            <v>1</v>
          </cell>
          <cell r="F920" t="str">
            <v xml:space="preserve">רבית ודיוידנדים   </v>
          </cell>
          <cell r="G920" t="str">
            <v>גמיש</v>
          </cell>
          <cell r="H920">
            <v>0.85000000000000009</v>
          </cell>
          <cell r="I920">
            <v>-11100000</v>
          </cell>
          <cell r="J920">
            <v>-6000000</v>
          </cell>
          <cell r="K920">
            <v>-47705270.740000002</v>
          </cell>
          <cell r="L920">
            <v>-2300000</v>
          </cell>
          <cell r="M920">
            <v>-50654957.450000003</v>
          </cell>
        </row>
        <row r="921">
          <cell r="A921">
            <v>1511000663</v>
          </cell>
          <cell r="B921">
            <v>663</v>
          </cell>
          <cell r="C921">
            <v>511000</v>
          </cell>
          <cell r="D921">
            <v>1</v>
          </cell>
          <cell r="F921" t="str">
            <v>דיבידנד מ"מי שיקמה"</v>
          </cell>
          <cell r="G921" t="str">
            <v>גמיש</v>
          </cell>
          <cell r="I921">
            <v>0</v>
          </cell>
          <cell r="J921">
            <v>0</v>
          </cell>
          <cell r="K921">
            <v>-11966000</v>
          </cell>
          <cell r="L921">
            <v>0</v>
          </cell>
          <cell r="M921">
            <v>0</v>
          </cell>
        </row>
        <row r="922">
          <cell r="A922" t="e">
            <v>#VALUE!</v>
          </cell>
          <cell r="B922" t="str">
            <v>511000  סך הכל</v>
          </cell>
          <cell r="F922" t="str">
            <v xml:space="preserve">ריבית ודיווידנדים </v>
          </cell>
          <cell r="H922">
            <v>0.85000000000000009</v>
          </cell>
          <cell r="I922">
            <v>-11100000</v>
          </cell>
          <cell r="J922">
            <v>-6000000</v>
          </cell>
          <cell r="K922">
            <v>-59671270.740000002</v>
          </cell>
          <cell r="L922">
            <v>-2300000</v>
          </cell>
          <cell r="M922">
            <v>-50654957.450000003</v>
          </cell>
        </row>
        <row r="923">
          <cell r="A923">
            <v>15120000</v>
          </cell>
          <cell r="B923">
            <v>0</v>
          </cell>
          <cell r="C923">
            <v>512000</v>
          </cell>
          <cell r="D923">
            <v>1</v>
          </cell>
          <cell r="F923" t="str">
            <v>ריבית מהקדמת תשלום</v>
          </cell>
          <cell r="G923" t="str">
            <v xml:space="preserve"> </v>
          </cell>
        </row>
        <row r="924">
          <cell r="A924">
            <v>1512000661</v>
          </cell>
          <cell r="B924">
            <v>661</v>
          </cell>
          <cell r="C924">
            <v>512000</v>
          </cell>
          <cell r="D924">
            <v>1</v>
          </cell>
          <cell r="F924" t="str">
            <v xml:space="preserve">רבית מהקדמת תשלום </v>
          </cell>
          <cell r="G924" t="str">
            <v>גמיש</v>
          </cell>
          <cell r="H924">
            <v>5</v>
          </cell>
          <cell r="I924">
            <v>-6000</v>
          </cell>
          <cell r="J924">
            <v>-1000</v>
          </cell>
          <cell r="K924">
            <v>-4277</v>
          </cell>
          <cell r="L924">
            <v>-1000</v>
          </cell>
          <cell r="M924">
            <v>-7523.32</v>
          </cell>
        </row>
        <row r="925">
          <cell r="A925">
            <v>1512000662</v>
          </cell>
          <cell r="B925">
            <v>662</v>
          </cell>
          <cell r="C925">
            <v>512000</v>
          </cell>
          <cell r="D925">
            <v>1</v>
          </cell>
          <cell r="F925" t="str">
            <v>הנחות מימון אשפה</v>
          </cell>
          <cell r="G925" t="str">
            <v>גמיש</v>
          </cell>
          <cell r="H925">
            <v>-0.19999999999999996</v>
          </cell>
          <cell r="I925">
            <v>-40000</v>
          </cell>
          <cell r="J925">
            <v>-50000</v>
          </cell>
          <cell r="K925">
            <v>-11495.19</v>
          </cell>
          <cell r="L925">
            <v>-50000</v>
          </cell>
          <cell r="M925">
            <v>-41125.550000000003</v>
          </cell>
        </row>
        <row r="926">
          <cell r="A926" t="e">
            <v>#VALUE!</v>
          </cell>
          <cell r="B926" t="str">
            <v>512000  סך הכל</v>
          </cell>
          <cell r="F926" t="str">
            <v>ריבית מהקדמת תשלום</v>
          </cell>
          <cell r="H926">
            <v>-9.8039215686274495E-2</v>
          </cell>
          <cell r="I926">
            <v>-46000</v>
          </cell>
          <cell r="J926">
            <v>-51000</v>
          </cell>
          <cell r="K926">
            <v>-15772.19</v>
          </cell>
          <cell r="L926">
            <v>-51000</v>
          </cell>
          <cell r="M926">
            <v>-48648.87</v>
          </cell>
        </row>
        <row r="927">
          <cell r="A927">
            <v>15130000</v>
          </cell>
          <cell r="B927">
            <v>0</v>
          </cell>
          <cell r="C927">
            <v>513000</v>
          </cell>
          <cell r="D927">
            <v>1</v>
          </cell>
          <cell r="F927" t="str">
            <v>החזרים-שנים קודמות</v>
          </cell>
          <cell r="G927" t="str">
            <v xml:space="preserve"> </v>
          </cell>
        </row>
        <row r="928">
          <cell r="A928">
            <v>1513000690</v>
          </cell>
          <cell r="B928">
            <v>690</v>
          </cell>
          <cell r="C928">
            <v>513000</v>
          </cell>
          <cell r="D928">
            <v>1</v>
          </cell>
          <cell r="F928" t="str">
            <v>הכנסות-שנים קודמות</v>
          </cell>
          <cell r="G928" t="str">
            <v>גמיש</v>
          </cell>
          <cell r="H928">
            <v>1.5</v>
          </cell>
          <cell r="I928">
            <v>-2500000</v>
          </cell>
          <cell r="J928">
            <v>-1000000</v>
          </cell>
          <cell r="K928">
            <v>-2868334.04</v>
          </cell>
          <cell r="L928">
            <v>-1000000</v>
          </cell>
          <cell r="M928">
            <v>-5500395.0599999996</v>
          </cell>
        </row>
        <row r="929">
          <cell r="A929">
            <v>1513000692</v>
          </cell>
          <cell r="B929">
            <v>692</v>
          </cell>
          <cell r="C929">
            <v>513000</v>
          </cell>
          <cell r="D929">
            <v>1</v>
          </cell>
          <cell r="F929" t="str">
            <v>העברה מעודף מצטבר</v>
          </cell>
          <cell r="G929" t="str">
            <v>גמיש</v>
          </cell>
          <cell r="H929">
            <v>0</v>
          </cell>
          <cell r="I929">
            <v>-58437600</v>
          </cell>
          <cell r="J929">
            <v>-58437600</v>
          </cell>
          <cell r="K929">
            <v>0</v>
          </cell>
          <cell r="L929">
            <v>-67807850</v>
          </cell>
          <cell r="M929">
            <v>-67807850</v>
          </cell>
        </row>
        <row r="930">
          <cell r="A930">
            <v>1513000693</v>
          </cell>
          <cell r="B930">
            <v>693</v>
          </cell>
          <cell r="C930">
            <v>513000</v>
          </cell>
          <cell r="D930">
            <v>1</v>
          </cell>
          <cell r="F930" t="str">
            <v>הכנסות ש.ק.מ.טכנולוגי (אנטנות)</v>
          </cell>
          <cell r="G930" t="str">
            <v>גמיש</v>
          </cell>
          <cell r="H930">
            <v>-0.14516129032258063</v>
          </cell>
          <cell r="I930">
            <v>-265000</v>
          </cell>
          <cell r="J930">
            <v>-310000</v>
          </cell>
          <cell r="K930">
            <v>-265424.05</v>
          </cell>
          <cell r="L930">
            <v>0</v>
          </cell>
          <cell r="M930">
            <v>-263064</v>
          </cell>
        </row>
        <row r="931">
          <cell r="A931">
            <v>1513000694</v>
          </cell>
          <cell r="B931">
            <v>694</v>
          </cell>
          <cell r="C931">
            <v>513000</v>
          </cell>
          <cell r="D931">
            <v>1</v>
          </cell>
          <cell r="F931" t="str">
            <v>הכנסות שנים קודמות חניות עזריאלי</v>
          </cell>
          <cell r="G931" t="str">
            <v>גמיש</v>
          </cell>
          <cell r="H931" t="e">
            <v>#DIV/0!</v>
          </cell>
          <cell r="I931">
            <v>0</v>
          </cell>
          <cell r="J931">
            <v>0</v>
          </cell>
          <cell r="K931">
            <v>-3345000</v>
          </cell>
          <cell r="L931">
            <v>0</v>
          </cell>
        </row>
        <row r="932">
          <cell r="A932">
            <v>1513000695</v>
          </cell>
          <cell r="B932">
            <v>695</v>
          </cell>
          <cell r="C932">
            <v>513000</v>
          </cell>
          <cell r="D932">
            <v>1</v>
          </cell>
          <cell r="F932" t="str">
            <v>הכנסות שונות מפעל הפיס</v>
          </cell>
          <cell r="G932" t="str">
            <v>גמיש</v>
          </cell>
          <cell r="I932">
            <v>-5500000</v>
          </cell>
        </row>
        <row r="933">
          <cell r="A933">
            <v>1513000920</v>
          </cell>
          <cell r="B933">
            <v>920</v>
          </cell>
          <cell r="C933">
            <v>513000</v>
          </cell>
          <cell r="D933">
            <v>1</v>
          </cell>
          <cell r="F933" t="str">
            <v>הכנסות שנים קודמות-ממשלה</v>
          </cell>
          <cell r="G933" t="str">
            <v>גמיש</v>
          </cell>
          <cell r="H933">
            <v>0</v>
          </cell>
          <cell r="I933">
            <v>-1000000</v>
          </cell>
          <cell r="J933">
            <v>-1000000</v>
          </cell>
          <cell r="K933">
            <v>-65095</v>
          </cell>
          <cell r="L933">
            <v>0</v>
          </cell>
          <cell r="M933">
            <v>-1127214.58</v>
          </cell>
        </row>
        <row r="934">
          <cell r="A934" t="e">
            <v>#VALUE!</v>
          </cell>
          <cell r="B934" t="str">
            <v>513000  סך הכל</v>
          </cell>
          <cell r="F934" t="str">
            <v>החזרים-שנים קודמות</v>
          </cell>
          <cell r="H934">
            <v>0.11449011977427914</v>
          </cell>
          <cell r="I934">
            <v>-67702600</v>
          </cell>
          <cell r="J934">
            <v>-60747600</v>
          </cell>
          <cell r="K934">
            <v>-6543853.0899999999</v>
          </cell>
          <cell r="L934">
            <v>-68807850</v>
          </cell>
          <cell r="M934">
            <v>-74698523.640000001</v>
          </cell>
        </row>
        <row r="935">
          <cell r="A935">
            <v>15900000</v>
          </cell>
          <cell r="B935">
            <v>0</v>
          </cell>
          <cell r="C935">
            <v>590000</v>
          </cell>
          <cell r="D935">
            <v>1</v>
          </cell>
          <cell r="F935" t="str">
            <v xml:space="preserve">הכנסות מיוחדות    </v>
          </cell>
          <cell r="G935" t="str">
            <v xml:space="preserve"> </v>
          </cell>
        </row>
        <row r="936">
          <cell r="A936">
            <v>1594000690</v>
          </cell>
          <cell r="B936">
            <v>690</v>
          </cell>
          <cell r="C936">
            <v>594000</v>
          </cell>
          <cell r="D936">
            <v>1</v>
          </cell>
          <cell r="F936" t="str">
            <v>חדרי שנאים חברת חשמל-נת"ע</v>
          </cell>
          <cell r="G936" t="str">
            <v>גמיש</v>
          </cell>
          <cell r="I936">
            <v>-50000</v>
          </cell>
          <cell r="J936">
            <v>0</v>
          </cell>
          <cell r="K936">
            <v>-27190.799999999999</v>
          </cell>
          <cell r="L936">
            <v>0</v>
          </cell>
          <cell r="M936">
            <v>-167755.99</v>
          </cell>
        </row>
        <row r="937">
          <cell r="A937">
            <v>1594000691</v>
          </cell>
          <cell r="B937">
            <v>691</v>
          </cell>
          <cell r="C937">
            <v>594000</v>
          </cell>
          <cell r="D937">
            <v>1</v>
          </cell>
          <cell r="F937" t="str">
            <v>תקב'-הביטוח הלאומי</v>
          </cell>
          <cell r="G937" t="str">
            <v>גמיש</v>
          </cell>
          <cell r="H937">
            <v>0</v>
          </cell>
          <cell r="I937">
            <v>-1500000</v>
          </cell>
          <cell r="J937">
            <v>-1500000</v>
          </cell>
          <cell r="K937">
            <v>-1299282</v>
          </cell>
          <cell r="L937">
            <v>-500000</v>
          </cell>
          <cell r="M937">
            <v>-3645247</v>
          </cell>
        </row>
        <row r="938">
          <cell r="A938">
            <v>1594000692</v>
          </cell>
          <cell r="B938">
            <v>692</v>
          </cell>
          <cell r="C938">
            <v>594000</v>
          </cell>
          <cell r="D938">
            <v>1</v>
          </cell>
          <cell r="F938" t="str">
            <v xml:space="preserve">השתתפות בגימלה    </v>
          </cell>
          <cell r="G938" t="str">
            <v>גמיש</v>
          </cell>
          <cell r="H938">
            <v>0</v>
          </cell>
          <cell r="I938">
            <v>-1500000</v>
          </cell>
          <cell r="J938">
            <v>-1500000</v>
          </cell>
          <cell r="K938">
            <v>-1564197.75</v>
          </cell>
          <cell r="L938">
            <v>-1500000</v>
          </cell>
          <cell r="M938">
            <v>-1309109.05</v>
          </cell>
        </row>
        <row r="939">
          <cell r="A939">
            <v>1594000693</v>
          </cell>
          <cell r="B939">
            <v>693</v>
          </cell>
          <cell r="C939">
            <v>594000</v>
          </cell>
          <cell r="D939">
            <v>1</v>
          </cell>
          <cell r="F939" t="str">
            <v xml:space="preserve">החזר הוצ' משפטיות </v>
          </cell>
          <cell r="G939" t="str">
            <v>גמיש</v>
          </cell>
          <cell r="H939">
            <v>-0.8</v>
          </cell>
          <cell r="I939">
            <v>-10000</v>
          </cell>
          <cell r="J939">
            <v>-50000</v>
          </cell>
          <cell r="K939">
            <v>8020.8</v>
          </cell>
          <cell r="L939">
            <v>-50000</v>
          </cell>
          <cell r="M939">
            <v>-33956.949999999997</v>
          </cell>
        </row>
        <row r="940">
          <cell r="A940">
            <v>1594000694</v>
          </cell>
          <cell r="B940">
            <v>694</v>
          </cell>
          <cell r="C940">
            <v>594000</v>
          </cell>
          <cell r="D940">
            <v>1</v>
          </cell>
          <cell r="F940" t="str">
            <v xml:space="preserve">הכנסות שונות      </v>
          </cell>
          <cell r="G940" t="str">
            <v>גמיש</v>
          </cell>
          <cell r="H940">
            <v>0</v>
          </cell>
          <cell r="I940">
            <v>-200000</v>
          </cell>
          <cell r="J940">
            <v>-200000</v>
          </cell>
          <cell r="K940">
            <v>1965952.81</v>
          </cell>
          <cell r="L940">
            <v>-200000</v>
          </cell>
          <cell r="M940">
            <v>-274900.53999999998</v>
          </cell>
        </row>
        <row r="941">
          <cell r="A941">
            <v>1594000695</v>
          </cell>
          <cell r="B941">
            <v>695</v>
          </cell>
          <cell r="C941">
            <v>594000</v>
          </cell>
          <cell r="D941">
            <v>1</v>
          </cell>
          <cell r="F941" t="str">
            <v>חשמל - מוזיאון הקריקטורות</v>
          </cell>
          <cell r="G941" t="str">
            <v>קשיח</v>
          </cell>
          <cell r="H941">
            <v>-1</v>
          </cell>
          <cell r="I941">
            <v>0</v>
          </cell>
          <cell r="J941">
            <v>-15000</v>
          </cell>
          <cell r="K941">
            <v>-20755.099999999999</v>
          </cell>
          <cell r="L941">
            <v>-15000</v>
          </cell>
          <cell r="M941">
            <v>-4919.7299999999996</v>
          </cell>
        </row>
        <row r="942">
          <cell r="A942">
            <v>1594000791</v>
          </cell>
          <cell r="B942">
            <v>791</v>
          </cell>
          <cell r="C942">
            <v>594000</v>
          </cell>
          <cell r="D942">
            <v>1</v>
          </cell>
          <cell r="F942" t="str">
            <v xml:space="preserve">הכנסות משכ"ל    </v>
          </cell>
          <cell r="G942" t="str">
            <v>גמיש</v>
          </cell>
          <cell r="I942">
            <v>0</v>
          </cell>
          <cell r="J942">
            <v>0</v>
          </cell>
          <cell r="K942">
            <v>0</v>
          </cell>
          <cell r="L942">
            <v>-50000</v>
          </cell>
          <cell r="M942">
            <v>-21142</v>
          </cell>
        </row>
        <row r="943">
          <cell r="A943">
            <v>1594000792</v>
          </cell>
          <cell r="B943">
            <v>792</v>
          </cell>
          <cell r="C943">
            <v>594000</v>
          </cell>
          <cell r="D943">
            <v>1</v>
          </cell>
          <cell r="F943" t="str">
            <v>קרן ארנונה</v>
          </cell>
          <cell r="G943" t="str">
            <v>קשיח</v>
          </cell>
          <cell r="H943">
            <v>-1</v>
          </cell>
          <cell r="I943">
            <v>0</v>
          </cell>
          <cell r="J943">
            <v>-2151500</v>
          </cell>
          <cell r="K943">
            <v>0</v>
          </cell>
          <cell r="L943">
            <v>0</v>
          </cell>
          <cell r="M943">
            <v>-4051050</v>
          </cell>
        </row>
        <row r="944">
          <cell r="A944" t="e">
            <v>#VALUE!</v>
          </cell>
          <cell r="B944" t="str">
            <v>594000  סך הכל</v>
          </cell>
          <cell r="F944" t="str">
            <v xml:space="preserve">הכנסות מיוחדות    </v>
          </cell>
          <cell r="H944">
            <v>-0.39813532724083822</v>
          </cell>
          <cell r="I944">
            <v>-3260000</v>
          </cell>
          <cell r="J944">
            <v>-5416500</v>
          </cell>
          <cell r="K944">
            <v>-937452.03999999992</v>
          </cell>
          <cell r="L944">
            <v>-2315000</v>
          </cell>
          <cell r="M944">
            <v>-9508081.2600000016</v>
          </cell>
        </row>
        <row r="945">
          <cell r="A945">
            <v>15993000</v>
          </cell>
          <cell r="B945">
            <v>0</v>
          </cell>
          <cell r="C945">
            <v>599300</v>
          </cell>
          <cell r="D945">
            <v>1</v>
          </cell>
          <cell r="F945" t="str">
            <v>העברות</v>
          </cell>
          <cell r="G945" t="str">
            <v xml:space="preserve"> </v>
          </cell>
        </row>
        <row r="946">
          <cell r="A946">
            <v>1599300690</v>
          </cell>
          <cell r="B946">
            <v>690</v>
          </cell>
          <cell r="C946">
            <v>599300</v>
          </cell>
          <cell r="D946">
            <v>1</v>
          </cell>
          <cell r="F946" t="str">
            <v>העברת יתרות</v>
          </cell>
          <cell r="G946" t="str">
            <v>גמיש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M946">
            <v>94126584.620000005</v>
          </cell>
        </row>
        <row r="947">
          <cell r="A947" t="e">
            <v>#VALUE!</v>
          </cell>
          <cell r="B947" t="str">
            <v>599300  סך הכל</v>
          </cell>
          <cell r="F947" t="str">
            <v>העברות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M947">
            <v>94126584.620000005</v>
          </cell>
        </row>
        <row r="948">
          <cell r="B948" t="str">
            <v>סה"כ  תקבולים</v>
          </cell>
          <cell r="H948">
            <v>6.7236557382407636E-2</v>
          </cell>
          <cell r="I948">
            <v>-2040623000</v>
          </cell>
          <cell r="J948">
            <v>-1912062500</v>
          </cell>
          <cell r="K948">
            <v>-1034913616.4199998</v>
          </cell>
          <cell r="L948">
            <v>-1842554000</v>
          </cell>
          <cell r="M948">
            <v>-1848816332.7000012</v>
          </cell>
        </row>
        <row r="949">
          <cell r="F949" t="str">
            <v>תשלומים</v>
          </cell>
        </row>
        <row r="950">
          <cell r="A950">
            <v>16000000</v>
          </cell>
          <cell r="B950">
            <v>0</v>
          </cell>
          <cell r="C950">
            <v>600000</v>
          </cell>
          <cell r="D950">
            <v>1</v>
          </cell>
          <cell r="F950" t="str">
            <v xml:space="preserve">הנהלה כללית       </v>
          </cell>
        </row>
        <row r="951">
          <cell r="A951">
            <v>1611100110</v>
          </cell>
          <cell r="B951">
            <v>110</v>
          </cell>
          <cell r="C951">
            <v>611100</v>
          </cell>
          <cell r="D951">
            <v>1</v>
          </cell>
          <cell r="F951" t="str">
            <v>השכר הקובע-תקציבית</v>
          </cell>
          <cell r="G951" t="str">
            <v>שכר</v>
          </cell>
          <cell r="I951">
            <v>0</v>
          </cell>
          <cell r="J951">
            <v>0</v>
          </cell>
          <cell r="K951">
            <v>0</v>
          </cell>
          <cell r="L951">
            <v>330000</v>
          </cell>
          <cell r="M951">
            <v>482130.36</v>
          </cell>
        </row>
        <row r="952">
          <cell r="A952">
            <v>1611100119</v>
          </cell>
          <cell r="B952">
            <v>119</v>
          </cell>
          <cell r="C952">
            <v>611100</v>
          </cell>
          <cell r="D952">
            <v>1</v>
          </cell>
          <cell r="F952" t="str">
            <v xml:space="preserve">השכר הקובע-צוברת  </v>
          </cell>
          <cell r="G952" t="str">
            <v>שכר</v>
          </cell>
          <cell r="H952">
            <v>3.8679194208372625E-2</v>
          </cell>
          <cell r="I952">
            <v>8249709.4999999991</v>
          </cell>
          <cell r="J952">
            <v>7942500</v>
          </cell>
          <cell r="K952">
            <v>4573612.96</v>
          </cell>
          <cell r="L952">
            <v>7273000</v>
          </cell>
          <cell r="M952">
            <v>6353986.1399999997</v>
          </cell>
        </row>
        <row r="953">
          <cell r="A953">
            <v>1611100122</v>
          </cell>
          <cell r="B953">
            <v>122</v>
          </cell>
          <cell r="C953">
            <v>611100</v>
          </cell>
          <cell r="D953">
            <v>1</v>
          </cell>
          <cell r="F953" t="str">
            <v xml:space="preserve">ביגוד             </v>
          </cell>
          <cell r="G953" t="str">
            <v>שכר</v>
          </cell>
          <cell r="H953">
            <v>3.5313895384751159E-2</v>
          </cell>
          <cell r="I953">
            <v>66260.089304624067</v>
          </cell>
          <cell r="J953">
            <v>64000</v>
          </cell>
          <cell r="K953">
            <v>49563.97</v>
          </cell>
          <cell r="L953">
            <v>49200</v>
          </cell>
          <cell r="M953">
            <v>63139.41</v>
          </cell>
        </row>
        <row r="954">
          <cell r="A954">
            <v>1611100126</v>
          </cell>
          <cell r="B954">
            <v>126</v>
          </cell>
          <cell r="C954">
            <v>611100</v>
          </cell>
          <cell r="D954">
            <v>1</v>
          </cell>
          <cell r="F954" t="str">
            <v xml:space="preserve">דמי הבראה         </v>
          </cell>
          <cell r="G954" t="str">
            <v>שכר</v>
          </cell>
          <cell r="H954">
            <v>3.5269284877504692E-2</v>
          </cell>
          <cell r="I954">
            <v>107150.37098482174</v>
          </cell>
          <cell r="J954">
            <v>103500</v>
          </cell>
          <cell r="K954">
            <v>56196.15</v>
          </cell>
          <cell r="L954">
            <v>67000</v>
          </cell>
          <cell r="M954">
            <v>103470.39</v>
          </cell>
        </row>
        <row r="955">
          <cell r="A955">
            <v>1611100130</v>
          </cell>
          <cell r="B955">
            <v>130</v>
          </cell>
          <cell r="C955">
            <v>611100</v>
          </cell>
          <cell r="D955">
            <v>1</v>
          </cell>
          <cell r="F955" t="str">
            <v xml:space="preserve">שעות נוספות       </v>
          </cell>
          <cell r="G955" t="str">
            <v>שכר</v>
          </cell>
          <cell r="H955">
            <v>23.255813953488371</v>
          </cell>
          <cell r="I955">
            <v>125160</v>
          </cell>
          <cell r="J955">
            <v>5160</v>
          </cell>
          <cell r="K955">
            <v>66859.88</v>
          </cell>
          <cell r="L955">
            <v>6000</v>
          </cell>
          <cell r="M955">
            <v>33353.82</v>
          </cell>
        </row>
        <row r="956">
          <cell r="A956">
            <v>1611100140</v>
          </cell>
          <cell r="B956">
            <v>140</v>
          </cell>
          <cell r="C956">
            <v>611100</v>
          </cell>
          <cell r="D956">
            <v>1</v>
          </cell>
          <cell r="F956" t="str">
            <v>השתתפות באחזקת רכב</v>
          </cell>
          <cell r="G956" t="str">
            <v>שכר</v>
          </cell>
          <cell r="H956">
            <v>0</v>
          </cell>
          <cell r="I956">
            <v>592000</v>
          </cell>
          <cell r="J956">
            <v>592000</v>
          </cell>
          <cell r="K956">
            <v>458098.67</v>
          </cell>
          <cell r="L956">
            <v>592000</v>
          </cell>
          <cell r="M956">
            <v>590113.9</v>
          </cell>
        </row>
        <row r="957">
          <cell r="A957">
            <v>1611100253</v>
          </cell>
          <cell r="B957">
            <v>253</v>
          </cell>
          <cell r="C957">
            <v>611100</v>
          </cell>
          <cell r="D957">
            <v>1</v>
          </cell>
          <cell r="F957" t="str">
            <v xml:space="preserve">עובדים חיצוניים   </v>
          </cell>
          <cell r="G957" t="str">
            <v>שכר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  <cell r="M957">
            <v>151380.16</v>
          </cell>
        </row>
        <row r="958">
          <cell r="A958">
            <v>1611100350</v>
          </cell>
          <cell r="B958">
            <v>350</v>
          </cell>
          <cell r="C958">
            <v>611100</v>
          </cell>
          <cell r="D958">
            <v>1</v>
          </cell>
          <cell r="F958" t="str">
            <v>ליסינג</v>
          </cell>
          <cell r="G958" t="str">
            <v>שכר</v>
          </cell>
          <cell r="H958">
            <v>1.1043333333333334</v>
          </cell>
          <cell r="I958">
            <v>126260</v>
          </cell>
          <cell r="J958">
            <v>60000</v>
          </cell>
          <cell r="K958">
            <v>34410.699999999997</v>
          </cell>
          <cell r="L958">
            <v>0</v>
          </cell>
          <cell r="M958">
            <v>28946.65</v>
          </cell>
        </row>
        <row r="959">
          <cell r="A959">
            <v>1611100351</v>
          </cell>
          <cell r="B959">
            <v>351</v>
          </cell>
          <cell r="C959">
            <v>611100</v>
          </cell>
          <cell r="D959">
            <v>1</v>
          </cell>
          <cell r="F959" t="str">
            <v xml:space="preserve">הוצאות </v>
          </cell>
          <cell r="G959" t="str">
            <v>שכר</v>
          </cell>
          <cell r="H959">
            <v>1</v>
          </cell>
          <cell r="I959">
            <v>50000</v>
          </cell>
          <cell r="J959">
            <v>25000</v>
          </cell>
          <cell r="K959">
            <v>3975.82</v>
          </cell>
          <cell r="L959">
            <v>0</v>
          </cell>
          <cell r="M959">
            <v>5345.18</v>
          </cell>
        </row>
        <row r="960">
          <cell r="A960">
            <v>1611100353</v>
          </cell>
          <cell r="B960">
            <v>353</v>
          </cell>
          <cell r="C960">
            <v>611100</v>
          </cell>
          <cell r="D960">
            <v>1</v>
          </cell>
          <cell r="F960" t="str">
            <v>הוצאות רכב</v>
          </cell>
          <cell r="G960" t="str">
            <v>שכר</v>
          </cell>
          <cell r="H960">
            <v>-1</v>
          </cell>
          <cell r="I960">
            <v>0</v>
          </cell>
          <cell r="J960">
            <v>20000</v>
          </cell>
          <cell r="K960">
            <v>0</v>
          </cell>
          <cell r="L960">
            <v>20000</v>
          </cell>
          <cell r="M960">
            <v>1295.08</v>
          </cell>
        </row>
        <row r="961">
          <cell r="A961">
            <v>1611100441</v>
          </cell>
          <cell r="B961">
            <v>441</v>
          </cell>
          <cell r="C961">
            <v>611100</v>
          </cell>
          <cell r="D961">
            <v>1</v>
          </cell>
          <cell r="F961" t="str">
            <v>בטוח אחריות בכירים</v>
          </cell>
          <cell r="G961" t="str">
            <v>קשיח</v>
          </cell>
          <cell r="H961">
            <v>4.3290043290042934E-3</v>
          </cell>
          <cell r="I961">
            <v>232000</v>
          </cell>
          <cell r="J961">
            <v>231000</v>
          </cell>
          <cell r="K961">
            <v>0</v>
          </cell>
          <cell r="L961">
            <v>250000</v>
          </cell>
          <cell r="M961">
            <v>231282</v>
          </cell>
        </row>
        <row r="962">
          <cell r="A962">
            <v>1611100471</v>
          </cell>
          <cell r="B962">
            <v>471</v>
          </cell>
          <cell r="C962">
            <v>611100</v>
          </cell>
          <cell r="D962">
            <v>1</v>
          </cell>
          <cell r="F962" t="str">
            <v xml:space="preserve">מכשירי כתיבה      </v>
          </cell>
          <cell r="G962" t="str">
            <v>גמיש</v>
          </cell>
          <cell r="H962">
            <v>0.44770177343467243</v>
          </cell>
          <cell r="I962">
            <v>40000</v>
          </cell>
          <cell r="J962">
            <v>27630</v>
          </cell>
          <cell r="K962">
            <v>17550.66</v>
          </cell>
          <cell r="L962">
            <v>30700</v>
          </cell>
          <cell r="M962">
            <v>39678.230000000003</v>
          </cell>
        </row>
        <row r="963">
          <cell r="A963">
            <v>1611100492</v>
          </cell>
          <cell r="B963">
            <v>492</v>
          </cell>
          <cell r="C963">
            <v>611100</v>
          </cell>
          <cell r="D963">
            <v>1</v>
          </cell>
          <cell r="F963" t="str">
            <v xml:space="preserve">השתתפות בעזר 092  </v>
          </cell>
          <cell r="G963" t="str">
            <v>קשיח</v>
          </cell>
          <cell r="H963">
            <v>2.0821917808219181E-2</v>
          </cell>
          <cell r="I963">
            <v>931500</v>
          </cell>
          <cell r="J963">
            <v>912500</v>
          </cell>
          <cell r="K963">
            <v>360554</v>
          </cell>
          <cell r="L963">
            <v>431000</v>
          </cell>
          <cell r="M963">
            <v>471935</v>
          </cell>
        </row>
        <row r="964">
          <cell r="A964">
            <v>1611100511</v>
          </cell>
          <cell r="B964">
            <v>511</v>
          </cell>
          <cell r="C964">
            <v>611100</v>
          </cell>
          <cell r="D964">
            <v>1</v>
          </cell>
          <cell r="F964" t="str">
            <v xml:space="preserve">אירוח וכיבוד      </v>
          </cell>
          <cell r="G964" t="str">
            <v>גמיש</v>
          </cell>
          <cell r="H964">
            <v>9.9332548095798945E-2</v>
          </cell>
          <cell r="I964">
            <v>56000</v>
          </cell>
          <cell r="J964">
            <v>50940</v>
          </cell>
          <cell r="K964">
            <v>23446.639999999999</v>
          </cell>
          <cell r="L964">
            <v>56000</v>
          </cell>
          <cell r="M964">
            <v>69372.88</v>
          </cell>
        </row>
        <row r="965">
          <cell r="A965">
            <v>1611100512</v>
          </cell>
          <cell r="B965">
            <v>512</v>
          </cell>
          <cell r="C965">
            <v>611100</v>
          </cell>
          <cell r="D965">
            <v>1</v>
          </cell>
          <cell r="F965" t="str">
            <v xml:space="preserve">נסיעות ואש"ל      </v>
          </cell>
          <cell r="G965" t="str">
            <v>גמיש</v>
          </cell>
          <cell r="H965">
            <v>0</v>
          </cell>
          <cell r="I965">
            <v>1710</v>
          </cell>
          <cell r="J965">
            <v>1710</v>
          </cell>
          <cell r="K965">
            <v>203</v>
          </cell>
          <cell r="L965">
            <v>1900</v>
          </cell>
          <cell r="M965">
            <v>40</v>
          </cell>
        </row>
        <row r="966">
          <cell r="A966">
            <v>1611100522</v>
          </cell>
          <cell r="B966">
            <v>522</v>
          </cell>
          <cell r="C966">
            <v>611100</v>
          </cell>
          <cell r="D966">
            <v>1</v>
          </cell>
          <cell r="F966" t="str">
            <v xml:space="preserve">ספרים ועיתונים    </v>
          </cell>
          <cell r="G966" t="str">
            <v>גמיש</v>
          </cell>
          <cell r="H966">
            <v>-0.35022742040285904</v>
          </cell>
          <cell r="I966">
            <v>10000</v>
          </cell>
          <cell r="J966">
            <v>15390</v>
          </cell>
          <cell r="K966">
            <v>1416</v>
          </cell>
          <cell r="L966">
            <v>17100</v>
          </cell>
          <cell r="M966">
            <v>3635.25</v>
          </cell>
        </row>
        <row r="967">
          <cell r="A967">
            <v>1611100540</v>
          </cell>
          <cell r="B967">
            <v>540</v>
          </cell>
          <cell r="C967">
            <v>611100</v>
          </cell>
          <cell r="D967">
            <v>1</v>
          </cell>
          <cell r="F967" t="str">
            <v xml:space="preserve">הוצאות טלפון      </v>
          </cell>
          <cell r="G967" t="str">
            <v>קשיח</v>
          </cell>
          <cell r="H967">
            <v>-1</v>
          </cell>
          <cell r="I967">
            <v>0</v>
          </cell>
          <cell r="J967">
            <v>1700</v>
          </cell>
          <cell r="K967">
            <v>0</v>
          </cell>
          <cell r="L967">
            <v>1700</v>
          </cell>
          <cell r="M967">
            <v>0</v>
          </cell>
        </row>
        <row r="968">
          <cell r="A968">
            <v>1611100543</v>
          </cell>
          <cell r="B968">
            <v>543</v>
          </cell>
          <cell r="C968">
            <v>611100</v>
          </cell>
          <cell r="D968">
            <v>1</v>
          </cell>
          <cell r="F968" t="str">
            <v xml:space="preserve">טלפונים סלולריים  </v>
          </cell>
          <cell r="G968" t="str">
            <v>גמיש</v>
          </cell>
          <cell r="H968">
            <v>-1</v>
          </cell>
          <cell r="I968">
            <v>0</v>
          </cell>
          <cell r="J968">
            <v>19260</v>
          </cell>
          <cell r="K968">
            <v>0</v>
          </cell>
          <cell r="L968">
            <v>21400</v>
          </cell>
          <cell r="M968">
            <v>0</v>
          </cell>
        </row>
        <row r="969">
          <cell r="A969">
            <v>1611100544</v>
          </cell>
          <cell r="B969">
            <v>544</v>
          </cell>
          <cell r="C969">
            <v>611100</v>
          </cell>
          <cell r="D969">
            <v>1</v>
          </cell>
          <cell r="F969" t="str">
            <v xml:space="preserve">הוצאות דאר        </v>
          </cell>
          <cell r="G969" t="str">
            <v>קשיח</v>
          </cell>
          <cell r="H969">
            <v>0</v>
          </cell>
          <cell r="I969">
            <v>34500</v>
          </cell>
          <cell r="J969">
            <v>34500</v>
          </cell>
          <cell r="K969">
            <v>3051.7</v>
          </cell>
          <cell r="L969">
            <v>34200</v>
          </cell>
          <cell r="M969">
            <v>2304.19</v>
          </cell>
        </row>
        <row r="970">
          <cell r="A970">
            <v>1611100552</v>
          </cell>
          <cell r="B970">
            <v>552</v>
          </cell>
          <cell r="C970">
            <v>611100</v>
          </cell>
          <cell r="D970">
            <v>1</v>
          </cell>
          <cell r="F970" t="str">
            <v>דוברות</v>
          </cell>
          <cell r="G970" t="str">
            <v>גמיש</v>
          </cell>
          <cell r="H970">
            <v>0.43611111111111112</v>
          </cell>
          <cell r="I970">
            <v>1034000</v>
          </cell>
          <cell r="J970">
            <v>720000</v>
          </cell>
          <cell r="K970">
            <v>335133.34999999998</v>
          </cell>
          <cell r="L970">
            <v>1000000</v>
          </cell>
          <cell r="M970">
            <v>966466.56000000006</v>
          </cell>
        </row>
        <row r="971">
          <cell r="A971">
            <v>1611100553</v>
          </cell>
          <cell r="B971">
            <v>553</v>
          </cell>
          <cell r="C971">
            <v>611100</v>
          </cell>
          <cell r="D971">
            <v>1</v>
          </cell>
          <cell r="F971" t="str">
            <v>הסברה</v>
          </cell>
          <cell r="G971" t="str">
            <v>גמיש</v>
          </cell>
          <cell r="H971">
            <v>0.58092688213170152</v>
          </cell>
          <cell r="I971">
            <v>496000</v>
          </cell>
          <cell r="J971">
            <v>313740</v>
          </cell>
          <cell r="K971">
            <v>135232.07</v>
          </cell>
          <cell r="L971">
            <v>528600</v>
          </cell>
          <cell r="M971">
            <v>142155</v>
          </cell>
        </row>
        <row r="972">
          <cell r="A972">
            <v>1611100554</v>
          </cell>
          <cell r="B972">
            <v>554</v>
          </cell>
          <cell r="C972">
            <v>611100</v>
          </cell>
          <cell r="D972">
            <v>1</v>
          </cell>
          <cell r="F972" t="str">
            <v>פרסום הליכות ג'יין</v>
          </cell>
          <cell r="G972" t="str">
            <v>גמיש</v>
          </cell>
          <cell r="I972">
            <v>0</v>
          </cell>
          <cell r="J972">
            <v>0</v>
          </cell>
          <cell r="K972">
            <v>0</v>
          </cell>
          <cell r="L972">
            <v>25000</v>
          </cell>
          <cell r="M972">
            <v>0</v>
          </cell>
        </row>
        <row r="973">
          <cell r="A973">
            <v>1611100555</v>
          </cell>
          <cell r="B973">
            <v>555</v>
          </cell>
          <cell r="C973">
            <v>611100</v>
          </cell>
          <cell r="D973">
            <v>1</v>
          </cell>
          <cell r="F973" t="str">
            <v>צלמים</v>
          </cell>
          <cell r="G973" t="str">
            <v>גמיש</v>
          </cell>
          <cell r="H973">
            <v>-1</v>
          </cell>
          <cell r="I973">
            <v>0</v>
          </cell>
          <cell r="J973">
            <v>225000</v>
          </cell>
          <cell r="K973">
            <v>173917.25</v>
          </cell>
          <cell r="L973">
            <v>0</v>
          </cell>
          <cell r="M973">
            <v>0</v>
          </cell>
        </row>
        <row r="974">
          <cell r="A974">
            <v>1611100556</v>
          </cell>
          <cell r="B974">
            <v>556</v>
          </cell>
          <cell r="C974">
            <v>611100</v>
          </cell>
          <cell r="D974">
            <v>1</v>
          </cell>
          <cell r="F974" t="str">
            <v>כתיבת טקסטים</v>
          </cell>
          <cell r="G974" t="str">
            <v>גמיש</v>
          </cell>
          <cell r="H974">
            <v>-1</v>
          </cell>
          <cell r="I974">
            <v>0</v>
          </cell>
          <cell r="J974">
            <v>270000</v>
          </cell>
          <cell r="K974">
            <v>42923.9</v>
          </cell>
          <cell r="L974">
            <v>0</v>
          </cell>
          <cell r="M974">
            <v>0</v>
          </cell>
        </row>
        <row r="975">
          <cell r="A975">
            <v>1611100561</v>
          </cell>
          <cell r="B975">
            <v>561</v>
          </cell>
          <cell r="C975">
            <v>611100</v>
          </cell>
          <cell r="D975">
            <v>1</v>
          </cell>
          <cell r="F975" t="str">
            <v xml:space="preserve">שיכפולים          </v>
          </cell>
          <cell r="G975" t="str">
            <v>גמיש</v>
          </cell>
          <cell r="H975">
            <v>-1</v>
          </cell>
          <cell r="I975">
            <v>0</v>
          </cell>
          <cell r="J975">
            <v>7740</v>
          </cell>
          <cell r="K975">
            <v>0</v>
          </cell>
          <cell r="L975">
            <v>8600</v>
          </cell>
          <cell r="M975">
            <v>0</v>
          </cell>
        </row>
        <row r="976">
          <cell r="A976">
            <v>1611100562</v>
          </cell>
          <cell r="B976">
            <v>562</v>
          </cell>
          <cell r="C976">
            <v>611100</v>
          </cell>
          <cell r="D976">
            <v>1</v>
          </cell>
          <cell r="F976" t="str">
            <v xml:space="preserve">הדפסות            </v>
          </cell>
          <cell r="G976" t="str">
            <v>גמיש</v>
          </cell>
          <cell r="H976">
            <v>0.11111111111111116</v>
          </cell>
          <cell r="I976">
            <v>6000</v>
          </cell>
          <cell r="J976">
            <v>5400</v>
          </cell>
          <cell r="K976">
            <v>0</v>
          </cell>
          <cell r="L976">
            <v>6000</v>
          </cell>
          <cell r="M976">
            <v>3503.4</v>
          </cell>
        </row>
        <row r="977">
          <cell r="A977">
            <v>1611100563</v>
          </cell>
          <cell r="B977">
            <v>563</v>
          </cell>
          <cell r="C977">
            <v>611100</v>
          </cell>
          <cell r="D977">
            <v>1</v>
          </cell>
          <cell r="F977" t="str">
            <v xml:space="preserve">הדפסת פרטיכלים    </v>
          </cell>
          <cell r="G977" t="str">
            <v>גמיש</v>
          </cell>
          <cell r="H977">
            <v>2.0864197530864197</v>
          </cell>
          <cell r="I977">
            <v>50000</v>
          </cell>
          <cell r="J977">
            <v>16200</v>
          </cell>
          <cell r="K977">
            <v>23571.9</v>
          </cell>
          <cell r="L977">
            <v>18000</v>
          </cell>
          <cell r="M977">
            <v>25987.9</v>
          </cell>
        </row>
        <row r="978">
          <cell r="A978">
            <v>1611100571</v>
          </cell>
          <cell r="B978">
            <v>571</v>
          </cell>
          <cell r="C978">
            <v>611100</v>
          </cell>
          <cell r="D978">
            <v>1</v>
          </cell>
          <cell r="F978" t="str">
            <v xml:space="preserve">מיכון וענ"א       </v>
          </cell>
          <cell r="G978" t="str">
            <v>קשיח</v>
          </cell>
          <cell r="H978">
            <v>0</v>
          </cell>
          <cell r="I978">
            <v>259100</v>
          </cell>
          <cell r="J978">
            <v>259100</v>
          </cell>
          <cell r="K978">
            <v>129550</v>
          </cell>
          <cell r="L978">
            <v>212400</v>
          </cell>
          <cell r="M978">
            <v>212400</v>
          </cell>
        </row>
        <row r="979">
          <cell r="A979">
            <v>1611100596</v>
          </cell>
          <cell r="B979">
            <v>596</v>
          </cell>
          <cell r="C979">
            <v>611100</v>
          </cell>
          <cell r="D979">
            <v>1</v>
          </cell>
          <cell r="F979" t="str">
            <v xml:space="preserve">השתתפות בעזר 096  </v>
          </cell>
          <cell r="G979" t="str">
            <v>קשיח</v>
          </cell>
          <cell r="H979">
            <v>0</v>
          </cell>
          <cell r="I979">
            <v>141500</v>
          </cell>
          <cell r="J979">
            <v>141500</v>
          </cell>
          <cell r="K979">
            <v>57491</v>
          </cell>
          <cell r="L979">
            <v>132500</v>
          </cell>
          <cell r="M979">
            <v>123848</v>
          </cell>
        </row>
        <row r="980">
          <cell r="A980">
            <v>1611100780</v>
          </cell>
          <cell r="B980">
            <v>780</v>
          </cell>
          <cell r="C980">
            <v>611100</v>
          </cell>
          <cell r="D980">
            <v>1</v>
          </cell>
          <cell r="F980" t="str">
            <v>השכרת פרומפטר</v>
          </cell>
          <cell r="G980" t="str">
            <v>גמיש</v>
          </cell>
          <cell r="H980">
            <v>0</v>
          </cell>
          <cell r="I980">
            <v>27000</v>
          </cell>
          <cell r="J980">
            <v>27000</v>
          </cell>
          <cell r="K980">
            <v>0</v>
          </cell>
          <cell r="L980">
            <v>0</v>
          </cell>
          <cell r="M980">
            <v>0</v>
          </cell>
        </row>
        <row r="981">
          <cell r="A981" t="e">
            <v>#VALUE!</v>
          </cell>
          <cell r="B981" t="str">
            <v>611100  סך הכל</v>
          </cell>
          <cell r="F981" t="str">
            <v xml:space="preserve">ראש  הרשות וסגניו </v>
          </cell>
          <cell r="H981">
            <v>4.4935398664577519E-2</v>
          </cell>
          <cell r="I981">
            <v>12635849.960289445</v>
          </cell>
          <cell r="J981">
            <v>12092470</v>
          </cell>
          <cell r="K981">
            <v>6546759.620000001</v>
          </cell>
          <cell r="L981">
            <v>11112300</v>
          </cell>
          <cell r="M981">
            <v>10105769.500000002</v>
          </cell>
        </row>
        <row r="982">
          <cell r="A982">
            <v>16120000</v>
          </cell>
          <cell r="B982">
            <v>0</v>
          </cell>
          <cell r="C982">
            <v>612000</v>
          </cell>
          <cell r="D982">
            <v>1</v>
          </cell>
          <cell r="F982" t="str">
            <v xml:space="preserve">מבקר הרשות        </v>
          </cell>
          <cell r="G982" t="str">
            <v xml:space="preserve"> </v>
          </cell>
        </row>
        <row r="983">
          <cell r="A983">
            <v>1612000110</v>
          </cell>
          <cell r="B983">
            <v>110</v>
          </cell>
          <cell r="C983">
            <v>612000</v>
          </cell>
          <cell r="D983">
            <v>1</v>
          </cell>
          <cell r="F983" t="str">
            <v>השכר הקובע-תקציבית</v>
          </cell>
          <cell r="G983" t="str">
            <v>שכר</v>
          </cell>
          <cell r="I983">
            <v>0</v>
          </cell>
          <cell r="J983">
            <v>0</v>
          </cell>
          <cell r="K983">
            <v>0</v>
          </cell>
          <cell r="L983">
            <v>690000</v>
          </cell>
          <cell r="M983">
            <v>591477.37</v>
          </cell>
        </row>
        <row r="984">
          <cell r="A984">
            <v>1612000119</v>
          </cell>
          <cell r="B984">
            <v>119</v>
          </cell>
          <cell r="C984">
            <v>612000</v>
          </cell>
          <cell r="D984">
            <v>1</v>
          </cell>
          <cell r="F984" t="str">
            <v xml:space="preserve">השכר הקובע-צוברת  </v>
          </cell>
          <cell r="G984" t="str">
            <v>שכר</v>
          </cell>
          <cell r="H984">
            <v>0.11036135152315296</v>
          </cell>
          <cell r="I984">
            <v>2270800</v>
          </cell>
          <cell r="J984">
            <v>2045100</v>
          </cell>
          <cell r="K984">
            <v>935268.24</v>
          </cell>
          <cell r="L984">
            <v>1184700</v>
          </cell>
          <cell r="M984">
            <v>866249.73</v>
          </cell>
        </row>
        <row r="985">
          <cell r="A985">
            <v>1612000122</v>
          </cell>
          <cell r="B985">
            <v>122</v>
          </cell>
          <cell r="C985">
            <v>612000</v>
          </cell>
          <cell r="D985">
            <v>1</v>
          </cell>
          <cell r="F985" t="str">
            <v xml:space="preserve">ביגוד             </v>
          </cell>
          <cell r="G985" t="str">
            <v>שכר</v>
          </cell>
          <cell r="H985">
            <v>-0.52</v>
          </cell>
          <cell r="I985">
            <v>30000</v>
          </cell>
          <cell r="J985">
            <v>62500</v>
          </cell>
          <cell r="K985">
            <v>10202.17</v>
          </cell>
          <cell r="L985">
            <v>62500</v>
          </cell>
          <cell r="M985">
            <v>14924.12</v>
          </cell>
        </row>
        <row r="986">
          <cell r="A986">
            <v>1612000126</v>
          </cell>
          <cell r="B986">
            <v>126</v>
          </cell>
          <cell r="C986">
            <v>612000</v>
          </cell>
          <cell r="D986">
            <v>1</v>
          </cell>
          <cell r="F986" t="str">
            <v xml:space="preserve">דמי הבראה         </v>
          </cell>
          <cell r="G986" t="str">
            <v>שכר</v>
          </cell>
          <cell r="H986">
            <v>0</v>
          </cell>
          <cell r="I986">
            <v>35000</v>
          </cell>
          <cell r="J986">
            <v>35000</v>
          </cell>
          <cell r="K986">
            <v>20857.52</v>
          </cell>
          <cell r="L986">
            <v>35000</v>
          </cell>
          <cell r="M986">
            <v>26689.31</v>
          </cell>
        </row>
        <row r="987">
          <cell r="A987">
            <v>1612000140</v>
          </cell>
          <cell r="B987">
            <v>140</v>
          </cell>
          <cell r="C987">
            <v>612000</v>
          </cell>
          <cell r="D987">
            <v>1</v>
          </cell>
          <cell r="F987" t="str">
            <v>השתתפות באחזקת רכב</v>
          </cell>
          <cell r="G987" t="str">
            <v>שכר</v>
          </cell>
          <cell r="H987">
            <v>0</v>
          </cell>
          <cell r="I987">
            <v>225500</v>
          </cell>
          <cell r="J987">
            <v>225500</v>
          </cell>
          <cell r="K987">
            <v>99877.38</v>
          </cell>
          <cell r="L987">
            <v>225500</v>
          </cell>
          <cell r="M987">
            <v>105540.29</v>
          </cell>
        </row>
        <row r="988">
          <cell r="A988">
            <v>1612000350</v>
          </cell>
          <cell r="B988">
            <v>350</v>
          </cell>
          <cell r="C988">
            <v>612000</v>
          </cell>
          <cell r="D988">
            <v>1</v>
          </cell>
          <cell r="F988" t="str">
            <v>ליסינג - 272-41-803</v>
          </cell>
          <cell r="G988" t="str">
            <v>שכר</v>
          </cell>
          <cell r="H988">
            <v>2.2228888888888854E-2</v>
          </cell>
          <cell r="I988">
            <v>55200.36</v>
          </cell>
          <cell r="J988">
            <v>54000</v>
          </cell>
          <cell r="K988">
            <v>27188.1</v>
          </cell>
          <cell r="L988">
            <v>0</v>
          </cell>
          <cell r="M988">
            <v>22286.38</v>
          </cell>
        </row>
        <row r="989">
          <cell r="A989">
            <v>1612000351</v>
          </cell>
          <cell r="B989">
            <v>351</v>
          </cell>
          <cell r="C989">
            <v>612000</v>
          </cell>
          <cell r="D989">
            <v>1</v>
          </cell>
          <cell r="F989" t="str">
            <v>הוצאות - 272-41-803</v>
          </cell>
          <cell r="G989" t="str">
            <v>שכר</v>
          </cell>
          <cell r="H989">
            <v>0</v>
          </cell>
          <cell r="I989">
            <v>20000</v>
          </cell>
          <cell r="J989">
            <v>20000</v>
          </cell>
          <cell r="K989">
            <v>6876.04</v>
          </cell>
          <cell r="L989">
            <v>0</v>
          </cell>
          <cell r="M989">
            <v>0</v>
          </cell>
        </row>
        <row r="990">
          <cell r="A990">
            <v>1612000470</v>
          </cell>
          <cell r="B990">
            <v>470</v>
          </cell>
          <cell r="C990">
            <v>612000</v>
          </cell>
          <cell r="D990">
            <v>1</v>
          </cell>
          <cell r="F990" t="str">
            <v xml:space="preserve">אחזקת מכונות      </v>
          </cell>
          <cell r="G990" t="str">
            <v>קשיח</v>
          </cell>
          <cell r="H990">
            <v>0</v>
          </cell>
          <cell r="I990">
            <v>2100</v>
          </cell>
          <cell r="J990">
            <v>2100</v>
          </cell>
          <cell r="K990">
            <v>142.08000000000001</v>
          </cell>
          <cell r="L990">
            <v>2100</v>
          </cell>
          <cell r="M990">
            <v>0</v>
          </cell>
        </row>
        <row r="991">
          <cell r="A991">
            <v>1612000471</v>
          </cell>
          <cell r="B991">
            <v>471</v>
          </cell>
          <cell r="C991">
            <v>612000</v>
          </cell>
          <cell r="D991">
            <v>1</v>
          </cell>
          <cell r="F991" t="str">
            <v xml:space="preserve">מכשירי כתיבה      </v>
          </cell>
          <cell r="G991" t="str">
            <v>קשיח</v>
          </cell>
          <cell r="H991">
            <v>0</v>
          </cell>
          <cell r="I991">
            <v>12000</v>
          </cell>
          <cell r="J991">
            <v>12000</v>
          </cell>
          <cell r="K991">
            <v>558.79999999999995</v>
          </cell>
          <cell r="L991">
            <v>12000</v>
          </cell>
          <cell r="M991">
            <v>9313.2900000000009</v>
          </cell>
        </row>
        <row r="992">
          <cell r="A992">
            <v>1612000492</v>
          </cell>
          <cell r="B992">
            <v>492</v>
          </cell>
          <cell r="C992">
            <v>612000</v>
          </cell>
          <cell r="D992">
            <v>1</v>
          </cell>
          <cell r="F992" t="str">
            <v xml:space="preserve">השתתפות בעזר 092  </v>
          </cell>
          <cell r="G992" t="str">
            <v>קשיח</v>
          </cell>
          <cell r="H992">
            <v>0.64285714285714279</v>
          </cell>
          <cell r="I992">
            <v>23000</v>
          </cell>
          <cell r="J992">
            <v>14000</v>
          </cell>
          <cell r="K992">
            <v>5532</v>
          </cell>
          <cell r="L992">
            <v>14000</v>
          </cell>
          <cell r="M992">
            <v>15330</v>
          </cell>
        </row>
        <row r="993">
          <cell r="A993">
            <v>1612000511</v>
          </cell>
          <cell r="B993">
            <v>511</v>
          </cell>
          <cell r="C993">
            <v>612000</v>
          </cell>
          <cell r="D993">
            <v>1</v>
          </cell>
          <cell r="F993" t="str">
            <v xml:space="preserve">אירוח וכיבוד      </v>
          </cell>
          <cell r="G993" t="str">
            <v>קשיח</v>
          </cell>
          <cell r="H993">
            <v>-0.22535211267605637</v>
          </cell>
          <cell r="I993">
            <v>5500</v>
          </cell>
          <cell r="J993">
            <v>7100</v>
          </cell>
          <cell r="K993">
            <v>0</v>
          </cell>
          <cell r="L993">
            <v>7000</v>
          </cell>
          <cell r="M993">
            <v>6446.52</v>
          </cell>
        </row>
        <row r="994">
          <cell r="A994">
            <v>1612000512</v>
          </cell>
          <cell r="B994">
            <v>512</v>
          </cell>
          <cell r="C994">
            <v>612000</v>
          </cell>
          <cell r="D994">
            <v>1</v>
          </cell>
          <cell r="F994" t="str">
            <v xml:space="preserve">נסיעות ואש"ל      </v>
          </cell>
          <cell r="G994" t="str">
            <v>קשיח</v>
          </cell>
          <cell r="H994">
            <v>0</v>
          </cell>
          <cell r="I994">
            <v>1000</v>
          </cell>
          <cell r="J994">
            <v>1000</v>
          </cell>
          <cell r="K994">
            <v>0</v>
          </cell>
          <cell r="L994">
            <v>1000</v>
          </cell>
          <cell r="M994">
            <v>0</v>
          </cell>
        </row>
        <row r="995">
          <cell r="A995">
            <v>1612000521</v>
          </cell>
          <cell r="B995">
            <v>521</v>
          </cell>
          <cell r="C995">
            <v>612000</v>
          </cell>
          <cell r="D995">
            <v>1</v>
          </cell>
          <cell r="F995" t="str">
            <v>השתלמות עובדים</v>
          </cell>
          <cell r="G995" t="str">
            <v>קשיח</v>
          </cell>
          <cell r="H995">
            <v>0</v>
          </cell>
          <cell r="I995">
            <v>20000</v>
          </cell>
          <cell r="J995">
            <v>20000</v>
          </cell>
          <cell r="K995">
            <v>300</v>
          </cell>
          <cell r="L995">
            <v>20000</v>
          </cell>
          <cell r="M995">
            <v>0</v>
          </cell>
        </row>
        <row r="996">
          <cell r="A996">
            <v>1612000522</v>
          </cell>
          <cell r="B996">
            <v>522</v>
          </cell>
          <cell r="C996">
            <v>612000</v>
          </cell>
          <cell r="D996">
            <v>1</v>
          </cell>
          <cell r="F996" t="str">
            <v xml:space="preserve">ספרים ועיתונים    </v>
          </cell>
          <cell r="G996" t="str">
            <v>קשיח</v>
          </cell>
          <cell r="H996">
            <v>0</v>
          </cell>
          <cell r="I996">
            <v>8100</v>
          </cell>
          <cell r="J996">
            <v>8100</v>
          </cell>
          <cell r="K996">
            <v>0</v>
          </cell>
          <cell r="L996">
            <v>9000</v>
          </cell>
          <cell r="M996">
            <v>3222</v>
          </cell>
        </row>
        <row r="997">
          <cell r="A997">
            <v>1612000562</v>
          </cell>
          <cell r="B997">
            <v>562</v>
          </cell>
          <cell r="C997">
            <v>612000</v>
          </cell>
          <cell r="D997">
            <v>1</v>
          </cell>
          <cell r="F997" t="str">
            <v xml:space="preserve">הדפסות            </v>
          </cell>
          <cell r="G997" t="str">
            <v>קשיח</v>
          </cell>
          <cell r="H997">
            <v>0</v>
          </cell>
          <cell r="I997">
            <v>17200</v>
          </cell>
          <cell r="J997">
            <v>17200</v>
          </cell>
          <cell r="K997">
            <v>11633.62</v>
          </cell>
          <cell r="L997">
            <v>17200</v>
          </cell>
          <cell r="M997">
            <v>4758.6000000000004</v>
          </cell>
        </row>
        <row r="998">
          <cell r="A998">
            <v>1612000571</v>
          </cell>
          <cell r="B998">
            <v>571</v>
          </cell>
          <cell r="C998">
            <v>612000</v>
          </cell>
          <cell r="D998">
            <v>1</v>
          </cell>
          <cell r="F998" t="str">
            <v xml:space="preserve">מיכון וענ"א       </v>
          </cell>
          <cell r="G998" t="str">
            <v>קשיח</v>
          </cell>
          <cell r="H998">
            <v>0</v>
          </cell>
          <cell r="I998">
            <v>42100</v>
          </cell>
          <cell r="J998">
            <v>42100</v>
          </cell>
          <cell r="K998">
            <v>21050</v>
          </cell>
          <cell r="L998">
            <v>31500</v>
          </cell>
          <cell r="M998">
            <v>31500</v>
          </cell>
        </row>
        <row r="999">
          <cell r="A999">
            <v>1612000580</v>
          </cell>
          <cell r="B999">
            <v>580</v>
          </cell>
          <cell r="C999">
            <v>612000</v>
          </cell>
          <cell r="D999">
            <v>1</v>
          </cell>
          <cell r="F999" t="str">
            <v>סקרים ויעוץ חיצוני</v>
          </cell>
          <cell r="G999" t="str">
            <v>קשיח</v>
          </cell>
          <cell r="H999">
            <v>0</v>
          </cell>
          <cell r="I999">
            <v>450000</v>
          </cell>
          <cell r="J999">
            <v>450000</v>
          </cell>
          <cell r="K999">
            <v>37892</v>
          </cell>
          <cell r="L999">
            <v>300000</v>
          </cell>
          <cell r="M999">
            <v>157950</v>
          </cell>
        </row>
        <row r="1000">
          <cell r="A1000">
            <v>1612000596</v>
          </cell>
          <cell r="B1000">
            <v>596</v>
          </cell>
          <cell r="C1000">
            <v>612000</v>
          </cell>
          <cell r="D1000">
            <v>1</v>
          </cell>
          <cell r="F1000" t="str">
            <v xml:space="preserve">השתתפות בעזר 096  </v>
          </cell>
          <cell r="G1000" t="str">
            <v>קשיח</v>
          </cell>
          <cell r="H1000">
            <v>0.21052631578947367</v>
          </cell>
          <cell r="I1000">
            <v>23000</v>
          </cell>
          <cell r="J1000">
            <v>19000</v>
          </cell>
          <cell r="K1000">
            <v>7719</v>
          </cell>
          <cell r="L1000">
            <v>12000</v>
          </cell>
          <cell r="M1000">
            <v>11216</v>
          </cell>
        </row>
        <row r="1001">
          <cell r="A1001">
            <v>1612000781</v>
          </cell>
          <cell r="B1001">
            <v>781</v>
          </cell>
          <cell r="C1001">
            <v>612000</v>
          </cell>
          <cell r="D1001">
            <v>1</v>
          </cell>
          <cell r="F1001" t="str">
            <v>פעולות סמנכ''ל</v>
          </cell>
          <cell r="G1001" t="str">
            <v>קשיח</v>
          </cell>
          <cell r="H1001">
            <v>0</v>
          </cell>
          <cell r="I1001">
            <v>11000</v>
          </cell>
          <cell r="J1001">
            <v>11000</v>
          </cell>
          <cell r="K1001">
            <v>0</v>
          </cell>
          <cell r="L1001">
            <v>11000</v>
          </cell>
          <cell r="M1001">
            <v>5928.5</v>
          </cell>
        </row>
        <row r="1002">
          <cell r="A1002">
            <v>1612000794</v>
          </cell>
          <cell r="B1002">
            <v>794</v>
          </cell>
          <cell r="C1002">
            <v>612000</v>
          </cell>
          <cell r="D1002">
            <v>1</v>
          </cell>
          <cell r="F1002" t="str">
            <v xml:space="preserve">השתתפות בעזר 094  </v>
          </cell>
          <cell r="G1002" t="str">
            <v>קשיח</v>
          </cell>
          <cell r="H1002">
            <v>0</v>
          </cell>
          <cell r="I1002">
            <v>13500</v>
          </cell>
          <cell r="J1002">
            <v>13500</v>
          </cell>
          <cell r="K1002">
            <v>6378</v>
          </cell>
          <cell r="L1002">
            <v>13500</v>
          </cell>
          <cell r="M1002">
            <v>16103</v>
          </cell>
        </row>
        <row r="1003">
          <cell r="A1003" t="e">
            <v>#VALUE!</v>
          </cell>
          <cell r="B1003" t="str">
            <v>612000  סך הכל</v>
          </cell>
          <cell r="F1003" t="str">
            <v xml:space="preserve">מבקר הרשות        </v>
          </cell>
          <cell r="H1003">
            <v>6.727260721757311E-2</v>
          </cell>
          <cell r="I1003">
            <v>3265000.36</v>
          </cell>
          <cell r="J1003">
            <v>3059200</v>
          </cell>
          <cell r="K1003">
            <v>1191474.9500000004</v>
          </cell>
          <cell r="L1003">
            <v>2648000</v>
          </cell>
          <cell r="M1003">
            <v>1888935.1100000003</v>
          </cell>
        </row>
        <row r="1004">
          <cell r="A1004">
            <v>16130000</v>
          </cell>
          <cell r="B1004">
            <v>0</v>
          </cell>
          <cell r="C1004">
            <v>613000</v>
          </cell>
          <cell r="D1004">
            <v>1</v>
          </cell>
          <cell r="F1004" t="str">
            <v xml:space="preserve">מזכירות           </v>
          </cell>
          <cell r="G1004" t="str">
            <v xml:space="preserve"> </v>
          </cell>
        </row>
        <row r="1005">
          <cell r="A1005">
            <v>1613100110</v>
          </cell>
          <cell r="B1005">
            <v>110</v>
          </cell>
          <cell r="C1005">
            <v>613100</v>
          </cell>
          <cell r="D1005">
            <v>1</v>
          </cell>
          <cell r="F1005" t="str">
            <v>השכר הקובע-תקציבית</v>
          </cell>
          <cell r="G1005" t="str">
            <v>שכר</v>
          </cell>
          <cell r="H1005">
            <v>2.4985882352940969E-2</v>
          </cell>
          <cell r="I1005">
            <v>217809.49999999997</v>
          </cell>
          <cell r="J1005">
            <v>212500</v>
          </cell>
          <cell r="K1005">
            <v>137807.12</v>
          </cell>
          <cell r="L1005">
            <v>208300</v>
          </cell>
          <cell r="M1005">
            <v>230212.15</v>
          </cell>
        </row>
        <row r="1006">
          <cell r="A1006">
            <v>1613100119</v>
          </cell>
          <cell r="B1006">
            <v>119</v>
          </cell>
          <cell r="C1006">
            <v>613100</v>
          </cell>
          <cell r="D1006">
            <v>1</v>
          </cell>
          <cell r="F1006" t="str">
            <v xml:space="preserve">השכר הקובע-צוברת  </v>
          </cell>
          <cell r="G1006" t="str">
            <v>שכר</v>
          </cell>
          <cell r="H1006">
            <v>4.3979287972051084E-2</v>
          </cell>
          <cell r="I1006">
            <v>3137679.7499999995</v>
          </cell>
          <cell r="J1006">
            <v>3005500</v>
          </cell>
          <cell r="K1006">
            <v>1597319.05</v>
          </cell>
          <cell r="L1006">
            <v>2946600</v>
          </cell>
          <cell r="M1006">
            <v>2792694.01</v>
          </cell>
        </row>
        <row r="1007">
          <cell r="A1007">
            <v>1613100122</v>
          </cell>
          <cell r="B1007">
            <v>122</v>
          </cell>
          <cell r="C1007">
            <v>613100</v>
          </cell>
          <cell r="D1007">
            <v>1</v>
          </cell>
          <cell r="F1007" t="str">
            <v xml:space="preserve">ביגוד             </v>
          </cell>
          <cell r="G1007" t="str">
            <v>שכר</v>
          </cell>
          <cell r="H1007">
            <v>-0.13876388888888891</v>
          </cell>
          <cell r="I1007">
            <v>27559.555555555555</v>
          </cell>
          <cell r="J1007">
            <v>32000</v>
          </cell>
          <cell r="K1007">
            <v>32061.84</v>
          </cell>
          <cell r="L1007">
            <v>21000</v>
          </cell>
          <cell r="M1007">
            <v>32321.31</v>
          </cell>
        </row>
        <row r="1008">
          <cell r="A1008">
            <v>1613100126</v>
          </cell>
          <cell r="B1008">
            <v>126</v>
          </cell>
          <cell r="C1008">
            <v>613100</v>
          </cell>
          <cell r="D1008">
            <v>1</v>
          </cell>
          <cell r="F1008" t="str">
            <v xml:space="preserve">דמי הבראה         </v>
          </cell>
          <cell r="G1008" t="str">
            <v>שכר</v>
          </cell>
          <cell r="H1008">
            <v>-0.13887288888888882</v>
          </cell>
          <cell r="I1008">
            <v>53820.444444444445</v>
          </cell>
          <cell r="J1008">
            <v>62500</v>
          </cell>
          <cell r="K1008">
            <v>67792</v>
          </cell>
          <cell r="L1008">
            <v>45000</v>
          </cell>
          <cell r="M1008">
            <v>63660.37</v>
          </cell>
        </row>
        <row r="1009">
          <cell r="A1009">
            <v>1613100130</v>
          </cell>
          <cell r="B1009">
            <v>130</v>
          </cell>
          <cell r="C1009">
            <v>613100</v>
          </cell>
          <cell r="D1009">
            <v>1</v>
          </cell>
          <cell r="F1009" t="str">
            <v xml:space="preserve">שעות נוספות       </v>
          </cell>
          <cell r="G1009" t="str">
            <v>שכר</v>
          </cell>
          <cell r="H1009">
            <v>0</v>
          </cell>
          <cell r="I1009">
            <v>41190</v>
          </cell>
          <cell r="J1009">
            <v>41190</v>
          </cell>
          <cell r="K1009">
            <v>42708.06</v>
          </cell>
          <cell r="L1009">
            <v>47900</v>
          </cell>
          <cell r="M1009">
            <v>52860.98</v>
          </cell>
        </row>
        <row r="1010">
          <cell r="A1010">
            <v>1613100140</v>
          </cell>
          <cell r="B1010">
            <v>140</v>
          </cell>
          <cell r="C1010">
            <v>613100</v>
          </cell>
          <cell r="D1010">
            <v>1</v>
          </cell>
          <cell r="F1010" t="str">
            <v>השתתפות באחזקת רכב</v>
          </cell>
          <cell r="G1010" t="str">
            <v>שכר</v>
          </cell>
          <cell r="H1010">
            <v>0</v>
          </cell>
          <cell r="I1010">
            <v>297600</v>
          </cell>
          <cell r="J1010">
            <v>297600</v>
          </cell>
          <cell r="K1010">
            <v>153275.68</v>
          </cell>
          <cell r="L1010">
            <v>297600</v>
          </cell>
          <cell r="M1010">
            <v>279334.93</v>
          </cell>
        </row>
        <row r="1011">
          <cell r="A1011">
            <v>1613100253</v>
          </cell>
          <cell r="B1011">
            <v>253</v>
          </cell>
          <cell r="C1011">
            <v>613100</v>
          </cell>
          <cell r="D1011">
            <v>1</v>
          </cell>
          <cell r="F1011" t="str">
            <v xml:space="preserve">עובדים חיצוניים   </v>
          </cell>
          <cell r="G1011" t="str">
            <v>שכר</v>
          </cell>
          <cell r="I1011">
            <v>0</v>
          </cell>
          <cell r="J1011">
            <v>0</v>
          </cell>
          <cell r="K1011">
            <v>5263.92</v>
          </cell>
          <cell r="L1011">
            <v>0</v>
          </cell>
          <cell r="M1011">
            <v>0</v>
          </cell>
        </row>
        <row r="1012">
          <cell r="A1012">
            <v>1613100350</v>
          </cell>
          <cell r="B1012">
            <v>350</v>
          </cell>
          <cell r="C1012">
            <v>613100</v>
          </cell>
          <cell r="D1012">
            <v>1</v>
          </cell>
          <cell r="F1012" t="str">
            <v>ליסינג 688-75-403</v>
          </cell>
          <cell r="G1012" t="str">
            <v>שכר</v>
          </cell>
          <cell r="H1012">
            <v>-0.50618181818181818</v>
          </cell>
          <cell r="I1012">
            <v>54320</v>
          </cell>
          <cell r="J1012">
            <v>110000</v>
          </cell>
          <cell r="K1012">
            <v>39172.15</v>
          </cell>
          <cell r="L1012">
            <v>102000</v>
          </cell>
          <cell r="M1012">
            <v>119473.8</v>
          </cell>
        </row>
        <row r="1013">
          <cell r="A1013">
            <v>1613100351</v>
          </cell>
          <cell r="B1013">
            <v>351</v>
          </cell>
          <cell r="C1013">
            <v>613100</v>
          </cell>
          <cell r="D1013">
            <v>1</v>
          </cell>
          <cell r="F1013" t="str">
            <v>השתתפות באחזקת רכב</v>
          </cell>
          <cell r="G1013" t="str">
            <v>שכר</v>
          </cell>
          <cell r="H1013">
            <v>7.660455486542439E-2</v>
          </cell>
          <cell r="I1013">
            <v>52000</v>
          </cell>
          <cell r="J1013">
            <v>48300</v>
          </cell>
          <cell r="K1013">
            <v>23780.69</v>
          </cell>
          <cell r="L1013">
            <v>48300</v>
          </cell>
          <cell r="M1013">
            <v>32273.279999999999</v>
          </cell>
        </row>
        <row r="1014">
          <cell r="A1014">
            <v>1613100471</v>
          </cell>
          <cell r="B1014">
            <v>471</v>
          </cell>
          <cell r="C1014">
            <v>613100</v>
          </cell>
          <cell r="D1014">
            <v>1</v>
          </cell>
          <cell r="F1014" t="str">
            <v xml:space="preserve">מכשירי כתיבה      </v>
          </cell>
          <cell r="G1014" t="str">
            <v>גמיש</v>
          </cell>
          <cell r="H1014">
            <v>0.11111111111111116</v>
          </cell>
          <cell r="I1014">
            <v>13500</v>
          </cell>
          <cell r="J1014">
            <v>12150</v>
          </cell>
          <cell r="K1014">
            <v>5598.26</v>
          </cell>
          <cell r="L1014">
            <v>13500</v>
          </cell>
          <cell r="M1014">
            <v>11332.71</v>
          </cell>
        </row>
        <row r="1015">
          <cell r="A1015">
            <v>1613100511</v>
          </cell>
          <cell r="B1015">
            <v>511</v>
          </cell>
          <cell r="C1015">
            <v>613100</v>
          </cell>
          <cell r="D1015">
            <v>1</v>
          </cell>
          <cell r="F1015" t="str">
            <v xml:space="preserve">אירוח וכיבוד      </v>
          </cell>
          <cell r="G1015" t="str">
            <v>גמיש</v>
          </cell>
          <cell r="H1015">
            <v>0.85185185185185186</v>
          </cell>
          <cell r="I1015">
            <v>20000</v>
          </cell>
          <cell r="J1015">
            <v>10800</v>
          </cell>
          <cell r="K1015">
            <v>5130.97</v>
          </cell>
          <cell r="L1015">
            <v>9500</v>
          </cell>
          <cell r="M1015">
            <v>9250.52</v>
          </cell>
        </row>
        <row r="1016">
          <cell r="A1016">
            <v>1613100512</v>
          </cell>
          <cell r="B1016">
            <v>512</v>
          </cell>
          <cell r="C1016">
            <v>613100</v>
          </cell>
          <cell r="D1016">
            <v>1</v>
          </cell>
          <cell r="F1016" t="str">
            <v xml:space="preserve">נסיעות ואש"ל      </v>
          </cell>
          <cell r="G1016" t="str">
            <v>גמיש</v>
          </cell>
          <cell r="H1016">
            <v>3.1746031746031855E-2</v>
          </cell>
          <cell r="I1016">
            <v>1300</v>
          </cell>
          <cell r="J1016">
            <v>1260</v>
          </cell>
          <cell r="K1016">
            <v>446</v>
          </cell>
          <cell r="L1016">
            <v>1400</v>
          </cell>
          <cell r="M1016">
            <v>795.28</v>
          </cell>
        </row>
        <row r="1017">
          <cell r="A1017">
            <v>1613100513</v>
          </cell>
          <cell r="B1017">
            <v>513</v>
          </cell>
          <cell r="C1017">
            <v>613100</v>
          </cell>
          <cell r="D1017">
            <v>1</v>
          </cell>
          <cell r="F1017" t="str">
            <v>חוזר מנכ''ל</v>
          </cell>
          <cell r="G1017" t="str">
            <v>קשיח</v>
          </cell>
          <cell r="H1017">
            <v>-1</v>
          </cell>
          <cell r="I1017">
            <v>0</v>
          </cell>
          <cell r="J1017">
            <v>45000</v>
          </cell>
          <cell r="K1017">
            <v>1342.84</v>
          </cell>
          <cell r="L1017">
            <v>50000</v>
          </cell>
          <cell r="M1017">
            <v>0</v>
          </cell>
        </row>
        <row r="1018">
          <cell r="A1018">
            <v>1613100522</v>
          </cell>
          <cell r="B1018">
            <v>522</v>
          </cell>
          <cell r="C1018">
            <v>613100</v>
          </cell>
          <cell r="D1018">
            <v>1</v>
          </cell>
          <cell r="F1018" t="str">
            <v xml:space="preserve">ספרים ועיתונים    </v>
          </cell>
          <cell r="G1018" t="str">
            <v>גמיש</v>
          </cell>
          <cell r="H1018">
            <v>0</v>
          </cell>
          <cell r="I1018">
            <v>3600</v>
          </cell>
          <cell r="J1018">
            <v>3600</v>
          </cell>
          <cell r="K1018">
            <v>0</v>
          </cell>
          <cell r="L1018">
            <v>4000</v>
          </cell>
          <cell r="M1018">
            <v>3857.8</v>
          </cell>
        </row>
        <row r="1019">
          <cell r="A1019">
            <v>1613100544</v>
          </cell>
          <cell r="B1019">
            <v>544</v>
          </cell>
          <cell r="C1019">
            <v>613100</v>
          </cell>
          <cell r="D1019">
            <v>1</v>
          </cell>
          <cell r="F1019" t="str">
            <v xml:space="preserve">הוצאות דאר        </v>
          </cell>
          <cell r="G1019" t="str">
            <v>קשיח</v>
          </cell>
          <cell r="H1019">
            <v>0</v>
          </cell>
          <cell r="I1019">
            <v>10400</v>
          </cell>
          <cell r="J1019">
            <v>10400</v>
          </cell>
          <cell r="K1019">
            <v>1813.89</v>
          </cell>
          <cell r="L1019">
            <v>10300</v>
          </cell>
          <cell r="M1019">
            <v>4231.53</v>
          </cell>
        </row>
        <row r="1020">
          <cell r="A1020">
            <v>1613100561</v>
          </cell>
          <cell r="B1020">
            <v>561</v>
          </cell>
          <cell r="C1020">
            <v>613100</v>
          </cell>
          <cell r="D1020">
            <v>1</v>
          </cell>
          <cell r="F1020" t="str">
            <v xml:space="preserve">שיכפולים          </v>
          </cell>
          <cell r="G1020" t="str">
            <v>גמיש</v>
          </cell>
          <cell r="H1020">
            <v>-1</v>
          </cell>
          <cell r="I1020">
            <v>0</v>
          </cell>
          <cell r="J1020">
            <v>3060</v>
          </cell>
          <cell r="K1020">
            <v>0</v>
          </cell>
          <cell r="L1020">
            <v>3400</v>
          </cell>
          <cell r="M1020">
            <v>0</v>
          </cell>
        </row>
        <row r="1021">
          <cell r="A1021">
            <v>1613100562</v>
          </cell>
          <cell r="B1021">
            <v>562</v>
          </cell>
          <cell r="C1021">
            <v>613100</v>
          </cell>
          <cell r="D1021">
            <v>1</v>
          </cell>
          <cell r="F1021" t="str">
            <v xml:space="preserve">הדפסות            </v>
          </cell>
          <cell r="G1021" t="str">
            <v>גמיש</v>
          </cell>
          <cell r="H1021">
            <v>0</v>
          </cell>
          <cell r="I1021">
            <v>810</v>
          </cell>
          <cell r="J1021">
            <v>810</v>
          </cell>
          <cell r="K1021">
            <v>7532.77</v>
          </cell>
          <cell r="L1021">
            <v>900</v>
          </cell>
          <cell r="M1021">
            <v>0</v>
          </cell>
        </row>
        <row r="1022">
          <cell r="A1022">
            <v>1613100571</v>
          </cell>
          <cell r="B1022">
            <v>571</v>
          </cell>
          <cell r="C1022">
            <v>613100</v>
          </cell>
          <cell r="D1022">
            <v>1</v>
          </cell>
          <cell r="F1022" t="str">
            <v xml:space="preserve">מיכון וענ"א       </v>
          </cell>
          <cell r="G1022" t="str">
            <v>קשיח</v>
          </cell>
          <cell r="H1022">
            <v>0</v>
          </cell>
          <cell r="I1022">
            <v>72300</v>
          </cell>
          <cell r="J1022">
            <v>72300</v>
          </cell>
          <cell r="K1022">
            <v>36150</v>
          </cell>
          <cell r="L1022">
            <v>63100</v>
          </cell>
          <cell r="M1022">
            <v>63100</v>
          </cell>
        </row>
        <row r="1023">
          <cell r="A1023">
            <v>1613100580</v>
          </cell>
          <cell r="B1023">
            <v>580</v>
          </cell>
          <cell r="C1023">
            <v>613100</v>
          </cell>
          <cell r="D1023">
            <v>1</v>
          </cell>
          <cell r="F1023" t="str">
            <v xml:space="preserve">פעולות שונות      </v>
          </cell>
          <cell r="G1023" t="str">
            <v>גמיש</v>
          </cell>
          <cell r="H1023">
            <v>27.270874424720578</v>
          </cell>
          <cell r="I1023">
            <v>1720000</v>
          </cell>
          <cell r="J1023">
            <v>60840</v>
          </cell>
          <cell r="K1023">
            <v>35862.480000000003</v>
          </cell>
          <cell r="L1023">
            <v>52000</v>
          </cell>
          <cell r="M1023">
            <v>27454.67</v>
          </cell>
        </row>
        <row r="1024">
          <cell r="A1024">
            <v>1613100581</v>
          </cell>
          <cell r="B1024">
            <v>581</v>
          </cell>
          <cell r="C1024">
            <v>613100</v>
          </cell>
          <cell r="D1024">
            <v>1</v>
          </cell>
          <cell r="F1024" t="str">
            <v>פעולות מנכ"ל מינהל</v>
          </cell>
          <cell r="G1024" t="str">
            <v>גמיש</v>
          </cell>
          <cell r="H1024">
            <v>2.9100529100529071E-2</v>
          </cell>
          <cell r="I1024">
            <v>38900</v>
          </cell>
          <cell r="J1024">
            <v>37800</v>
          </cell>
          <cell r="K1024">
            <v>4600</v>
          </cell>
          <cell r="L1024">
            <v>33000</v>
          </cell>
          <cell r="M1024">
            <v>29293.19</v>
          </cell>
        </row>
        <row r="1025">
          <cell r="A1025">
            <v>1613100596</v>
          </cell>
          <cell r="B1025">
            <v>596</v>
          </cell>
          <cell r="C1025">
            <v>613100</v>
          </cell>
          <cell r="D1025">
            <v>1</v>
          </cell>
          <cell r="F1025" t="str">
            <v xml:space="preserve">השתתפות בעזר 096  </v>
          </cell>
          <cell r="G1025" t="str">
            <v>קשיח</v>
          </cell>
          <cell r="H1025">
            <v>0</v>
          </cell>
          <cell r="I1025">
            <v>14500</v>
          </cell>
          <cell r="J1025">
            <v>14500</v>
          </cell>
          <cell r="K1025">
            <v>5891</v>
          </cell>
          <cell r="L1025">
            <v>13100</v>
          </cell>
          <cell r="M1025">
            <v>12244</v>
          </cell>
        </row>
        <row r="1026">
          <cell r="A1026">
            <v>1613100780</v>
          </cell>
          <cell r="B1026">
            <v>780</v>
          </cell>
          <cell r="C1026">
            <v>613100</v>
          </cell>
          <cell r="D1026">
            <v>1</v>
          </cell>
          <cell r="F1026" t="str">
            <v>שיווק והסברה דיגיטלים</v>
          </cell>
          <cell r="G1026" t="str">
            <v>גמיש</v>
          </cell>
          <cell r="H1026">
            <v>0</v>
          </cell>
          <cell r="I1026">
            <v>162000</v>
          </cell>
          <cell r="J1026">
            <v>162000</v>
          </cell>
          <cell r="K1026">
            <v>137201.5</v>
          </cell>
          <cell r="L1026">
            <v>180000</v>
          </cell>
          <cell r="M1026">
            <v>151325.4</v>
          </cell>
        </row>
        <row r="1027">
          <cell r="A1027">
            <v>1613100781</v>
          </cell>
          <cell r="B1027">
            <v>781</v>
          </cell>
          <cell r="C1027">
            <v>613100</v>
          </cell>
          <cell r="D1027">
            <v>1</v>
          </cell>
          <cell r="F1027" t="str">
            <v>ניהול הרשות במדיה החברתית</v>
          </cell>
          <cell r="G1027" t="str">
            <v>קשיח</v>
          </cell>
          <cell r="H1027">
            <v>4.2735042735042583E-3</v>
          </cell>
          <cell r="I1027">
            <v>141000</v>
          </cell>
          <cell r="J1027">
            <v>140400</v>
          </cell>
          <cell r="K1027">
            <v>130682.36</v>
          </cell>
          <cell r="L1027">
            <v>156000</v>
          </cell>
          <cell r="M1027">
            <v>84708</v>
          </cell>
        </row>
        <row r="1028">
          <cell r="A1028">
            <v>1613100785</v>
          </cell>
          <cell r="B1028">
            <v>785</v>
          </cell>
          <cell r="C1028">
            <v>613100</v>
          </cell>
          <cell r="D1028">
            <v>1</v>
          </cell>
          <cell r="F1028" t="str">
            <v>טקס מגן רה"ע</v>
          </cell>
          <cell r="G1028" t="str">
            <v>גמיש</v>
          </cell>
          <cell r="I1028">
            <v>0</v>
          </cell>
          <cell r="J1028">
            <v>0</v>
          </cell>
          <cell r="K1028">
            <v>0</v>
          </cell>
          <cell r="L1028">
            <v>27400</v>
          </cell>
          <cell r="M1028">
            <v>0</v>
          </cell>
        </row>
        <row r="1029">
          <cell r="A1029">
            <v>1613100787</v>
          </cell>
          <cell r="B1029">
            <v>787</v>
          </cell>
          <cell r="C1029">
            <v>613100</v>
          </cell>
          <cell r="D1029">
            <v>1</v>
          </cell>
          <cell r="F1029" t="str">
            <v>שיח ברשתות החברתיות</v>
          </cell>
          <cell r="G1029" t="str">
            <v>גמיש</v>
          </cell>
          <cell r="H1029">
            <v>6.441223832528209E-3</v>
          </cell>
          <cell r="I1029">
            <v>62500</v>
          </cell>
          <cell r="J1029">
            <v>62100</v>
          </cell>
          <cell r="K1029">
            <v>15045</v>
          </cell>
          <cell r="L1029">
            <v>69000</v>
          </cell>
          <cell r="M1029">
            <v>63063</v>
          </cell>
        </row>
        <row r="1030">
          <cell r="A1030">
            <v>1613100788</v>
          </cell>
          <cell r="B1030">
            <v>788</v>
          </cell>
          <cell r="C1030">
            <v>613100</v>
          </cell>
          <cell r="D1030">
            <v>1</v>
          </cell>
          <cell r="F1030" t="str">
            <v>סיורים מקצועיים+סיורים בשכונות</v>
          </cell>
          <cell r="G1030" t="str">
            <v>גמיש</v>
          </cell>
          <cell r="H1030">
            <v>1.6666666666666665</v>
          </cell>
          <cell r="I1030">
            <v>24000</v>
          </cell>
          <cell r="J1030">
            <v>9000</v>
          </cell>
          <cell r="K1030">
            <v>7611</v>
          </cell>
          <cell r="L1030">
            <v>5000</v>
          </cell>
          <cell r="M1030">
            <v>4992.1400000000003</v>
          </cell>
        </row>
        <row r="1031">
          <cell r="A1031" t="e">
            <v>#VALUE!</v>
          </cell>
          <cell r="B1031" t="str">
            <v>613100  סך הכל</v>
          </cell>
          <cell r="F1031" t="str">
            <v>משרד מנכ"ל העירייה</v>
          </cell>
          <cell r="H1031">
            <v>0.38405050038041932</v>
          </cell>
          <cell r="I1031">
            <v>6166789.25</v>
          </cell>
          <cell r="J1031">
            <v>4455610</v>
          </cell>
          <cell r="K1031">
            <v>2494088.5799999996</v>
          </cell>
          <cell r="L1031">
            <v>4408300</v>
          </cell>
          <cell r="M1031">
            <v>4068479.0699999989</v>
          </cell>
        </row>
        <row r="1032">
          <cell r="A1032">
            <v>16132000</v>
          </cell>
          <cell r="B1032">
            <v>0</v>
          </cell>
          <cell r="C1032">
            <v>613200</v>
          </cell>
          <cell r="D1032">
            <v>1</v>
          </cell>
          <cell r="F1032" t="str">
            <v>מז' תיפעול  ומינהל</v>
          </cell>
          <cell r="G1032" t="str">
            <v xml:space="preserve"> </v>
          </cell>
        </row>
        <row r="1033">
          <cell r="A1033">
            <v>1613200119</v>
          </cell>
          <cell r="B1033">
            <v>119</v>
          </cell>
          <cell r="C1033">
            <v>613200</v>
          </cell>
          <cell r="D1033">
            <v>1</v>
          </cell>
          <cell r="F1033" t="str">
            <v xml:space="preserve">השכר הקובע-צוברת  </v>
          </cell>
          <cell r="G1033" t="str">
            <v>שכר</v>
          </cell>
          <cell r="H1033">
            <v>2.5000840089049348E-2</v>
          </cell>
          <cell r="I1033">
            <v>2440219.5</v>
          </cell>
          <cell r="J1033">
            <v>2380700</v>
          </cell>
          <cell r="K1033">
            <v>1114483.0900000001</v>
          </cell>
          <cell r="L1033">
            <v>2334000</v>
          </cell>
          <cell r="M1033">
            <v>1906460.5</v>
          </cell>
        </row>
        <row r="1034">
          <cell r="A1034">
            <v>1613200122</v>
          </cell>
          <cell r="B1034">
            <v>122</v>
          </cell>
          <cell r="C1034">
            <v>613200</v>
          </cell>
          <cell r="D1034">
            <v>1</v>
          </cell>
          <cell r="F1034" t="str">
            <v xml:space="preserve">ביגוד             </v>
          </cell>
          <cell r="G1034" t="str">
            <v>שכר</v>
          </cell>
          <cell r="H1034">
            <v>0</v>
          </cell>
          <cell r="I1034">
            <v>19000</v>
          </cell>
          <cell r="J1034">
            <v>19000</v>
          </cell>
          <cell r="K1034">
            <v>19469.240000000002</v>
          </cell>
          <cell r="L1034">
            <v>16500</v>
          </cell>
          <cell r="M1034">
            <v>18468.47</v>
          </cell>
        </row>
        <row r="1035">
          <cell r="A1035">
            <v>1613200126</v>
          </cell>
          <cell r="B1035">
            <v>126</v>
          </cell>
          <cell r="C1035">
            <v>613200</v>
          </cell>
          <cell r="D1035">
            <v>1</v>
          </cell>
          <cell r="F1035" t="str">
            <v xml:space="preserve">דמי הבראה         </v>
          </cell>
          <cell r="G1035" t="str">
            <v>שכר</v>
          </cell>
          <cell r="H1035">
            <v>0</v>
          </cell>
          <cell r="I1035">
            <v>43000</v>
          </cell>
          <cell r="J1035">
            <v>43000</v>
          </cell>
          <cell r="K1035">
            <v>43705.22</v>
          </cell>
          <cell r="L1035">
            <v>43000</v>
          </cell>
          <cell r="M1035">
            <v>42078.58</v>
          </cell>
        </row>
        <row r="1036">
          <cell r="A1036">
            <v>1613200130</v>
          </cell>
          <cell r="B1036">
            <v>130</v>
          </cell>
          <cell r="C1036">
            <v>613200</v>
          </cell>
          <cell r="D1036">
            <v>1</v>
          </cell>
          <cell r="F1036" t="str">
            <v xml:space="preserve">שעות נוספות       </v>
          </cell>
          <cell r="G1036" t="str">
            <v>שכר</v>
          </cell>
          <cell r="H1036">
            <v>0</v>
          </cell>
          <cell r="I1036">
            <v>3440</v>
          </cell>
          <cell r="J1036">
            <v>3440</v>
          </cell>
          <cell r="K1036">
            <v>4547.17</v>
          </cell>
          <cell r="L1036">
            <v>4000</v>
          </cell>
          <cell r="M1036">
            <v>937.64</v>
          </cell>
        </row>
        <row r="1037">
          <cell r="A1037">
            <v>1613200140</v>
          </cell>
          <cell r="B1037">
            <v>140</v>
          </cell>
          <cell r="C1037">
            <v>613200</v>
          </cell>
          <cell r="D1037">
            <v>1</v>
          </cell>
          <cell r="F1037" t="str">
            <v>השתתפות באחזקת רכב</v>
          </cell>
          <cell r="G1037" t="str">
            <v>שכר</v>
          </cell>
          <cell r="H1037">
            <v>0</v>
          </cell>
          <cell r="I1037">
            <v>212100</v>
          </cell>
          <cell r="J1037">
            <v>212100</v>
          </cell>
          <cell r="K1037">
            <v>102902.19</v>
          </cell>
          <cell r="L1037">
            <v>190000</v>
          </cell>
          <cell r="M1037">
            <v>203468.59</v>
          </cell>
        </row>
        <row r="1038">
          <cell r="A1038">
            <v>1613200350</v>
          </cell>
          <cell r="B1038">
            <v>350</v>
          </cell>
          <cell r="C1038">
            <v>613200</v>
          </cell>
          <cell r="D1038">
            <v>1</v>
          </cell>
          <cell r="F1038" t="str">
            <v>ליסינג - 548-86-802</v>
          </cell>
          <cell r="G1038" t="str">
            <v>שכר</v>
          </cell>
          <cell r="I1038">
            <v>0</v>
          </cell>
          <cell r="J1038">
            <v>0</v>
          </cell>
          <cell r="K1038">
            <v>0</v>
          </cell>
          <cell r="L1038">
            <v>30000</v>
          </cell>
          <cell r="M1038">
            <v>14402.85</v>
          </cell>
        </row>
        <row r="1039">
          <cell r="A1039">
            <v>1613200351</v>
          </cell>
          <cell r="B1039">
            <v>351</v>
          </cell>
          <cell r="C1039">
            <v>613200</v>
          </cell>
          <cell r="D1039">
            <v>1</v>
          </cell>
          <cell r="F1039" t="str">
            <v>הוצאות - 548-86-802</v>
          </cell>
          <cell r="G1039" t="str">
            <v>שכר</v>
          </cell>
          <cell r="I1039">
            <v>0</v>
          </cell>
          <cell r="J1039">
            <v>0</v>
          </cell>
          <cell r="K1039">
            <v>0</v>
          </cell>
          <cell r="L1039">
            <v>22100</v>
          </cell>
          <cell r="M1039">
            <v>3263.17</v>
          </cell>
        </row>
        <row r="1040">
          <cell r="A1040">
            <v>1613200470</v>
          </cell>
          <cell r="B1040">
            <v>470</v>
          </cell>
          <cell r="C1040">
            <v>613200</v>
          </cell>
          <cell r="D1040">
            <v>1</v>
          </cell>
          <cell r="F1040" t="str">
            <v xml:space="preserve">אחזקת מכונות משרד </v>
          </cell>
          <cell r="G1040" t="str">
            <v>גמיש</v>
          </cell>
          <cell r="H1040">
            <v>-1.9960079840319889E-3</v>
          </cell>
          <cell r="I1040">
            <v>15000</v>
          </cell>
          <cell r="J1040">
            <v>15030</v>
          </cell>
          <cell r="K1040">
            <v>8823.74</v>
          </cell>
          <cell r="L1040">
            <v>16700</v>
          </cell>
          <cell r="M1040">
            <v>10299.81</v>
          </cell>
        </row>
        <row r="1041">
          <cell r="A1041">
            <v>1613200471</v>
          </cell>
          <cell r="B1041">
            <v>471</v>
          </cell>
          <cell r="C1041">
            <v>613200</v>
          </cell>
          <cell r="D1041">
            <v>1</v>
          </cell>
          <cell r="F1041" t="str">
            <v xml:space="preserve">מכשירי כתיבה      </v>
          </cell>
          <cell r="G1041" t="str">
            <v>גמיש</v>
          </cell>
          <cell r="H1041">
            <v>0</v>
          </cell>
          <cell r="I1041">
            <v>19800</v>
          </cell>
          <cell r="J1041">
            <v>19800</v>
          </cell>
          <cell r="K1041">
            <v>7626.77</v>
          </cell>
          <cell r="L1041">
            <v>18700</v>
          </cell>
          <cell r="M1041">
            <v>18265.23</v>
          </cell>
        </row>
        <row r="1042">
          <cell r="A1042">
            <v>1613200492</v>
          </cell>
          <cell r="B1042">
            <v>492</v>
          </cell>
          <cell r="C1042">
            <v>613200</v>
          </cell>
          <cell r="D1042">
            <v>1</v>
          </cell>
          <cell r="F1042" t="str">
            <v xml:space="preserve">השתתפות בעזר 092  </v>
          </cell>
          <cell r="G1042" t="str">
            <v>קשיח</v>
          </cell>
          <cell r="H1042">
            <v>1.1133603238866474E-2</v>
          </cell>
          <cell r="I1042">
            <v>999000</v>
          </cell>
          <cell r="J1042">
            <v>988000</v>
          </cell>
          <cell r="K1042">
            <v>390385</v>
          </cell>
          <cell r="L1042">
            <v>777000</v>
          </cell>
          <cell r="M1042">
            <v>856100</v>
          </cell>
        </row>
        <row r="1043">
          <cell r="A1043">
            <v>1613200511</v>
          </cell>
          <cell r="B1043">
            <v>511</v>
          </cell>
          <cell r="C1043">
            <v>613200</v>
          </cell>
          <cell r="D1043">
            <v>1</v>
          </cell>
          <cell r="F1043" t="str">
            <v xml:space="preserve">אירוח וכיבוד      </v>
          </cell>
          <cell r="G1043" t="str">
            <v>גמיש</v>
          </cell>
          <cell r="H1043">
            <v>1.0101010101010166E-2</v>
          </cell>
          <cell r="I1043">
            <v>9000</v>
          </cell>
          <cell r="J1043">
            <v>8910</v>
          </cell>
          <cell r="K1043">
            <v>2312.75</v>
          </cell>
          <cell r="L1043">
            <v>9900</v>
          </cell>
          <cell r="M1043">
            <v>4821.3999999999996</v>
          </cell>
        </row>
        <row r="1044">
          <cell r="A1044">
            <v>1613200512</v>
          </cell>
          <cell r="B1044">
            <v>512</v>
          </cell>
          <cell r="C1044">
            <v>613200</v>
          </cell>
          <cell r="D1044">
            <v>1</v>
          </cell>
          <cell r="F1044" t="str">
            <v xml:space="preserve">נסיעות ואש"ל      </v>
          </cell>
          <cell r="G1044" t="str">
            <v>גמיש</v>
          </cell>
          <cell r="H1044">
            <v>0</v>
          </cell>
          <cell r="I1044">
            <v>540</v>
          </cell>
          <cell r="J1044">
            <v>540</v>
          </cell>
          <cell r="K1044">
            <v>0</v>
          </cell>
          <cell r="L1044">
            <v>630</v>
          </cell>
          <cell r="M1044">
            <v>461.9</v>
          </cell>
        </row>
        <row r="1045">
          <cell r="A1045">
            <v>1613200522</v>
          </cell>
          <cell r="B1045">
            <v>522</v>
          </cell>
          <cell r="C1045">
            <v>613200</v>
          </cell>
          <cell r="D1045">
            <v>1</v>
          </cell>
          <cell r="F1045" t="str">
            <v xml:space="preserve">ספרים ועיתונים    </v>
          </cell>
          <cell r="G1045" t="str">
            <v>גמיש</v>
          </cell>
          <cell r="H1045">
            <v>0</v>
          </cell>
          <cell r="I1045">
            <v>3690</v>
          </cell>
          <cell r="J1045">
            <v>3690</v>
          </cell>
          <cell r="K1045">
            <v>-99.7</v>
          </cell>
          <cell r="L1045">
            <v>4100</v>
          </cell>
          <cell r="M1045">
            <v>3894.49</v>
          </cell>
        </row>
        <row r="1046">
          <cell r="A1046">
            <v>1613200541</v>
          </cell>
          <cell r="B1046">
            <v>541</v>
          </cell>
          <cell r="C1046">
            <v>613200</v>
          </cell>
          <cell r="D1046">
            <v>1</v>
          </cell>
          <cell r="F1046" t="str">
            <v xml:space="preserve">משלוחים           </v>
          </cell>
          <cell r="G1046" t="str">
            <v>קשיח</v>
          </cell>
          <cell r="H1046">
            <v>0</v>
          </cell>
          <cell r="I1046">
            <v>51300</v>
          </cell>
          <cell r="J1046">
            <v>51300</v>
          </cell>
          <cell r="K1046">
            <v>23637.5</v>
          </cell>
          <cell r="L1046">
            <v>51300</v>
          </cell>
          <cell r="M1046">
            <v>47101.68</v>
          </cell>
        </row>
        <row r="1047">
          <cell r="A1047">
            <v>1613200544</v>
          </cell>
          <cell r="B1047">
            <v>544</v>
          </cell>
          <cell r="C1047">
            <v>613200</v>
          </cell>
          <cell r="D1047">
            <v>1</v>
          </cell>
          <cell r="F1047" t="str">
            <v xml:space="preserve">הוצאות דאר        </v>
          </cell>
          <cell r="G1047" t="str">
            <v>קשיח</v>
          </cell>
          <cell r="H1047">
            <v>0.19999999999999996</v>
          </cell>
          <cell r="I1047">
            <v>6000</v>
          </cell>
          <cell r="J1047">
            <v>5000</v>
          </cell>
          <cell r="K1047">
            <v>309.52999999999997</v>
          </cell>
          <cell r="L1047">
            <v>8600</v>
          </cell>
          <cell r="M1047">
            <v>5795.47</v>
          </cell>
        </row>
        <row r="1048">
          <cell r="A1048">
            <v>1613200561</v>
          </cell>
          <cell r="B1048">
            <v>561</v>
          </cell>
          <cell r="C1048">
            <v>613200</v>
          </cell>
          <cell r="D1048">
            <v>1</v>
          </cell>
          <cell r="F1048" t="str">
            <v xml:space="preserve">שיכפולים          </v>
          </cell>
          <cell r="G1048" t="str">
            <v>גמיש</v>
          </cell>
          <cell r="H1048">
            <v>-1</v>
          </cell>
          <cell r="I1048">
            <v>0</v>
          </cell>
          <cell r="J1048">
            <v>810</v>
          </cell>
          <cell r="K1048">
            <v>0</v>
          </cell>
          <cell r="L1048">
            <v>900</v>
          </cell>
          <cell r="M1048">
            <v>0</v>
          </cell>
        </row>
        <row r="1049">
          <cell r="A1049">
            <v>1613200562</v>
          </cell>
          <cell r="B1049">
            <v>562</v>
          </cell>
          <cell r="C1049">
            <v>613200</v>
          </cell>
          <cell r="D1049">
            <v>1</v>
          </cell>
          <cell r="F1049" t="str">
            <v xml:space="preserve">הדפסות            </v>
          </cell>
          <cell r="G1049" t="str">
            <v>גמיש</v>
          </cell>
          <cell r="H1049">
            <v>-4.7619047619047672E-2</v>
          </cell>
          <cell r="I1049">
            <v>600</v>
          </cell>
          <cell r="J1049">
            <v>630</v>
          </cell>
          <cell r="K1049">
            <v>0</v>
          </cell>
          <cell r="L1049">
            <v>700</v>
          </cell>
          <cell r="M1049">
            <v>436.8</v>
          </cell>
        </row>
        <row r="1050">
          <cell r="A1050">
            <v>1613200563</v>
          </cell>
          <cell r="B1050">
            <v>563</v>
          </cell>
          <cell r="C1050">
            <v>613200</v>
          </cell>
          <cell r="D1050">
            <v>1</v>
          </cell>
          <cell r="F1050" t="str">
            <v xml:space="preserve">הדפסת פרטיכלים    </v>
          </cell>
          <cell r="G1050" t="str">
            <v>גמיש</v>
          </cell>
          <cell r="H1050">
            <v>1.4691358024691357</v>
          </cell>
          <cell r="I1050">
            <v>2000</v>
          </cell>
          <cell r="J1050">
            <v>810</v>
          </cell>
          <cell r="K1050">
            <v>550.29999999999995</v>
          </cell>
          <cell r="L1050">
            <v>900</v>
          </cell>
          <cell r="M1050">
            <v>1686</v>
          </cell>
        </row>
        <row r="1051">
          <cell r="A1051">
            <v>1613200571</v>
          </cell>
          <cell r="B1051">
            <v>571</v>
          </cell>
          <cell r="C1051">
            <v>613200</v>
          </cell>
          <cell r="D1051">
            <v>1</v>
          </cell>
          <cell r="F1051" t="str">
            <v xml:space="preserve">מיכון וענ"א       </v>
          </cell>
          <cell r="G1051" t="str">
            <v>קשיח</v>
          </cell>
          <cell r="H1051">
            <v>0</v>
          </cell>
          <cell r="I1051">
            <v>340000</v>
          </cell>
          <cell r="J1051">
            <v>340000</v>
          </cell>
          <cell r="K1051">
            <v>170000</v>
          </cell>
          <cell r="L1051">
            <v>142000</v>
          </cell>
          <cell r="M1051">
            <v>142000</v>
          </cell>
        </row>
        <row r="1052">
          <cell r="A1052">
            <v>1613200580</v>
          </cell>
          <cell r="B1052">
            <v>580</v>
          </cell>
          <cell r="C1052">
            <v>613200</v>
          </cell>
          <cell r="D1052">
            <v>1</v>
          </cell>
          <cell r="F1052" t="str">
            <v xml:space="preserve">סקר חשמל  </v>
          </cell>
          <cell r="G1052" t="str">
            <v>קשיח</v>
          </cell>
          <cell r="H1052">
            <v>0.10000000000000009</v>
          </cell>
          <cell r="I1052">
            <v>88000</v>
          </cell>
          <cell r="J1052">
            <v>80000</v>
          </cell>
          <cell r="K1052">
            <v>43660</v>
          </cell>
          <cell r="L1052">
            <v>70200</v>
          </cell>
          <cell r="M1052">
            <v>85568</v>
          </cell>
        </row>
        <row r="1053">
          <cell r="A1053">
            <v>1613200581</v>
          </cell>
          <cell r="B1053">
            <v>581</v>
          </cell>
          <cell r="C1053">
            <v>613200</v>
          </cell>
          <cell r="D1053">
            <v>1</v>
          </cell>
          <cell r="F1053" t="str">
            <v>בקרת אנרגיה</v>
          </cell>
          <cell r="G1053" t="str">
            <v>קשיח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M1053">
            <v>0</v>
          </cell>
        </row>
        <row r="1054">
          <cell r="A1054">
            <v>1613200781</v>
          </cell>
          <cell r="B1054">
            <v>781</v>
          </cell>
          <cell r="C1054">
            <v>613200</v>
          </cell>
          <cell r="D1054">
            <v>1</v>
          </cell>
          <cell r="F1054" t="str">
            <v>פעולות סמנכ"ל</v>
          </cell>
          <cell r="G1054" t="str">
            <v>גמיש</v>
          </cell>
          <cell r="H1054">
            <v>0.26666666666666661</v>
          </cell>
          <cell r="I1054">
            <v>45600</v>
          </cell>
          <cell r="J1054">
            <v>36000</v>
          </cell>
          <cell r="K1054">
            <v>5893.43</v>
          </cell>
          <cell r="L1054">
            <v>40000</v>
          </cell>
          <cell r="M1054">
            <v>38685.08</v>
          </cell>
        </row>
        <row r="1055">
          <cell r="A1055">
            <v>1613200784</v>
          </cell>
          <cell r="B1055">
            <v>784</v>
          </cell>
          <cell r="C1055">
            <v>613200</v>
          </cell>
          <cell r="D1055">
            <v>1</v>
          </cell>
          <cell r="F1055" t="str">
            <v>עיר בריאה ומקיימת - חינוך</v>
          </cell>
          <cell r="G1055" t="str">
            <v>גמיש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M1055">
            <v>0</v>
          </cell>
        </row>
        <row r="1056">
          <cell r="A1056">
            <v>1613200794</v>
          </cell>
          <cell r="B1056">
            <v>794</v>
          </cell>
          <cell r="C1056">
            <v>613200</v>
          </cell>
          <cell r="D1056">
            <v>1</v>
          </cell>
          <cell r="F1056" t="str">
            <v xml:space="preserve">השתתפות בעזר 094  </v>
          </cell>
          <cell r="G1056" t="str">
            <v>קשיח</v>
          </cell>
          <cell r="H1056">
            <v>0</v>
          </cell>
          <cell r="I1056">
            <v>156500</v>
          </cell>
          <cell r="J1056">
            <v>156500</v>
          </cell>
          <cell r="K1056">
            <v>102514</v>
          </cell>
          <cell r="L1056">
            <v>65000</v>
          </cell>
          <cell r="M1056">
            <v>77527</v>
          </cell>
        </row>
        <row r="1057">
          <cell r="A1057" t="e">
            <v>#VALUE!</v>
          </cell>
          <cell r="B1057" t="str">
            <v>613200  סך הכל</v>
          </cell>
          <cell r="F1057" t="str">
            <v>מז' תיפעול  ומינהל</v>
          </cell>
          <cell r="H1057">
            <v>2.0509545823158337E-2</v>
          </cell>
          <cell r="I1057">
            <v>4454789.5</v>
          </cell>
          <cell r="J1057">
            <v>4365260</v>
          </cell>
          <cell r="K1057">
            <v>2040720.23</v>
          </cell>
          <cell r="L1057">
            <v>3846230</v>
          </cell>
          <cell r="M1057">
            <v>3481722.66</v>
          </cell>
        </row>
        <row r="1058">
          <cell r="A1058">
            <v>16132200</v>
          </cell>
          <cell r="B1058">
            <v>0</v>
          </cell>
          <cell r="C1058">
            <v>613220</v>
          </cell>
          <cell r="D1058">
            <v>1</v>
          </cell>
          <cell r="F1058" t="str">
            <v>האגף למערכות מידע ותקשוב</v>
          </cell>
          <cell r="G1058" t="str">
            <v xml:space="preserve"> </v>
          </cell>
        </row>
        <row r="1059">
          <cell r="A1059">
            <v>1613220119</v>
          </cell>
          <cell r="B1059">
            <v>119</v>
          </cell>
          <cell r="C1059">
            <v>613220</v>
          </cell>
          <cell r="D1059">
            <v>1</v>
          </cell>
          <cell r="F1059" t="str">
            <v xml:space="preserve">השכר הקובע-צוברת  </v>
          </cell>
          <cell r="G1059" t="str">
            <v>שכר</v>
          </cell>
          <cell r="H1059">
            <v>-0.1168272270782964</v>
          </cell>
          <cell r="I1059">
            <v>2374410</v>
          </cell>
          <cell r="J1059">
            <v>2688500</v>
          </cell>
          <cell r="K1059">
            <v>1416381.99</v>
          </cell>
          <cell r="L1059">
            <v>1974000</v>
          </cell>
          <cell r="M1059">
            <v>1744754.78</v>
          </cell>
        </row>
        <row r="1060">
          <cell r="A1060">
            <v>1613220122</v>
          </cell>
          <cell r="B1060">
            <v>122</v>
          </cell>
          <cell r="C1060">
            <v>613220</v>
          </cell>
          <cell r="D1060">
            <v>1</v>
          </cell>
          <cell r="F1060" t="str">
            <v xml:space="preserve">ביגוד             </v>
          </cell>
          <cell r="G1060" t="str">
            <v>שכר</v>
          </cell>
          <cell r="H1060">
            <v>-7.4000074074074051E-2</v>
          </cell>
          <cell r="I1060">
            <v>13889.998888888889</v>
          </cell>
          <cell r="J1060">
            <v>15000</v>
          </cell>
          <cell r="K1060">
            <v>13946.07</v>
          </cell>
          <cell r="L1060">
            <v>48700</v>
          </cell>
          <cell r="M1060">
            <v>13541.52</v>
          </cell>
        </row>
        <row r="1061">
          <cell r="A1061">
            <v>1613220126</v>
          </cell>
          <cell r="B1061">
            <v>126</v>
          </cell>
          <cell r="C1061">
            <v>613220</v>
          </cell>
          <cell r="D1061">
            <v>1</v>
          </cell>
          <cell r="F1061" t="str">
            <v xml:space="preserve">דמי הבראה         </v>
          </cell>
          <cell r="G1061" t="str">
            <v>שכר</v>
          </cell>
          <cell r="H1061">
            <v>-7.4033190096173485E-2</v>
          </cell>
          <cell r="I1061">
            <v>33519.998518518521</v>
          </cell>
          <cell r="J1061">
            <v>36200</v>
          </cell>
          <cell r="K1061">
            <v>37004.910000000003</v>
          </cell>
          <cell r="L1061">
            <v>7000</v>
          </cell>
          <cell r="M1061">
            <v>36107.269999999997</v>
          </cell>
        </row>
        <row r="1062">
          <cell r="A1062">
            <v>1613220130</v>
          </cell>
          <cell r="B1062">
            <v>130</v>
          </cell>
          <cell r="C1062">
            <v>613220</v>
          </cell>
          <cell r="D1062">
            <v>1</v>
          </cell>
          <cell r="F1062" t="str">
            <v xml:space="preserve">שעות נוספות       </v>
          </cell>
          <cell r="G1062" t="str">
            <v>שכר</v>
          </cell>
          <cell r="I1062">
            <v>0</v>
          </cell>
          <cell r="J1062">
            <v>0</v>
          </cell>
          <cell r="K1062">
            <v>21922.26</v>
          </cell>
          <cell r="L1062">
            <v>0</v>
          </cell>
          <cell r="M1062">
            <v>11787.32</v>
          </cell>
        </row>
        <row r="1063">
          <cell r="A1063">
            <v>1613220140</v>
          </cell>
          <cell r="B1063">
            <v>140</v>
          </cell>
          <cell r="C1063">
            <v>613220</v>
          </cell>
          <cell r="D1063">
            <v>1</v>
          </cell>
          <cell r="F1063" t="str">
            <v>השתתפות באחזקת רכב</v>
          </cell>
          <cell r="G1063" t="str">
            <v>שכר</v>
          </cell>
          <cell r="H1063">
            <v>0</v>
          </cell>
          <cell r="I1063">
            <v>328300</v>
          </cell>
          <cell r="J1063">
            <v>328300</v>
          </cell>
          <cell r="K1063">
            <v>148208.17000000001</v>
          </cell>
          <cell r="L1063">
            <v>328300</v>
          </cell>
          <cell r="M1063">
            <v>181274</v>
          </cell>
        </row>
        <row r="1064">
          <cell r="A1064">
            <v>1613220253</v>
          </cell>
          <cell r="B1064">
            <v>253</v>
          </cell>
          <cell r="C1064">
            <v>613220</v>
          </cell>
          <cell r="D1064">
            <v>1</v>
          </cell>
          <cell r="F1064" t="str">
            <v xml:space="preserve">עובדים חיצוניים   </v>
          </cell>
          <cell r="G1064" t="str">
            <v>שכר</v>
          </cell>
          <cell r="H1064">
            <v>0.51162790697674421</v>
          </cell>
          <cell r="I1064">
            <v>6500000</v>
          </cell>
          <cell r="J1064">
            <v>4300000</v>
          </cell>
          <cell r="K1064">
            <v>1636434.14</v>
          </cell>
          <cell r="L1064">
            <v>3500000</v>
          </cell>
          <cell r="M1064">
            <v>4347012.1500000004</v>
          </cell>
        </row>
        <row r="1065">
          <cell r="A1065">
            <v>1613220350</v>
          </cell>
          <cell r="B1065">
            <v>350</v>
          </cell>
          <cell r="C1065">
            <v>613220</v>
          </cell>
          <cell r="D1065">
            <v>1</v>
          </cell>
          <cell r="F1065" t="str">
            <v>ליסינג 596-85-003</v>
          </cell>
          <cell r="G1065" t="str">
            <v>שכר</v>
          </cell>
          <cell r="H1065">
            <v>0.23772727272727279</v>
          </cell>
          <cell r="I1065">
            <v>54460</v>
          </cell>
          <cell r="J1065">
            <v>44000</v>
          </cell>
          <cell r="K1065">
            <v>27818.99</v>
          </cell>
          <cell r="L1065">
            <v>44000</v>
          </cell>
          <cell r="M1065">
            <v>58577.45</v>
          </cell>
        </row>
        <row r="1066">
          <cell r="A1066">
            <v>1613220351</v>
          </cell>
          <cell r="B1066">
            <v>351</v>
          </cell>
          <cell r="C1066">
            <v>613220</v>
          </cell>
          <cell r="D1066">
            <v>1</v>
          </cell>
          <cell r="F1066" t="str">
            <v>הוצאות  596-85-003</v>
          </cell>
          <cell r="G1066" t="str">
            <v>שכר</v>
          </cell>
          <cell r="H1066">
            <v>-0.94094488188976377</v>
          </cell>
          <cell r="I1066">
            <v>1500</v>
          </cell>
          <cell r="J1066">
            <v>25400</v>
          </cell>
          <cell r="K1066">
            <v>247.8</v>
          </cell>
          <cell r="L1066">
            <v>25400</v>
          </cell>
          <cell r="M1066">
            <v>0</v>
          </cell>
        </row>
        <row r="1067">
          <cell r="A1067">
            <v>1613220435</v>
          </cell>
          <cell r="B1067">
            <v>435</v>
          </cell>
          <cell r="C1067">
            <v>613220</v>
          </cell>
          <cell r="D1067">
            <v>1</v>
          </cell>
          <cell r="F1067" t="str">
            <v xml:space="preserve">תחזוקת תוכנה      </v>
          </cell>
          <cell r="G1067" t="str">
            <v>קשיח</v>
          </cell>
          <cell r="H1067">
            <v>9.2975281386848074E-2</v>
          </cell>
          <cell r="I1067">
            <v>3020000</v>
          </cell>
          <cell r="J1067">
            <v>2763100</v>
          </cell>
          <cell r="K1067">
            <v>1707692.51</v>
          </cell>
          <cell r="L1067">
            <v>2219200</v>
          </cell>
          <cell r="M1067">
            <v>2791894.6</v>
          </cell>
        </row>
        <row r="1068">
          <cell r="A1068">
            <v>1613220438</v>
          </cell>
          <cell r="B1068">
            <v>438</v>
          </cell>
          <cell r="C1068">
            <v>613220</v>
          </cell>
          <cell r="D1068">
            <v>1</v>
          </cell>
          <cell r="F1068" t="str">
            <v xml:space="preserve">תחזוקת חומרה-חוזה </v>
          </cell>
          <cell r="G1068" t="str">
            <v>קשיח</v>
          </cell>
          <cell r="H1068">
            <v>-0.2191158242666299</v>
          </cell>
          <cell r="I1068">
            <v>567000</v>
          </cell>
          <cell r="J1068">
            <v>726100</v>
          </cell>
          <cell r="K1068">
            <v>181285.41</v>
          </cell>
          <cell r="L1068">
            <v>726100</v>
          </cell>
          <cell r="M1068">
            <v>537069.36</v>
          </cell>
        </row>
        <row r="1069">
          <cell r="A1069">
            <v>1613220439</v>
          </cell>
          <cell r="B1069">
            <v>439</v>
          </cell>
          <cell r="C1069">
            <v>613220</v>
          </cell>
          <cell r="D1069">
            <v>1</v>
          </cell>
          <cell r="F1069" t="str">
            <v>שאילתות מינהל האוכלוסין</v>
          </cell>
          <cell r="G1069" t="str">
            <v>קשיח</v>
          </cell>
          <cell r="H1069">
            <v>1.1496825396825399</v>
          </cell>
          <cell r="I1069">
            <v>135430</v>
          </cell>
          <cell r="J1069">
            <v>63000</v>
          </cell>
          <cell r="K1069">
            <v>62181.61</v>
          </cell>
          <cell r="L1069">
            <v>63000</v>
          </cell>
          <cell r="M1069">
            <v>89605.21</v>
          </cell>
        </row>
        <row r="1070">
          <cell r="A1070">
            <v>1613220471</v>
          </cell>
          <cell r="B1070">
            <v>471</v>
          </cell>
          <cell r="C1070">
            <v>613220</v>
          </cell>
          <cell r="D1070">
            <v>1</v>
          </cell>
          <cell r="F1070" t="str">
            <v xml:space="preserve">מכשירי כתיבה      </v>
          </cell>
          <cell r="G1070" t="str">
            <v>גמיש</v>
          </cell>
          <cell r="H1070">
            <v>0</v>
          </cell>
          <cell r="I1070">
            <v>1620</v>
          </cell>
          <cell r="J1070">
            <v>1620</v>
          </cell>
          <cell r="K1070">
            <v>291</v>
          </cell>
          <cell r="L1070">
            <v>1800</v>
          </cell>
          <cell r="M1070">
            <v>1780.8</v>
          </cell>
        </row>
        <row r="1071">
          <cell r="A1071">
            <v>1613220492</v>
          </cell>
          <cell r="B1071">
            <v>492</v>
          </cell>
          <cell r="C1071">
            <v>613220</v>
          </cell>
          <cell r="D1071">
            <v>1</v>
          </cell>
          <cell r="F1071" t="str">
            <v xml:space="preserve">השתתפות בעזר 092  </v>
          </cell>
          <cell r="G1071" t="str">
            <v>קשיח</v>
          </cell>
          <cell r="H1071">
            <v>0.1558441558441559</v>
          </cell>
          <cell r="I1071">
            <v>178000</v>
          </cell>
          <cell r="J1071">
            <v>154000</v>
          </cell>
          <cell r="K1071">
            <v>60850</v>
          </cell>
          <cell r="L1071">
            <v>142000</v>
          </cell>
          <cell r="M1071">
            <v>156152.84</v>
          </cell>
        </row>
        <row r="1072">
          <cell r="A1072">
            <v>1613220511</v>
          </cell>
          <cell r="B1072">
            <v>511</v>
          </cell>
          <cell r="C1072">
            <v>613220</v>
          </cell>
          <cell r="D1072">
            <v>1</v>
          </cell>
          <cell r="F1072" t="str">
            <v xml:space="preserve">אירוח וכיבוד      </v>
          </cell>
          <cell r="G1072" t="str">
            <v>גמיש</v>
          </cell>
          <cell r="H1072">
            <v>-0.21717171717171713</v>
          </cell>
          <cell r="I1072">
            <v>6200</v>
          </cell>
          <cell r="J1072">
            <v>7920</v>
          </cell>
          <cell r="K1072">
            <v>5125.96</v>
          </cell>
          <cell r="L1072">
            <v>8700</v>
          </cell>
          <cell r="M1072">
            <v>7927.86</v>
          </cell>
        </row>
        <row r="1073">
          <cell r="A1073">
            <v>1613220521</v>
          </cell>
          <cell r="B1073">
            <v>521</v>
          </cell>
          <cell r="C1073">
            <v>613220</v>
          </cell>
          <cell r="D1073">
            <v>1</v>
          </cell>
          <cell r="F1073" t="str">
            <v xml:space="preserve">השתלמויות עובדים  </v>
          </cell>
          <cell r="G1073" t="str">
            <v>גמיש</v>
          </cell>
          <cell r="I1073">
            <v>0</v>
          </cell>
          <cell r="J1073">
            <v>0</v>
          </cell>
          <cell r="K1073">
            <v>0</v>
          </cell>
          <cell r="L1073">
            <v>19700</v>
          </cell>
          <cell r="M1073">
            <v>19656</v>
          </cell>
        </row>
        <row r="1074">
          <cell r="A1074">
            <v>1613220522</v>
          </cell>
          <cell r="B1074">
            <v>522</v>
          </cell>
          <cell r="C1074">
            <v>613220</v>
          </cell>
          <cell r="D1074">
            <v>1</v>
          </cell>
          <cell r="F1074" t="str">
            <v xml:space="preserve">ספרים ועיתונים    </v>
          </cell>
          <cell r="G1074" t="str">
            <v>גמיש</v>
          </cell>
          <cell r="H1074">
            <v>0</v>
          </cell>
          <cell r="I1074">
            <v>5850</v>
          </cell>
          <cell r="J1074">
            <v>5850</v>
          </cell>
          <cell r="K1074">
            <v>4539</v>
          </cell>
          <cell r="L1074">
            <v>3100</v>
          </cell>
          <cell r="M1074">
            <v>2794.03</v>
          </cell>
        </row>
        <row r="1075">
          <cell r="A1075">
            <v>1613220561</v>
          </cell>
          <cell r="B1075">
            <v>561</v>
          </cell>
          <cell r="C1075">
            <v>613220</v>
          </cell>
          <cell r="D1075">
            <v>1</v>
          </cell>
          <cell r="F1075" t="str">
            <v xml:space="preserve">שיכפולים          </v>
          </cell>
          <cell r="G1075" t="str">
            <v>גמיש</v>
          </cell>
          <cell r="H1075">
            <v>-1</v>
          </cell>
          <cell r="I1075">
            <v>0</v>
          </cell>
          <cell r="J1075">
            <v>540</v>
          </cell>
          <cell r="K1075">
            <v>0</v>
          </cell>
          <cell r="L1075">
            <v>600</v>
          </cell>
          <cell r="M1075">
            <v>2057</v>
          </cell>
        </row>
        <row r="1076">
          <cell r="A1076">
            <v>1613220580</v>
          </cell>
          <cell r="B1076">
            <v>580</v>
          </cell>
          <cell r="C1076">
            <v>613220</v>
          </cell>
          <cell r="D1076">
            <v>1</v>
          </cell>
          <cell r="F1076" t="str">
            <v>אבטחת מידע</v>
          </cell>
          <cell r="G1076" t="str">
            <v>גמיש</v>
          </cell>
          <cell r="H1076">
            <v>0</v>
          </cell>
          <cell r="I1076">
            <v>217800</v>
          </cell>
          <cell r="J1076">
            <v>217800</v>
          </cell>
          <cell r="K1076">
            <v>210606.4</v>
          </cell>
          <cell r="L1076">
            <v>0</v>
          </cell>
          <cell r="M1076">
            <v>0</v>
          </cell>
        </row>
        <row r="1077">
          <cell r="A1077">
            <v>1613220723</v>
          </cell>
          <cell r="B1077">
            <v>723</v>
          </cell>
          <cell r="C1077">
            <v>613220</v>
          </cell>
          <cell r="D1077">
            <v>1</v>
          </cell>
          <cell r="F1077" t="str">
            <v xml:space="preserve">חומרים אוזלים     </v>
          </cell>
          <cell r="G1077" t="str">
            <v>גמיש</v>
          </cell>
          <cell r="H1077">
            <v>1.5633672525439408</v>
          </cell>
          <cell r="I1077">
            <v>55420</v>
          </cell>
          <cell r="J1077">
            <v>21620</v>
          </cell>
          <cell r="K1077">
            <v>21149.14</v>
          </cell>
          <cell r="L1077">
            <v>71800</v>
          </cell>
          <cell r="M1077">
            <v>55809.74</v>
          </cell>
        </row>
        <row r="1078">
          <cell r="A1078">
            <v>1613220755</v>
          </cell>
          <cell r="B1078">
            <v>755</v>
          </cell>
          <cell r="C1078">
            <v>613220</v>
          </cell>
          <cell r="D1078">
            <v>1</v>
          </cell>
          <cell r="F1078" t="str">
            <v>תוכניתנים חיצוניים</v>
          </cell>
          <cell r="G1078" t="str">
            <v>קשיח</v>
          </cell>
          <cell r="H1078">
            <v>0</v>
          </cell>
          <cell r="I1078">
            <v>244350</v>
          </cell>
          <cell r="J1078">
            <v>244350</v>
          </cell>
          <cell r="K1078">
            <v>14134.8</v>
          </cell>
          <cell r="L1078">
            <v>513500</v>
          </cell>
          <cell r="M1078">
            <v>421280.96</v>
          </cell>
        </row>
        <row r="1079">
          <cell r="A1079">
            <v>1613220794</v>
          </cell>
          <cell r="B1079">
            <v>794</v>
          </cell>
          <cell r="C1079">
            <v>613220</v>
          </cell>
          <cell r="D1079">
            <v>1</v>
          </cell>
          <cell r="F1079" t="str">
            <v xml:space="preserve">השתתפות בעזר 094  </v>
          </cell>
          <cell r="G1079" t="str">
            <v>קשיח</v>
          </cell>
          <cell r="H1079">
            <v>0</v>
          </cell>
          <cell r="I1079">
            <v>21500</v>
          </cell>
          <cell r="J1079">
            <v>21500</v>
          </cell>
          <cell r="K1079">
            <v>10157</v>
          </cell>
          <cell r="L1079">
            <v>22500</v>
          </cell>
          <cell r="M1079">
            <v>26836</v>
          </cell>
        </row>
        <row r="1080">
          <cell r="A1080">
            <v>1613220934</v>
          </cell>
          <cell r="B1080">
            <v>934</v>
          </cell>
          <cell r="C1080">
            <v>613220</v>
          </cell>
          <cell r="D1080">
            <v>1</v>
          </cell>
          <cell r="F1080" t="str">
            <v xml:space="preserve">רכישות            </v>
          </cell>
          <cell r="G1080" t="str">
            <v>גמיש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M1080">
            <v>1447</v>
          </cell>
        </row>
        <row r="1081">
          <cell r="A1081" t="e">
            <v>#VALUE!</v>
          </cell>
          <cell r="B1081" t="str">
            <v>613220  סך הכל</v>
          </cell>
          <cell r="F1081" t="str">
            <v>אגף למע' מידע ותקשוב</v>
          </cell>
          <cell r="H1081">
            <v>0.17955301397429935</v>
          </cell>
          <cell r="I1081">
            <v>13759249.997407407</v>
          </cell>
          <cell r="J1081">
            <v>11664800</v>
          </cell>
          <cell r="K1081">
            <v>5579977.1600000001</v>
          </cell>
          <cell r="L1081">
            <v>9719400</v>
          </cell>
          <cell r="M1081">
            <v>10507365.890000002</v>
          </cell>
        </row>
        <row r="1082">
          <cell r="A1082">
            <v>16132210</v>
          </cell>
          <cell r="B1082">
            <v>0</v>
          </cell>
          <cell r="C1082">
            <v>613221</v>
          </cell>
          <cell r="D1082">
            <v>1</v>
          </cell>
          <cell r="F1082" t="str">
            <v>האגף למערכות מידע ותקשוב</v>
          </cell>
          <cell r="G1082" t="str">
            <v xml:space="preserve"> </v>
          </cell>
        </row>
        <row r="1083">
          <cell r="A1083">
            <v>1613221571</v>
          </cell>
          <cell r="B1083">
            <v>571</v>
          </cell>
          <cell r="C1083">
            <v>613221</v>
          </cell>
          <cell r="D1083">
            <v>1</v>
          </cell>
          <cell r="F1083" t="str">
            <v xml:space="preserve">שרותי מיכון וענ"א </v>
          </cell>
          <cell r="G1083" t="str">
            <v>קשיח</v>
          </cell>
          <cell r="H1083">
            <v>0.17955301419655711</v>
          </cell>
          <cell r="I1083">
            <v>-13759250</v>
          </cell>
          <cell r="J1083">
            <v>-11664800</v>
          </cell>
          <cell r="K1083">
            <v>-5849300</v>
          </cell>
          <cell r="L1083">
            <v>-9719400</v>
          </cell>
          <cell r="M1083">
            <v>-11514900</v>
          </cell>
        </row>
        <row r="1084">
          <cell r="A1084" t="e">
            <v>#VALUE!</v>
          </cell>
          <cell r="B1084" t="str">
            <v>613221  סך הכל</v>
          </cell>
          <cell r="F1084" t="str">
            <v>אגף למע' מידע ותקשוב</v>
          </cell>
          <cell r="H1084">
            <v>0.17955301419655711</v>
          </cell>
          <cell r="I1084">
            <v>-13759250</v>
          </cell>
          <cell r="J1084">
            <v>-11664800</v>
          </cell>
          <cell r="K1084">
            <v>-5849300</v>
          </cell>
          <cell r="L1084">
            <v>-9719400</v>
          </cell>
          <cell r="M1084">
            <v>-11514900</v>
          </cell>
        </row>
        <row r="1085">
          <cell r="A1085">
            <v>16133000</v>
          </cell>
          <cell r="B1085">
            <v>0</v>
          </cell>
          <cell r="C1085">
            <v>613300</v>
          </cell>
          <cell r="D1085">
            <v>1</v>
          </cell>
          <cell r="F1085" t="str">
            <v xml:space="preserve">גנזך ומוזיאון     </v>
          </cell>
          <cell r="G1085" t="str">
            <v xml:space="preserve"> </v>
          </cell>
        </row>
        <row r="1086">
          <cell r="A1086">
            <v>1613300110</v>
          </cell>
          <cell r="B1086">
            <v>110</v>
          </cell>
          <cell r="C1086">
            <v>613300</v>
          </cell>
          <cell r="D1086">
            <v>1</v>
          </cell>
          <cell r="F1086" t="str">
            <v>השכר הקובע-תקציבית</v>
          </cell>
          <cell r="G1086" t="str">
            <v>שכר</v>
          </cell>
          <cell r="H1086">
            <v>2.5014310246135985E-2</v>
          </cell>
          <cell r="I1086">
            <v>179069.99999999997</v>
          </cell>
          <cell r="J1086">
            <v>174700</v>
          </cell>
          <cell r="K1086">
            <v>118697.55</v>
          </cell>
          <cell r="L1086">
            <v>171300</v>
          </cell>
          <cell r="M1086">
            <v>207663.38</v>
          </cell>
        </row>
        <row r="1087">
          <cell r="A1087">
            <v>1613300119</v>
          </cell>
          <cell r="B1087">
            <v>119</v>
          </cell>
          <cell r="C1087">
            <v>613300</v>
          </cell>
          <cell r="D1087">
            <v>1</v>
          </cell>
          <cell r="F1087" t="str">
            <v xml:space="preserve">השכר הקובע-צוברת  </v>
          </cell>
          <cell r="G1087" t="str">
            <v>שכר</v>
          </cell>
          <cell r="H1087">
            <v>2.4967989756722098E-2</v>
          </cell>
          <cell r="I1087">
            <v>80050</v>
          </cell>
          <cell r="J1087">
            <v>78100</v>
          </cell>
          <cell r="K1087">
            <v>22629.95</v>
          </cell>
          <cell r="L1087">
            <v>76600</v>
          </cell>
          <cell r="M1087">
            <v>40743.35</v>
          </cell>
        </row>
        <row r="1088">
          <cell r="A1088">
            <v>1613300122</v>
          </cell>
          <cell r="B1088">
            <v>122</v>
          </cell>
          <cell r="C1088">
            <v>613300</v>
          </cell>
          <cell r="D1088">
            <v>1</v>
          </cell>
          <cell r="F1088" t="str">
            <v xml:space="preserve">ביגוד             </v>
          </cell>
          <cell r="G1088" t="str">
            <v>שכר</v>
          </cell>
          <cell r="H1088">
            <v>0</v>
          </cell>
          <cell r="I1088">
            <v>2300</v>
          </cell>
          <cell r="J1088">
            <v>2300</v>
          </cell>
          <cell r="K1088">
            <v>1492.58</v>
          </cell>
          <cell r="L1088">
            <v>2700</v>
          </cell>
          <cell r="M1088">
            <v>2012.89</v>
          </cell>
        </row>
        <row r="1089">
          <cell r="A1089">
            <v>1613300126</v>
          </cell>
          <cell r="B1089">
            <v>126</v>
          </cell>
          <cell r="C1089">
            <v>613300</v>
          </cell>
          <cell r="D1089">
            <v>1</v>
          </cell>
          <cell r="F1089" t="str">
            <v xml:space="preserve">דמי הבראה         </v>
          </cell>
          <cell r="G1089" t="str">
            <v>שכר</v>
          </cell>
          <cell r="H1089">
            <v>0</v>
          </cell>
          <cell r="I1089">
            <v>9500</v>
          </cell>
          <cell r="J1089">
            <v>9500</v>
          </cell>
          <cell r="K1089">
            <v>7790.02</v>
          </cell>
          <cell r="L1089">
            <v>11000</v>
          </cell>
          <cell r="M1089">
            <v>9192.2999999999993</v>
          </cell>
        </row>
        <row r="1090">
          <cell r="A1090">
            <v>1613300140</v>
          </cell>
          <cell r="B1090">
            <v>140</v>
          </cell>
          <cell r="C1090">
            <v>613300</v>
          </cell>
          <cell r="D1090">
            <v>1</v>
          </cell>
          <cell r="F1090" t="str">
            <v>השתתפות באחזקת רכב</v>
          </cell>
          <cell r="G1090" t="str">
            <v>שכר</v>
          </cell>
          <cell r="H1090">
            <v>0</v>
          </cell>
          <cell r="I1090">
            <v>42300</v>
          </cell>
          <cell r="J1090">
            <v>42300</v>
          </cell>
          <cell r="K1090">
            <v>17183.84</v>
          </cell>
          <cell r="L1090">
            <v>42300</v>
          </cell>
          <cell r="M1090">
            <v>40294.870000000003</v>
          </cell>
        </row>
        <row r="1091">
          <cell r="A1091">
            <v>1613300253</v>
          </cell>
          <cell r="B1091">
            <v>253</v>
          </cell>
          <cell r="C1091">
            <v>613300</v>
          </cell>
          <cell r="D1091">
            <v>1</v>
          </cell>
          <cell r="F1091" t="str">
            <v xml:space="preserve">עובדים חיצוניים   </v>
          </cell>
          <cell r="G1091" t="str">
            <v>שכר</v>
          </cell>
          <cell r="I1091">
            <v>0</v>
          </cell>
          <cell r="J1091">
            <v>0</v>
          </cell>
          <cell r="K1091">
            <v>0</v>
          </cell>
          <cell r="L1091">
            <v>0</v>
          </cell>
          <cell r="M1091">
            <v>1728.18</v>
          </cell>
        </row>
        <row r="1092">
          <cell r="A1092">
            <v>1613300410</v>
          </cell>
          <cell r="B1092">
            <v>410</v>
          </cell>
          <cell r="C1092">
            <v>613300</v>
          </cell>
          <cell r="D1092">
            <v>1</v>
          </cell>
          <cell r="F1092" t="str">
            <v xml:space="preserve">השתת במס ועד בית  </v>
          </cell>
          <cell r="G1092" t="str">
            <v>קשיח</v>
          </cell>
          <cell r="H1092">
            <v>0</v>
          </cell>
          <cell r="I1092">
            <v>5000</v>
          </cell>
          <cell r="J1092">
            <v>5000</v>
          </cell>
          <cell r="K1092">
            <v>3591.42</v>
          </cell>
          <cell r="L1092">
            <v>5000</v>
          </cell>
          <cell r="M1092">
            <v>3360</v>
          </cell>
        </row>
        <row r="1093">
          <cell r="A1093">
            <v>1613300420</v>
          </cell>
          <cell r="B1093">
            <v>420</v>
          </cell>
          <cell r="C1093">
            <v>613300</v>
          </cell>
          <cell r="D1093">
            <v>1</v>
          </cell>
          <cell r="F1093" t="str">
            <v xml:space="preserve">כיבוי אש          </v>
          </cell>
          <cell r="G1093" t="str">
            <v>קשיח</v>
          </cell>
          <cell r="H1093">
            <v>0</v>
          </cell>
          <cell r="I1093">
            <v>1800</v>
          </cell>
          <cell r="J1093">
            <v>1800</v>
          </cell>
          <cell r="K1093">
            <v>710</v>
          </cell>
          <cell r="L1093">
            <v>2000</v>
          </cell>
          <cell r="M1093">
            <v>1573.38</v>
          </cell>
        </row>
        <row r="1094">
          <cell r="A1094">
            <v>1613300431</v>
          </cell>
          <cell r="B1094">
            <v>431</v>
          </cell>
          <cell r="C1094">
            <v>613300</v>
          </cell>
          <cell r="D1094">
            <v>1</v>
          </cell>
          <cell r="F1094" t="str">
            <v xml:space="preserve">חשמל              </v>
          </cell>
          <cell r="G1094" t="str">
            <v>קשיח</v>
          </cell>
          <cell r="H1094">
            <v>0</v>
          </cell>
          <cell r="I1094">
            <v>6700</v>
          </cell>
          <cell r="J1094">
            <v>6700</v>
          </cell>
          <cell r="K1094">
            <v>2398.87</v>
          </cell>
          <cell r="L1094">
            <v>6600</v>
          </cell>
          <cell r="M1094">
            <v>2226.46</v>
          </cell>
        </row>
        <row r="1095">
          <cell r="A1095">
            <v>1613300432</v>
          </cell>
          <cell r="B1095">
            <v>432</v>
          </cell>
          <cell r="C1095">
            <v>613300</v>
          </cell>
          <cell r="D1095">
            <v>1</v>
          </cell>
          <cell r="F1095" t="str">
            <v xml:space="preserve">מים               </v>
          </cell>
          <cell r="G1095" t="str">
            <v>קשיח</v>
          </cell>
          <cell r="I1095">
            <v>0</v>
          </cell>
          <cell r="J1095">
            <v>0</v>
          </cell>
          <cell r="K1095">
            <v>0</v>
          </cell>
          <cell r="L1095">
            <v>800</v>
          </cell>
          <cell r="M1095">
            <v>72.19</v>
          </cell>
        </row>
        <row r="1096">
          <cell r="A1096">
            <v>1613300437</v>
          </cell>
          <cell r="B1096">
            <v>437</v>
          </cell>
          <cell r="C1096">
            <v>613300</v>
          </cell>
          <cell r="D1096">
            <v>1</v>
          </cell>
          <cell r="F1096" t="str">
            <v xml:space="preserve">אחזקת אזעקה       </v>
          </cell>
          <cell r="G1096" t="str">
            <v>קשיח</v>
          </cell>
          <cell r="H1096">
            <v>0</v>
          </cell>
          <cell r="I1096">
            <v>1300</v>
          </cell>
          <cell r="J1096">
            <v>1300</v>
          </cell>
          <cell r="K1096">
            <v>0</v>
          </cell>
          <cell r="L1096">
            <v>1300</v>
          </cell>
          <cell r="M1096">
            <v>1221.48</v>
          </cell>
        </row>
        <row r="1097">
          <cell r="A1097">
            <v>1613300441</v>
          </cell>
          <cell r="B1097">
            <v>441</v>
          </cell>
          <cell r="C1097">
            <v>613300</v>
          </cell>
          <cell r="D1097">
            <v>1</v>
          </cell>
          <cell r="F1097" t="str">
            <v>ביטוח</v>
          </cell>
          <cell r="G1097" t="str">
            <v>קשיח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202</v>
          </cell>
        </row>
        <row r="1098">
          <cell r="A1098">
            <v>1613300571</v>
          </cell>
          <cell r="B1098">
            <v>571</v>
          </cell>
          <cell r="C1098">
            <v>613300</v>
          </cell>
          <cell r="D1098">
            <v>1</v>
          </cell>
          <cell r="F1098" t="str">
            <v xml:space="preserve">מיכון וענ"א       </v>
          </cell>
          <cell r="G1098" t="str">
            <v>קשיח</v>
          </cell>
          <cell r="H1098">
            <v>0</v>
          </cell>
          <cell r="I1098">
            <v>42900</v>
          </cell>
          <cell r="J1098">
            <v>42900</v>
          </cell>
          <cell r="K1098">
            <v>21450</v>
          </cell>
          <cell r="L1098">
            <v>32500</v>
          </cell>
          <cell r="M1098">
            <v>32500</v>
          </cell>
        </row>
        <row r="1099">
          <cell r="A1099">
            <v>1613300721</v>
          </cell>
          <cell r="B1099">
            <v>721</v>
          </cell>
          <cell r="C1099">
            <v>613300</v>
          </cell>
          <cell r="D1099">
            <v>1</v>
          </cell>
          <cell r="F1099" t="str">
            <v>חמרים-חחזוקת מבנים</v>
          </cell>
          <cell r="G1099" t="str">
            <v>גמיש</v>
          </cell>
          <cell r="I1099">
            <v>0</v>
          </cell>
          <cell r="J1099">
            <v>0</v>
          </cell>
          <cell r="K1099">
            <v>0</v>
          </cell>
          <cell r="L1099">
            <v>500</v>
          </cell>
          <cell r="M1099">
            <v>0</v>
          </cell>
        </row>
        <row r="1100">
          <cell r="A1100">
            <v>1613300751</v>
          </cell>
          <cell r="B1100">
            <v>751</v>
          </cell>
          <cell r="C1100">
            <v>613300</v>
          </cell>
          <cell r="D1100">
            <v>1</v>
          </cell>
          <cell r="F1100" t="str">
            <v xml:space="preserve">עבודות קבלניות    </v>
          </cell>
          <cell r="G1100" t="str">
            <v>גמיש</v>
          </cell>
          <cell r="H1100">
            <v>0</v>
          </cell>
          <cell r="I1100">
            <v>1260</v>
          </cell>
          <cell r="J1100">
            <v>1260</v>
          </cell>
          <cell r="K1100">
            <v>0</v>
          </cell>
          <cell r="L1100">
            <v>1400</v>
          </cell>
          <cell r="M1100">
            <v>0</v>
          </cell>
        </row>
        <row r="1101">
          <cell r="A1101">
            <v>1613300752</v>
          </cell>
          <cell r="B1101">
            <v>752</v>
          </cell>
          <cell r="C1101">
            <v>613300</v>
          </cell>
          <cell r="D1101">
            <v>1</v>
          </cell>
          <cell r="F1101" t="str">
            <v xml:space="preserve">נקיון בקבלנות     </v>
          </cell>
          <cell r="G1101" t="str">
            <v>קשיח</v>
          </cell>
          <cell r="H1101">
            <v>0</v>
          </cell>
          <cell r="I1101">
            <v>10000</v>
          </cell>
          <cell r="J1101">
            <v>10000</v>
          </cell>
          <cell r="K1101">
            <v>3474.06</v>
          </cell>
          <cell r="L1101">
            <v>51000</v>
          </cell>
          <cell r="M1101">
            <v>48211.69</v>
          </cell>
        </row>
        <row r="1102">
          <cell r="A1102">
            <v>1613300757</v>
          </cell>
          <cell r="B1102">
            <v>757</v>
          </cell>
          <cell r="C1102">
            <v>613300</v>
          </cell>
          <cell r="D1102">
            <v>1</v>
          </cell>
          <cell r="F1102" t="str">
            <v>שרותי גניזה</v>
          </cell>
          <cell r="G1102" t="str">
            <v>גמיש</v>
          </cell>
          <cell r="H1102">
            <v>7.2796934865900331E-2</v>
          </cell>
          <cell r="I1102">
            <v>14000</v>
          </cell>
          <cell r="J1102">
            <v>13050</v>
          </cell>
          <cell r="K1102">
            <v>8496.64</v>
          </cell>
          <cell r="L1102">
            <v>13500</v>
          </cell>
          <cell r="M1102">
            <v>10342.299999999999</v>
          </cell>
        </row>
        <row r="1103">
          <cell r="A1103">
            <v>1613300794</v>
          </cell>
          <cell r="B1103">
            <v>794</v>
          </cell>
          <cell r="C1103">
            <v>613300</v>
          </cell>
          <cell r="D1103">
            <v>1</v>
          </cell>
          <cell r="F1103" t="str">
            <v xml:space="preserve">השתתפות בעזר 094  </v>
          </cell>
          <cell r="G1103" t="str">
            <v>קשיח</v>
          </cell>
          <cell r="H1103">
            <v>0</v>
          </cell>
          <cell r="I1103">
            <v>2100</v>
          </cell>
          <cell r="J1103">
            <v>2100</v>
          </cell>
          <cell r="K1103">
            <v>992</v>
          </cell>
          <cell r="L1103">
            <v>2100</v>
          </cell>
          <cell r="M1103">
            <v>2504</v>
          </cell>
        </row>
        <row r="1104">
          <cell r="A1104" t="e">
            <v>#VALUE!</v>
          </cell>
          <cell r="B1104" t="str">
            <v>613300  סך הכל</v>
          </cell>
          <cell r="F1104" t="str">
            <v xml:space="preserve">גנזך ומוזיאון     </v>
          </cell>
          <cell r="H1104">
            <v>1.8592874862535469E-2</v>
          </cell>
          <cell r="I1104">
            <v>398280</v>
          </cell>
          <cell r="J1104">
            <v>391010</v>
          </cell>
          <cell r="K1104">
            <v>208906.93</v>
          </cell>
          <cell r="L1104">
            <v>420600</v>
          </cell>
          <cell r="M1104">
            <v>403848.47000000003</v>
          </cell>
        </row>
        <row r="1105">
          <cell r="A1105">
            <v>16134000</v>
          </cell>
          <cell r="B1105">
            <v>0</v>
          </cell>
          <cell r="C1105">
            <v>613400</v>
          </cell>
          <cell r="D1105">
            <v>1</v>
          </cell>
          <cell r="F1105" t="str">
            <v xml:space="preserve">רשום תכולה        </v>
          </cell>
          <cell r="G1105" t="str">
            <v xml:space="preserve"> </v>
          </cell>
        </row>
        <row r="1106">
          <cell r="A1106">
            <v>1613400119</v>
          </cell>
          <cell r="B1106">
            <v>119</v>
          </cell>
          <cell r="C1106">
            <v>613400</v>
          </cell>
          <cell r="D1106">
            <v>1</v>
          </cell>
          <cell r="F1106" t="str">
            <v xml:space="preserve">השכר הקובע-צוברת  </v>
          </cell>
          <cell r="G1106" t="str">
            <v>שכר</v>
          </cell>
          <cell r="I1106">
            <v>0</v>
          </cell>
          <cell r="J1106">
            <v>0</v>
          </cell>
          <cell r="K1106">
            <v>0</v>
          </cell>
          <cell r="L1106">
            <v>120000</v>
          </cell>
          <cell r="M1106">
            <v>0</v>
          </cell>
        </row>
        <row r="1107">
          <cell r="A1107">
            <v>1613400122</v>
          </cell>
          <cell r="B1107">
            <v>122</v>
          </cell>
          <cell r="C1107">
            <v>613400</v>
          </cell>
          <cell r="D1107">
            <v>1</v>
          </cell>
          <cell r="F1107" t="str">
            <v xml:space="preserve">ביגוד             </v>
          </cell>
          <cell r="G1107" t="str">
            <v>שכר</v>
          </cell>
          <cell r="I1107">
            <v>0</v>
          </cell>
          <cell r="J1107">
            <v>0</v>
          </cell>
          <cell r="K1107">
            <v>0</v>
          </cell>
          <cell r="L1107">
            <v>2700</v>
          </cell>
          <cell r="M1107">
            <v>0</v>
          </cell>
        </row>
        <row r="1108">
          <cell r="A1108">
            <v>1613400126</v>
          </cell>
          <cell r="B1108">
            <v>126</v>
          </cell>
          <cell r="C1108">
            <v>613400</v>
          </cell>
          <cell r="D1108">
            <v>1</v>
          </cell>
          <cell r="F1108" t="str">
            <v xml:space="preserve">דמי הבראה         </v>
          </cell>
          <cell r="G1108" t="str">
            <v>שכר</v>
          </cell>
          <cell r="I1108">
            <v>0</v>
          </cell>
          <cell r="J1108">
            <v>0</v>
          </cell>
          <cell r="K1108">
            <v>0</v>
          </cell>
          <cell r="L1108">
            <v>8800</v>
          </cell>
          <cell r="M1108">
            <v>0</v>
          </cell>
        </row>
        <row r="1109">
          <cell r="A1109">
            <v>1613400140</v>
          </cell>
          <cell r="B1109">
            <v>140</v>
          </cell>
          <cell r="C1109">
            <v>613400</v>
          </cell>
          <cell r="D1109">
            <v>1</v>
          </cell>
          <cell r="F1109" t="str">
            <v>השתתפות באחזקת רכב</v>
          </cell>
          <cell r="G1109" t="str">
            <v>שכר</v>
          </cell>
          <cell r="I1109">
            <v>0</v>
          </cell>
          <cell r="J1109">
            <v>0</v>
          </cell>
          <cell r="K1109">
            <v>0</v>
          </cell>
          <cell r="L1109">
            <v>37500</v>
          </cell>
          <cell r="M1109">
            <v>0</v>
          </cell>
        </row>
        <row r="1110">
          <cell r="A1110">
            <v>1613400571</v>
          </cell>
          <cell r="B1110">
            <v>571</v>
          </cell>
          <cell r="C1110">
            <v>613400</v>
          </cell>
          <cell r="D1110">
            <v>1</v>
          </cell>
          <cell r="F1110" t="str">
            <v xml:space="preserve">מיכון וענ"א       </v>
          </cell>
          <cell r="G1110" t="str">
            <v>קשיח</v>
          </cell>
          <cell r="H1110">
            <v>0</v>
          </cell>
          <cell r="I1110">
            <v>15600</v>
          </cell>
          <cell r="J1110">
            <v>15600</v>
          </cell>
          <cell r="K1110">
            <v>7800</v>
          </cell>
          <cell r="L1110">
            <v>15600</v>
          </cell>
          <cell r="M1110">
            <v>15600</v>
          </cell>
        </row>
        <row r="1111">
          <cell r="A1111">
            <v>1613400710</v>
          </cell>
          <cell r="B1111">
            <v>710</v>
          </cell>
          <cell r="C1111">
            <v>613400</v>
          </cell>
          <cell r="D1111">
            <v>1</v>
          </cell>
          <cell r="F1111" t="str">
            <v xml:space="preserve">הובלות והסעות     </v>
          </cell>
          <cell r="G1111" t="str">
            <v>גמיש</v>
          </cell>
          <cell r="H1111">
            <v>0.53711023276240666</v>
          </cell>
          <cell r="I1111">
            <v>35000</v>
          </cell>
          <cell r="J1111">
            <v>22770</v>
          </cell>
          <cell r="K1111">
            <v>0</v>
          </cell>
          <cell r="L1111">
            <v>21600</v>
          </cell>
          <cell r="M1111">
            <v>46599.5</v>
          </cell>
        </row>
        <row r="1112">
          <cell r="A1112" t="e">
            <v>#VALUE!</v>
          </cell>
          <cell r="B1112" t="str">
            <v>613400  סך הכל</v>
          </cell>
          <cell r="F1112" t="str">
            <v xml:space="preserve">רשום תכולה        </v>
          </cell>
          <cell r="H1112">
            <v>0.31873859786291381</v>
          </cell>
          <cell r="I1112">
            <v>50600</v>
          </cell>
          <cell r="J1112">
            <v>38370</v>
          </cell>
          <cell r="K1112">
            <v>7800</v>
          </cell>
          <cell r="L1112">
            <v>206200</v>
          </cell>
          <cell r="M1112">
            <v>62199.5</v>
          </cell>
        </row>
        <row r="1113">
          <cell r="A1113">
            <v>16150000</v>
          </cell>
          <cell r="B1113">
            <v>0</v>
          </cell>
          <cell r="C1113">
            <v>615000</v>
          </cell>
          <cell r="D1113">
            <v>1</v>
          </cell>
          <cell r="F1113" t="str">
            <v>משאבי אנוש</v>
          </cell>
          <cell r="G1113" t="str">
            <v xml:space="preserve"> </v>
          </cell>
        </row>
        <row r="1114">
          <cell r="A1114">
            <v>1615000110</v>
          </cell>
          <cell r="B1114">
            <v>110</v>
          </cell>
          <cell r="C1114">
            <v>615000</v>
          </cell>
          <cell r="D1114">
            <v>1</v>
          </cell>
          <cell r="F1114" t="str">
            <v>השכר הקובע-תקציבית</v>
          </cell>
          <cell r="G1114" t="str">
            <v>שכר</v>
          </cell>
          <cell r="H1114">
            <v>2.4999999999999911E-2</v>
          </cell>
          <cell r="I1114">
            <v>500199.99999999994</v>
          </cell>
          <cell r="J1114">
            <v>488000</v>
          </cell>
          <cell r="K1114">
            <v>295690.74</v>
          </cell>
          <cell r="L1114">
            <v>634800</v>
          </cell>
          <cell r="M1114">
            <v>846013.42</v>
          </cell>
        </row>
        <row r="1115">
          <cell r="A1115">
            <v>1615000119</v>
          </cell>
          <cell r="B1115">
            <v>119</v>
          </cell>
          <cell r="C1115">
            <v>615000</v>
          </cell>
          <cell r="D1115">
            <v>1</v>
          </cell>
          <cell r="F1115" t="str">
            <v xml:space="preserve">השכר הקובע-צוברת  </v>
          </cell>
          <cell r="G1115" t="str">
            <v>שכר</v>
          </cell>
          <cell r="H1115">
            <v>6.4177226624800632E-2</v>
          </cell>
          <cell r="I1115">
            <v>4270330.375</v>
          </cell>
          <cell r="J1115">
            <v>4012800</v>
          </cell>
          <cell r="K1115">
            <v>2488341.62</v>
          </cell>
          <cell r="L1115">
            <v>3266500</v>
          </cell>
          <cell r="M1115">
            <v>3409268.55</v>
          </cell>
        </row>
        <row r="1116">
          <cell r="A1116">
            <v>1615000122</v>
          </cell>
          <cell r="B1116">
            <v>122</v>
          </cell>
          <cell r="C1116">
            <v>615000</v>
          </cell>
          <cell r="D1116">
            <v>1</v>
          </cell>
          <cell r="F1116" t="str">
            <v xml:space="preserve">ביגוד             </v>
          </cell>
          <cell r="G1116" t="str">
            <v>שכר</v>
          </cell>
          <cell r="H1116">
            <v>6.302333326813625E-2</v>
          </cell>
          <cell r="I1116">
            <v>45710.003330529857</v>
          </cell>
          <cell r="J1116">
            <v>43000</v>
          </cell>
          <cell r="K1116">
            <v>45312.19</v>
          </cell>
          <cell r="L1116">
            <v>43000</v>
          </cell>
          <cell r="M1116">
            <v>47305.81</v>
          </cell>
        </row>
        <row r="1117">
          <cell r="A1117">
            <v>1615000126</v>
          </cell>
          <cell r="B1117">
            <v>126</v>
          </cell>
          <cell r="C1117">
            <v>615000</v>
          </cell>
          <cell r="D1117">
            <v>1</v>
          </cell>
          <cell r="F1117" t="str">
            <v xml:space="preserve">דמי הבראה         </v>
          </cell>
          <cell r="G1117" t="str">
            <v>שכר</v>
          </cell>
          <cell r="H1117">
            <v>6.3061176172739986E-2</v>
          </cell>
          <cell r="I1117">
            <v>104179.99526492853</v>
          </cell>
          <cell r="J1117">
            <v>98000</v>
          </cell>
          <cell r="K1117">
            <v>100965.38</v>
          </cell>
          <cell r="L1117">
            <v>105000</v>
          </cell>
          <cell r="M1117">
            <v>107067.47</v>
          </cell>
        </row>
        <row r="1118">
          <cell r="A1118">
            <v>1615000130</v>
          </cell>
          <cell r="B1118">
            <v>130</v>
          </cell>
          <cell r="C1118">
            <v>615000</v>
          </cell>
          <cell r="D1118">
            <v>1</v>
          </cell>
          <cell r="F1118" t="str">
            <v xml:space="preserve">שעות נוספות       </v>
          </cell>
          <cell r="G1118" t="str">
            <v>שכר</v>
          </cell>
          <cell r="H1118">
            <v>18.783542039355993</v>
          </cell>
          <cell r="I1118">
            <v>110590</v>
          </cell>
          <cell r="J1118">
            <v>5590</v>
          </cell>
          <cell r="K1118">
            <v>56470.45</v>
          </cell>
          <cell r="L1118">
            <v>6500</v>
          </cell>
          <cell r="M1118">
            <v>19475.04</v>
          </cell>
        </row>
        <row r="1119">
          <cell r="A1119">
            <v>1615000140</v>
          </cell>
          <cell r="B1119">
            <v>140</v>
          </cell>
          <cell r="C1119">
            <v>615000</v>
          </cell>
          <cell r="D1119">
            <v>1</v>
          </cell>
          <cell r="F1119" t="str">
            <v>השתתפות באחזקת רכב</v>
          </cell>
          <cell r="G1119" t="str">
            <v>שכר</v>
          </cell>
          <cell r="H1119">
            <v>0</v>
          </cell>
          <cell r="I1119">
            <v>401000</v>
          </cell>
          <cell r="J1119">
            <v>401000</v>
          </cell>
          <cell r="K1119">
            <v>295055.38</v>
          </cell>
          <cell r="L1119">
            <v>401000</v>
          </cell>
          <cell r="M1119">
            <v>467362.58</v>
          </cell>
        </row>
        <row r="1120">
          <cell r="A1120">
            <v>1615000253</v>
          </cell>
          <cell r="B1120">
            <v>253</v>
          </cell>
          <cell r="C1120">
            <v>615000</v>
          </cell>
          <cell r="D1120">
            <v>1</v>
          </cell>
          <cell r="F1120" t="str">
            <v>עובדי חברות כח-אדם</v>
          </cell>
          <cell r="G1120" t="str">
            <v>שכר</v>
          </cell>
          <cell r="I1120">
            <v>0</v>
          </cell>
          <cell r="J1120">
            <v>0</v>
          </cell>
          <cell r="K1120">
            <v>10956.88</v>
          </cell>
          <cell r="L1120">
            <v>0</v>
          </cell>
          <cell r="M1120">
            <v>200959.25</v>
          </cell>
        </row>
        <row r="1121">
          <cell r="A1121">
            <v>1615000255</v>
          </cell>
          <cell r="B1121">
            <v>255</v>
          </cell>
          <cell r="C1121">
            <v>615000</v>
          </cell>
          <cell r="D1121">
            <v>1</v>
          </cell>
          <cell r="F1121" t="str">
            <v>מ"מ עובדים חיצוניים</v>
          </cell>
          <cell r="G1121" t="str">
            <v>שכר</v>
          </cell>
          <cell r="H1121">
            <v>0.66666666666666674</v>
          </cell>
          <cell r="I1121">
            <v>200000</v>
          </cell>
          <cell r="J1121">
            <v>120000</v>
          </cell>
          <cell r="K1121">
            <v>144788.87</v>
          </cell>
          <cell r="L1121">
            <v>100000</v>
          </cell>
          <cell r="M1121">
            <v>99174.63</v>
          </cell>
        </row>
        <row r="1122">
          <cell r="A1122">
            <v>1615000350</v>
          </cell>
          <cell r="B1122">
            <v>350</v>
          </cell>
          <cell r="C1122">
            <v>615000</v>
          </cell>
          <cell r="D1122">
            <v>1</v>
          </cell>
          <cell r="F1122" t="str">
            <v>ליסינג 599-35-703</v>
          </cell>
          <cell r="G1122" t="str">
            <v>שכר</v>
          </cell>
          <cell r="H1122">
            <v>-0.33758333333333335</v>
          </cell>
          <cell r="I1122">
            <v>79490</v>
          </cell>
          <cell r="J1122">
            <v>120000</v>
          </cell>
          <cell r="K1122">
            <v>39201.39</v>
          </cell>
          <cell r="L1122">
            <v>120000</v>
          </cell>
          <cell r="M1122">
            <v>111651.59</v>
          </cell>
        </row>
        <row r="1123">
          <cell r="A1123">
            <v>1615000351</v>
          </cell>
          <cell r="B1123">
            <v>351</v>
          </cell>
          <cell r="C1123">
            <v>615000</v>
          </cell>
          <cell r="D1123">
            <v>1</v>
          </cell>
          <cell r="F1123" t="str">
            <v xml:space="preserve">הוצאות </v>
          </cell>
          <cell r="G1123" t="str">
            <v>שכר</v>
          </cell>
          <cell r="H1123">
            <v>0.31147540983606548</v>
          </cell>
          <cell r="I1123">
            <v>40000</v>
          </cell>
          <cell r="J1123">
            <v>30500</v>
          </cell>
          <cell r="K1123">
            <v>12041.72</v>
          </cell>
          <cell r="L1123">
            <v>30500</v>
          </cell>
          <cell r="M1123">
            <v>39132.120000000003</v>
          </cell>
        </row>
        <row r="1124">
          <cell r="A1124">
            <v>1615000471</v>
          </cell>
          <cell r="B1124">
            <v>471</v>
          </cell>
          <cell r="C1124">
            <v>615000</v>
          </cell>
          <cell r="D1124">
            <v>1</v>
          </cell>
          <cell r="F1124" t="str">
            <v xml:space="preserve">מכשירי כתיבה      </v>
          </cell>
          <cell r="G1124" t="str">
            <v>גמיש</v>
          </cell>
          <cell r="H1124">
            <v>8.6048454469507041E-2</v>
          </cell>
          <cell r="I1124">
            <v>26000</v>
          </cell>
          <cell r="J1124">
            <v>23940</v>
          </cell>
          <cell r="K1124">
            <v>16711.830000000002</v>
          </cell>
          <cell r="L1124">
            <v>26600</v>
          </cell>
          <cell r="M1124">
            <v>26030.29</v>
          </cell>
        </row>
        <row r="1125">
          <cell r="A1125">
            <v>1615000511</v>
          </cell>
          <cell r="B1125">
            <v>511</v>
          </cell>
          <cell r="C1125">
            <v>615000</v>
          </cell>
          <cell r="D1125">
            <v>1</v>
          </cell>
          <cell r="F1125" t="str">
            <v xml:space="preserve">אירוח וכיבוד      </v>
          </cell>
          <cell r="G1125" t="str">
            <v>גמיש</v>
          </cell>
          <cell r="H1125">
            <v>1.5064599483204133</v>
          </cell>
          <cell r="I1125">
            <v>9700</v>
          </cell>
          <cell r="J1125">
            <v>3870</v>
          </cell>
          <cell r="K1125">
            <v>1442.73</v>
          </cell>
          <cell r="L1125">
            <v>4300</v>
          </cell>
          <cell r="M1125">
            <v>4240</v>
          </cell>
        </row>
        <row r="1126">
          <cell r="A1126">
            <v>1615000512</v>
          </cell>
          <cell r="B1126">
            <v>512</v>
          </cell>
          <cell r="C1126">
            <v>615000</v>
          </cell>
          <cell r="D1126">
            <v>1</v>
          </cell>
          <cell r="F1126" t="str">
            <v xml:space="preserve">נסיעות ואש"ל      </v>
          </cell>
          <cell r="G1126" t="str">
            <v>גמיש</v>
          </cell>
          <cell r="H1126">
            <v>0</v>
          </cell>
          <cell r="I1126">
            <v>450</v>
          </cell>
          <cell r="J1126">
            <v>450</v>
          </cell>
          <cell r="K1126">
            <v>83</v>
          </cell>
          <cell r="L1126">
            <v>500</v>
          </cell>
          <cell r="M1126">
            <v>0</v>
          </cell>
        </row>
        <row r="1127">
          <cell r="A1127">
            <v>1615000515</v>
          </cell>
          <cell r="B1127">
            <v>515</v>
          </cell>
          <cell r="C1127">
            <v>615000</v>
          </cell>
          <cell r="D1127">
            <v>1</v>
          </cell>
          <cell r="F1127" t="str">
            <v xml:space="preserve">משלחת עובדים לפולין </v>
          </cell>
          <cell r="G1127" t="str">
            <v>גמיש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M1127">
            <v>0</v>
          </cell>
        </row>
        <row r="1128">
          <cell r="A1128">
            <v>1615000516</v>
          </cell>
          <cell r="B1128">
            <v>516</v>
          </cell>
          <cell r="C1128">
            <v>615000</v>
          </cell>
          <cell r="D1128">
            <v>1</v>
          </cell>
          <cell r="F1128" t="str">
            <v>מועדון לקוחות</v>
          </cell>
          <cell r="G1128" t="str">
            <v>גמיש</v>
          </cell>
          <cell r="H1128">
            <v>0</v>
          </cell>
          <cell r="I1128">
            <v>54000</v>
          </cell>
          <cell r="J1128">
            <v>54000</v>
          </cell>
          <cell r="K1128">
            <v>0</v>
          </cell>
          <cell r="L1128">
            <v>0</v>
          </cell>
          <cell r="M1128">
            <v>0</v>
          </cell>
        </row>
        <row r="1129">
          <cell r="A1129">
            <v>1615000521</v>
          </cell>
          <cell r="B1129">
            <v>521</v>
          </cell>
          <cell r="C1129">
            <v>615000</v>
          </cell>
          <cell r="D1129">
            <v>1</v>
          </cell>
          <cell r="F1129" t="str">
            <v>השתלמויות-ימי עיון</v>
          </cell>
          <cell r="G1129" t="str">
            <v>גמיש</v>
          </cell>
          <cell r="H1129">
            <v>0.55555555555555558</v>
          </cell>
          <cell r="I1129">
            <v>490000</v>
          </cell>
          <cell r="J1129">
            <v>315000</v>
          </cell>
          <cell r="K1129">
            <v>151782.22</v>
          </cell>
          <cell r="L1129">
            <v>462000</v>
          </cell>
          <cell r="M1129">
            <v>409316.27</v>
          </cell>
        </row>
        <row r="1130">
          <cell r="A1130">
            <v>1615000522</v>
          </cell>
          <cell r="B1130">
            <v>522</v>
          </cell>
          <cell r="C1130">
            <v>615000</v>
          </cell>
          <cell r="D1130">
            <v>1</v>
          </cell>
          <cell r="F1130" t="str">
            <v xml:space="preserve">ספרים ועיתונים    </v>
          </cell>
          <cell r="G1130" t="str">
            <v>גמיש</v>
          </cell>
          <cell r="H1130">
            <v>-1.8087855297157618E-2</v>
          </cell>
          <cell r="I1130">
            <v>3800</v>
          </cell>
          <cell r="J1130">
            <v>3870</v>
          </cell>
          <cell r="K1130">
            <v>1129.93</v>
          </cell>
          <cell r="L1130">
            <v>4300</v>
          </cell>
          <cell r="M1130">
            <v>2009.2</v>
          </cell>
        </row>
        <row r="1131">
          <cell r="A1131">
            <v>1615000523</v>
          </cell>
          <cell r="B1131">
            <v>523</v>
          </cell>
          <cell r="C1131">
            <v>615000</v>
          </cell>
          <cell r="D1131">
            <v>1</v>
          </cell>
          <cell r="F1131" t="str">
            <v xml:space="preserve">השתתפות באירגונים </v>
          </cell>
          <cell r="G1131" t="str">
            <v>קשיח</v>
          </cell>
          <cell r="H1131">
            <v>0</v>
          </cell>
          <cell r="I1131">
            <v>100000</v>
          </cell>
          <cell r="J1131">
            <v>100000</v>
          </cell>
          <cell r="K1131">
            <v>34944</v>
          </cell>
          <cell r="L1131">
            <v>100000</v>
          </cell>
          <cell r="M1131">
            <v>99038</v>
          </cell>
        </row>
        <row r="1132">
          <cell r="A1132">
            <v>1615000524</v>
          </cell>
          <cell r="B1132">
            <v>524</v>
          </cell>
          <cell r="C1132">
            <v>615000</v>
          </cell>
          <cell r="D1132">
            <v>1</v>
          </cell>
          <cell r="F1132" t="str">
            <v xml:space="preserve">קורסים מקצועיים   </v>
          </cell>
          <cell r="G1132" t="str">
            <v>גמיש</v>
          </cell>
          <cell r="H1132">
            <v>0.25313283208020043</v>
          </cell>
          <cell r="I1132">
            <v>150000</v>
          </cell>
          <cell r="J1132">
            <v>119700</v>
          </cell>
          <cell r="K1132">
            <v>129236</v>
          </cell>
          <cell r="L1132">
            <v>133000</v>
          </cell>
          <cell r="M1132">
            <v>136150.5</v>
          </cell>
        </row>
        <row r="1133">
          <cell r="A1133">
            <v>1615000525</v>
          </cell>
          <cell r="B1133">
            <v>525</v>
          </cell>
          <cell r="C1133">
            <v>615000</v>
          </cell>
          <cell r="D1133">
            <v>1</v>
          </cell>
          <cell r="F1133" t="str">
            <v xml:space="preserve">השתת' בשכר לימוד  </v>
          </cell>
          <cell r="G1133" t="str">
            <v>גמיש</v>
          </cell>
          <cell r="H1133">
            <v>0.25272331154684102</v>
          </cell>
          <cell r="I1133">
            <v>230000</v>
          </cell>
          <cell r="J1133">
            <v>183600</v>
          </cell>
          <cell r="K1133">
            <v>38930.6</v>
          </cell>
          <cell r="L1133">
            <v>204000</v>
          </cell>
          <cell r="M1133">
            <v>230330</v>
          </cell>
        </row>
        <row r="1134">
          <cell r="A1134">
            <v>1615000526</v>
          </cell>
          <cell r="B1134">
            <v>526</v>
          </cell>
          <cell r="C1134">
            <v>615000</v>
          </cell>
          <cell r="D1134">
            <v>1</v>
          </cell>
          <cell r="F1134" t="str">
            <v>חברות-עמותות השתל'</v>
          </cell>
          <cell r="G1134" t="str">
            <v>קשיח</v>
          </cell>
          <cell r="H1134">
            <v>0</v>
          </cell>
          <cell r="I1134">
            <v>488000</v>
          </cell>
          <cell r="J1134">
            <v>488000</v>
          </cell>
          <cell r="K1134">
            <v>60806</v>
          </cell>
          <cell r="L1134">
            <v>488000</v>
          </cell>
          <cell r="M1134">
            <v>650199</v>
          </cell>
        </row>
        <row r="1135">
          <cell r="A1135">
            <v>1615000544</v>
          </cell>
          <cell r="B1135">
            <v>544</v>
          </cell>
          <cell r="C1135">
            <v>615000</v>
          </cell>
          <cell r="D1135">
            <v>1</v>
          </cell>
          <cell r="F1135" t="str">
            <v xml:space="preserve">הוצאות דאר        </v>
          </cell>
          <cell r="G1135" t="str">
            <v>קשיח</v>
          </cell>
          <cell r="H1135">
            <v>-6.9767441860465129E-2</v>
          </cell>
          <cell r="I1135">
            <v>4000</v>
          </cell>
          <cell r="J1135">
            <v>4300</v>
          </cell>
          <cell r="K1135">
            <v>763.48</v>
          </cell>
          <cell r="L1135">
            <v>4300</v>
          </cell>
          <cell r="M1135">
            <v>3138.78</v>
          </cell>
        </row>
        <row r="1136">
          <cell r="A1136">
            <v>1615000550</v>
          </cell>
          <cell r="B1136">
            <v>550</v>
          </cell>
          <cell r="C1136">
            <v>615000</v>
          </cell>
          <cell r="D1136">
            <v>1</v>
          </cell>
          <cell r="F1136" t="str">
            <v xml:space="preserve">פירסומים          </v>
          </cell>
          <cell r="G1136" t="str">
            <v>גמיש</v>
          </cell>
          <cell r="H1136">
            <v>-0.33892702771421301</v>
          </cell>
          <cell r="I1136">
            <v>130000</v>
          </cell>
          <cell r="J1136">
            <v>196650</v>
          </cell>
          <cell r="K1136">
            <v>66593</v>
          </cell>
          <cell r="L1136">
            <v>218500</v>
          </cell>
          <cell r="M1136">
            <v>110995</v>
          </cell>
        </row>
        <row r="1137">
          <cell r="A1137">
            <v>1615000562</v>
          </cell>
          <cell r="B1137">
            <v>562</v>
          </cell>
          <cell r="C1137">
            <v>615000</v>
          </cell>
          <cell r="D1137">
            <v>1</v>
          </cell>
          <cell r="F1137" t="str">
            <v xml:space="preserve">הדפסות            </v>
          </cell>
          <cell r="G1137" t="str">
            <v>גמיש</v>
          </cell>
          <cell r="H1137">
            <v>0</v>
          </cell>
          <cell r="I1137">
            <v>1350</v>
          </cell>
          <cell r="J1137">
            <v>1350</v>
          </cell>
          <cell r="K1137">
            <v>0</v>
          </cell>
          <cell r="L1137">
            <v>1500</v>
          </cell>
          <cell r="M1137">
            <v>291.2</v>
          </cell>
        </row>
        <row r="1138">
          <cell r="A1138">
            <v>1615000565</v>
          </cell>
          <cell r="B1138">
            <v>565</v>
          </cell>
          <cell r="C1138">
            <v>615000</v>
          </cell>
          <cell r="D1138">
            <v>1</v>
          </cell>
          <cell r="F1138" t="str">
            <v>עובדים שרותיים ומוערכים</v>
          </cell>
          <cell r="G1138" t="str">
            <v>גמיש</v>
          </cell>
          <cell r="H1138">
            <v>0</v>
          </cell>
          <cell r="I1138">
            <v>18000</v>
          </cell>
          <cell r="J1138">
            <v>18000</v>
          </cell>
          <cell r="K1138">
            <v>5428.59</v>
          </cell>
          <cell r="L1138">
            <v>27000</v>
          </cell>
          <cell r="M1138">
            <v>17866.48</v>
          </cell>
        </row>
        <row r="1139">
          <cell r="A1139">
            <v>1615000571</v>
          </cell>
          <cell r="B1139">
            <v>571</v>
          </cell>
          <cell r="C1139">
            <v>615000</v>
          </cell>
          <cell r="D1139">
            <v>1</v>
          </cell>
          <cell r="F1139" t="str">
            <v xml:space="preserve">מיכון וענ"א       </v>
          </cell>
          <cell r="G1139" t="str">
            <v>קשיח</v>
          </cell>
          <cell r="H1139">
            <v>0</v>
          </cell>
          <cell r="I1139">
            <v>185100</v>
          </cell>
          <cell r="J1139">
            <v>185100</v>
          </cell>
          <cell r="K1139">
            <v>109450</v>
          </cell>
          <cell r="L1139">
            <v>175900</v>
          </cell>
          <cell r="M1139">
            <v>1168400</v>
          </cell>
        </row>
        <row r="1140">
          <cell r="A1140">
            <v>1615000580</v>
          </cell>
          <cell r="B1140">
            <v>580</v>
          </cell>
          <cell r="C1140">
            <v>615000</v>
          </cell>
          <cell r="D1140">
            <v>1</v>
          </cell>
          <cell r="F1140" t="str">
            <v>בדיקות פסיכוטכניות</v>
          </cell>
          <cell r="G1140" t="str">
            <v>גמיש</v>
          </cell>
          <cell r="H1140">
            <v>4.9382716049382713E-2</v>
          </cell>
          <cell r="I1140">
            <v>170000</v>
          </cell>
          <cell r="J1140">
            <v>162000</v>
          </cell>
          <cell r="K1140">
            <v>80900.800000000003</v>
          </cell>
          <cell r="L1140">
            <v>180000</v>
          </cell>
          <cell r="M1140">
            <v>168286.75</v>
          </cell>
        </row>
        <row r="1141">
          <cell r="A1141">
            <v>1615000581</v>
          </cell>
          <cell r="B1141">
            <v>581</v>
          </cell>
          <cell r="C1141">
            <v>615000</v>
          </cell>
          <cell r="D1141">
            <v>1</v>
          </cell>
          <cell r="F1141" t="str">
            <v xml:space="preserve">בדיקות רפואיות    </v>
          </cell>
          <cell r="G1141" t="str">
            <v>גמיש</v>
          </cell>
          <cell r="H1141">
            <v>-0.48559670781893005</v>
          </cell>
          <cell r="I1141">
            <v>5000</v>
          </cell>
          <cell r="J1141">
            <v>9720</v>
          </cell>
          <cell r="K1141">
            <v>1496</v>
          </cell>
          <cell r="L1141">
            <v>10800</v>
          </cell>
          <cell r="M1141">
            <v>2816</v>
          </cell>
        </row>
        <row r="1142">
          <cell r="A1142">
            <v>1615000582</v>
          </cell>
          <cell r="B1142">
            <v>582</v>
          </cell>
          <cell r="C1142">
            <v>615000</v>
          </cell>
          <cell r="D1142">
            <v>1</v>
          </cell>
          <cell r="F1142" t="str">
            <v>יעוץ משפטי</v>
          </cell>
          <cell r="G1142" t="str">
            <v>קשיח</v>
          </cell>
          <cell r="H1142">
            <v>1.7214397496087663E-2</v>
          </cell>
          <cell r="I1142">
            <v>260000</v>
          </cell>
          <cell r="J1142">
            <v>255600</v>
          </cell>
          <cell r="K1142">
            <v>166994.28</v>
          </cell>
          <cell r="L1142">
            <v>284000</v>
          </cell>
          <cell r="M1142">
            <v>284204.71999999997</v>
          </cell>
        </row>
        <row r="1143">
          <cell r="A1143">
            <v>1615000583</v>
          </cell>
          <cell r="B1143">
            <v>583</v>
          </cell>
          <cell r="C1143">
            <v>615000</v>
          </cell>
          <cell r="D1143">
            <v>1</v>
          </cell>
          <cell r="F1143" t="str">
            <v>למידת עמיתים</v>
          </cell>
          <cell r="G1143" t="str">
            <v>גמיש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>
            <v>1615000757</v>
          </cell>
          <cell r="B1144">
            <v>757</v>
          </cell>
          <cell r="C1144">
            <v>615000</v>
          </cell>
          <cell r="D1144">
            <v>1</v>
          </cell>
          <cell r="F1144" t="str">
            <v>שרותי סיוע לנושאי פנסיה</v>
          </cell>
          <cell r="G1144" t="str">
            <v>קשיח</v>
          </cell>
          <cell r="H1144">
            <v>0</v>
          </cell>
          <cell r="I1144">
            <v>72600</v>
          </cell>
          <cell r="J1144">
            <v>72600</v>
          </cell>
          <cell r="K1144">
            <v>38999</v>
          </cell>
          <cell r="L1144">
            <v>72600</v>
          </cell>
          <cell r="M1144">
            <v>52168.4</v>
          </cell>
        </row>
        <row r="1145">
          <cell r="A1145">
            <v>1615000780</v>
          </cell>
          <cell r="B1145">
            <v>780</v>
          </cell>
          <cell r="C1145">
            <v>615000</v>
          </cell>
          <cell r="D1145">
            <v>1</v>
          </cell>
          <cell r="F1145" t="str">
            <v>ארועים לעובדים</v>
          </cell>
          <cell r="G1145" t="str">
            <v>גמיש</v>
          </cell>
          <cell r="H1145">
            <v>0.55555555555555558</v>
          </cell>
          <cell r="I1145">
            <v>350000</v>
          </cell>
          <cell r="J1145">
            <v>225000</v>
          </cell>
          <cell r="K1145">
            <v>74112.23</v>
          </cell>
          <cell r="L1145">
            <v>250000</v>
          </cell>
          <cell r="M1145">
            <v>250929.87</v>
          </cell>
        </row>
        <row r="1146">
          <cell r="A1146">
            <v>1615000781</v>
          </cell>
          <cell r="B1146">
            <v>781</v>
          </cell>
          <cell r="C1146">
            <v>615000</v>
          </cell>
          <cell r="D1146">
            <v>1</v>
          </cell>
          <cell r="F1146" t="str">
            <v xml:space="preserve">טיפול  בפנסיונרים </v>
          </cell>
          <cell r="G1146" t="str">
            <v>קשיח</v>
          </cell>
          <cell r="H1146">
            <v>0</v>
          </cell>
          <cell r="I1146">
            <v>45000</v>
          </cell>
          <cell r="J1146">
            <v>45000</v>
          </cell>
          <cell r="K1146">
            <v>15268.09</v>
          </cell>
          <cell r="L1146">
            <v>38500</v>
          </cell>
          <cell r="M1146">
            <v>44473.16</v>
          </cell>
        </row>
        <row r="1147">
          <cell r="A1147">
            <v>1615000782</v>
          </cell>
          <cell r="B1147">
            <v>782</v>
          </cell>
          <cell r="C1147">
            <v>615000</v>
          </cell>
          <cell r="D1147">
            <v>1</v>
          </cell>
          <cell r="F1147" t="str">
            <v xml:space="preserve">עובד מצטיין       </v>
          </cell>
          <cell r="G1147" t="str">
            <v>גמיש</v>
          </cell>
          <cell r="H1147">
            <v>0.23207885304659492</v>
          </cell>
          <cell r="I1147">
            <v>55000</v>
          </cell>
          <cell r="J1147">
            <v>44640</v>
          </cell>
          <cell r="K1147">
            <v>6569</v>
          </cell>
          <cell r="L1147">
            <v>49590</v>
          </cell>
          <cell r="M1147">
            <v>32121</v>
          </cell>
        </row>
        <row r="1148">
          <cell r="A1148">
            <v>1615000783</v>
          </cell>
          <cell r="B1148">
            <v>783</v>
          </cell>
          <cell r="C1148">
            <v>615000</v>
          </cell>
          <cell r="D1148">
            <v>1</v>
          </cell>
          <cell r="F1148" t="str">
            <v>השתלמות מקצועית לעובדים</v>
          </cell>
          <cell r="G1148" t="str">
            <v>גמיש</v>
          </cell>
          <cell r="H1148">
            <v>0.44927536231884058</v>
          </cell>
          <cell r="I1148">
            <v>3000000</v>
          </cell>
          <cell r="J1148">
            <v>2070000</v>
          </cell>
          <cell r="K1148">
            <v>1535</v>
          </cell>
          <cell r="L1148">
            <v>2000000</v>
          </cell>
          <cell r="M1148">
            <v>2000376.66</v>
          </cell>
        </row>
        <row r="1149">
          <cell r="A1149">
            <v>1615000784</v>
          </cell>
          <cell r="B1149">
            <v>784</v>
          </cell>
          <cell r="C1149">
            <v>615000</v>
          </cell>
          <cell r="D1149">
            <v>1</v>
          </cell>
          <cell r="F1149" t="str">
            <v>שי לעובדים חדשים</v>
          </cell>
          <cell r="G1149" t="str">
            <v>גמיש</v>
          </cell>
          <cell r="H1149">
            <v>0.4814814814814814</v>
          </cell>
          <cell r="I1149">
            <v>8000</v>
          </cell>
          <cell r="J1149">
            <v>5400</v>
          </cell>
          <cell r="K1149">
            <v>4720</v>
          </cell>
          <cell r="L1149">
            <v>6000</v>
          </cell>
          <cell r="M1149">
            <v>3159</v>
          </cell>
        </row>
        <row r="1150">
          <cell r="A1150">
            <v>1615000785</v>
          </cell>
          <cell r="B1150">
            <v>785</v>
          </cell>
          <cell r="C1150">
            <v>615000</v>
          </cell>
          <cell r="D1150">
            <v>1</v>
          </cell>
          <cell r="F1150" t="str">
            <v>קבוצות ספורט-עיריית חולון</v>
          </cell>
          <cell r="G1150" t="str">
            <v>גמיש</v>
          </cell>
          <cell r="H1150">
            <v>0.85597624350408319</v>
          </cell>
          <cell r="I1150">
            <v>150000</v>
          </cell>
          <cell r="J1150">
            <v>80820</v>
          </cell>
          <cell r="K1150">
            <v>4500</v>
          </cell>
          <cell r="L1150">
            <v>89800</v>
          </cell>
          <cell r="M1150">
            <v>53537.9</v>
          </cell>
        </row>
        <row r="1151">
          <cell r="A1151">
            <v>1615000786</v>
          </cell>
          <cell r="B1151">
            <v>786</v>
          </cell>
          <cell r="C1151">
            <v>615000</v>
          </cell>
          <cell r="D1151">
            <v>1</v>
          </cell>
          <cell r="F1151" t="str">
            <v>פעולות סמנכ"ל</v>
          </cell>
          <cell r="G1151" t="str">
            <v>גמיש</v>
          </cell>
          <cell r="H1151">
            <v>0.14999999999999991</v>
          </cell>
          <cell r="I1151">
            <v>20700</v>
          </cell>
          <cell r="J1151">
            <v>18000</v>
          </cell>
          <cell r="K1151">
            <v>2583.36</v>
          </cell>
          <cell r="L1151">
            <v>10000</v>
          </cell>
          <cell r="M1151">
            <v>10368.52</v>
          </cell>
        </row>
        <row r="1152">
          <cell r="A1152">
            <v>1615000787</v>
          </cell>
          <cell r="B1152">
            <v>787</v>
          </cell>
          <cell r="C1152">
            <v>615000</v>
          </cell>
          <cell r="D1152">
            <v>1</v>
          </cell>
          <cell r="F1152" t="str">
            <v>פיתוח משאבי אנוש</v>
          </cell>
          <cell r="G1152" t="str">
            <v>גמיש</v>
          </cell>
          <cell r="H1152">
            <v>0.62789321020541045</v>
          </cell>
          <cell r="I1152">
            <v>275000</v>
          </cell>
          <cell r="J1152">
            <v>168930</v>
          </cell>
          <cell r="K1152">
            <v>75252.97</v>
          </cell>
          <cell r="L1152">
            <v>187700</v>
          </cell>
          <cell r="M1152">
            <v>181892.63</v>
          </cell>
        </row>
        <row r="1153">
          <cell r="A1153">
            <v>1615000788</v>
          </cell>
          <cell r="B1153">
            <v>788</v>
          </cell>
          <cell r="C1153">
            <v>615000</v>
          </cell>
          <cell r="D1153">
            <v>1</v>
          </cell>
          <cell r="F1153" t="str">
            <v>יום עיון לעובדים חדשים</v>
          </cell>
          <cell r="G1153" t="str">
            <v>גמיש</v>
          </cell>
          <cell r="H1153">
            <v>1.1241830065359477</v>
          </cell>
          <cell r="I1153">
            <v>13000</v>
          </cell>
          <cell r="J1153">
            <v>6120</v>
          </cell>
          <cell r="K1153">
            <v>1450</v>
          </cell>
          <cell r="L1153">
            <v>6800</v>
          </cell>
          <cell r="M1153">
            <v>6266.89</v>
          </cell>
        </row>
        <row r="1154">
          <cell r="A1154">
            <v>1615000789</v>
          </cell>
          <cell r="B1154">
            <v>789</v>
          </cell>
          <cell r="C1154">
            <v>615000</v>
          </cell>
          <cell r="D1154">
            <v>1</v>
          </cell>
          <cell r="F1154" t="str">
            <v>יום האישה</v>
          </cell>
          <cell r="G1154" t="str">
            <v>גמיש</v>
          </cell>
          <cell r="H1154">
            <v>0.11111111111111116</v>
          </cell>
          <cell r="I1154">
            <v>36000</v>
          </cell>
          <cell r="J1154">
            <v>32400</v>
          </cell>
          <cell r="K1154">
            <v>35570.300000000003</v>
          </cell>
          <cell r="L1154">
            <v>36000</v>
          </cell>
          <cell r="M1154">
            <v>26956.32</v>
          </cell>
        </row>
        <row r="1155">
          <cell r="A1155">
            <v>1615000790</v>
          </cell>
          <cell r="B1155">
            <v>790</v>
          </cell>
          <cell r="C1155">
            <v>615000</v>
          </cell>
          <cell r="D1155">
            <v>1</v>
          </cell>
          <cell r="F1155" t="str">
            <v>אימהות יחידניות</v>
          </cell>
          <cell r="G1155" t="str">
            <v>גמיש</v>
          </cell>
          <cell r="H1155" t="e">
            <v>#DIV/0!</v>
          </cell>
          <cell r="I1155">
            <v>18000</v>
          </cell>
          <cell r="J1155">
            <v>0</v>
          </cell>
          <cell r="K1155">
            <v>0</v>
          </cell>
          <cell r="L1155">
            <v>0</v>
          </cell>
          <cell r="M1155">
            <v>0</v>
          </cell>
        </row>
        <row r="1156">
          <cell r="A1156">
            <v>1615000932</v>
          </cell>
          <cell r="B1156">
            <v>932</v>
          </cell>
          <cell r="C1156">
            <v>615000</v>
          </cell>
          <cell r="D1156">
            <v>1</v>
          </cell>
          <cell r="F1156" t="str">
            <v xml:space="preserve">רכישות            </v>
          </cell>
          <cell r="G1156" t="str">
            <v>גמיש</v>
          </cell>
          <cell r="H1156">
            <v>1.3071895424836555E-2</v>
          </cell>
          <cell r="I1156">
            <v>3100</v>
          </cell>
          <cell r="J1156">
            <v>3060</v>
          </cell>
          <cell r="K1156">
            <v>0</v>
          </cell>
          <cell r="L1156">
            <v>3400</v>
          </cell>
          <cell r="M1156">
            <v>3323.43</v>
          </cell>
        </row>
        <row r="1157">
          <cell r="A1157" t="e">
            <v>#VALUE!</v>
          </cell>
          <cell r="B1157" t="str">
            <v>615000  סך הכל</v>
          </cell>
          <cell r="F1157" t="str">
            <v>משאבי אנוש</v>
          </cell>
          <cell r="H1157">
            <v>0.18669621247389712</v>
          </cell>
          <cell r="I1157">
            <v>12123300.373595458</v>
          </cell>
          <cell r="J1157">
            <v>10216010</v>
          </cell>
          <cell r="K1157">
            <v>4616077.0300000012</v>
          </cell>
          <cell r="L1157">
            <v>9782390</v>
          </cell>
          <cell r="M1157">
            <v>11326296.430000002</v>
          </cell>
        </row>
        <row r="1158">
          <cell r="A1158">
            <v>16151000</v>
          </cell>
          <cell r="B1158">
            <v>0</v>
          </cell>
          <cell r="C1158">
            <v>615100</v>
          </cell>
          <cell r="D1158">
            <v>1</v>
          </cell>
          <cell r="F1158" t="str">
            <v xml:space="preserve">מחלקת שכר         </v>
          </cell>
          <cell r="G1158" t="str">
            <v xml:space="preserve"> </v>
          </cell>
        </row>
        <row r="1159">
          <cell r="A1159">
            <v>1615100110</v>
          </cell>
          <cell r="B1159">
            <v>110</v>
          </cell>
          <cell r="C1159">
            <v>615100</v>
          </cell>
          <cell r="D1159">
            <v>1</v>
          </cell>
          <cell r="F1159" t="str">
            <v>השכר הקובע-תקציבית</v>
          </cell>
          <cell r="G1159" t="str">
            <v>שכר</v>
          </cell>
          <cell r="H1159" t="e">
            <v>#DIV/0!</v>
          </cell>
          <cell r="I1159">
            <v>195840</v>
          </cell>
          <cell r="J1159">
            <v>0</v>
          </cell>
          <cell r="K1159">
            <v>0</v>
          </cell>
          <cell r="L1159">
            <v>0</v>
          </cell>
          <cell r="M1159">
            <v>0</v>
          </cell>
        </row>
        <row r="1160">
          <cell r="A1160">
            <v>1615100119</v>
          </cell>
          <cell r="B1160">
            <v>119</v>
          </cell>
          <cell r="C1160">
            <v>615100</v>
          </cell>
          <cell r="D1160">
            <v>1</v>
          </cell>
          <cell r="F1160" t="str">
            <v xml:space="preserve">השכר הקובע-צוברת  </v>
          </cell>
          <cell r="G1160" t="str">
            <v>שכר</v>
          </cell>
          <cell r="H1160" t="e">
            <v>#DIV/0!</v>
          </cell>
          <cell r="I1160">
            <v>1258680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</row>
        <row r="1161">
          <cell r="A1161">
            <v>1615100122</v>
          </cell>
          <cell r="B1161">
            <v>122</v>
          </cell>
          <cell r="C1161">
            <v>615100</v>
          </cell>
          <cell r="D1161">
            <v>1</v>
          </cell>
          <cell r="F1161" t="str">
            <v xml:space="preserve">ביגוד             </v>
          </cell>
          <cell r="G1161" t="str">
            <v>שכר</v>
          </cell>
          <cell r="H1161" t="e">
            <v>#DIV/0!</v>
          </cell>
          <cell r="I1161">
            <v>12600</v>
          </cell>
          <cell r="J1161">
            <v>0</v>
          </cell>
          <cell r="K1161">
            <v>0</v>
          </cell>
          <cell r="L1161">
            <v>0</v>
          </cell>
          <cell r="M1161">
            <v>0</v>
          </cell>
        </row>
        <row r="1162">
          <cell r="A1162">
            <v>1615100126</v>
          </cell>
          <cell r="B1162">
            <v>126</v>
          </cell>
          <cell r="C1162">
            <v>615100</v>
          </cell>
          <cell r="D1162">
            <v>1</v>
          </cell>
          <cell r="F1162" t="str">
            <v xml:space="preserve">דמי הבראה         </v>
          </cell>
          <cell r="G1162" t="str">
            <v>שכר</v>
          </cell>
          <cell r="H1162" t="e">
            <v>#DIV/0!</v>
          </cell>
          <cell r="I1162">
            <v>31000</v>
          </cell>
          <cell r="J1162">
            <v>0</v>
          </cell>
          <cell r="K1162">
            <v>0</v>
          </cell>
          <cell r="L1162">
            <v>0</v>
          </cell>
          <cell r="M1162">
            <v>0</v>
          </cell>
        </row>
        <row r="1163">
          <cell r="A1163">
            <v>1615100130</v>
          </cell>
          <cell r="B1163">
            <v>130</v>
          </cell>
          <cell r="C1163">
            <v>615100</v>
          </cell>
          <cell r="D1163">
            <v>1</v>
          </cell>
          <cell r="F1163" t="str">
            <v xml:space="preserve">שעות נוספות       </v>
          </cell>
          <cell r="G1163" t="str">
            <v>שכר</v>
          </cell>
          <cell r="H1163" t="e">
            <v>#DIV/0!</v>
          </cell>
          <cell r="I1163">
            <v>45500</v>
          </cell>
          <cell r="J1163">
            <v>0</v>
          </cell>
          <cell r="K1163">
            <v>0</v>
          </cell>
          <cell r="L1163">
            <v>0</v>
          </cell>
          <cell r="M1163">
            <v>0</v>
          </cell>
        </row>
        <row r="1164">
          <cell r="A1164">
            <v>1615100140</v>
          </cell>
          <cell r="B1164">
            <v>140</v>
          </cell>
          <cell r="C1164">
            <v>615100</v>
          </cell>
          <cell r="D1164">
            <v>1</v>
          </cell>
          <cell r="F1164" t="str">
            <v>השתתפות באחזקת רכב</v>
          </cell>
          <cell r="G1164" t="str">
            <v>שכר</v>
          </cell>
          <cell r="H1164" t="e">
            <v>#DIV/0!</v>
          </cell>
          <cell r="I1164">
            <v>133500</v>
          </cell>
          <cell r="J1164">
            <v>0</v>
          </cell>
          <cell r="K1164">
            <v>0</v>
          </cell>
          <cell r="L1164">
            <v>0</v>
          </cell>
          <cell r="M1164">
            <v>0</v>
          </cell>
        </row>
        <row r="1165">
          <cell r="A1165">
            <v>1615100471</v>
          </cell>
          <cell r="B1165">
            <v>471</v>
          </cell>
          <cell r="C1165">
            <v>615100</v>
          </cell>
          <cell r="D1165">
            <v>1</v>
          </cell>
          <cell r="F1165" t="str">
            <v xml:space="preserve">מכשירי כתיבה      </v>
          </cell>
          <cell r="G1165" t="str">
            <v>גמיש</v>
          </cell>
          <cell r="H1165" t="e">
            <v>#DIV/0!</v>
          </cell>
          <cell r="I1165">
            <v>5400</v>
          </cell>
          <cell r="J1165">
            <v>0</v>
          </cell>
          <cell r="K1165">
            <v>0</v>
          </cell>
          <cell r="L1165">
            <v>0</v>
          </cell>
          <cell r="M1165">
            <v>0</v>
          </cell>
        </row>
        <row r="1166">
          <cell r="A1166">
            <v>1615100544</v>
          </cell>
          <cell r="B1166">
            <v>544</v>
          </cell>
          <cell r="C1166">
            <v>615100</v>
          </cell>
          <cell r="D1166">
            <v>1</v>
          </cell>
          <cell r="F1166" t="str">
            <v xml:space="preserve">הוצאות דאר        </v>
          </cell>
          <cell r="G1166" t="str">
            <v>קשיח</v>
          </cell>
          <cell r="H1166" t="e">
            <v>#DIV/0!</v>
          </cell>
          <cell r="I1166">
            <v>5000</v>
          </cell>
          <cell r="J1166">
            <v>0</v>
          </cell>
          <cell r="K1166">
            <v>0</v>
          </cell>
          <cell r="L1166">
            <v>0</v>
          </cell>
          <cell r="M1166">
            <v>0</v>
          </cell>
        </row>
        <row r="1167">
          <cell r="A1167">
            <v>1615100565</v>
          </cell>
          <cell r="B1167">
            <v>565</v>
          </cell>
          <cell r="C1167">
            <v>615100</v>
          </cell>
          <cell r="D1167">
            <v>1</v>
          </cell>
          <cell r="F1167" t="str">
            <v>ארכיבאות מגנטית</v>
          </cell>
          <cell r="G1167" t="str">
            <v>גמיש</v>
          </cell>
          <cell r="H1167" t="e">
            <v>#DIV/0!</v>
          </cell>
          <cell r="I1167">
            <v>2000</v>
          </cell>
          <cell r="J1167">
            <v>0</v>
          </cell>
          <cell r="K1167">
            <v>0</v>
          </cell>
          <cell r="L1167">
            <v>0</v>
          </cell>
          <cell r="M1167">
            <v>0</v>
          </cell>
        </row>
        <row r="1168">
          <cell r="A1168">
            <v>1615100566</v>
          </cell>
          <cell r="B1168">
            <v>566</v>
          </cell>
          <cell r="C1168">
            <v>615100</v>
          </cell>
          <cell r="D1168">
            <v>1</v>
          </cell>
          <cell r="F1168" t="str">
            <v>בידקת מצבת גימלאים</v>
          </cell>
          <cell r="G1168" t="str">
            <v>גמיש</v>
          </cell>
          <cell r="H1168" t="e">
            <v>#DIV/0!</v>
          </cell>
          <cell r="I1168">
            <v>0</v>
          </cell>
          <cell r="J1168">
            <v>0</v>
          </cell>
          <cell r="K1168">
            <v>0</v>
          </cell>
          <cell r="L1168">
            <v>0</v>
          </cell>
          <cell r="M1168">
            <v>0</v>
          </cell>
        </row>
        <row r="1169">
          <cell r="A1169">
            <v>1615100570</v>
          </cell>
          <cell r="B1169">
            <v>570</v>
          </cell>
          <cell r="C1169">
            <v>615100</v>
          </cell>
          <cell r="D1169">
            <v>1</v>
          </cell>
          <cell r="F1169" t="str">
            <v xml:space="preserve">לשכת שירות חישוב שכר </v>
          </cell>
          <cell r="G1169" t="str">
            <v>קשיח</v>
          </cell>
          <cell r="H1169" t="e">
            <v>#DIV/0!</v>
          </cell>
          <cell r="I1169">
            <v>650000</v>
          </cell>
          <cell r="J1169">
            <v>0</v>
          </cell>
          <cell r="K1169">
            <v>0</v>
          </cell>
          <cell r="L1169">
            <v>0</v>
          </cell>
          <cell r="M1169">
            <v>0</v>
          </cell>
        </row>
        <row r="1170">
          <cell r="A1170">
            <v>1615100571</v>
          </cell>
          <cell r="B1170">
            <v>571</v>
          </cell>
          <cell r="C1170">
            <v>615100</v>
          </cell>
          <cell r="D1170">
            <v>1</v>
          </cell>
          <cell r="F1170" t="str">
            <v xml:space="preserve">מיכון וענ"א       </v>
          </cell>
          <cell r="G1170" t="str">
            <v>קשיח</v>
          </cell>
          <cell r="H1170" t="e">
            <v>#DIV/0!</v>
          </cell>
          <cell r="I1170">
            <v>205100</v>
          </cell>
          <cell r="J1170">
            <v>0</v>
          </cell>
          <cell r="K1170">
            <v>0</v>
          </cell>
          <cell r="L1170">
            <v>0</v>
          </cell>
          <cell r="M1170">
            <v>0</v>
          </cell>
        </row>
        <row r="1171">
          <cell r="A1171">
            <v>1615100758</v>
          </cell>
          <cell r="B1171">
            <v>758</v>
          </cell>
          <cell r="C1171">
            <v>615100</v>
          </cell>
          <cell r="D1171">
            <v>1</v>
          </cell>
          <cell r="F1171" t="str">
            <v>שרותי סליקה פנסיונית</v>
          </cell>
          <cell r="G1171" t="str">
            <v>גמיש</v>
          </cell>
          <cell r="H1171" t="e">
            <v>#DIV/0!</v>
          </cell>
          <cell r="I1171">
            <v>95000</v>
          </cell>
          <cell r="J1171">
            <v>0</v>
          </cell>
          <cell r="K1171">
            <v>0</v>
          </cell>
          <cell r="L1171">
            <v>0</v>
          </cell>
          <cell r="M1171">
            <v>0</v>
          </cell>
        </row>
        <row r="1172">
          <cell r="A1172" t="e">
            <v>#VALUE!</v>
          </cell>
          <cell r="B1172" t="str">
            <v>615100  סך הכל</v>
          </cell>
          <cell r="F1172" t="str">
            <v xml:space="preserve">מחלקת שכר         </v>
          </cell>
          <cell r="H1172" t="e">
            <v>#DIV/0!</v>
          </cell>
          <cell r="I1172">
            <v>2639620</v>
          </cell>
          <cell r="J1172">
            <v>0</v>
          </cell>
          <cell r="K1172">
            <v>0</v>
          </cell>
          <cell r="L1172">
            <v>0</v>
          </cell>
          <cell r="M1172">
            <v>0</v>
          </cell>
        </row>
        <row r="1173">
          <cell r="A1173">
            <v>16160000</v>
          </cell>
          <cell r="B1173">
            <v>0</v>
          </cell>
          <cell r="C1173">
            <v>616000</v>
          </cell>
          <cell r="D1173">
            <v>1</v>
          </cell>
          <cell r="F1173" t="str">
            <v>אגף איכות ותהלכי עבודה</v>
          </cell>
          <cell r="G1173" t="str">
            <v xml:space="preserve"> </v>
          </cell>
        </row>
        <row r="1174">
          <cell r="A1174">
            <v>1616000119</v>
          </cell>
          <cell r="B1174">
            <v>119</v>
          </cell>
          <cell r="C1174">
            <v>616000</v>
          </cell>
          <cell r="D1174">
            <v>1</v>
          </cell>
          <cell r="F1174" t="str">
            <v xml:space="preserve">השכר הקובע-צוברת  </v>
          </cell>
          <cell r="G1174" t="str">
            <v>שכר</v>
          </cell>
          <cell r="I1174">
            <v>0</v>
          </cell>
          <cell r="J1174">
            <v>0</v>
          </cell>
          <cell r="K1174">
            <v>80714.61</v>
          </cell>
          <cell r="L1174">
            <v>0</v>
          </cell>
          <cell r="M1174">
            <v>349829.87</v>
          </cell>
        </row>
        <row r="1175">
          <cell r="A1175">
            <v>1616000122</v>
          </cell>
          <cell r="B1175">
            <v>122</v>
          </cell>
          <cell r="C1175">
            <v>616000</v>
          </cell>
          <cell r="D1175">
            <v>1</v>
          </cell>
          <cell r="F1175" t="str">
            <v xml:space="preserve">ביגוד             </v>
          </cell>
          <cell r="G1175" t="str">
            <v>שכר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2405</v>
          </cell>
        </row>
        <row r="1176">
          <cell r="A1176">
            <v>1616000126</v>
          </cell>
          <cell r="B1176">
            <v>126</v>
          </cell>
          <cell r="C1176">
            <v>616000</v>
          </cell>
          <cell r="D1176">
            <v>1</v>
          </cell>
          <cell r="F1176" t="str">
            <v xml:space="preserve">דמי הבראה         </v>
          </cell>
          <cell r="G1176" t="str">
            <v>שכר</v>
          </cell>
          <cell r="I1176">
            <v>0</v>
          </cell>
          <cell r="J1176">
            <v>0</v>
          </cell>
          <cell r="K1176">
            <v>5185.3999999999996</v>
          </cell>
          <cell r="L1176">
            <v>0</v>
          </cell>
          <cell r="M1176">
            <v>5185.3999999999996</v>
          </cell>
        </row>
        <row r="1177">
          <cell r="A1177">
            <v>1616000130</v>
          </cell>
          <cell r="B1177">
            <v>130</v>
          </cell>
          <cell r="C1177">
            <v>616000</v>
          </cell>
          <cell r="D1177">
            <v>1</v>
          </cell>
          <cell r="F1177" t="str">
            <v xml:space="preserve">שעות נוספות       </v>
          </cell>
          <cell r="G1177" t="str">
            <v>שכר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</row>
        <row r="1178">
          <cell r="A1178">
            <v>1616000140</v>
          </cell>
          <cell r="B1178">
            <v>140</v>
          </cell>
          <cell r="C1178">
            <v>616000</v>
          </cell>
          <cell r="D1178">
            <v>1</v>
          </cell>
          <cell r="F1178" t="str">
            <v>השתתפות באחזקת רכב</v>
          </cell>
          <cell r="G1178" t="str">
            <v>שכר</v>
          </cell>
          <cell r="I1178">
            <v>0</v>
          </cell>
          <cell r="J1178">
            <v>0</v>
          </cell>
          <cell r="K1178">
            <v>12886.03</v>
          </cell>
          <cell r="L1178">
            <v>0</v>
          </cell>
          <cell r="M1178">
            <v>50117.79</v>
          </cell>
        </row>
        <row r="1179">
          <cell r="A1179">
            <v>1616000471</v>
          </cell>
          <cell r="B1179">
            <v>471</v>
          </cell>
          <cell r="C1179">
            <v>616000</v>
          </cell>
          <cell r="D1179">
            <v>1</v>
          </cell>
          <cell r="F1179" t="str">
            <v xml:space="preserve">מכשירי כתיבה      </v>
          </cell>
          <cell r="G1179" t="str">
            <v>גמיש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</row>
        <row r="1180">
          <cell r="A1180">
            <v>1616000511</v>
          </cell>
          <cell r="B1180">
            <v>511</v>
          </cell>
          <cell r="C1180">
            <v>616000</v>
          </cell>
          <cell r="D1180">
            <v>1</v>
          </cell>
          <cell r="F1180" t="str">
            <v xml:space="preserve">אירוח וכיבוד      </v>
          </cell>
          <cell r="G1180" t="str">
            <v>גמיש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  <cell r="M1180">
            <v>0</v>
          </cell>
        </row>
        <row r="1181">
          <cell r="A1181">
            <v>1616000571</v>
          </cell>
          <cell r="B1181">
            <v>571</v>
          </cell>
          <cell r="C1181">
            <v>616000</v>
          </cell>
          <cell r="D1181">
            <v>1</v>
          </cell>
          <cell r="F1181" t="str">
            <v xml:space="preserve">מיכון וענ"א       </v>
          </cell>
          <cell r="G1181" t="str">
            <v>קשיח</v>
          </cell>
          <cell r="I1181">
            <v>0</v>
          </cell>
          <cell r="J1181">
            <v>0</v>
          </cell>
          <cell r="K1181">
            <v>0</v>
          </cell>
          <cell r="L1181">
            <v>0</v>
          </cell>
          <cell r="M1181">
            <v>0</v>
          </cell>
        </row>
        <row r="1182">
          <cell r="A1182">
            <v>1616000780</v>
          </cell>
          <cell r="B1182">
            <v>780</v>
          </cell>
          <cell r="C1182">
            <v>616000</v>
          </cell>
          <cell r="D1182">
            <v>1</v>
          </cell>
          <cell r="F1182" t="str">
            <v>מערך ארגון ושיטות</v>
          </cell>
          <cell r="G1182" t="str">
            <v>גמיש</v>
          </cell>
          <cell r="I1182">
            <v>0</v>
          </cell>
          <cell r="J1182">
            <v>0</v>
          </cell>
          <cell r="K1182">
            <v>0</v>
          </cell>
          <cell r="L1182">
            <v>0</v>
          </cell>
          <cell r="M1182">
            <v>0</v>
          </cell>
        </row>
        <row r="1183">
          <cell r="A1183" t="e">
            <v>#VALUE!</v>
          </cell>
          <cell r="B1183" t="str">
            <v>616000  סך הכל</v>
          </cell>
          <cell r="F1183" t="str">
            <v>אגף איכות ותהלכי עבודה</v>
          </cell>
          <cell r="I1183">
            <v>0</v>
          </cell>
          <cell r="J1183">
            <v>0</v>
          </cell>
          <cell r="K1183">
            <v>98786.04</v>
          </cell>
          <cell r="L1183">
            <v>0</v>
          </cell>
          <cell r="M1183">
            <v>407538.06</v>
          </cell>
        </row>
        <row r="1184">
          <cell r="A1184">
            <v>16170000</v>
          </cell>
          <cell r="B1184">
            <v>0</v>
          </cell>
          <cell r="C1184">
            <v>617000</v>
          </cell>
          <cell r="D1184">
            <v>1</v>
          </cell>
          <cell r="F1184" t="str">
            <v xml:space="preserve">שרות משפטי        </v>
          </cell>
          <cell r="G1184" t="str">
            <v xml:space="preserve"> </v>
          </cell>
        </row>
        <row r="1185">
          <cell r="A1185">
            <v>1617000119</v>
          </cell>
          <cell r="B1185">
            <v>119</v>
          </cell>
          <cell r="C1185">
            <v>617000</v>
          </cell>
          <cell r="D1185">
            <v>1</v>
          </cell>
          <cell r="F1185" t="str">
            <v xml:space="preserve">השכר הקובע-צוברת  </v>
          </cell>
          <cell r="G1185" t="str">
            <v>שכר</v>
          </cell>
          <cell r="H1185">
            <v>3.1938330903918066E-2</v>
          </cell>
          <cell r="I1185">
            <v>5875960.0499999998</v>
          </cell>
          <cell r="J1185">
            <v>5694100</v>
          </cell>
          <cell r="K1185">
            <v>3375478.65</v>
          </cell>
          <cell r="L1185">
            <v>5417700</v>
          </cell>
          <cell r="M1185">
            <v>5171560.74</v>
          </cell>
        </row>
        <row r="1186">
          <cell r="A1186">
            <v>1617000122</v>
          </cell>
          <cell r="B1186">
            <v>122</v>
          </cell>
          <cell r="C1186">
            <v>617000</v>
          </cell>
          <cell r="D1186">
            <v>1</v>
          </cell>
          <cell r="F1186" t="str">
            <v xml:space="preserve">ביגוד             </v>
          </cell>
          <cell r="G1186" t="str">
            <v>שכר</v>
          </cell>
          <cell r="H1186">
            <v>8.340901515151522E-2</v>
          </cell>
          <cell r="I1186">
            <v>47669.996666666666</v>
          </cell>
          <cell r="J1186">
            <v>44000</v>
          </cell>
          <cell r="K1186">
            <v>45278.05</v>
          </cell>
          <cell r="L1186">
            <v>35000</v>
          </cell>
          <cell r="M1186">
            <v>45116.95</v>
          </cell>
        </row>
        <row r="1187">
          <cell r="A1187">
            <v>1617000126</v>
          </cell>
          <cell r="B1187">
            <v>126</v>
          </cell>
          <cell r="C1187">
            <v>617000</v>
          </cell>
          <cell r="D1187">
            <v>1</v>
          </cell>
          <cell r="F1187" t="str">
            <v xml:space="preserve">דמי הבראה         </v>
          </cell>
          <cell r="G1187" t="str">
            <v>שכר</v>
          </cell>
          <cell r="H1187">
            <v>8.33019182389938E-2</v>
          </cell>
          <cell r="I1187">
            <v>114830.00333333334</v>
          </cell>
          <cell r="J1187">
            <v>106000</v>
          </cell>
          <cell r="K1187">
            <v>110944.37</v>
          </cell>
          <cell r="L1187">
            <v>78900</v>
          </cell>
          <cell r="M1187">
            <v>110778.24000000001</v>
          </cell>
        </row>
        <row r="1188">
          <cell r="A1188">
            <v>1617000130</v>
          </cell>
          <cell r="B1188">
            <v>130</v>
          </cell>
          <cell r="C1188">
            <v>617000</v>
          </cell>
          <cell r="D1188">
            <v>1</v>
          </cell>
          <cell r="F1188" t="str">
            <v xml:space="preserve">שעות נוספות       </v>
          </cell>
          <cell r="G1188" t="str">
            <v>שכר</v>
          </cell>
          <cell r="H1188">
            <v>0</v>
          </cell>
          <cell r="I1188">
            <v>11870</v>
          </cell>
          <cell r="J1188">
            <v>11870</v>
          </cell>
          <cell r="K1188">
            <v>50481.11</v>
          </cell>
          <cell r="L1188">
            <v>13800</v>
          </cell>
          <cell r="M1188">
            <v>31506.26</v>
          </cell>
        </row>
        <row r="1189">
          <cell r="A1189">
            <v>1617000140</v>
          </cell>
          <cell r="B1189">
            <v>140</v>
          </cell>
          <cell r="C1189">
            <v>617000</v>
          </cell>
          <cell r="D1189">
            <v>1</v>
          </cell>
          <cell r="F1189" t="str">
            <v>השתתפות באחזקת רכב</v>
          </cell>
          <cell r="G1189" t="str">
            <v>שכר</v>
          </cell>
          <cell r="H1189">
            <v>0</v>
          </cell>
          <cell r="I1189">
            <v>312000</v>
          </cell>
          <cell r="J1189">
            <v>312000</v>
          </cell>
          <cell r="K1189">
            <v>282274.73</v>
          </cell>
          <cell r="L1189">
            <v>350000</v>
          </cell>
          <cell r="M1189">
            <v>414977.1</v>
          </cell>
        </row>
        <row r="1190">
          <cell r="A1190">
            <v>1617000350</v>
          </cell>
          <cell r="B1190">
            <v>350</v>
          </cell>
          <cell r="C1190">
            <v>617000</v>
          </cell>
          <cell r="D1190">
            <v>1</v>
          </cell>
          <cell r="F1190" t="str">
            <v>ליסינג לשני רכבים</v>
          </cell>
          <cell r="G1190" t="str">
            <v>שכר</v>
          </cell>
          <cell r="H1190">
            <v>-0.32291666666666663</v>
          </cell>
          <cell r="I1190">
            <v>65000</v>
          </cell>
          <cell r="J1190">
            <v>96000</v>
          </cell>
          <cell r="K1190">
            <v>48326.84</v>
          </cell>
          <cell r="L1190">
            <v>48000</v>
          </cell>
          <cell r="M1190">
            <v>86081.600000000006</v>
          </cell>
        </row>
        <row r="1191">
          <cell r="A1191">
            <v>1617000351</v>
          </cell>
          <cell r="B1191">
            <v>351</v>
          </cell>
          <cell r="C1191">
            <v>617000</v>
          </cell>
          <cell r="D1191">
            <v>1</v>
          </cell>
          <cell r="F1191" t="str">
            <v>הוצאות לשני רכבים</v>
          </cell>
          <cell r="G1191" t="str">
            <v>שכר</v>
          </cell>
          <cell r="H1191">
            <v>-0.5</v>
          </cell>
          <cell r="I1191">
            <v>20000</v>
          </cell>
          <cell r="J1191">
            <v>40000</v>
          </cell>
          <cell r="K1191">
            <v>12970.32</v>
          </cell>
          <cell r="L1191">
            <v>22000</v>
          </cell>
          <cell r="M1191">
            <v>27848.69</v>
          </cell>
        </row>
        <row r="1192">
          <cell r="A1192">
            <v>1617000470</v>
          </cell>
          <cell r="B1192">
            <v>470</v>
          </cell>
          <cell r="C1192">
            <v>617000</v>
          </cell>
          <cell r="D1192">
            <v>1</v>
          </cell>
          <cell r="F1192" t="str">
            <v xml:space="preserve">אחזקת מכונות משרד </v>
          </cell>
          <cell r="G1192" t="str">
            <v>גמיש</v>
          </cell>
          <cell r="H1192">
            <v>0.51515151515151514</v>
          </cell>
          <cell r="I1192">
            <v>3000</v>
          </cell>
          <cell r="J1192">
            <v>1980</v>
          </cell>
          <cell r="K1192">
            <v>328</v>
          </cell>
          <cell r="L1192">
            <v>2200</v>
          </cell>
          <cell r="M1192">
            <v>596.14</v>
          </cell>
        </row>
        <row r="1193">
          <cell r="A1193">
            <v>1617000471</v>
          </cell>
          <cell r="B1193">
            <v>471</v>
          </cell>
          <cell r="C1193">
            <v>617000</v>
          </cell>
          <cell r="D1193">
            <v>1</v>
          </cell>
          <cell r="F1193" t="str">
            <v xml:space="preserve">מכשירי כתיבה      </v>
          </cell>
          <cell r="G1193" t="str">
            <v>גמיש</v>
          </cell>
          <cell r="H1193">
            <v>0.18518518518518512</v>
          </cell>
          <cell r="I1193">
            <v>32000</v>
          </cell>
          <cell r="J1193">
            <v>27000</v>
          </cell>
          <cell r="K1193">
            <v>13814.03</v>
          </cell>
          <cell r="L1193">
            <v>25700</v>
          </cell>
          <cell r="M1193">
            <v>25476.44</v>
          </cell>
        </row>
        <row r="1194">
          <cell r="A1194">
            <v>1617000511</v>
          </cell>
          <cell r="B1194">
            <v>511</v>
          </cell>
          <cell r="C1194">
            <v>617000</v>
          </cell>
          <cell r="D1194">
            <v>1</v>
          </cell>
          <cell r="F1194" t="str">
            <v xml:space="preserve">אירוח וכיבוד      </v>
          </cell>
          <cell r="G1194" t="str">
            <v>גמיש</v>
          </cell>
          <cell r="H1194">
            <v>0.14155251141552516</v>
          </cell>
          <cell r="I1194">
            <v>7500</v>
          </cell>
          <cell r="J1194">
            <v>6570</v>
          </cell>
          <cell r="K1194">
            <v>0</v>
          </cell>
          <cell r="L1194">
            <v>7200</v>
          </cell>
          <cell r="M1194">
            <v>5276.61</v>
          </cell>
        </row>
        <row r="1195">
          <cell r="A1195">
            <v>1617000512</v>
          </cell>
          <cell r="B1195">
            <v>512</v>
          </cell>
          <cell r="C1195">
            <v>617000</v>
          </cell>
          <cell r="D1195">
            <v>1</v>
          </cell>
          <cell r="F1195" t="str">
            <v xml:space="preserve">נסיעות ואש"ל      </v>
          </cell>
          <cell r="G1195" t="str">
            <v>גמיש</v>
          </cell>
          <cell r="H1195">
            <v>0</v>
          </cell>
          <cell r="I1195">
            <v>5400</v>
          </cell>
          <cell r="J1195">
            <v>5400</v>
          </cell>
          <cell r="K1195">
            <v>1508.9</v>
          </cell>
          <cell r="L1195">
            <v>3600</v>
          </cell>
          <cell r="M1195">
            <v>2620.1999999999998</v>
          </cell>
        </row>
        <row r="1196">
          <cell r="A1196">
            <v>1617000522</v>
          </cell>
          <cell r="B1196">
            <v>522</v>
          </cell>
          <cell r="C1196">
            <v>617000</v>
          </cell>
          <cell r="D1196">
            <v>1</v>
          </cell>
          <cell r="F1196" t="str">
            <v xml:space="preserve">ספרים ועיתונים    </v>
          </cell>
          <cell r="G1196" t="str">
            <v>גמיש</v>
          </cell>
          <cell r="H1196">
            <v>-1.2345679012345734E-2</v>
          </cell>
          <cell r="I1196">
            <v>4000</v>
          </cell>
          <cell r="J1196">
            <v>4050</v>
          </cell>
          <cell r="K1196">
            <v>0</v>
          </cell>
          <cell r="L1196">
            <v>3400</v>
          </cell>
          <cell r="M1196">
            <v>3886.58</v>
          </cell>
        </row>
        <row r="1197">
          <cell r="A1197">
            <v>1617000525</v>
          </cell>
          <cell r="B1197">
            <v>525</v>
          </cell>
          <cell r="C1197">
            <v>617000</v>
          </cell>
          <cell r="D1197">
            <v>1</v>
          </cell>
          <cell r="F1197" t="str">
            <v>רכישת תוכנות וידע</v>
          </cell>
          <cell r="G1197" t="str">
            <v>גמיש</v>
          </cell>
          <cell r="H1197">
            <v>6.6666666666666652E-2</v>
          </cell>
          <cell r="I1197">
            <v>24000</v>
          </cell>
          <cell r="J1197">
            <v>22500</v>
          </cell>
          <cell r="K1197">
            <v>9520</v>
          </cell>
          <cell r="L1197">
            <v>20000</v>
          </cell>
          <cell r="M1197">
            <v>18402</v>
          </cell>
        </row>
        <row r="1198">
          <cell r="A1198">
            <v>1617000544</v>
          </cell>
          <cell r="B1198">
            <v>544</v>
          </cell>
          <cell r="C1198">
            <v>617000</v>
          </cell>
          <cell r="D1198">
            <v>1</v>
          </cell>
          <cell r="F1198" t="str">
            <v xml:space="preserve">הוצאות דאר        </v>
          </cell>
          <cell r="G1198" t="str">
            <v>קשיח</v>
          </cell>
          <cell r="H1198">
            <v>-0.30232558139534882</v>
          </cell>
          <cell r="I1198">
            <v>3000</v>
          </cell>
          <cell r="J1198">
            <v>4300</v>
          </cell>
          <cell r="K1198">
            <v>68.37</v>
          </cell>
          <cell r="L1198">
            <v>4300</v>
          </cell>
          <cell r="M1198">
            <v>611.79999999999995</v>
          </cell>
        </row>
        <row r="1199">
          <cell r="A1199">
            <v>1617000561</v>
          </cell>
          <cell r="B1199">
            <v>561</v>
          </cell>
          <cell r="C1199">
            <v>617000</v>
          </cell>
          <cell r="D1199">
            <v>1</v>
          </cell>
          <cell r="F1199" t="str">
            <v xml:space="preserve">שיכפולים          </v>
          </cell>
          <cell r="G1199" t="str">
            <v>גמיש</v>
          </cell>
          <cell r="H1199">
            <v>-1</v>
          </cell>
          <cell r="I1199">
            <v>0</v>
          </cell>
          <cell r="J1199">
            <v>810</v>
          </cell>
          <cell r="K1199">
            <v>0</v>
          </cell>
          <cell r="L1199">
            <v>900</v>
          </cell>
          <cell r="M1199">
            <v>0</v>
          </cell>
        </row>
        <row r="1200">
          <cell r="A1200">
            <v>1617000571</v>
          </cell>
          <cell r="B1200">
            <v>571</v>
          </cell>
          <cell r="C1200">
            <v>617000</v>
          </cell>
          <cell r="D1200">
            <v>1</v>
          </cell>
          <cell r="F1200" t="str">
            <v xml:space="preserve">מיכון וענ"א       </v>
          </cell>
          <cell r="G1200" t="str">
            <v>קשיח</v>
          </cell>
          <cell r="H1200">
            <v>0</v>
          </cell>
          <cell r="I1200">
            <v>172600</v>
          </cell>
          <cell r="J1200">
            <v>172600</v>
          </cell>
          <cell r="K1200">
            <v>86300</v>
          </cell>
          <cell r="L1200">
            <v>156900</v>
          </cell>
          <cell r="M1200">
            <v>156900</v>
          </cell>
        </row>
        <row r="1201">
          <cell r="A1201">
            <v>1617000581</v>
          </cell>
          <cell r="B1201">
            <v>581</v>
          </cell>
          <cell r="C1201">
            <v>617000</v>
          </cell>
          <cell r="D1201">
            <v>1</v>
          </cell>
          <cell r="F1201" t="str">
            <v xml:space="preserve">ייעוץ משפטי       </v>
          </cell>
          <cell r="G1201" t="str">
            <v>קשיח</v>
          </cell>
          <cell r="H1201">
            <v>0.77777777777777768</v>
          </cell>
          <cell r="I1201">
            <v>800000</v>
          </cell>
          <cell r="J1201">
            <v>450000</v>
          </cell>
          <cell r="K1201">
            <v>426169.16</v>
          </cell>
          <cell r="L1201">
            <v>475000</v>
          </cell>
          <cell r="M1201">
            <v>360791.23</v>
          </cell>
        </row>
        <row r="1202">
          <cell r="A1202">
            <v>1617000582</v>
          </cell>
          <cell r="B1202">
            <v>582</v>
          </cell>
          <cell r="C1202">
            <v>617000</v>
          </cell>
          <cell r="D1202">
            <v>1</v>
          </cell>
          <cell r="F1202" t="str">
            <v xml:space="preserve">הוצאות משפטיות    </v>
          </cell>
          <cell r="G1202" t="str">
            <v>קשיח</v>
          </cell>
          <cell r="H1202">
            <v>0.7543859649122806</v>
          </cell>
          <cell r="I1202">
            <v>300000</v>
          </cell>
          <cell r="J1202">
            <v>171000</v>
          </cell>
          <cell r="K1202">
            <v>174849.12</v>
          </cell>
          <cell r="L1202">
            <v>190000</v>
          </cell>
          <cell r="M1202">
            <v>532524.94999999995</v>
          </cell>
        </row>
        <row r="1203">
          <cell r="A1203">
            <v>1617000781</v>
          </cell>
          <cell r="B1203">
            <v>781</v>
          </cell>
          <cell r="C1203">
            <v>617000</v>
          </cell>
          <cell r="D1203">
            <v>1</v>
          </cell>
          <cell r="F1203" t="str">
            <v>פעולות סמנכ"ל</v>
          </cell>
          <cell r="G1203" t="str">
            <v>גמיש</v>
          </cell>
          <cell r="H1203">
            <v>0.93333333333333335</v>
          </cell>
          <cell r="I1203">
            <v>17400</v>
          </cell>
          <cell r="J1203">
            <v>9000</v>
          </cell>
          <cell r="K1203">
            <v>2980</v>
          </cell>
          <cell r="L1203">
            <v>10000</v>
          </cell>
          <cell r="M1203">
            <v>4981.51</v>
          </cell>
        </row>
        <row r="1204">
          <cell r="A1204" t="e">
            <v>#VALUE!</v>
          </cell>
          <cell r="B1204" t="str">
            <v>617000  סך הכל</v>
          </cell>
          <cell r="F1204" t="str">
            <v xml:space="preserve">שרות משפטי        </v>
          </cell>
          <cell r="H1204">
            <v>8.8735767873211024E-2</v>
          </cell>
          <cell r="I1204">
            <v>7816230.0499999998</v>
          </cell>
          <cell r="J1204">
            <v>7179180</v>
          </cell>
          <cell r="K1204">
            <v>4641291.6499999994</v>
          </cell>
          <cell r="L1204">
            <v>6864600</v>
          </cell>
          <cell r="M1204">
            <v>6999937.04</v>
          </cell>
        </row>
        <row r="1205">
          <cell r="A1205">
            <v>16180000</v>
          </cell>
          <cell r="B1205">
            <v>0</v>
          </cell>
          <cell r="C1205">
            <v>618000</v>
          </cell>
          <cell r="D1205">
            <v>1</v>
          </cell>
          <cell r="F1205" t="str">
            <v>תכנון אסטרטגי+מידע</v>
          </cell>
          <cell r="G1205" t="str">
            <v xml:space="preserve"> </v>
          </cell>
        </row>
        <row r="1206">
          <cell r="A1206">
            <v>1618000110</v>
          </cell>
          <cell r="B1206">
            <v>110</v>
          </cell>
          <cell r="C1206">
            <v>618000</v>
          </cell>
          <cell r="D1206">
            <v>1</v>
          </cell>
          <cell r="F1206" t="str">
            <v>השכר הקובע-תקציבית</v>
          </cell>
          <cell r="G1206" t="str">
            <v>שכר</v>
          </cell>
          <cell r="H1206">
            <v>2.4986149584487416E-2</v>
          </cell>
          <cell r="I1206">
            <v>185009.99999999997</v>
          </cell>
          <cell r="J1206">
            <v>180500</v>
          </cell>
          <cell r="K1206">
            <v>0</v>
          </cell>
          <cell r="L1206">
            <v>177000</v>
          </cell>
          <cell r="M1206">
            <v>35215.07</v>
          </cell>
        </row>
        <row r="1207">
          <cell r="A1207">
            <v>1618000119</v>
          </cell>
          <cell r="B1207">
            <v>119</v>
          </cell>
          <cell r="C1207">
            <v>618000</v>
          </cell>
          <cell r="D1207">
            <v>1</v>
          </cell>
          <cell r="F1207" t="str">
            <v xml:space="preserve">השכר הקובע-צוברת  </v>
          </cell>
          <cell r="G1207" t="str">
            <v>שכר</v>
          </cell>
          <cell r="H1207">
            <v>-0.40070386043699813</v>
          </cell>
          <cell r="I1207">
            <v>1387849.9999999998</v>
          </cell>
          <cell r="J1207">
            <v>2315800</v>
          </cell>
          <cell r="K1207">
            <v>690593.73</v>
          </cell>
          <cell r="L1207">
            <v>2270400</v>
          </cell>
          <cell r="M1207">
            <v>1481608.89</v>
          </cell>
        </row>
        <row r="1208">
          <cell r="A1208">
            <v>1618000122</v>
          </cell>
          <cell r="B1208">
            <v>122</v>
          </cell>
          <cell r="C1208">
            <v>618000</v>
          </cell>
          <cell r="D1208">
            <v>1</v>
          </cell>
          <cell r="F1208" t="str">
            <v xml:space="preserve">ביגוד             </v>
          </cell>
          <cell r="G1208" t="str">
            <v>שכר</v>
          </cell>
          <cell r="H1208">
            <v>0</v>
          </cell>
          <cell r="I1208">
            <v>17000</v>
          </cell>
          <cell r="J1208">
            <v>17000</v>
          </cell>
          <cell r="K1208">
            <v>13468.55</v>
          </cell>
          <cell r="L1208">
            <v>16300</v>
          </cell>
          <cell r="M1208">
            <v>19633.82</v>
          </cell>
        </row>
        <row r="1209">
          <cell r="A1209">
            <v>1618000126</v>
          </cell>
          <cell r="B1209">
            <v>126</v>
          </cell>
          <cell r="C1209">
            <v>618000</v>
          </cell>
          <cell r="D1209">
            <v>1</v>
          </cell>
          <cell r="F1209" t="str">
            <v xml:space="preserve">דמי הבראה         </v>
          </cell>
          <cell r="G1209" t="str">
            <v>שכר</v>
          </cell>
          <cell r="H1209">
            <v>0</v>
          </cell>
          <cell r="I1209">
            <v>35000</v>
          </cell>
          <cell r="J1209">
            <v>35000</v>
          </cell>
          <cell r="K1209">
            <v>28837.56</v>
          </cell>
          <cell r="L1209">
            <v>40500</v>
          </cell>
          <cell r="M1209">
            <v>40721.72</v>
          </cell>
        </row>
        <row r="1210">
          <cell r="A1210">
            <v>1618000130</v>
          </cell>
          <cell r="B1210">
            <v>130</v>
          </cell>
          <cell r="C1210">
            <v>618000</v>
          </cell>
          <cell r="D1210">
            <v>1</v>
          </cell>
          <cell r="F1210" t="str">
            <v xml:space="preserve">שעות נוספות       </v>
          </cell>
          <cell r="G1210" t="str">
            <v>שכר</v>
          </cell>
          <cell r="H1210">
            <v>0</v>
          </cell>
          <cell r="I1210">
            <v>27180</v>
          </cell>
          <cell r="J1210">
            <v>27180</v>
          </cell>
          <cell r="K1210">
            <v>0</v>
          </cell>
          <cell r="L1210">
            <v>31600</v>
          </cell>
          <cell r="M1210">
            <v>0</v>
          </cell>
        </row>
        <row r="1211">
          <cell r="A1211">
            <v>1618000140</v>
          </cell>
          <cell r="B1211">
            <v>140</v>
          </cell>
          <cell r="C1211">
            <v>618000</v>
          </cell>
          <cell r="D1211">
            <v>1</v>
          </cell>
          <cell r="F1211" t="str">
            <v>השתתפות באחזקת רכב</v>
          </cell>
          <cell r="G1211" t="str">
            <v>שכר</v>
          </cell>
          <cell r="H1211">
            <v>0</v>
          </cell>
          <cell r="I1211">
            <v>180900</v>
          </cell>
          <cell r="J1211">
            <v>180900</v>
          </cell>
          <cell r="K1211">
            <v>84956.58</v>
          </cell>
          <cell r="L1211">
            <v>120900</v>
          </cell>
          <cell r="M1211">
            <v>189525.94</v>
          </cell>
        </row>
        <row r="1212">
          <cell r="A1212">
            <v>1618000253</v>
          </cell>
          <cell r="B1212">
            <v>253</v>
          </cell>
          <cell r="C1212">
            <v>618000</v>
          </cell>
          <cell r="D1212">
            <v>1</v>
          </cell>
          <cell r="F1212" t="str">
            <v xml:space="preserve">עובדים חיצוניים   </v>
          </cell>
          <cell r="G1212" t="str">
            <v>שכר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M1212">
            <v>56211.86</v>
          </cell>
        </row>
        <row r="1213">
          <cell r="A1213">
            <v>1618000471</v>
          </cell>
          <cell r="B1213">
            <v>471</v>
          </cell>
          <cell r="C1213">
            <v>618000</v>
          </cell>
          <cell r="D1213">
            <v>1</v>
          </cell>
          <cell r="F1213" t="str">
            <v xml:space="preserve">מכשירי כתיבה      </v>
          </cell>
          <cell r="G1213" t="str">
            <v>גמיש</v>
          </cell>
          <cell r="H1213">
            <v>-4.6296296296296502E-3</v>
          </cell>
          <cell r="I1213">
            <v>4300</v>
          </cell>
          <cell r="J1213">
            <v>4320</v>
          </cell>
          <cell r="K1213">
            <v>1218.46</v>
          </cell>
          <cell r="L1213">
            <v>4800</v>
          </cell>
          <cell r="M1213">
            <v>4391.72</v>
          </cell>
        </row>
        <row r="1214">
          <cell r="A1214">
            <v>1618000511</v>
          </cell>
          <cell r="B1214">
            <v>511</v>
          </cell>
          <cell r="C1214">
            <v>618000</v>
          </cell>
          <cell r="D1214">
            <v>1</v>
          </cell>
          <cell r="F1214" t="str">
            <v xml:space="preserve">אירוח וכיבוד      </v>
          </cell>
          <cell r="G1214" t="str">
            <v>גמיש</v>
          </cell>
          <cell r="H1214">
            <v>-1</v>
          </cell>
          <cell r="I1214">
            <v>0</v>
          </cell>
          <cell r="J1214">
            <v>1620</v>
          </cell>
          <cell r="K1214">
            <v>0</v>
          </cell>
          <cell r="L1214">
            <v>1800</v>
          </cell>
          <cell r="M1214">
            <v>1146.9100000000001</v>
          </cell>
        </row>
        <row r="1215">
          <cell r="A1215">
            <v>1618000562</v>
          </cell>
          <cell r="B1215">
            <v>562</v>
          </cell>
          <cell r="C1215">
            <v>618000</v>
          </cell>
          <cell r="D1215">
            <v>1</v>
          </cell>
          <cell r="F1215" t="str">
            <v xml:space="preserve">שנתון סטטיסטי     </v>
          </cell>
          <cell r="G1215" t="str">
            <v>גמיש</v>
          </cell>
          <cell r="H1215">
            <v>0.11111111111111116</v>
          </cell>
          <cell r="I1215">
            <v>60000</v>
          </cell>
          <cell r="J1215">
            <v>54000</v>
          </cell>
          <cell r="K1215">
            <v>0</v>
          </cell>
          <cell r="L1215">
            <v>60000</v>
          </cell>
          <cell r="M1215">
            <v>0</v>
          </cell>
        </row>
        <row r="1216">
          <cell r="A1216">
            <v>1618000571</v>
          </cell>
          <cell r="B1216">
            <v>571</v>
          </cell>
          <cell r="C1216">
            <v>618000</v>
          </cell>
          <cell r="D1216">
            <v>1</v>
          </cell>
          <cell r="F1216" t="str">
            <v xml:space="preserve">מיכון וענ"א       </v>
          </cell>
          <cell r="G1216" t="str">
            <v>קשיח</v>
          </cell>
          <cell r="H1216">
            <v>0</v>
          </cell>
          <cell r="I1216">
            <v>75100</v>
          </cell>
          <cell r="J1216">
            <v>75100</v>
          </cell>
          <cell r="K1216">
            <v>37550</v>
          </cell>
          <cell r="L1216">
            <v>63100</v>
          </cell>
          <cell r="M1216">
            <v>63100</v>
          </cell>
        </row>
        <row r="1217">
          <cell r="A1217">
            <v>1618000580</v>
          </cell>
          <cell r="B1217">
            <v>580</v>
          </cell>
          <cell r="C1217">
            <v>618000</v>
          </cell>
          <cell r="D1217">
            <v>1</v>
          </cell>
          <cell r="F1217" t="str">
            <v xml:space="preserve">סקרים             </v>
          </cell>
          <cell r="G1217" t="str">
            <v>גמיש</v>
          </cell>
          <cell r="H1217">
            <v>-0.66666666666666674</v>
          </cell>
          <cell r="I1217">
            <v>60000</v>
          </cell>
          <cell r="J1217">
            <v>180000</v>
          </cell>
          <cell r="K1217">
            <v>0</v>
          </cell>
          <cell r="L1217">
            <v>139000</v>
          </cell>
          <cell r="M1217">
            <v>39195</v>
          </cell>
        </row>
        <row r="1218">
          <cell r="A1218">
            <v>1618000582</v>
          </cell>
          <cell r="B1218">
            <v>582</v>
          </cell>
          <cell r="C1218">
            <v>618000</v>
          </cell>
          <cell r="D1218">
            <v>1</v>
          </cell>
          <cell r="F1218" t="str">
            <v>ריכוז נתונים ומידע</v>
          </cell>
          <cell r="G1218" t="str">
            <v>גמיש</v>
          </cell>
          <cell r="H1218">
            <v>0</v>
          </cell>
          <cell r="I1218">
            <v>40500</v>
          </cell>
          <cell r="J1218">
            <v>40500</v>
          </cell>
          <cell r="K1218">
            <v>0</v>
          </cell>
          <cell r="L1218">
            <v>63300</v>
          </cell>
          <cell r="M1218">
            <v>20250</v>
          </cell>
        </row>
        <row r="1219">
          <cell r="A1219">
            <v>1618000780</v>
          </cell>
          <cell r="B1219">
            <v>780</v>
          </cell>
          <cell r="C1219">
            <v>618000</v>
          </cell>
          <cell r="D1219">
            <v>1</v>
          </cell>
          <cell r="F1219" t="str">
            <v>מערך ארגון ושיטות</v>
          </cell>
          <cell r="G1219" t="str">
            <v>גמיש</v>
          </cell>
          <cell r="H1219">
            <v>0</v>
          </cell>
          <cell r="I1219">
            <v>85500</v>
          </cell>
          <cell r="J1219">
            <v>85500</v>
          </cell>
          <cell r="K1219">
            <v>14177.26</v>
          </cell>
          <cell r="L1219">
            <v>95000</v>
          </cell>
          <cell r="M1219">
            <v>23311.83</v>
          </cell>
        </row>
        <row r="1220">
          <cell r="A1220">
            <v>1618000781</v>
          </cell>
          <cell r="B1220">
            <v>781</v>
          </cell>
          <cell r="C1220">
            <v>618000</v>
          </cell>
          <cell r="D1220">
            <v>1</v>
          </cell>
          <cell r="F1220" t="str">
            <v xml:space="preserve">תוכניות עבודה </v>
          </cell>
          <cell r="G1220" t="str">
            <v>גמיש</v>
          </cell>
          <cell r="I1220">
            <v>30000</v>
          </cell>
          <cell r="J1220">
            <v>0</v>
          </cell>
          <cell r="K1220">
            <v>0</v>
          </cell>
          <cell r="L1220">
            <v>63000</v>
          </cell>
          <cell r="M1220">
            <v>0</v>
          </cell>
        </row>
        <row r="1221">
          <cell r="A1221">
            <v>1618000783</v>
          </cell>
          <cell r="B1221">
            <v>783</v>
          </cell>
          <cell r="C1221">
            <v>618000</v>
          </cell>
          <cell r="D1221">
            <v>1</v>
          </cell>
          <cell r="F1221" t="str">
            <v>מפגשי מנהלים</v>
          </cell>
          <cell r="G1221" t="str">
            <v>גמיש</v>
          </cell>
          <cell r="H1221">
            <v>0.66666666666666674</v>
          </cell>
          <cell r="I1221">
            <v>30000</v>
          </cell>
          <cell r="J1221">
            <v>18000</v>
          </cell>
          <cell r="K1221">
            <v>0</v>
          </cell>
          <cell r="L1221">
            <v>10000</v>
          </cell>
          <cell r="M1221">
            <v>7020</v>
          </cell>
        </row>
        <row r="1222">
          <cell r="A1222" t="e">
            <v>#VALUE!</v>
          </cell>
          <cell r="B1222" t="str">
            <v>618000  סך הכל</v>
          </cell>
          <cell r="F1222" t="str">
            <v>תכנון אסטרטגי+מידע</v>
          </cell>
          <cell r="H1222">
            <v>-0.3100932382083833</v>
          </cell>
          <cell r="I1222">
            <v>2218340</v>
          </cell>
          <cell r="J1222">
            <v>3215420</v>
          </cell>
          <cell r="K1222">
            <v>870802.14</v>
          </cell>
          <cell r="L1222">
            <v>3156700</v>
          </cell>
          <cell r="M1222">
            <v>1981332.76</v>
          </cell>
        </row>
        <row r="1223">
          <cell r="A1223">
            <v>16190000</v>
          </cell>
          <cell r="B1223">
            <v>0</v>
          </cell>
          <cell r="C1223">
            <v>619000</v>
          </cell>
          <cell r="D1223">
            <v>1</v>
          </cell>
          <cell r="F1223" t="str">
            <v>בחירות:רשות מקומית</v>
          </cell>
          <cell r="G1223" t="str">
            <v xml:space="preserve"> </v>
          </cell>
        </row>
        <row r="1224">
          <cell r="A1224">
            <v>1619000980</v>
          </cell>
          <cell r="B1224">
            <v>980</v>
          </cell>
          <cell r="C1224">
            <v>619000</v>
          </cell>
          <cell r="D1224">
            <v>1</v>
          </cell>
          <cell r="F1224" t="str">
            <v>בחירות:רשות מקומית</v>
          </cell>
          <cell r="G1224" t="str">
            <v>גמיש</v>
          </cell>
          <cell r="I1224">
            <v>0</v>
          </cell>
          <cell r="J1224">
            <v>0</v>
          </cell>
          <cell r="K1224">
            <v>0</v>
          </cell>
          <cell r="L1224">
            <v>571000</v>
          </cell>
          <cell r="M1224">
            <v>733524.69</v>
          </cell>
        </row>
        <row r="1225">
          <cell r="A1225">
            <v>1619000981</v>
          </cell>
          <cell r="B1225">
            <v>981</v>
          </cell>
          <cell r="C1225">
            <v>619000</v>
          </cell>
          <cell r="D1225">
            <v>1</v>
          </cell>
          <cell r="F1225" t="str">
            <v>שכר בחירות</v>
          </cell>
          <cell r="G1225" t="str">
            <v>קשיח</v>
          </cell>
          <cell r="I1225">
            <v>0</v>
          </cell>
          <cell r="J1225">
            <v>0</v>
          </cell>
          <cell r="K1225">
            <v>-20.329999999999998</v>
          </cell>
          <cell r="L1225">
            <v>2450900</v>
          </cell>
          <cell r="M1225">
            <v>2433455.4300000002</v>
          </cell>
        </row>
        <row r="1226">
          <cell r="A1226" t="e">
            <v>#VALUE!</v>
          </cell>
          <cell r="B1226" t="str">
            <v>619000  סך הכל</v>
          </cell>
          <cell r="F1226" t="str">
            <v>בחירות:רשות מקומית</v>
          </cell>
          <cell r="I1226">
            <v>0</v>
          </cell>
          <cell r="J1226">
            <v>0</v>
          </cell>
          <cell r="K1226">
            <v>-20.329999999999998</v>
          </cell>
          <cell r="L1226">
            <v>3021900</v>
          </cell>
          <cell r="M1226">
            <v>3166980.12</v>
          </cell>
        </row>
        <row r="1227">
          <cell r="A1227">
            <v>16200000</v>
          </cell>
          <cell r="B1227">
            <v>0</v>
          </cell>
          <cell r="C1227">
            <v>620000</v>
          </cell>
          <cell r="D1227">
            <v>1</v>
          </cell>
          <cell r="F1227" t="str">
            <v xml:space="preserve">מינהל כספי        </v>
          </cell>
          <cell r="G1227" t="str">
            <v xml:space="preserve"> </v>
          </cell>
        </row>
        <row r="1228">
          <cell r="A1228">
            <v>1621100119</v>
          </cell>
          <cell r="B1228">
            <v>119</v>
          </cell>
          <cell r="C1228">
            <v>621100</v>
          </cell>
          <cell r="D1228">
            <v>1</v>
          </cell>
          <cell r="F1228" t="str">
            <v xml:space="preserve">השכר הקובע-צוברת  </v>
          </cell>
          <cell r="G1228" t="str">
            <v>שכר</v>
          </cell>
          <cell r="H1228">
            <v>2.4998426584429412E-2</v>
          </cell>
          <cell r="I1228">
            <v>1628619.9999999998</v>
          </cell>
          <cell r="J1228">
            <v>1588900</v>
          </cell>
          <cell r="K1228">
            <v>872073.62</v>
          </cell>
          <cell r="L1228">
            <v>1361700</v>
          </cell>
          <cell r="M1228">
            <v>1124730.43</v>
          </cell>
        </row>
        <row r="1229">
          <cell r="A1229">
            <v>1621100122</v>
          </cell>
          <cell r="B1229">
            <v>122</v>
          </cell>
          <cell r="C1229">
            <v>621100</v>
          </cell>
          <cell r="D1229">
            <v>1</v>
          </cell>
          <cell r="F1229" t="str">
            <v xml:space="preserve">ביגוד             </v>
          </cell>
          <cell r="G1229" t="str">
            <v>שכר</v>
          </cell>
          <cell r="H1229">
            <v>0</v>
          </cell>
          <cell r="I1229">
            <v>10500</v>
          </cell>
          <cell r="J1229">
            <v>10500</v>
          </cell>
          <cell r="K1229">
            <v>7437</v>
          </cell>
          <cell r="L1229">
            <v>10500</v>
          </cell>
          <cell r="M1229">
            <v>4981.32</v>
          </cell>
        </row>
        <row r="1230">
          <cell r="A1230">
            <v>1621100126</v>
          </cell>
          <cell r="B1230">
            <v>126</v>
          </cell>
          <cell r="C1230">
            <v>621100</v>
          </cell>
          <cell r="D1230">
            <v>1</v>
          </cell>
          <cell r="F1230" t="str">
            <v xml:space="preserve">דמי הבראה         </v>
          </cell>
          <cell r="G1230" t="str">
            <v>שכר</v>
          </cell>
          <cell r="H1230">
            <v>0</v>
          </cell>
          <cell r="I1230">
            <v>22200</v>
          </cell>
          <cell r="J1230">
            <v>22200</v>
          </cell>
          <cell r="K1230">
            <v>15556.2</v>
          </cell>
          <cell r="L1230">
            <v>22200</v>
          </cell>
          <cell r="M1230">
            <v>11435</v>
          </cell>
        </row>
        <row r="1231">
          <cell r="A1231">
            <v>1621100130</v>
          </cell>
          <cell r="B1231">
            <v>130</v>
          </cell>
          <cell r="C1231">
            <v>621100</v>
          </cell>
          <cell r="D1231">
            <v>1</v>
          </cell>
          <cell r="F1231" t="str">
            <v xml:space="preserve">שעות נוספות       </v>
          </cell>
          <cell r="G1231" t="str">
            <v>שכר</v>
          </cell>
          <cell r="H1231">
            <v>0</v>
          </cell>
          <cell r="I1231">
            <v>3440</v>
          </cell>
          <cell r="J1231">
            <v>3440</v>
          </cell>
          <cell r="K1231">
            <v>10235.94</v>
          </cell>
          <cell r="L1231">
            <v>4000</v>
          </cell>
          <cell r="M1231">
            <v>0</v>
          </cell>
        </row>
        <row r="1232">
          <cell r="A1232">
            <v>1621100140</v>
          </cell>
          <cell r="B1232">
            <v>140</v>
          </cell>
          <cell r="C1232">
            <v>621100</v>
          </cell>
          <cell r="D1232">
            <v>1</v>
          </cell>
          <cell r="F1232" t="str">
            <v>השתתפות באחזקת רכב</v>
          </cell>
          <cell r="G1232" t="str">
            <v>שכר</v>
          </cell>
          <cell r="H1232">
            <v>0</v>
          </cell>
          <cell r="I1232">
            <v>93500</v>
          </cell>
          <cell r="J1232">
            <v>93500</v>
          </cell>
          <cell r="K1232">
            <v>68469.34</v>
          </cell>
          <cell r="L1232">
            <v>93500</v>
          </cell>
          <cell r="M1232">
            <v>62974.31</v>
          </cell>
        </row>
        <row r="1233">
          <cell r="A1233">
            <v>1621100253</v>
          </cell>
          <cell r="B1233">
            <v>253</v>
          </cell>
          <cell r="C1233">
            <v>621100</v>
          </cell>
          <cell r="D1233">
            <v>1</v>
          </cell>
          <cell r="F1233" t="str">
            <v xml:space="preserve">עובדים חיצוניים   </v>
          </cell>
          <cell r="G1233" t="str">
            <v>שכר</v>
          </cell>
          <cell r="I1233">
            <v>0</v>
          </cell>
          <cell r="J1233">
            <v>0</v>
          </cell>
          <cell r="K1233">
            <v>18134.400000000001</v>
          </cell>
          <cell r="L1233">
            <v>0</v>
          </cell>
          <cell r="M1233">
            <v>58003.86</v>
          </cell>
        </row>
        <row r="1234">
          <cell r="A1234">
            <v>1621100350</v>
          </cell>
          <cell r="B1234">
            <v>350</v>
          </cell>
          <cell r="C1234">
            <v>621100</v>
          </cell>
          <cell r="D1234">
            <v>1</v>
          </cell>
          <cell r="F1234" t="str">
            <v>ליסינג - 523-32-003</v>
          </cell>
          <cell r="G1234" t="str">
            <v>שכר</v>
          </cell>
          <cell r="H1234">
            <v>6.3501140684410817E-2</v>
          </cell>
          <cell r="I1234">
            <v>55940.160000000003</v>
          </cell>
          <cell r="J1234">
            <v>52600</v>
          </cell>
          <cell r="K1234">
            <v>27589.79</v>
          </cell>
          <cell r="L1234">
            <v>52600</v>
          </cell>
          <cell r="M1234">
            <v>53518.81</v>
          </cell>
        </row>
        <row r="1235">
          <cell r="A1235">
            <v>1621100351</v>
          </cell>
          <cell r="B1235">
            <v>351</v>
          </cell>
          <cell r="C1235">
            <v>621100</v>
          </cell>
          <cell r="D1235">
            <v>1</v>
          </cell>
          <cell r="F1235" t="str">
            <v>הוצאות - 523-32-003</v>
          </cell>
          <cell r="G1235" t="str">
            <v>שכר</v>
          </cell>
          <cell r="H1235">
            <v>-0.9</v>
          </cell>
          <cell r="I1235">
            <v>1000</v>
          </cell>
          <cell r="J1235">
            <v>10000</v>
          </cell>
          <cell r="K1235">
            <v>149.35</v>
          </cell>
          <cell r="L1235">
            <v>10000</v>
          </cell>
          <cell r="M1235">
            <v>1389.89</v>
          </cell>
        </row>
        <row r="1236">
          <cell r="A1236">
            <v>1621100470</v>
          </cell>
          <cell r="B1236">
            <v>470</v>
          </cell>
          <cell r="C1236">
            <v>621100</v>
          </cell>
          <cell r="D1236">
            <v>1</v>
          </cell>
          <cell r="F1236" t="str">
            <v xml:space="preserve">אחזקת מכונות משרד </v>
          </cell>
          <cell r="G1236" t="str">
            <v>גמיש</v>
          </cell>
          <cell r="H1236">
            <v>0</v>
          </cell>
          <cell r="I1236">
            <v>5400</v>
          </cell>
          <cell r="J1236">
            <v>5400</v>
          </cell>
          <cell r="K1236">
            <v>1377.79</v>
          </cell>
          <cell r="L1236">
            <v>6000</v>
          </cell>
          <cell r="M1236">
            <v>381.6</v>
          </cell>
        </row>
        <row r="1237">
          <cell r="A1237">
            <v>1621100471</v>
          </cell>
          <cell r="B1237">
            <v>471</v>
          </cell>
          <cell r="C1237">
            <v>621100</v>
          </cell>
          <cell r="D1237">
            <v>1</v>
          </cell>
          <cell r="F1237" t="str">
            <v xml:space="preserve">מכשירי כתיבה      </v>
          </cell>
          <cell r="G1237" t="str">
            <v>גמיש</v>
          </cell>
          <cell r="H1237">
            <v>0</v>
          </cell>
          <cell r="I1237">
            <v>5670</v>
          </cell>
          <cell r="J1237">
            <v>5670</v>
          </cell>
          <cell r="K1237">
            <v>2553.42</v>
          </cell>
          <cell r="L1237">
            <v>6300</v>
          </cell>
          <cell r="M1237">
            <v>1628.88</v>
          </cell>
        </row>
        <row r="1238">
          <cell r="A1238">
            <v>1621100492</v>
          </cell>
          <cell r="B1238">
            <v>492</v>
          </cell>
          <cell r="C1238">
            <v>621100</v>
          </cell>
          <cell r="D1238">
            <v>1</v>
          </cell>
          <cell r="F1238" t="str">
            <v xml:space="preserve">השתתפות בעזר 092  </v>
          </cell>
          <cell r="G1238" t="str">
            <v>קשיח</v>
          </cell>
          <cell r="H1238">
            <v>7.2489601901366552E-2</v>
          </cell>
          <cell r="I1238">
            <v>361000</v>
          </cell>
          <cell r="J1238">
            <v>336600</v>
          </cell>
          <cell r="K1238">
            <v>133000</v>
          </cell>
          <cell r="L1238">
            <v>285000</v>
          </cell>
          <cell r="M1238">
            <v>312069</v>
          </cell>
        </row>
        <row r="1239">
          <cell r="A1239">
            <v>1621100511</v>
          </cell>
          <cell r="B1239">
            <v>511</v>
          </cell>
          <cell r="C1239">
            <v>621100</v>
          </cell>
          <cell r="D1239">
            <v>1</v>
          </cell>
          <cell r="F1239" t="str">
            <v xml:space="preserve">אירוח וכיבוד      </v>
          </cell>
          <cell r="G1239" t="str">
            <v>גמיש</v>
          </cell>
          <cell r="H1239">
            <v>1.8214936247722413E-3</v>
          </cell>
          <cell r="I1239">
            <v>5500</v>
          </cell>
          <cell r="J1239">
            <v>5490</v>
          </cell>
          <cell r="K1239">
            <v>0</v>
          </cell>
          <cell r="L1239">
            <v>5100</v>
          </cell>
          <cell r="M1239">
            <v>5100</v>
          </cell>
        </row>
        <row r="1240">
          <cell r="A1240">
            <v>1621100512</v>
          </cell>
          <cell r="B1240">
            <v>512</v>
          </cell>
          <cell r="C1240">
            <v>621100</v>
          </cell>
          <cell r="D1240">
            <v>1</v>
          </cell>
          <cell r="F1240" t="str">
            <v xml:space="preserve">נסיעות ואש"ל      </v>
          </cell>
          <cell r="G1240" t="str">
            <v>גמיש</v>
          </cell>
          <cell r="H1240">
            <v>0</v>
          </cell>
          <cell r="I1240">
            <v>1980</v>
          </cell>
          <cell r="J1240">
            <v>1980</v>
          </cell>
          <cell r="K1240">
            <v>319</v>
          </cell>
          <cell r="L1240">
            <v>2200</v>
          </cell>
          <cell r="M1240">
            <v>2501.44</v>
          </cell>
        </row>
        <row r="1241">
          <cell r="A1241">
            <v>1621100522</v>
          </cell>
          <cell r="B1241">
            <v>522</v>
          </cell>
          <cell r="C1241">
            <v>621100</v>
          </cell>
          <cell r="D1241">
            <v>1</v>
          </cell>
          <cell r="F1241" t="str">
            <v xml:space="preserve">ספרים ועיתונים    </v>
          </cell>
          <cell r="G1241" t="str">
            <v>גמיש</v>
          </cell>
          <cell r="H1241">
            <v>0</v>
          </cell>
          <cell r="I1241">
            <v>6930</v>
          </cell>
          <cell r="J1241">
            <v>6930</v>
          </cell>
          <cell r="K1241">
            <v>0</v>
          </cell>
          <cell r="L1241">
            <v>7700</v>
          </cell>
          <cell r="M1241">
            <v>2681.64</v>
          </cell>
        </row>
        <row r="1242">
          <cell r="A1242">
            <v>1621100544</v>
          </cell>
          <cell r="B1242">
            <v>544</v>
          </cell>
          <cell r="C1242">
            <v>621100</v>
          </cell>
          <cell r="D1242">
            <v>1</v>
          </cell>
          <cell r="F1242" t="str">
            <v xml:space="preserve">הוצאות דאר        </v>
          </cell>
          <cell r="G1242" t="str">
            <v>קשיח</v>
          </cell>
          <cell r="H1242">
            <v>0.77777777777777768</v>
          </cell>
          <cell r="I1242">
            <v>8000</v>
          </cell>
          <cell r="J1242">
            <v>4500</v>
          </cell>
          <cell r="K1242">
            <v>3606</v>
          </cell>
          <cell r="L1242">
            <v>4500</v>
          </cell>
          <cell r="M1242">
            <v>7171.9</v>
          </cell>
        </row>
        <row r="1243">
          <cell r="A1243">
            <v>1621100550</v>
          </cell>
          <cell r="B1243">
            <v>550</v>
          </cell>
          <cell r="C1243">
            <v>621100</v>
          </cell>
          <cell r="D1243">
            <v>1</v>
          </cell>
          <cell r="F1243" t="str">
            <v>פרסומים</v>
          </cell>
          <cell r="G1243" t="str">
            <v>גמיש</v>
          </cell>
          <cell r="H1243">
            <v>0</v>
          </cell>
          <cell r="I1243">
            <v>3870</v>
          </cell>
          <cell r="J1243">
            <v>3870</v>
          </cell>
          <cell r="K1243">
            <v>0</v>
          </cell>
          <cell r="L1243">
            <v>4300</v>
          </cell>
          <cell r="M1243">
            <v>0</v>
          </cell>
        </row>
        <row r="1244">
          <cell r="A1244">
            <v>1621100571</v>
          </cell>
          <cell r="B1244">
            <v>571</v>
          </cell>
          <cell r="C1244">
            <v>621100</v>
          </cell>
          <cell r="D1244">
            <v>1</v>
          </cell>
          <cell r="F1244" t="str">
            <v xml:space="preserve">מיכון וענ"א       </v>
          </cell>
          <cell r="G1244" t="str">
            <v>קשיח</v>
          </cell>
          <cell r="H1244">
            <v>0</v>
          </cell>
          <cell r="I1244">
            <v>94300</v>
          </cell>
          <cell r="J1244">
            <v>94300</v>
          </cell>
          <cell r="K1244">
            <v>47150</v>
          </cell>
          <cell r="L1244">
            <v>82100</v>
          </cell>
          <cell r="M1244">
            <v>82100</v>
          </cell>
        </row>
        <row r="1245">
          <cell r="A1245">
            <v>1621100580</v>
          </cell>
          <cell r="B1245">
            <v>580</v>
          </cell>
          <cell r="C1245">
            <v>621100</v>
          </cell>
          <cell r="D1245">
            <v>1</v>
          </cell>
          <cell r="F1245" t="str">
            <v xml:space="preserve">יעוץ כלכלי        </v>
          </cell>
          <cell r="G1245" t="str">
            <v>גמיש</v>
          </cell>
          <cell r="H1245">
            <v>0</v>
          </cell>
          <cell r="I1245">
            <v>450000</v>
          </cell>
          <cell r="J1245">
            <v>450000</v>
          </cell>
          <cell r="K1245">
            <v>33689</v>
          </cell>
          <cell r="L1245">
            <v>470000</v>
          </cell>
          <cell r="M1245">
            <v>124905</v>
          </cell>
        </row>
        <row r="1246">
          <cell r="A1246">
            <v>1621100781</v>
          </cell>
          <cell r="B1246">
            <v>781</v>
          </cell>
          <cell r="C1246">
            <v>621100</v>
          </cell>
          <cell r="D1246">
            <v>1</v>
          </cell>
          <cell r="F1246" t="str">
            <v>פעולות סמנכ"ל</v>
          </cell>
          <cell r="G1246" t="str">
            <v>גמיש</v>
          </cell>
          <cell r="H1246">
            <v>1.1111111111111072E-2</v>
          </cell>
          <cell r="I1246">
            <v>27300</v>
          </cell>
          <cell r="J1246">
            <v>27000</v>
          </cell>
          <cell r="K1246">
            <v>10345.540000000001</v>
          </cell>
          <cell r="L1246">
            <v>30000</v>
          </cell>
          <cell r="M1246">
            <v>31508.45</v>
          </cell>
        </row>
        <row r="1247">
          <cell r="A1247">
            <v>1621100794</v>
          </cell>
          <cell r="B1247">
            <v>794</v>
          </cell>
          <cell r="C1247">
            <v>621100</v>
          </cell>
          <cell r="D1247">
            <v>1</v>
          </cell>
          <cell r="F1247" t="str">
            <v xml:space="preserve">השתתפות בעזר 094  </v>
          </cell>
          <cell r="G1247" t="str">
            <v>קשיח</v>
          </cell>
          <cell r="H1247">
            <v>0</v>
          </cell>
          <cell r="I1247">
            <v>6500</v>
          </cell>
          <cell r="J1247">
            <v>6500</v>
          </cell>
          <cell r="K1247">
            <v>3070</v>
          </cell>
          <cell r="L1247">
            <v>6500</v>
          </cell>
          <cell r="M1247">
            <v>7752</v>
          </cell>
        </row>
        <row r="1248">
          <cell r="A1248">
            <v>1621100961</v>
          </cell>
          <cell r="B1248">
            <v>961</v>
          </cell>
          <cell r="C1248">
            <v>621100</v>
          </cell>
          <cell r="D1248">
            <v>1</v>
          </cell>
          <cell r="F1248" t="str">
            <v>תגבור פעולות</v>
          </cell>
          <cell r="G1248" t="str">
            <v>גמיש</v>
          </cell>
          <cell r="H1248">
            <v>3.6281179138321962E-2</v>
          </cell>
          <cell r="I1248">
            <v>914000</v>
          </cell>
          <cell r="J1248">
            <v>882000</v>
          </cell>
          <cell r="K1248">
            <v>30486.5</v>
          </cell>
          <cell r="L1248">
            <v>500000</v>
          </cell>
          <cell r="M1248">
            <v>395948.79</v>
          </cell>
        </row>
        <row r="1249">
          <cell r="A1249" t="e">
            <v>#VALUE!</v>
          </cell>
          <cell r="B1249" t="str">
            <v>621100  סך הכל</v>
          </cell>
          <cell r="F1249" t="str">
            <v>משרד גזבר העירייה</v>
          </cell>
          <cell r="H1249">
            <v>2.6103639052107441E-2</v>
          </cell>
          <cell r="I1249">
            <v>3705650.1599999997</v>
          </cell>
          <cell r="J1249">
            <v>3611380</v>
          </cell>
          <cell r="K1249">
            <v>1285242.8900000001</v>
          </cell>
          <cell r="L1249">
            <v>2964200</v>
          </cell>
          <cell r="M1249">
            <v>2290782.3199999998</v>
          </cell>
        </row>
        <row r="1250">
          <cell r="A1250">
            <v>16212000</v>
          </cell>
          <cell r="B1250">
            <v>0</v>
          </cell>
          <cell r="C1250">
            <v>621200</v>
          </cell>
          <cell r="D1250">
            <v>1</v>
          </cell>
          <cell r="F1250" t="str">
            <v>תקציבים ובקרה</v>
          </cell>
          <cell r="G1250" t="str">
            <v xml:space="preserve"> </v>
          </cell>
        </row>
        <row r="1251">
          <cell r="A1251">
            <v>1621200110</v>
          </cell>
          <cell r="B1251">
            <v>110</v>
          </cell>
          <cell r="C1251">
            <v>621200</v>
          </cell>
          <cell r="D1251">
            <v>1</v>
          </cell>
          <cell r="F1251" t="str">
            <v>השכר הקובע-תקציבית</v>
          </cell>
          <cell r="G1251" t="str">
            <v>שכר</v>
          </cell>
          <cell r="H1251">
            <v>2.4999999999999911E-2</v>
          </cell>
          <cell r="I1251">
            <v>648210</v>
          </cell>
          <cell r="J1251">
            <v>632400</v>
          </cell>
          <cell r="K1251">
            <v>406399.49</v>
          </cell>
          <cell r="L1251">
            <v>620000</v>
          </cell>
          <cell r="M1251">
            <v>614408.89</v>
          </cell>
        </row>
        <row r="1252">
          <cell r="A1252">
            <v>1621200119</v>
          </cell>
          <cell r="B1252">
            <v>119</v>
          </cell>
          <cell r="C1252">
            <v>621200</v>
          </cell>
          <cell r="D1252">
            <v>1</v>
          </cell>
          <cell r="F1252" t="str">
            <v xml:space="preserve">השכר הקובע-צוברת  </v>
          </cell>
          <cell r="G1252" t="str">
            <v>שכר</v>
          </cell>
          <cell r="H1252">
            <v>0.13144758056286854</v>
          </cell>
          <cell r="I1252">
            <v>5543979.9999999991</v>
          </cell>
          <cell r="J1252">
            <v>4899900</v>
          </cell>
          <cell r="K1252">
            <v>2887071.01</v>
          </cell>
          <cell r="L1252">
            <v>4745000</v>
          </cell>
          <cell r="M1252">
            <v>4611081.82</v>
          </cell>
        </row>
        <row r="1253">
          <cell r="A1253">
            <v>1621200122</v>
          </cell>
          <cell r="B1253">
            <v>122</v>
          </cell>
          <cell r="C1253">
            <v>621200</v>
          </cell>
          <cell r="D1253">
            <v>1</v>
          </cell>
          <cell r="F1253" t="str">
            <v xml:space="preserve">ביגוד             </v>
          </cell>
          <cell r="G1253" t="str">
            <v>שכר</v>
          </cell>
          <cell r="H1253">
            <v>4.9455709361183153E-2</v>
          </cell>
          <cell r="I1253">
            <v>67480.00211192407</v>
          </cell>
          <cell r="J1253">
            <v>64300</v>
          </cell>
          <cell r="K1253">
            <v>64392.81</v>
          </cell>
          <cell r="L1253">
            <v>64300</v>
          </cell>
          <cell r="M1253">
            <v>64533.07</v>
          </cell>
        </row>
        <row r="1254">
          <cell r="A1254">
            <v>1621200126</v>
          </cell>
          <cell r="B1254">
            <v>126</v>
          </cell>
          <cell r="C1254">
            <v>621200</v>
          </cell>
          <cell r="D1254">
            <v>1</v>
          </cell>
          <cell r="F1254" t="str">
            <v xml:space="preserve">דמי הבראה         </v>
          </cell>
          <cell r="G1254" t="str">
            <v>שכר</v>
          </cell>
          <cell r="H1254">
            <v>4.9453569566504818E-2</v>
          </cell>
          <cell r="I1254">
            <v>153640.0025845363</v>
          </cell>
          <cell r="J1254">
            <v>146400</v>
          </cell>
          <cell r="K1254">
            <v>147034.47</v>
          </cell>
          <cell r="L1254">
            <v>146400</v>
          </cell>
          <cell r="M1254">
            <v>146307.13</v>
          </cell>
        </row>
        <row r="1255">
          <cell r="A1255">
            <v>1621200130</v>
          </cell>
          <cell r="B1255">
            <v>130</v>
          </cell>
          <cell r="C1255">
            <v>621200</v>
          </cell>
          <cell r="D1255">
            <v>1</v>
          </cell>
          <cell r="F1255" t="str">
            <v xml:space="preserve">שעות נוספות       </v>
          </cell>
          <cell r="G1255" t="str">
            <v>שכר</v>
          </cell>
          <cell r="H1255">
            <v>0</v>
          </cell>
          <cell r="I1255">
            <v>61230</v>
          </cell>
          <cell r="J1255">
            <v>61230</v>
          </cell>
          <cell r="K1255">
            <v>29256.47</v>
          </cell>
          <cell r="L1255">
            <v>71200</v>
          </cell>
          <cell r="M1255">
            <v>45835.39</v>
          </cell>
        </row>
        <row r="1256">
          <cell r="A1256">
            <v>1621200140</v>
          </cell>
          <cell r="B1256">
            <v>140</v>
          </cell>
          <cell r="C1256">
            <v>621200</v>
          </cell>
          <cell r="D1256">
            <v>1</v>
          </cell>
          <cell r="F1256" t="str">
            <v>השתתפות באחזקת רכב</v>
          </cell>
          <cell r="G1256" t="str">
            <v>שכר</v>
          </cell>
          <cell r="H1256">
            <v>0</v>
          </cell>
          <cell r="I1256">
            <v>646000</v>
          </cell>
          <cell r="J1256">
            <v>646000</v>
          </cell>
          <cell r="K1256">
            <v>381167.4</v>
          </cell>
          <cell r="L1256">
            <v>646000</v>
          </cell>
          <cell r="M1256">
            <v>665950.97</v>
          </cell>
        </row>
        <row r="1257">
          <cell r="A1257">
            <v>1621200253</v>
          </cell>
          <cell r="B1257">
            <v>253</v>
          </cell>
          <cell r="C1257">
            <v>621200</v>
          </cell>
          <cell r="D1257">
            <v>1</v>
          </cell>
          <cell r="F1257" t="str">
            <v xml:space="preserve">עובד חיצוני       </v>
          </cell>
          <cell r="G1257" t="str">
            <v>שכר</v>
          </cell>
          <cell r="I1257">
            <v>0</v>
          </cell>
          <cell r="J1257">
            <v>0</v>
          </cell>
          <cell r="K1257">
            <v>60406.7</v>
          </cell>
          <cell r="L1257">
            <v>0</v>
          </cell>
          <cell r="M1257">
            <v>6076.56</v>
          </cell>
        </row>
        <row r="1258">
          <cell r="A1258">
            <v>1621200350</v>
          </cell>
          <cell r="B1258">
            <v>350</v>
          </cell>
          <cell r="C1258">
            <v>621200</v>
          </cell>
          <cell r="D1258">
            <v>1</v>
          </cell>
          <cell r="F1258" t="str">
            <v xml:space="preserve">ליסינג </v>
          </cell>
          <cell r="G1258" t="str">
            <v>שכר</v>
          </cell>
          <cell r="H1258">
            <v>0.2057500000000001</v>
          </cell>
          <cell r="I1258">
            <v>144690</v>
          </cell>
          <cell r="J1258">
            <v>120000</v>
          </cell>
          <cell r="K1258">
            <v>71649.759999999995</v>
          </cell>
          <cell r="L1258">
            <v>110000</v>
          </cell>
          <cell r="M1258">
            <v>131796.25</v>
          </cell>
        </row>
        <row r="1259">
          <cell r="A1259">
            <v>1621200351</v>
          </cell>
          <cell r="B1259">
            <v>351</v>
          </cell>
          <cell r="C1259">
            <v>621200</v>
          </cell>
          <cell r="D1259">
            <v>1</v>
          </cell>
          <cell r="F1259" t="str">
            <v xml:space="preserve">הוצאות ליסינג </v>
          </cell>
          <cell r="G1259" t="str">
            <v>שכר</v>
          </cell>
          <cell r="H1259">
            <v>0</v>
          </cell>
          <cell r="I1259">
            <v>64000</v>
          </cell>
          <cell r="J1259">
            <v>64000</v>
          </cell>
          <cell r="K1259">
            <v>25129.99</v>
          </cell>
          <cell r="L1259">
            <v>64100</v>
          </cell>
          <cell r="M1259">
            <v>51524.95</v>
          </cell>
        </row>
        <row r="1260">
          <cell r="A1260">
            <v>1621200470</v>
          </cell>
          <cell r="B1260">
            <v>470</v>
          </cell>
          <cell r="C1260">
            <v>621200</v>
          </cell>
          <cell r="D1260">
            <v>1</v>
          </cell>
          <cell r="F1260" t="str">
            <v xml:space="preserve">אחזקת מכונות משרד </v>
          </cell>
          <cell r="G1260" t="str">
            <v>גמיש</v>
          </cell>
          <cell r="H1260">
            <v>0</v>
          </cell>
          <cell r="I1260">
            <v>900</v>
          </cell>
          <cell r="J1260">
            <v>900</v>
          </cell>
          <cell r="K1260">
            <v>481.04</v>
          </cell>
          <cell r="L1260">
            <v>1000</v>
          </cell>
          <cell r="M1260">
            <v>178.14</v>
          </cell>
        </row>
        <row r="1261">
          <cell r="A1261">
            <v>1621200471</v>
          </cell>
          <cell r="B1261">
            <v>471</v>
          </cell>
          <cell r="C1261">
            <v>621200</v>
          </cell>
          <cell r="D1261">
            <v>1</v>
          </cell>
          <cell r="F1261" t="str">
            <v xml:space="preserve">מכשירי כתיבה      </v>
          </cell>
          <cell r="G1261" t="str">
            <v>גמיש</v>
          </cell>
          <cell r="H1261">
            <v>0.24366471734892792</v>
          </cell>
          <cell r="I1261">
            <v>25520</v>
          </cell>
          <cell r="J1261">
            <v>20520</v>
          </cell>
          <cell r="K1261">
            <v>10986.32</v>
          </cell>
          <cell r="L1261">
            <v>20500</v>
          </cell>
          <cell r="M1261">
            <v>20174.830000000002</v>
          </cell>
        </row>
        <row r="1262">
          <cell r="A1262">
            <v>1621200511</v>
          </cell>
          <cell r="B1262">
            <v>511</v>
          </cell>
          <cell r="C1262">
            <v>621200</v>
          </cell>
          <cell r="D1262">
            <v>1</v>
          </cell>
          <cell r="F1262" t="str">
            <v xml:space="preserve">אירוח וכיבוד      </v>
          </cell>
          <cell r="G1262" t="str">
            <v>גמיש</v>
          </cell>
          <cell r="H1262">
            <v>0.6507936507936507</v>
          </cell>
          <cell r="I1262">
            <v>5200</v>
          </cell>
          <cell r="J1262">
            <v>3150</v>
          </cell>
          <cell r="K1262">
            <v>1621.03</v>
          </cell>
          <cell r="L1262">
            <v>1700</v>
          </cell>
          <cell r="M1262">
            <v>1451.44</v>
          </cell>
        </row>
        <row r="1263">
          <cell r="A1263">
            <v>1621200522</v>
          </cell>
          <cell r="B1263">
            <v>522</v>
          </cell>
          <cell r="C1263">
            <v>621200</v>
          </cell>
          <cell r="D1263">
            <v>1</v>
          </cell>
          <cell r="F1263" t="str">
            <v xml:space="preserve">ספרים ועיתונים    </v>
          </cell>
          <cell r="G1263" t="str">
            <v>גמיש</v>
          </cell>
          <cell r="H1263">
            <v>0.20772946859903385</v>
          </cell>
          <cell r="I1263">
            <v>2500</v>
          </cell>
          <cell r="J1263">
            <v>2070</v>
          </cell>
          <cell r="K1263">
            <v>0</v>
          </cell>
          <cell r="L1263">
            <v>4100</v>
          </cell>
          <cell r="M1263">
            <v>0</v>
          </cell>
        </row>
        <row r="1264">
          <cell r="A1264">
            <v>1621200563</v>
          </cell>
          <cell r="B1264">
            <v>563</v>
          </cell>
          <cell r="C1264">
            <v>621200</v>
          </cell>
          <cell r="D1264">
            <v>1</v>
          </cell>
          <cell r="F1264" t="str">
            <v xml:space="preserve">הדפסות            </v>
          </cell>
          <cell r="G1264" t="str">
            <v>גמיש</v>
          </cell>
          <cell r="H1264">
            <v>0.21031746031746024</v>
          </cell>
          <cell r="I1264">
            <v>6100</v>
          </cell>
          <cell r="J1264">
            <v>5040</v>
          </cell>
          <cell r="K1264">
            <v>0</v>
          </cell>
          <cell r="L1264">
            <v>5600</v>
          </cell>
          <cell r="M1264">
            <v>5538.6</v>
          </cell>
        </row>
        <row r="1265">
          <cell r="A1265">
            <v>1621200571</v>
          </cell>
          <cell r="B1265">
            <v>571</v>
          </cell>
          <cell r="C1265">
            <v>621200</v>
          </cell>
          <cell r="D1265">
            <v>1</v>
          </cell>
          <cell r="F1265" t="str">
            <v xml:space="preserve">מיכון וענ"א       </v>
          </cell>
          <cell r="G1265" t="str">
            <v>קשיח</v>
          </cell>
          <cell r="H1265">
            <v>0</v>
          </cell>
          <cell r="I1265">
            <v>206300</v>
          </cell>
          <cell r="J1265">
            <v>206300</v>
          </cell>
          <cell r="K1265">
            <v>103150</v>
          </cell>
          <cell r="L1265">
            <v>187800</v>
          </cell>
          <cell r="M1265">
            <v>187800</v>
          </cell>
        </row>
        <row r="1266">
          <cell r="A1266">
            <v>1621200573</v>
          </cell>
          <cell r="B1266">
            <v>573</v>
          </cell>
          <cell r="C1266">
            <v>621200</v>
          </cell>
          <cell r="D1266">
            <v>1</v>
          </cell>
          <cell r="F1266" t="str">
            <v>מע' חשבונות ממוחשבת</v>
          </cell>
          <cell r="G1266" t="str">
            <v>קשיח</v>
          </cell>
          <cell r="H1266">
            <v>0</v>
          </cell>
          <cell r="I1266">
            <v>200000</v>
          </cell>
          <cell r="J1266">
            <v>200000</v>
          </cell>
          <cell r="K1266">
            <v>0</v>
          </cell>
          <cell r="L1266">
            <v>200000</v>
          </cell>
          <cell r="M1266">
            <v>0</v>
          </cell>
        </row>
        <row r="1267">
          <cell r="A1267">
            <v>1621200580</v>
          </cell>
          <cell r="B1267">
            <v>580</v>
          </cell>
          <cell r="C1267">
            <v>621200</v>
          </cell>
          <cell r="D1267">
            <v>1</v>
          </cell>
          <cell r="F1267" t="str">
            <v xml:space="preserve">יעוץ כלכלי        </v>
          </cell>
          <cell r="G1267" t="str">
            <v>גמיש</v>
          </cell>
          <cell r="H1267">
            <v>0</v>
          </cell>
          <cell r="I1267">
            <v>30780</v>
          </cell>
          <cell r="J1267">
            <v>30780</v>
          </cell>
          <cell r="K1267">
            <v>0</v>
          </cell>
          <cell r="L1267">
            <v>34200</v>
          </cell>
          <cell r="M1267">
            <v>34200</v>
          </cell>
        </row>
        <row r="1268">
          <cell r="A1268" t="e">
            <v>#VALUE!</v>
          </cell>
          <cell r="B1268" t="str">
            <v>621200  סך הכל</v>
          </cell>
          <cell r="F1268" t="str">
            <v>תקציבים ובקרה</v>
          </cell>
          <cell r="H1268">
            <v>9.9048429562263118E-2</v>
          </cell>
          <cell r="I1268">
            <v>7806530.0046964595</v>
          </cell>
          <cell r="J1268">
            <v>7102990</v>
          </cell>
          <cell r="K1268">
            <v>4188746.49</v>
          </cell>
          <cell r="L1268">
            <v>6921900</v>
          </cell>
          <cell r="M1268">
            <v>6586858.0399999991</v>
          </cell>
        </row>
        <row r="1269">
          <cell r="A1269">
            <v>16213000</v>
          </cell>
          <cell r="B1269">
            <v>0</v>
          </cell>
          <cell r="C1269">
            <v>621300</v>
          </cell>
          <cell r="D1269">
            <v>1</v>
          </cell>
          <cell r="F1269" t="str">
            <v xml:space="preserve">הנה"ח המרכזית     </v>
          </cell>
          <cell r="G1269" t="str">
            <v xml:space="preserve"> </v>
          </cell>
        </row>
        <row r="1270">
          <cell r="A1270">
            <v>1621300119</v>
          </cell>
          <cell r="B1270">
            <v>119</v>
          </cell>
          <cell r="C1270">
            <v>621300</v>
          </cell>
          <cell r="D1270">
            <v>1</v>
          </cell>
          <cell r="F1270" t="str">
            <v xml:space="preserve">השכר הקובע-צוברת  </v>
          </cell>
          <cell r="G1270" t="str">
            <v>שכר</v>
          </cell>
          <cell r="H1270">
            <v>0.21369105878288908</v>
          </cell>
          <cell r="I1270">
            <v>2108060</v>
          </cell>
          <cell r="J1270">
            <v>1736900</v>
          </cell>
          <cell r="K1270">
            <v>975395.08</v>
          </cell>
          <cell r="L1270">
            <v>1702800</v>
          </cell>
          <cell r="M1270">
            <v>1469554.83</v>
          </cell>
        </row>
        <row r="1271">
          <cell r="A1271">
            <v>1621300122</v>
          </cell>
          <cell r="B1271">
            <v>122</v>
          </cell>
          <cell r="C1271">
            <v>621300</v>
          </cell>
          <cell r="D1271">
            <v>1</v>
          </cell>
          <cell r="F1271" t="str">
            <v xml:space="preserve">ביגוד             </v>
          </cell>
          <cell r="G1271" t="str">
            <v>שכר</v>
          </cell>
          <cell r="H1271">
            <v>0</v>
          </cell>
          <cell r="I1271">
            <v>17000</v>
          </cell>
          <cell r="J1271">
            <v>17000</v>
          </cell>
          <cell r="K1271">
            <v>16371.7</v>
          </cell>
          <cell r="L1271">
            <v>15800</v>
          </cell>
          <cell r="M1271">
            <v>16423.509999999998</v>
          </cell>
        </row>
        <row r="1272">
          <cell r="A1272">
            <v>1621300126</v>
          </cell>
          <cell r="B1272">
            <v>126</v>
          </cell>
          <cell r="C1272">
            <v>621300</v>
          </cell>
          <cell r="D1272">
            <v>1</v>
          </cell>
          <cell r="F1272" t="str">
            <v xml:space="preserve">דמי הבראה         </v>
          </cell>
          <cell r="G1272" t="str">
            <v>שכר</v>
          </cell>
          <cell r="H1272">
            <v>0</v>
          </cell>
          <cell r="I1272">
            <v>40000</v>
          </cell>
          <cell r="J1272">
            <v>40000</v>
          </cell>
          <cell r="K1272">
            <v>36062.82</v>
          </cell>
          <cell r="L1272">
            <v>41100</v>
          </cell>
          <cell r="M1272">
            <v>37080.32</v>
          </cell>
        </row>
        <row r="1273">
          <cell r="A1273">
            <v>1621300130</v>
          </cell>
          <cell r="B1273">
            <v>130</v>
          </cell>
          <cell r="C1273">
            <v>621300</v>
          </cell>
          <cell r="D1273">
            <v>1</v>
          </cell>
          <cell r="F1273" t="str">
            <v xml:space="preserve">שעות נוספות       </v>
          </cell>
          <cell r="G1273" t="str">
            <v>שכר</v>
          </cell>
          <cell r="H1273">
            <v>0</v>
          </cell>
          <cell r="I1273">
            <v>26490</v>
          </cell>
          <cell r="J1273">
            <v>26490</v>
          </cell>
          <cell r="K1273">
            <v>0</v>
          </cell>
          <cell r="L1273">
            <v>30800</v>
          </cell>
          <cell r="M1273">
            <v>0</v>
          </cell>
        </row>
        <row r="1274">
          <cell r="A1274">
            <v>1621300140</v>
          </cell>
          <cell r="B1274">
            <v>140</v>
          </cell>
          <cell r="C1274">
            <v>621300</v>
          </cell>
          <cell r="D1274">
            <v>1</v>
          </cell>
          <cell r="F1274" t="str">
            <v>השתתפות באחזקת רכב</v>
          </cell>
          <cell r="G1274" t="str">
            <v>שכר</v>
          </cell>
          <cell r="H1274">
            <v>0</v>
          </cell>
          <cell r="I1274">
            <v>169600</v>
          </cell>
          <cell r="J1274">
            <v>169600</v>
          </cell>
          <cell r="K1274">
            <v>123138.87</v>
          </cell>
          <cell r="L1274">
            <v>169600</v>
          </cell>
          <cell r="M1274">
            <v>173289.44</v>
          </cell>
        </row>
        <row r="1275">
          <cell r="A1275">
            <v>1621300253</v>
          </cell>
          <cell r="B1275">
            <v>253</v>
          </cell>
          <cell r="C1275">
            <v>621300</v>
          </cell>
          <cell r="D1275">
            <v>1</v>
          </cell>
          <cell r="F1275" t="str">
            <v xml:space="preserve">עובדת חברה        </v>
          </cell>
          <cell r="G1275" t="str">
            <v>שכר</v>
          </cell>
          <cell r="I1275">
            <v>0</v>
          </cell>
          <cell r="J1275">
            <v>0</v>
          </cell>
          <cell r="K1275">
            <v>22391.5</v>
          </cell>
          <cell r="L1275">
            <v>0</v>
          </cell>
          <cell r="M1275">
            <v>84332.61</v>
          </cell>
        </row>
        <row r="1276">
          <cell r="A1276">
            <v>1621300471</v>
          </cell>
          <cell r="B1276">
            <v>471</v>
          </cell>
          <cell r="C1276">
            <v>621300</v>
          </cell>
          <cell r="D1276">
            <v>1</v>
          </cell>
          <cell r="F1276" t="str">
            <v xml:space="preserve">מכשירי כתיבה      </v>
          </cell>
          <cell r="G1276" t="str">
            <v>גמיש</v>
          </cell>
          <cell r="H1276">
            <v>0.33333333333333326</v>
          </cell>
          <cell r="I1276">
            <v>12000</v>
          </cell>
          <cell r="J1276">
            <v>9000</v>
          </cell>
          <cell r="K1276">
            <v>3282.05</v>
          </cell>
          <cell r="L1276">
            <v>9000</v>
          </cell>
          <cell r="M1276">
            <v>9742.4500000000007</v>
          </cell>
        </row>
        <row r="1277">
          <cell r="A1277">
            <v>1621300511</v>
          </cell>
          <cell r="B1277">
            <v>511</v>
          </cell>
          <cell r="C1277">
            <v>621300</v>
          </cell>
          <cell r="D1277">
            <v>1</v>
          </cell>
          <cell r="F1277" t="str">
            <v xml:space="preserve">אירוח וכיבוד      </v>
          </cell>
          <cell r="G1277" t="str">
            <v>גמיש</v>
          </cell>
          <cell r="H1277">
            <v>1.2222222222222223</v>
          </cell>
          <cell r="I1277">
            <v>2600</v>
          </cell>
          <cell r="J1277">
            <v>1170</v>
          </cell>
          <cell r="K1277">
            <v>416.8</v>
          </cell>
          <cell r="L1277">
            <v>1300</v>
          </cell>
          <cell r="M1277">
            <v>1203.29</v>
          </cell>
        </row>
        <row r="1278">
          <cell r="A1278">
            <v>1621300522</v>
          </cell>
          <cell r="B1278">
            <v>522</v>
          </cell>
          <cell r="C1278">
            <v>621300</v>
          </cell>
          <cell r="D1278">
            <v>1</v>
          </cell>
          <cell r="F1278" t="str">
            <v xml:space="preserve">ספרים ועיתונים    </v>
          </cell>
          <cell r="G1278" t="str">
            <v>גמיש</v>
          </cell>
          <cell r="H1278">
            <v>-0.14529914529914534</v>
          </cell>
          <cell r="I1278">
            <v>9000</v>
          </cell>
          <cell r="J1278">
            <v>10530</v>
          </cell>
          <cell r="K1278">
            <v>4717</v>
          </cell>
          <cell r="L1278">
            <v>11700</v>
          </cell>
          <cell r="M1278">
            <v>3757.64</v>
          </cell>
        </row>
        <row r="1279">
          <cell r="A1279">
            <v>1621300561</v>
          </cell>
          <cell r="B1279">
            <v>561</v>
          </cell>
          <cell r="C1279">
            <v>621300</v>
          </cell>
          <cell r="D1279">
            <v>1</v>
          </cell>
          <cell r="F1279" t="str">
            <v xml:space="preserve">שיכפולים          </v>
          </cell>
          <cell r="G1279" t="str">
            <v>גמיש</v>
          </cell>
          <cell r="H1279">
            <v>-1</v>
          </cell>
          <cell r="I1279">
            <v>0</v>
          </cell>
          <cell r="J1279">
            <v>1620</v>
          </cell>
          <cell r="K1279">
            <v>0</v>
          </cell>
          <cell r="L1279">
            <v>1800</v>
          </cell>
          <cell r="M1279">
            <v>121</v>
          </cell>
        </row>
        <row r="1280">
          <cell r="A1280">
            <v>1621300562</v>
          </cell>
          <cell r="B1280">
            <v>562</v>
          </cell>
          <cell r="C1280">
            <v>621300</v>
          </cell>
          <cell r="D1280">
            <v>1</v>
          </cell>
          <cell r="F1280" t="str">
            <v xml:space="preserve">הדפסות            </v>
          </cell>
          <cell r="G1280" t="str">
            <v>גמיש</v>
          </cell>
          <cell r="H1280">
            <v>0</v>
          </cell>
          <cell r="I1280">
            <v>1620</v>
          </cell>
          <cell r="J1280">
            <v>1620</v>
          </cell>
          <cell r="K1280">
            <v>123</v>
          </cell>
          <cell r="L1280">
            <v>1800</v>
          </cell>
          <cell r="M1280">
            <v>237</v>
          </cell>
        </row>
        <row r="1281">
          <cell r="A1281">
            <v>1621300563</v>
          </cell>
          <cell r="B1281">
            <v>563</v>
          </cell>
          <cell r="C1281">
            <v>621300</v>
          </cell>
          <cell r="D1281">
            <v>1</v>
          </cell>
          <cell r="F1281" t="str">
            <v xml:space="preserve">הדפסת דוחות       </v>
          </cell>
          <cell r="G1281" t="str">
            <v>קשיח</v>
          </cell>
          <cell r="H1281">
            <v>0</v>
          </cell>
          <cell r="I1281">
            <v>4500</v>
          </cell>
          <cell r="J1281">
            <v>4500</v>
          </cell>
          <cell r="K1281">
            <v>1696.72</v>
          </cell>
          <cell r="L1281">
            <v>4500</v>
          </cell>
          <cell r="M1281">
            <v>3989.06</v>
          </cell>
        </row>
        <row r="1282">
          <cell r="A1282">
            <v>1621300570</v>
          </cell>
          <cell r="B1282">
            <v>570</v>
          </cell>
          <cell r="C1282">
            <v>621300</v>
          </cell>
          <cell r="D1282">
            <v>1</v>
          </cell>
          <cell r="F1282" t="str">
            <v xml:space="preserve">שידורי תנועות בנק </v>
          </cell>
          <cell r="G1282" t="str">
            <v>קשיח</v>
          </cell>
          <cell r="I1282">
            <v>0</v>
          </cell>
          <cell r="J1282">
            <v>0</v>
          </cell>
          <cell r="K1282">
            <v>0</v>
          </cell>
          <cell r="L1282">
            <v>8600</v>
          </cell>
          <cell r="M1282">
            <v>0</v>
          </cell>
        </row>
        <row r="1283">
          <cell r="A1283">
            <v>1621300571</v>
          </cell>
          <cell r="B1283">
            <v>571</v>
          </cell>
          <cell r="C1283">
            <v>621300</v>
          </cell>
          <cell r="D1283">
            <v>1</v>
          </cell>
          <cell r="F1283" t="str">
            <v xml:space="preserve">מיכון וענ"א       </v>
          </cell>
          <cell r="G1283" t="str">
            <v>קשיח</v>
          </cell>
          <cell r="H1283">
            <v>0</v>
          </cell>
          <cell r="I1283">
            <v>343900</v>
          </cell>
          <cell r="J1283">
            <v>343900</v>
          </cell>
          <cell r="K1283">
            <v>171950</v>
          </cell>
          <cell r="L1283">
            <v>315200</v>
          </cell>
          <cell r="M1283">
            <v>315200</v>
          </cell>
        </row>
        <row r="1284">
          <cell r="A1284">
            <v>1621300573</v>
          </cell>
          <cell r="B1284">
            <v>573</v>
          </cell>
          <cell r="C1284">
            <v>621300</v>
          </cell>
          <cell r="D1284">
            <v>1</v>
          </cell>
          <cell r="F1284" t="str">
            <v>מיחשוב הנה"ח</v>
          </cell>
          <cell r="G1284" t="str">
            <v>קשיח</v>
          </cell>
          <cell r="H1284">
            <v>0</v>
          </cell>
          <cell r="I1284">
            <v>982800</v>
          </cell>
          <cell r="J1284">
            <v>982800</v>
          </cell>
          <cell r="K1284">
            <v>0</v>
          </cell>
          <cell r="L1284">
            <v>982800</v>
          </cell>
          <cell r="M1284">
            <v>0</v>
          </cell>
        </row>
        <row r="1285">
          <cell r="A1285">
            <v>1621300580</v>
          </cell>
          <cell r="B1285">
            <v>580</v>
          </cell>
          <cell r="C1285">
            <v>621300</v>
          </cell>
          <cell r="D1285">
            <v>1</v>
          </cell>
          <cell r="F1285" t="str">
            <v xml:space="preserve">יעוץ חיצוני       </v>
          </cell>
          <cell r="G1285" t="str">
            <v>קשיח</v>
          </cell>
          <cell r="H1285">
            <v>0</v>
          </cell>
          <cell r="I1285">
            <v>32400</v>
          </cell>
          <cell r="J1285">
            <v>32400</v>
          </cell>
          <cell r="K1285">
            <v>0</v>
          </cell>
          <cell r="L1285">
            <v>36000</v>
          </cell>
          <cell r="M1285">
            <v>5791.5</v>
          </cell>
        </row>
        <row r="1286">
          <cell r="A1286">
            <v>1621300757</v>
          </cell>
          <cell r="B1286">
            <v>757</v>
          </cell>
          <cell r="C1286">
            <v>621300</v>
          </cell>
          <cell r="D1286">
            <v>1</v>
          </cell>
          <cell r="F1286" t="str">
            <v xml:space="preserve">שרותי הנה"ח       </v>
          </cell>
          <cell r="G1286" t="str">
            <v>קשיח</v>
          </cell>
          <cell r="H1286">
            <v>0</v>
          </cell>
          <cell r="I1286">
            <v>45000</v>
          </cell>
          <cell r="J1286">
            <v>45000</v>
          </cell>
          <cell r="K1286">
            <v>17110</v>
          </cell>
          <cell r="L1286">
            <v>45000</v>
          </cell>
          <cell r="M1286">
            <v>35102</v>
          </cell>
        </row>
        <row r="1287">
          <cell r="A1287" t="e">
            <v>#VALUE!</v>
          </cell>
          <cell r="B1287" t="str">
            <v>621300  סך הכל</v>
          </cell>
          <cell r="F1287" t="str">
            <v xml:space="preserve">הנה"ח המרכזית     </v>
          </cell>
          <cell r="H1287">
            <v>0.10882008338860438</v>
          </cell>
          <cell r="I1287">
            <v>3794970</v>
          </cell>
          <cell r="J1287">
            <v>3422530</v>
          </cell>
          <cell r="K1287">
            <v>1372655.5399999998</v>
          </cell>
          <cell r="L1287">
            <v>3377800</v>
          </cell>
          <cell r="M1287">
            <v>2155824.6500000004</v>
          </cell>
        </row>
        <row r="1288">
          <cell r="A1288">
            <v>16215000</v>
          </cell>
          <cell r="B1288">
            <v>0</v>
          </cell>
          <cell r="C1288">
            <v>621500</v>
          </cell>
          <cell r="D1288">
            <v>1</v>
          </cell>
          <cell r="F1288" t="str">
            <v xml:space="preserve">מחלקת שכר         </v>
          </cell>
          <cell r="G1288" t="str">
            <v xml:space="preserve"> </v>
          </cell>
        </row>
        <row r="1289">
          <cell r="A1289">
            <v>1621500110</v>
          </cell>
          <cell r="B1289">
            <v>110</v>
          </cell>
          <cell r="C1289">
            <v>621500</v>
          </cell>
          <cell r="D1289">
            <v>1</v>
          </cell>
          <cell r="F1289" t="str">
            <v>השכר הקובע-תקציבית</v>
          </cell>
          <cell r="G1289" t="str">
            <v>שכר</v>
          </cell>
          <cell r="H1289">
            <v>-1</v>
          </cell>
          <cell r="I1289">
            <v>0</v>
          </cell>
          <cell r="J1289">
            <v>192000</v>
          </cell>
          <cell r="K1289">
            <v>119684</v>
          </cell>
          <cell r="L1289">
            <v>188200</v>
          </cell>
          <cell r="M1289">
            <v>198670</v>
          </cell>
        </row>
        <row r="1290">
          <cell r="A1290">
            <v>1621500119</v>
          </cell>
          <cell r="B1290">
            <v>119</v>
          </cell>
          <cell r="C1290">
            <v>621500</v>
          </cell>
          <cell r="D1290">
            <v>1</v>
          </cell>
          <cell r="F1290" t="str">
            <v xml:space="preserve">השכר הקובע-צוברת  </v>
          </cell>
          <cell r="G1290" t="str">
            <v>שכר</v>
          </cell>
          <cell r="H1290">
            <v>-1</v>
          </cell>
          <cell r="I1290">
            <v>0</v>
          </cell>
          <cell r="J1290">
            <v>1234000</v>
          </cell>
          <cell r="K1290">
            <v>630049</v>
          </cell>
          <cell r="L1290">
            <v>1151000</v>
          </cell>
          <cell r="M1290">
            <v>1038173</v>
          </cell>
        </row>
        <row r="1291">
          <cell r="A1291">
            <v>1621500122</v>
          </cell>
          <cell r="B1291">
            <v>122</v>
          </cell>
          <cell r="C1291">
            <v>621500</v>
          </cell>
          <cell r="D1291">
            <v>1</v>
          </cell>
          <cell r="F1291" t="str">
            <v xml:space="preserve">ביגוד             </v>
          </cell>
          <cell r="G1291" t="str">
            <v>שכר</v>
          </cell>
          <cell r="H1291">
            <v>-1</v>
          </cell>
          <cell r="I1291">
            <v>0</v>
          </cell>
          <cell r="J1291">
            <v>12600</v>
          </cell>
          <cell r="K1291">
            <v>13105</v>
          </cell>
          <cell r="L1291">
            <v>12600</v>
          </cell>
          <cell r="M1291">
            <v>15105</v>
          </cell>
        </row>
        <row r="1292">
          <cell r="A1292">
            <v>1621500126</v>
          </cell>
          <cell r="B1292">
            <v>126</v>
          </cell>
          <cell r="C1292">
            <v>621500</v>
          </cell>
          <cell r="D1292">
            <v>1</v>
          </cell>
          <cell r="F1292" t="str">
            <v xml:space="preserve">דמי הבראה         </v>
          </cell>
          <cell r="G1292" t="str">
            <v>שכר</v>
          </cell>
          <cell r="H1292">
            <v>-1</v>
          </cell>
          <cell r="I1292">
            <v>0</v>
          </cell>
          <cell r="J1292">
            <v>31000</v>
          </cell>
          <cell r="K1292">
            <v>32377</v>
          </cell>
          <cell r="L1292">
            <v>45500</v>
          </cell>
          <cell r="M1292">
            <v>36440</v>
          </cell>
        </row>
        <row r="1293">
          <cell r="A1293">
            <v>1621500130</v>
          </cell>
          <cell r="B1293">
            <v>130</v>
          </cell>
          <cell r="C1293">
            <v>621500</v>
          </cell>
          <cell r="D1293">
            <v>1</v>
          </cell>
          <cell r="F1293" t="str">
            <v xml:space="preserve">שעות נוספות       </v>
          </cell>
          <cell r="G1293" t="str">
            <v>שכר</v>
          </cell>
          <cell r="H1293">
            <v>-1</v>
          </cell>
          <cell r="I1293">
            <v>0</v>
          </cell>
          <cell r="J1293">
            <v>45500</v>
          </cell>
          <cell r="K1293">
            <v>19149</v>
          </cell>
          <cell r="L1293">
            <v>52900</v>
          </cell>
          <cell r="M1293">
            <v>23403</v>
          </cell>
        </row>
        <row r="1294">
          <cell r="A1294">
            <v>1621500140</v>
          </cell>
          <cell r="B1294">
            <v>140</v>
          </cell>
          <cell r="C1294">
            <v>621500</v>
          </cell>
          <cell r="D1294">
            <v>1</v>
          </cell>
          <cell r="F1294" t="str">
            <v>השתתפות באחזקת רכב</v>
          </cell>
          <cell r="G1294" t="str">
            <v>שכר</v>
          </cell>
          <cell r="H1294">
            <v>-1</v>
          </cell>
          <cell r="I1294">
            <v>0</v>
          </cell>
          <cell r="J1294">
            <v>133500</v>
          </cell>
          <cell r="K1294">
            <v>80092</v>
          </cell>
          <cell r="L1294">
            <v>133500</v>
          </cell>
          <cell r="M1294">
            <v>148451</v>
          </cell>
        </row>
        <row r="1295">
          <cell r="A1295">
            <v>1621500471</v>
          </cell>
          <cell r="B1295">
            <v>471</v>
          </cell>
          <cell r="C1295">
            <v>621500</v>
          </cell>
          <cell r="D1295">
            <v>1</v>
          </cell>
          <cell r="F1295" t="str">
            <v xml:space="preserve">מכשירי כתיבה      </v>
          </cell>
          <cell r="G1295" t="str">
            <v>גמיש</v>
          </cell>
          <cell r="H1295">
            <v>-1</v>
          </cell>
          <cell r="I1295">
            <v>0</v>
          </cell>
          <cell r="J1295">
            <v>5400</v>
          </cell>
          <cell r="K1295">
            <v>1695</v>
          </cell>
          <cell r="L1295">
            <v>4500</v>
          </cell>
          <cell r="M1295">
            <v>4564</v>
          </cell>
        </row>
        <row r="1296">
          <cell r="A1296">
            <v>1621500544</v>
          </cell>
          <cell r="B1296">
            <v>544</v>
          </cell>
          <cell r="C1296">
            <v>621500</v>
          </cell>
          <cell r="D1296">
            <v>1</v>
          </cell>
          <cell r="F1296" t="str">
            <v xml:space="preserve">הוצאות דאר        </v>
          </cell>
          <cell r="G1296" t="str">
            <v>קשיח</v>
          </cell>
          <cell r="H1296">
            <v>-1</v>
          </cell>
          <cell r="I1296">
            <v>0</v>
          </cell>
          <cell r="J1296">
            <v>5000</v>
          </cell>
          <cell r="K1296">
            <v>1582</v>
          </cell>
          <cell r="L1296">
            <v>12900</v>
          </cell>
          <cell r="M1296">
            <v>3209</v>
          </cell>
        </row>
        <row r="1297">
          <cell r="A1297">
            <v>1621500565</v>
          </cell>
          <cell r="B1297">
            <v>565</v>
          </cell>
          <cell r="C1297">
            <v>621500</v>
          </cell>
          <cell r="D1297">
            <v>1</v>
          </cell>
          <cell r="F1297" t="str">
            <v>ארכיבאות מגנטית</v>
          </cell>
          <cell r="G1297" t="str">
            <v>גמיש</v>
          </cell>
          <cell r="H1297">
            <v>-1</v>
          </cell>
          <cell r="I1297">
            <v>0</v>
          </cell>
          <cell r="J1297">
            <v>4050</v>
          </cell>
          <cell r="K1297">
            <v>0</v>
          </cell>
          <cell r="L1297">
            <v>4500</v>
          </cell>
          <cell r="M1297">
            <v>3822</v>
          </cell>
        </row>
        <row r="1298">
          <cell r="A1298">
            <v>1621500566</v>
          </cell>
          <cell r="B1298">
            <v>566</v>
          </cell>
          <cell r="C1298">
            <v>621500</v>
          </cell>
          <cell r="D1298">
            <v>1</v>
          </cell>
          <cell r="F1298" t="str">
            <v>בידקת מצבת גימלאים</v>
          </cell>
          <cell r="G1298" t="str">
            <v>גמיש</v>
          </cell>
          <cell r="H1298">
            <v>-1</v>
          </cell>
          <cell r="I1298">
            <v>0</v>
          </cell>
          <cell r="J1298">
            <v>810</v>
          </cell>
          <cell r="K1298">
            <v>0</v>
          </cell>
          <cell r="L1298">
            <v>900</v>
          </cell>
          <cell r="M1298">
            <v>0</v>
          </cell>
        </row>
        <row r="1299">
          <cell r="A1299">
            <v>1621500570</v>
          </cell>
          <cell r="B1299">
            <v>570</v>
          </cell>
          <cell r="C1299">
            <v>621500</v>
          </cell>
          <cell r="D1299">
            <v>1</v>
          </cell>
          <cell r="F1299" t="str">
            <v xml:space="preserve">לשכת שירות חישוב שכר </v>
          </cell>
          <cell r="G1299" t="str">
            <v>קשיח</v>
          </cell>
          <cell r="H1299">
            <v>-1</v>
          </cell>
          <cell r="I1299">
            <v>0</v>
          </cell>
          <cell r="J1299">
            <v>650000</v>
          </cell>
          <cell r="K1299">
            <v>240606</v>
          </cell>
          <cell r="L1299">
            <v>800000</v>
          </cell>
          <cell r="M1299">
            <v>629544</v>
          </cell>
        </row>
        <row r="1300">
          <cell r="A1300">
            <v>1621500571</v>
          </cell>
          <cell r="B1300">
            <v>571</v>
          </cell>
          <cell r="C1300">
            <v>621500</v>
          </cell>
          <cell r="D1300">
            <v>1</v>
          </cell>
          <cell r="F1300" t="str">
            <v xml:space="preserve">מיכון וענ"א       </v>
          </cell>
          <cell r="G1300" t="str">
            <v>קשיח</v>
          </cell>
          <cell r="H1300">
            <v>-1</v>
          </cell>
          <cell r="I1300">
            <v>0</v>
          </cell>
          <cell r="J1300">
            <v>193100</v>
          </cell>
          <cell r="K1300">
            <v>96550</v>
          </cell>
          <cell r="L1300">
            <v>168100</v>
          </cell>
          <cell r="M1300">
            <v>168100</v>
          </cell>
        </row>
        <row r="1301">
          <cell r="A1301">
            <v>1621500758</v>
          </cell>
          <cell r="B1301">
            <v>758</v>
          </cell>
          <cell r="C1301">
            <v>621500</v>
          </cell>
          <cell r="D1301">
            <v>1</v>
          </cell>
          <cell r="F1301" t="str">
            <v>שרותי סליקה פנסיונית</v>
          </cell>
          <cell r="G1301" t="str">
            <v>גמיש</v>
          </cell>
          <cell r="H1301">
            <v>-1</v>
          </cell>
          <cell r="I1301">
            <v>0</v>
          </cell>
          <cell r="J1301">
            <v>90000</v>
          </cell>
          <cell r="K1301">
            <v>34808</v>
          </cell>
          <cell r="L1301">
            <v>90000</v>
          </cell>
          <cell r="M1301">
            <v>90000</v>
          </cell>
        </row>
        <row r="1302">
          <cell r="A1302" t="e">
            <v>#VALUE!</v>
          </cell>
          <cell r="B1302" t="str">
            <v>621500  סך הכל</v>
          </cell>
          <cell r="F1302" t="str">
            <v xml:space="preserve">מחלקת שכר         </v>
          </cell>
          <cell r="H1302">
            <v>-1</v>
          </cell>
          <cell r="I1302">
            <v>0</v>
          </cell>
          <cell r="J1302">
            <v>2596960</v>
          </cell>
          <cell r="K1302">
            <v>1269697</v>
          </cell>
          <cell r="L1302">
            <v>2664600</v>
          </cell>
          <cell r="M1302">
            <v>2359481</v>
          </cell>
        </row>
        <row r="1303">
          <cell r="A1303">
            <v>16218000</v>
          </cell>
          <cell r="B1303">
            <v>0</v>
          </cell>
          <cell r="C1303">
            <v>621800</v>
          </cell>
          <cell r="D1303">
            <v>1</v>
          </cell>
          <cell r="F1303" t="str">
            <v>מכרזים והתקשרויות</v>
          </cell>
          <cell r="G1303" t="str">
            <v xml:space="preserve"> </v>
          </cell>
        </row>
        <row r="1304">
          <cell r="A1304">
            <v>1621800110</v>
          </cell>
          <cell r="B1304">
            <v>110</v>
          </cell>
          <cell r="C1304">
            <v>621800</v>
          </cell>
          <cell r="D1304">
            <v>1</v>
          </cell>
          <cell r="F1304" t="str">
            <v>השכר הקובע-תקציבית</v>
          </cell>
          <cell r="G1304" t="str">
            <v>שכר</v>
          </cell>
          <cell r="I1304">
            <v>0</v>
          </cell>
          <cell r="J1304">
            <v>0</v>
          </cell>
          <cell r="K1304">
            <v>59856.38</v>
          </cell>
          <cell r="L1304">
            <v>352300</v>
          </cell>
          <cell r="M1304">
            <v>343166.74</v>
          </cell>
        </row>
        <row r="1305">
          <cell r="A1305">
            <v>1621800119</v>
          </cell>
          <cell r="B1305">
            <v>119</v>
          </cell>
          <cell r="C1305">
            <v>621800</v>
          </cell>
          <cell r="D1305">
            <v>1</v>
          </cell>
          <cell r="F1305" t="str">
            <v xml:space="preserve">השכר הקובע-צוברת  </v>
          </cell>
          <cell r="G1305" t="str">
            <v>שכר</v>
          </cell>
          <cell r="H1305">
            <v>2.4999999999999911E-2</v>
          </cell>
          <cell r="I1305">
            <v>1903219.9999999998</v>
          </cell>
          <cell r="J1305">
            <v>1856800</v>
          </cell>
          <cell r="K1305">
            <v>543271.27</v>
          </cell>
          <cell r="L1305">
            <v>1017200</v>
          </cell>
          <cell r="M1305">
            <v>935124.38</v>
          </cell>
        </row>
        <row r="1306">
          <cell r="A1306">
            <v>1621800122</v>
          </cell>
          <cell r="B1306">
            <v>122</v>
          </cell>
          <cell r="C1306">
            <v>621800</v>
          </cell>
          <cell r="D1306">
            <v>1</v>
          </cell>
          <cell r="F1306" t="str">
            <v xml:space="preserve">ביגוד             </v>
          </cell>
          <cell r="G1306" t="str">
            <v>שכר</v>
          </cell>
          <cell r="H1306">
            <v>0</v>
          </cell>
          <cell r="I1306">
            <v>7500</v>
          </cell>
          <cell r="J1306">
            <v>7500</v>
          </cell>
          <cell r="K1306">
            <v>10029.120000000001</v>
          </cell>
          <cell r="L1306">
            <v>9600</v>
          </cell>
          <cell r="M1306">
            <v>12050.26</v>
          </cell>
        </row>
        <row r="1307">
          <cell r="A1307">
            <v>1621800126</v>
          </cell>
          <cell r="B1307">
            <v>126</v>
          </cell>
          <cell r="C1307">
            <v>621800</v>
          </cell>
          <cell r="D1307">
            <v>1</v>
          </cell>
          <cell r="F1307" t="str">
            <v xml:space="preserve">דמי הבראה         </v>
          </cell>
          <cell r="G1307" t="str">
            <v>שכר</v>
          </cell>
          <cell r="H1307">
            <v>0</v>
          </cell>
          <cell r="I1307">
            <v>32000</v>
          </cell>
          <cell r="J1307">
            <v>32000</v>
          </cell>
          <cell r="K1307">
            <v>27514.26</v>
          </cell>
          <cell r="L1307">
            <v>32000</v>
          </cell>
          <cell r="M1307">
            <v>21928.49</v>
          </cell>
        </row>
        <row r="1308">
          <cell r="A1308">
            <v>1621800130</v>
          </cell>
          <cell r="B1308">
            <v>130</v>
          </cell>
          <cell r="C1308">
            <v>621800</v>
          </cell>
          <cell r="D1308">
            <v>1</v>
          </cell>
          <cell r="F1308" t="str">
            <v xml:space="preserve">שעות נוספות       </v>
          </cell>
          <cell r="G1308" t="str">
            <v>שכר</v>
          </cell>
          <cell r="H1308">
            <v>0</v>
          </cell>
          <cell r="I1308">
            <v>26580</v>
          </cell>
          <cell r="J1308">
            <v>26580</v>
          </cell>
          <cell r="K1308">
            <v>6990.91</v>
          </cell>
          <cell r="L1308">
            <v>30900</v>
          </cell>
          <cell r="M1308">
            <v>34914.69</v>
          </cell>
        </row>
        <row r="1309">
          <cell r="A1309">
            <v>1621800140</v>
          </cell>
          <cell r="B1309">
            <v>140</v>
          </cell>
          <cell r="C1309">
            <v>621800</v>
          </cell>
          <cell r="D1309">
            <v>1</v>
          </cell>
          <cell r="F1309" t="str">
            <v>השתתפות באחזקת רכב</v>
          </cell>
          <cell r="G1309" t="str">
            <v>שכר</v>
          </cell>
          <cell r="H1309">
            <v>0</v>
          </cell>
          <cell r="I1309">
            <v>165900</v>
          </cell>
          <cell r="J1309">
            <v>165900</v>
          </cell>
          <cell r="K1309">
            <v>51244.97</v>
          </cell>
          <cell r="L1309">
            <v>165900</v>
          </cell>
          <cell r="M1309">
            <v>158199.37</v>
          </cell>
        </row>
        <row r="1310">
          <cell r="A1310">
            <v>1621800253</v>
          </cell>
          <cell r="B1310">
            <v>253</v>
          </cell>
          <cell r="C1310">
            <v>621800</v>
          </cell>
          <cell r="D1310">
            <v>1</v>
          </cell>
          <cell r="F1310" t="str">
            <v xml:space="preserve">עובדים חיצוניים   </v>
          </cell>
          <cell r="G1310" t="str">
            <v>שכר</v>
          </cell>
          <cell r="I1310">
            <v>0</v>
          </cell>
          <cell r="J1310">
            <v>0</v>
          </cell>
          <cell r="K1310">
            <v>33730.81</v>
          </cell>
          <cell r="L1310">
            <v>0</v>
          </cell>
          <cell r="M1310">
            <v>29899</v>
          </cell>
        </row>
        <row r="1311">
          <cell r="A1311">
            <v>1621800471</v>
          </cell>
          <cell r="B1311">
            <v>471</v>
          </cell>
          <cell r="C1311">
            <v>621800</v>
          </cell>
          <cell r="D1311">
            <v>1</v>
          </cell>
          <cell r="F1311" t="str">
            <v xml:space="preserve">מכשירי כתיבה      </v>
          </cell>
          <cell r="G1311" t="str">
            <v>גמיש</v>
          </cell>
          <cell r="H1311">
            <v>0</v>
          </cell>
          <cell r="I1311">
            <v>5400</v>
          </cell>
          <cell r="J1311">
            <v>5400</v>
          </cell>
          <cell r="K1311">
            <v>1693</v>
          </cell>
          <cell r="L1311">
            <v>2300</v>
          </cell>
          <cell r="M1311">
            <v>3455.82</v>
          </cell>
        </row>
        <row r="1312">
          <cell r="A1312">
            <v>1621800511</v>
          </cell>
          <cell r="B1312">
            <v>511</v>
          </cell>
          <cell r="C1312">
            <v>621800</v>
          </cell>
          <cell r="D1312">
            <v>1</v>
          </cell>
          <cell r="F1312" t="str">
            <v xml:space="preserve">אירוח וכיבוד      </v>
          </cell>
          <cell r="G1312" t="str">
            <v>גמיש</v>
          </cell>
          <cell r="H1312">
            <v>2.3333333333333335</v>
          </cell>
          <cell r="I1312">
            <v>3000</v>
          </cell>
          <cell r="J1312">
            <v>900</v>
          </cell>
          <cell r="K1312">
            <v>0</v>
          </cell>
          <cell r="L1312">
            <v>1000</v>
          </cell>
          <cell r="M1312">
            <v>1000</v>
          </cell>
        </row>
        <row r="1313">
          <cell r="A1313">
            <v>1621800522</v>
          </cell>
          <cell r="B1313">
            <v>522</v>
          </cell>
          <cell r="C1313">
            <v>621800</v>
          </cell>
          <cell r="D1313">
            <v>1</v>
          </cell>
          <cell r="F1313" t="str">
            <v xml:space="preserve">ספרים ועיתונים    </v>
          </cell>
          <cell r="G1313" t="str">
            <v>גמיש</v>
          </cell>
          <cell r="H1313">
            <v>0</v>
          </cell>
          <cell r="I1313">
            <v>2880</v>
          </cell>
          <cell r="J1313">
            <v>2880</v>
          </cell>
          <cell r="K1313">
            <v>0</v>
          </cell>
          <cell r="L1313">
            <v>3200</v>
          </cell>
          <cell r="M1313">
            <v>2996.11</v>
          </cell>
        </row>
        <row r="1314">
          <cell r="A1314">
            <v>1621800550</v>
          </cell>
          <cell r="B1314">
            <v>550</v>
          </cell>
          <cell r="C1314">
            <v>621800</v>
          </cell>
          <cell r="D1314">
            <v>1</v>
          </cell>
          <cell r="F1314" t="str">
            <v xml:space="preserve">פירסומים          </v>
          </cell>
          <cell r="G1314" t="str">
            <v>גמיש</v>
          </cell>
          <cell r="H1314">
            <v>0</v>
          </cell>
          <cell r="I1314">
            <v>1800</v>
          </cell>
          <cell r="J1314">
            <v>1800</v>
          </cell>
          <cell r="K1314">
            <v>934</v>
          </cell>
          <cell r="L1314">
            <v>9000</v>
          </cell>
          <cell r="M1314">
            <v>926</v>
          </cell>
        </row>
        <row r="1315">
          <cell r="A1315">
            <v>1621800561</v>
          </cell>
          <cell r="B1315">
            <v>561</v>
          </cell>
          <cell r="C1315">
            <v>621800</v>
          </cell>
          <cell r="D1315">
            <v>1</v>
          </cell>
          <cell r="F1315" t="str">
            <v xml:space="preserve">שיכפולים          </v>
          </cell>
          <cell r="G1315" t="str">
            <v>גמיש</v>
          </cell>
          <cell r="H1315">
            <v>0</v>
          </cell>
          <cell r="I1315">
            <v>1530</v>
          </cell>
          <cell r="J1315">
            <v>1530</v>
          </cell>
          <cell r="K1315">
            <v>0</v>
          </cell>
          <cell r="L1315">
            <v>1700</v>
          </cell>
          <cell r="M1315">
            <v>436.8</v>
          </cell>
        </row>
        <row r="1316">
          <cell r="A1316">
            <v>1621800571</v>
          </cell>
          <cell r="B1316">
            <v>571</v>
          </cell>
          <cell r="C1316">
            <v>621800</v>
          </cell>
          <cell r="D1316">
            <v>1</v>
          </cell>
          <cell r="F1316" t="str">
            <v xml:space="preserve">מיכון וענ"א       </v>
          </cell>
          <cell r="G1316" t="str">
            <v>קשיח</v>
          </cell>
          <cell r="H1316">
            <v>0</v>
          </cell>
          <cell r="I1316">
            <v>21500</v>
          </cell>
          <cell r="J1316">
            <v>21500</v>
          </cell>
          <cell r="K1316">
            <v>10750</v>
          </cell>
          <cell r="L1316">
            <v>15600</v>
          </cell>
          <cell r="M1316">
            <v>15600</v>
          </cell>
        </row>
        <row r="1317">
          <cell r="A1317">
            <v>1621800580</v>
          </cell>
          <cell r="B1317">
            <v>580</v>
          </cell>
          <cell r="C1317">
            <v>621800</v>
          </cell>
          <cell r="D1317">
            <v>1</v>
          </cell>
          <cell r="F1317" t="str">
            <v xml:space="preserve">יעוץ חיצוני       </v>
          </cell>
          <cell r="G1317" t="str">
            <v>גמיש</v>
          </cell>
          <cell r="H1317">
            <v>0</v>
          </cell>
          <cell r="I1317">
            <v>8100</v>
          </cell>
          <cell r="J1317">
            <v>8100</v>
          </cell>
          <cell r="K1317">
            <v>0</v>
          </cell>
          <cell r="L1317">
            <v>9000</v>
          </cell>
          <cell r="M1317">
            <v>0</v>
          </cell>
        </row>
        <row r="1318">
          <cell r="A1318">
            <v>1621800758</v>
          </cell>
          <cell r="B1318">
            <v>758</v>
          </cell>
          <cell r="C1318">
            <v>621800</v>
          </cell>
          <cell r="D1318">
            <v>1</v>
          </cell>
          <cell r="F1318" t="str">
            <v>מערכת מכרזים</v>
          </cell>
          <cell r="G1318" t="str">
            <v>קשיח</v>
          </cell>
          <cell r="I1318">
            <v>0</v>
          </cell>
          <cell r="J1318">
            <v>0</v>
          </cell>
          <cell r="K1318">
            <v>0</v>
          </cell>
          <cell r="L1318">
            <v>13200</v>
          </cell>
          <cell r="M1318">
            <v>0</v>
          </cell>
        </row>
        <row r="1319">
          <cell r="A1319" t="e">
            <v>#VALUE!</v>
          </cell>
          <cell r="B1319" t="str">
            <v>621800  סך הכל</v>
          </cell>
          <cell r="F1319" t="str">
            <v>מכרזים והתקשרויות</v>
          </cell>
          <cell r="H1319">
            <v>2.2769828569283224E-2</v>
          </cell>
          <cell r="I1319">
            <v>2179410</v>
          </cell>
          <cell r="J1319">
            <v>2130890</v>
          </cell>
          <cell r="K1319">
            <v>746014.71999999997</v>
          </cell>
          <cell r="L1319">
            <v>1662900</v>
          </cell>
          <cell r="M1319">
            <v>1559697.6600000004</v>
          </cell>
        </row>
        <row r="1320">
          <cell r="A1320">
            <v>16220000</v>
          </cell>
          <cell r="B1320">
            <v>0</v>
          </cell>
          <cell r="C1320">
            <v>622000</v>
          </cell>
          <cell r="D1320">
            <v>1</v>
          </cell>
          <cell r="F1320" t="str">
            <v xml:space="preserve">שומה              </v>
          </cell>
          <cell r="G1320" t="str">
            <v xml:space="preserve"> </v>
          </cell>
        </row>
        <row r="1321">
          <cell r="A1321">
            <v>1622000119</v>
          </cell>
          <cell r="B1321">
            <v>119</v>
          </cell>
          <cell r="C1321">
            <v>622000</v>
          </cell>
          <cell r="D1321">
            <v>1</v>
          </cell>
          <cell r="F1321" t="str">
            <v xml:space="preserve">השכר הקובע-צוברת  </v>
          </cell>
          <cell r="G1321" t="str">
            <v>שכר</v>
          </cell>
          <cell r="I1321">
            <v>0</v>
          </cell>
          <cell r="J1321">
            <v>0</v>
          </cell>
          <cell r="K1321">
            <v>-100.44</v>
          </cell>
          <cell r="L1321">
            <v>0</v>
          </cell>
          <cell r="M1321">
            <v>-182.21</v>
          </cell>
        </row>
        <row r="1322">
          <cell r="A1322">
            <v>1622000130</v>
          </cell>
          <cell r="B1322">
            <v>130</v>
          </cell>
          <cell r="C1322">
            <v>622000</v>
          </cell>
          <cell r="D1322">
            <v>1</v>
          </cell>
          <cell r="F1322" t="str">
            <v xml:space="preserve">שעות נוספות       </v>
          </cell>
          <cell r="G1322" t="str">
            <v>שכר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M1322">
            <v>0</v>
          </cell>
        </row>
        <row r="1323">
          <cell r="A1323">
            <v>1622000350</v>
          </cell>
          <cell r="B1323">
            <v>350</v>
          </cell>
          <cell r="C1323">
            <v>622000</v>
          </cell>
          <cell r="D1323">
            <v>1</v>
          </cell>
          <cell r="F1323" t="str">
            <v xml:space="preserve"> ליסינג 661-36-602</v>
          </cell>
          <cell r="G1323" t="str">
            <v>שכר</v>
          </cell>
          <cell r="H1323">
            <v>-1</v>
          </cell>
          <cell r="I1323">
            <v>0</v>
          </cell>
          <cell r="J1323">
            <v>41000</v>
          </cell>
          <cell r="K1323">
            <v>0</v>
          </cell>
          <cell r="L1323">
            <v>41000</v>
          </cell>
          <cell r="M1323">
            <v>29273.15</v>
          </cell>
        </row>
        <row r="1324">
          <cell r="A1324">
            <v>1622000351</v>
          </cell>
          <cell r="B1324">
            <v>351</v>
          </cell>
          <cell r="C1324">
            <v>622000</v>
          </cell>
          <cell r="D1324">
            <v>1</v>
          </cell>
          <cell r="F1324" t="str">
            <v>הוצאות 661-36-602</v>
          </cell>
          <cell r="G1324" t="str">
            <v>שכר</v>
          </cell>
          <cell r="H1324">
            <v>-1</v>
          </cell>
          <cell r="I1324">
            <v>0</v>
          </cell>
          <cell r="J1324">
            <v>18400</v>
          </cell>
          <cell r="K1324">
            <v>0</v>
          </cell>
          <cell r="L1324">
            <v>18400</v>
          </cell>
          <cell r="M1324">
            <v>10660.9</v>
          </cell>
        </row>
        <row r="1325">
          <cell r="A1325">
            <v>1622000492</v>
          </cell>
          <cell r="B1325">
            <v>492</v>
          </cell>
          <cell r="C1325">
            <v>622000</v>
          </cell>
          <cell r="D1325">
            <v>1</v>
          </cell>
          <cell r="F1325" t="str">
            <v xml:space="preserve">השתתפות בעזר 092  </v>
          </cell>
          <cell r="G1325" t="str">
            <v>קשיח</v>
          </cell>
          <cell r="H1325">
            <v>0.10000000000000009</v>
          </cell>
          <cell r="I1325">
            <v>198000</v>
          </cell>
          <cell r="J1325">
            <v>180000</v>
          </cell>
          <cell r="K1325">
            <v>71123</v>
          </cell>
          <cell r="L1325">
            <v>152000</v>
          </cell>
          <cell r="M1325">
            <v>166436</v>
          </cell>
        </row>
        <row r="1326">
          <cell r="A1326">
            <v>1622000563</v>
          </cell>
          <cell r="B1326">
            <v>563</v>
          </cell>
          <cell r="C1326">
            <v>622000</v>
          </cell>
          <cell r="D1326">
            <v>1</v>
          </cell>
          <cell r="F1326" t="str">
            <v xml:space="preserve">הדפסת פרטיכלים    </v>
          </cell>
          <cell r="G1326" t="str">
            <v>גמיש</v>
          </cell>
          <cell r="H1326">
            <v>-1</v>
          </cell>
          <cell r="I1326">
            <v>0</v>
          </cell>
          <cell r="J1326">
            <v>25200</v>
          </cell>
          <cell r="K1326">
            <v>590</v>
          </cell>
          <cell r="L1326">
            <v>28800</v>
          </cell>
          <cell r="M1326">
            <v>897</v>
          </cell>
        </row>
        <row r="1327">
          <cell r="A1327">
            <v>1622000571</v>
          </cell>
          <cell r="B1327">
            <v>571</v>
          </cell>
          <cell r="C1327">
            <v>622000</v>
          </cell>
          <cell r="D1327">
            <v>1</v>
          </cell>
          <cell r="F1327" t="str">
            <v xml:space="preserve">מיכון וענ"א       </v>
          </cell>
          <cell r="G1327" t="str">
            <v>קשיח</v>
          </cell>
          <cell r="H1327">
            <v>0</v>
          </cell>
          <cell r="I1327">
            <v>421500</v>
          </cell>
          <cell r="J1327">
            <v>421500</v>
          </cell>
          <cell r="K1327">
            <v>210750</v>
          </cell>
          <cell r="L1327">
            <v>389500</v>
          </cell>
          <cell r="M1327">
            <v>389500</v>
          </cell>
        </row>
        <row r="1328">
          <cell r="A1328">
            <v>1622000580</v>
          </cell>
          <cell r="B1328">
            <v>580</v>
          </cell>
          <cell r="C1328">
            <v>622000</v>
          </cell>
          <cell r="D1328">
            <v>1</v>
          </cell>
          <cell r="F1328" t="str">
            <v xml:space="preserve">סקרים             </v>
          </cell>
          <cell r="G1328" t="str">
            <v>קשיח</v>
          </cell>
          <cell r="H1328">
            <v>0.44032921810699599</v>
          </cell>
          <cell r="I1328">
            <v>700000</v>
          </cell>
          <cell r="J1328">
            <v>486000</v>
          </cell>
          <cell r="K1328">
            <v>288818</v>
          </cell>
          <cell r="L1328">
            <v>440000</v>
          </cell>
          <cell r="M1328">
            <v>729254</v>
          </cell>
        </row>
        <row r="1329">
          <cell r="A1329">
            <v>1622000581</v>
          </cell>
          <cell r="B1329">
            <v>581</v>
          </cell>
          <cell r="C1329">
            <v>622000</v>
          </cell>
          <cell r="D1329">
            <v>1</v>
          </cell>
          <cell r="F1329" t="str">
            <v>הוצ' משפטיות - ועדת ערר</v>
          </cell>
          <cell r="G1329" t="str">
            <v>גמיש</v>
          </cell>
          <cell r="H1329">
            <v>0.11111111111111116</v>
          </cell>
          <cell r="I1329">
            <v>1100000</v>
          </cell>
          <cell r="J1329">
            <v>990000</v>
          </cell>
          <cell r="K1329">
            <v>407563.4</v>
          </cell>
          <cell r="L1329">
            <v>1100000</v>
          </cell>
          <cell r="M1329">
            <v>915831.73</v>
          </cell>
        </row>
        <row r="1330">
          <cell r="A1330">
            <v>1622000780</v>
          </cell>
          <cell r="B1330">
            <v>780</v>
          </cell>
          <cell r="C1330">
            <v>622000</v>
          </cell>
          <cell r="D1330">
            <v>1</v>
          </cell>
          <cell r="F1330" t="str">
            <v>הוצ' חברי ועדת ערר</v>
          </cell>
          <cell r="G1330" t="str">
            <v>גמיש</v>
          </cell>
          <cell r="H1330">
            <v>0.55555555555555558</v>
          </cell>
          <cell r="I1330">
            <v>280000</v>
          </cell>
          <cell r="J1330">
            <v>180000</v>
          </cell>
          <cell r="K1330">
            <v>167909.8</v>
          </cell>
          <cell r="L1330">
            <v>243000</v>
          </cell>
          <cell r="M1330">
            <v>175783.35</v>
          </cell>
        </row>
        <row r="1331">
          <cell r="A1331">
            <v>1622000794</v>
          </cell>
          <cell r="B1331">
            <v>794</v>
          </cell>
          <cell r="C1331">
            <v>622000</v>
          </cell>
          <cell r="D1331">
            <v>1</v>
          </cell>
          <cell r="F1331" t="str">
            <v xml:space="preserve">השתתפות בעזר 094  </v>
          </cell>
          <cell r="G1331" t="str">
            <v>קשיח</v>
          </cell>
          <cell r="H1331">
            <v>0</v>
          </cell>
          <cell r="I1331">
            <v>8300</v>
          </cell>
          <cell r="J1331">
            <v>8300</v>
          </cell>
          <cell r="K1331">
            <v>3921</v>
          </cell>
          <cell r="L1331">
            <v>8300</v>
          </cell>
          <cell r="M1331">
            <v>9899</v>
          </cell>
        </row>
        <row r="1332">
          <cell r="A1332">
            <v>1622000961</v>
          </cell>
          <cell r="B1332">
            <v>961</v>
          </cell>
          <cell r="C1332">
            <v>622000</v>
          </cell>
          <cell r="D1332">
            <v>1</v>
          </cell>
          <cell r="F1332" t="str">
            <v>רז' פעולות ורכישות</v>
          </cell>
          <cell r="G1332" t="str">
            <v>גמיש</v>
          </cell>
          <cell r="H1332">
            <v>0</v>
          </cell>
          <cell r="I1332">
            <v>3870</v>
          </cell>
          <cell r="J1332">
            <v>3870</v>
          </cell>
          <cell r="K1332">
            <v>2088</v>
          </cell>
          <cell r="L1332">
            <v>4300</v>
          </cell>
          <cell r="M1332">
            <v>180.9</v>
          </cell>
        </row>
        <row r="1333">
          <cell r="A1333" t="e">
            <v>#VALUE!</v>
          </cell>
          <cell r="B1333" t="str">
            <v>622000  סך הכל</v>
          </cell>
          <cell r="F1333" t="str">
            <v xml:space="preserve">שומה              </v>
          </cell>
          <cell r="H1333">
            <v>0.15180926571718611</v>
          </cell>
          <cell r="I1333">
            <v>2711670</v>
          </cell>
          <cell r="J1333">
            <v>2354270</v>
          </cell>
          <cell r="K1333">
            <v>1152662.76</v>
          </cell>
          <cell r="L1333">
            <v>2425300</v>
          </cell>
          <cell r="M1333">
            <v>2427533.8199999998</v>
          </cell>
        </row>
        <row r="1334">
          <cell r="A1334">
            <v>16231000</v>
          </cell>
          <cell r="B1334">
            <v>0</v>
          </cell>
          <cell r="C1334">
            <v>623100</v>
          </cell>
          <cell r="D1334">
            <v>1</v>
          </cell>
          <cell r="F1334" t="str">
            <v xml:space="preserve">אגף ההכנסות     </v>
          </cell>
          <cell r="G1334" t="str">
            <v xml:space="preserve"> </v>
          </cell>
          <cell r="L1334">
            <v>0</v>
          </cell>
        </row>
        <row r="1335">
          <cell r="A1335">
            <v>1623100110</v>
          </cell>
          <cell r="B1335">
            <v>110</v>
          </cell>
          <cell r="C1335">
            <v>623100</v>
          </cell>
          <cell r="D1335">
            <v>1</v>
          </cell>
          <cell r="F1335" t="str">
            <v>השכר הקובע-תקציבית</v>
          </cell>
          <cell r="G1335" t="str">
            <v>שכר</v>
          </cell>
          <cell r="H1335">
            <v>4.8965684734223469E-2</v>
          </cell>
          <cell r="I1335">
            <v>400599.99499999994</v>
          </cell>
          <cell r="J1335">
            <v>381900</v>
          </cell>
          <cell r="K1335">
            <v>207042.48</v>
          </cell>
          <cell r="L1335">
            <v>433200</v>
          </cell>
          <cell r="M1335">
            <v>466308.62</v>
          </cell>
        </row>
        <row r="1336">
          <cell r="A1336">
            <v>1623100119</v>
          </cell>
          <cell r="B1336">
            <v>119</v>
          </cell>
          <cell r="C1336">
            <v>623100</v>
          </cell>
          <cell r="D1336">
            <v>1</v>
          </cell>
          <cell r="F1336" t="str">
            <v xml:space="preserve">השכר הקובע-צוברת  </v>
          </cell>
          <cell r="G1336" t="str">
            <v>שכר</v>
          </cell>
          <cell r="H1336">
            <v>0.20132569779501286</v>
          </cell>
          <cell r="I1336">
            <v>10656720</v>
          </cell>
          <cell r="J1336">
            <v>8870800</v>
          </cell>
          <cell r="K1336">
            <v>5725464.3300000001</v>
          </cell>
          <cell r="L1336">
            <v>8485100</v>
          </cell>
          <cell r="M1336">
            <v>8890094.0199999996</v>
          </cell>
        </row>
        <row r="1337">
          <cell r="A1337">
            <v>1623100122</v>
          </cell>
          <cell r="B1337">
            <v>122</v>
          </cell>
          <cell r="C1337">
            <v>623100</v>
          </cell>
          <cell r="D1337">
            <v>1</v>
          </cell>
          <cell r="F1337" t="str">
            <v xml:space="preserve">ביגוד             </v>
          </cell>
          <cell r="G1337" t="str">
            <v>שכר</v>
          </cell>
          <cell r="H1337">
            <v>8.0930237434474472E-2</v>
          </cell>
          <cell r="I1337">
            <v>139440.00062904719</v>
          </cell>
          <cell r="J1337">
            <v>129000</v>
          </cell>
          <cell r="K1337">
            <v>130373.92</v>
          </cell>
          <cell r="L1337">
            <v>119000</v>
          </cell>
          <cell r="M1337">
            <v>133451.91</v>
          </cell>
        </row>
        <row r="1338">
          <cell r="A1338">
            <v>1623100126</v>
          </cell>
          <cell r="B1338">
            <v>126</v>
          </cell>
          <cell r="C1338">
            <v>623100</v>
          </cell>
          <cell r="D1338">
            <v>1</v>
          </cell>
          <cell r="F1338" t="str">
            <v xml:space="preserve">דמי הבראה         </v>
          </cell>
          <cell r="G1338" t="str">
            <v>שכר</v>
          </cell>
          <cell r="H1338">
            <v>8.0933337434474284E-2</v>
          </cell>
          <cell r="I1338">
            <v>324280.00123034231</v>
          </cell>
          <cell r="J1338">
            <v>300000</v>
          </cell>
          <cell r="K1338">
            <v>303197.78000000003</v>
          </cell>
          <cell r="L1338">
            <v>292000</v>
          </cell>
          <cell r="M1338">
            <v>311287.42</v>
          </cell>
        </row>
        <row r="1339">
          <cell r="A1339">
            <v>1623100130</v>
          </cell>
          <cell r="B1339">
            <v>130</v>
          </cell>
          <cell r="C1339">
            <v>623100</v>
          </cell>
          <cell r="D1339">
            <v>1</v>
          </cell>
          <cell r="F1339" t="str">
            <v xml:space="preserve">שעות נוספות       </v>
          </cell>
          <cell r="G1339" t="str">
            <v>שכר</v>
          </cell>
          <cell r="H1339">
            <v>0</v>
          </cell>
          <cell r="I1339">
            <v>79120</v>
          </cell>
          <cell r="J1339">
            <v>79120</v>
          </cell>
          <cell r="K1339">
            <v>32252.48</v>
          </cell>
          <cell r="L1339">
            <v>92000</v>
          </cell>
          <cell r="M1339">
            <v>37297.24</v>
          </cell>
        </row>
        <row r="1340">
          <cell r="A1340">
            <v>1623100140</v>
          </cell>
          <cell r="B1340">
            <v>140</v>
          </cell>
          <cell r="C1340">
            <v>623100</v>
          </cell>
          <cell r="D1340">
            <v>1</v>
          </cell>
          <cell r="F1340" t="str">
            <v>השתתפות באחזקת רכב</v>
          </cell>
          <cell r="G1340" t="str">
            <v>שכר</v>
          </cell>
          <cell r="H1340">
            <v>0</v>
          </cell>
          <cell r="I1340">
            <v>990800</v>
          </cell>
          <cell r="J1340">
            <v>990800</v>
          </cell>
          <cell r="K1340">
            <v>700686.35</v>
          </cell>
          <cell r="L1340">
            <v>990800</v>
          </cell>
          <cell r="M1340">
            <v>1244503.4099999999</v>
          </cell>
        </row>
        <row r="1341">
          <cell r="A1341">
            <v>1623100253</v>
          </cell>
          <cell r="B1341">
            <v>253</v>
          </cell>
          <cell r="C1341">
            <v>623100</v>
          </cell>
          <cell r="D1341">
            <v>1</v>
          </cell>
          <cell r="F1341" t="str">
            <v xml:space="preserve">עובדים חיצוניים   </v>
          </cell>
          <cell r="G1341" t="str">
            <v>שכר</v>
          </cell>
          <cell r="H1341">
            <v>0.19999999999999996</v>
          </cell>
          <cell r="I1341">
            <v>120000</v>
          </cell>
          <cell r="J1341">
            <v>100000</v>
          </cell>
          <cell r="K1341">
            <v>151046.72</v>
          </cell>
          <cell r="L1341">
            <v>100000</v>
          </cell>
          <cell r="M1341">
            <v>278675.09000000003</v>
          </cell>
        </row>
        <row r="1342">
          <cell r="A1342">
            <v>1623100471</v>
          </cell>
          <cell r="B1342">
            <v>471</v>
          </cell>
          <cell r="C1342">
            <v>623100</v>
          </cell>
          <cell r="D1342">
            <v>1</v>
          </cell>
          <cell r="F1342" t="str">
            <v xml:space="preserve">מכשירי כתיבה      </v>
          </cell>
          <cell r="G1342" t="str">
            <v>גמיש</v>
          </cell>
          <cell r="H1342">
            <v>0</v>
          </cell>
          <cell r="I1342">
            <v>115470</v>
          </cell>
          <cell r="J1342">
            <v>115470</v>
          </cell>
          <cell r="K1342">
            <v>54237.02</v>
          </cell>
          <cell r="L1342">
            <v>128300</v>
          </cell>
          <cell r="M1342">
            <v>88510.28</v>
          </cell>
        </row>
        <row r="1343">
          <cell r="A1343">
            <v>1623100511</v>
          </cell>
          <cell r="B1343">
            <v>511</v>
          </cell>
          <cell r="C1343">
            <v>623100</v>
          </cell>
          <cell r="D1343">
            <v>1</v>
          </cell>
          <cell r="F1343" t="str">
            <v xml:space="preserve">אירוח וכיבוד      </v>
          </cell>
          <cell r="G1343" t="str">
            <v>גמיש</v>
          </cell>
          <cell r="H1343">
            <v>1.1963824289405687</v>
          </cell>
          <cell r="I1343">
            <v>8500</v>
          </cell>
          <cell r="J1343">
            <v>3870</v>
          </cell>
          <cell r="K1343">
            <v>425</v>
          </cell>
          <cell r="L1343">
            <v>4300</v>
          </cell>
          <cell r="M1343">
            <v>3547.67</v>
          </cell>
        </row>
        <row r="1344">
          <cell r="A1344">
            <v>1623100541</v>
          </cell>
          <cell r="B1344">
            <v>541</v>
          </cell>
          <cell r="C1344">
            <v>623100</v>
          </cell>
          <cell r="D1344">
            <v>1</v>
          </cell>
          <cell r="F1344" t="str">
            <v xml:space="preserve">משלוחים           </v>
          </cell>
          <cell r="G1344" t="str">
            <v>קשיח</v>
          </cell>
          <cell r="H1344">
            <v>0</v>
          </cell>
          <cell r="I1344">
            <v>500000</v>
          </cell>
          <cell r="J1344">
            <v>500000</v>
          </cell>
          <cell r="K1344">
            <v>2467</v>
          </cell>
          <cell r="L1344">
            <v>450000</v>
          </cell>
          <cell r="M1344">
            <v>570480</v>
          </cell>
        </row>
        <row r="1345">
          <cell r="A1345">
            <v>1623100562</v>
          </cell>
          <cell r="B1345">
            <v>562</v>
          </cell>
          <cell r="C1345">
            <v>623100</v>
          </cell>
          <cell r="D1345">
            <v>1</v>
          </cell>
          <cell r="F1345" t="str">
            <v xml:space="preserve">הדפסות            </v>
          </cell>
          <cell r="G1345" t="str">
            <v>גמיש</v>
          </cell>
          <cell r="H1345">
            <v>0.7407407407407407</v>
          </cell>
          <cell r="I1345">
            <v>625100</v>
          </cell>
          <cell r="J1345">
            <v>359100</v>
          </cell>
          <cell r="K1345">
            <v>6153.26</v>
          </cell>
          <cell r="L1345">
            <v>399000</v>
          </cell>
          <cell r="M1345">
            <v>190768.36</v>
          </cell>
        </row>
        <row r="1346">
          <cell r="A1346">
            <v>1623100571</v>
          </cell>
          <cell r="B1346">
            <v>571</v>
          </cell>
          <cell r="C1346">
            <v>623100</v>
          </cell>
          <cell r="D1346">
            <v>1</v>
          </cell>
          <cell r="F1346" t="str">
            <v xml:space="preserve">מיכון וענ"א       </v>
          </cell>
          <cell r="G1346" t="str">
            <v>קשיח</v>
          </cell>
          <cell r="H1346">
            <v>0</v>
          </cell>
          <cell r="I1346">
            <v>241000</v>
          </cell>
          <cell r="J1346">
            <v>241000</v>
          </cell>
          <cell r="K1346">
            <v>120500</v>
          </cell>
          <cell r="L1346">
            <v>214800</v>
          </cell>
          <cell r="M1346">
            <v>214800</v>
          </cell>
        </row>
        <row r="1347">
          <cell r="A1347">
            <v>1623100758</v>
          </cell>
          <cell r="B1347">
            <v>758</v>
          </cell>
          <cell r="C1347">
            <v>623100</v>
          </cell>
          <cell r="D1347">
            <v>1</v>
          </cell>
          <cell r="F1347" t="str">
            <v>דמי סליקה לוטרינריה</v>
          </cell>
          <cell r="G1347" t="str">
            <v>גמיש</v>
          </cell>
          <cell r="H1347">
            <v>-1</v>
          </cell>
          <cell r="I1347">
            <v>0</v>
          </cell>
          <cell r="J1347">
            <v>6300</v>
          </cell>
          <cell r="K1347">
            <v>0</v>
          </cell>
          <cell r="L1347">
            <v>6800</v>
          </cell>
          <cell r="M1347">
            <v>0</v>
          </cell>
        </row>
        <row r="1348">
          <cell r="A1348" t="e">
            <v>#VALUE!</v>
          </cell>
          <cell r="B1348" t="str">
            <v>623100  סך הכל</v>
          </cell>
          <cell r="F1348" t="str">
            <v xml:space="preserve">אגף ההכנסות     </v>
          </cell>
          <cell r="H1348">
            <v>0.17583892480305208</v>
          </cell>
          <cell r="I1348">
            <v>14201029.996859388</v>
          </cell>
          <cell r="J1348">
            <v>12077360</v>
          </cell>
          <cell r="K1348">
            <v>7433846.3399999999</v>
          </cell>
          <cell r="L1348">
            <v>11715300</v>
          </cell>
          <cell r="M1348">
            <v>12429724.019999998</v>
          </cell>
        </row>
        <row r="1349">
          <cell r="A1349">
            <v>16232000</v>
          </cell>
          <cell r="B1349">
            <v>0</v>
          </cell>
          <cell r="C1349">
            <v>623200</v>
          </cell>
          <cell r="D1349">
            <v>1</v>
          </cell>
          <cell r="F1349" t="str">
            <v xml:space="preserve">גביה              </v>
          </cell>
          <cell r="G1349" t="str">
            <v xml:space="preserve"> </v>
          </cell>
        </row>
        <row r="1350">
          <cell r="A1350">
            <v>1623200119</v>
          </cell>
          <cell r="B1350">
            <v>119</v>
          </cell>
          <cell r="C1350">
            <v>623200</v>
          </cell>
          <cell r="D1350">
            <v>1</v>
          </cell>
          <cell r="F1350" t="str">
            <v xml:space="preserve">השכר הקובע-צוברת  </v>
          </cell>
          <cell r="G1350" t="str">
            <v>שכר</v>
          </cell>
          <cell r="I1350">
            <v>0</v>
          </cell>
          <cell r="J1350">
            <v>0</v>
          </cell>
          <cell r="K1350">
            <v>78094.929999999993</v>
          </cell>
          <cell r="L1350">
            <v>0</v>
          </cell>
          <cell r="M1350">
            <v>117998.41</v>
          </cell>
        </row>
        <row r="1351">
          <cell r="A1351">
            <v>1623200122</v>
          </cell>
          <cell r="B1351">
            <v>122</v>
          </cell>
          <cell r="C1351">
            <v>623200</v>
          </cell>
          <cell r="D1351">
            <v>1</v>
          </cell>
          <cell r="F1351" t="str">
            <v xml:space="preserve">ביגוד             </v>
          </cell>
          <cell r="G1351" t="str">
            <v>שכר</v>
          </cell>
          <cell r="I1351">
            <v>0</v>
          </cell>
          <cell r="J1351">
            <v>0</v>
          </cell>
          <cell r="K1351">
            <v>1777</v>
          </cell>
          <cell r="L1351">
            <v>0</v>
          </cell>
          <cell r="M1351">
            <v>831.3</v>
          </cell>
        </row>
        <row r="1352">
          <cell r="A1352">
            <v>1623200126</v>
          </cell>
          <cell r="B1352">
            <v>126</v>
          </cell>
          <cell r="C1352">
            <v>623200</v>
          </cell>
          <cell r="D1352">
            <v>1</v>
          </cell>
          <cell r="F1352" t="str">
            <v xml:space="preserve">דמי הבראה         </v>
          </cell>
          <cell r="G1352" t="str">
            <v>שכר</v>
          </cell>
          <cell r="I1352">
            <v>0</v>
          </cell>
          <cell r="J1352">
            <v>0</v>
          </cell>
          <cell r="K1352">
            <v>4242.6000000000004</v>
          </cell>
          <cell r="L1352">
            <v>0</v>
          </cell>
          <cell r="M1352">
            <v>2045.75</v>
          </cell>
        </row>
        <row r="1353">
          <cell r="A1353">
            <v>1623200492</v>
          </cell>
          <cell r="B1353">
            <v>492</v>
          </cell>
          <cell r="C1353">
            <v>623200</v>
          </cell>
          <cell r="D1353">
            <v>1</v>
          </cell>
          <cell r="F1353" t="str">
            <v xml:space="preserve">השתתפות בעזר 092  </v>
          </cell>
          <cell r="G1353" t="str">
            <v>קשיח</v>
          </cell>
          <cell r="H1353">
            <v>3.125E-2</v>
          </cell>
          <cell r="I1353">
            <v>396000</v>
          </cell>
          <cell r="J1353">
            <v>384000</v>
          </cell>
          <cell r="K1353">
            <v>151729</v>
          </cell>
          <cell r="L1353">
            <v>325500</v>
          </cell>
          <cell r="M1353">
            <v>356590</v>
          </cell>
        </row>
        <row r="1354">
          <cell r="A1354">
            <v>1623200542</v>
          </cell>
          <cell r="B1354">
            <v>542</v>
          </cell>
          <cell r="C1354">
            <v>623200</v>
          </cell>
          <cell r="D1354">
            <v>1</v>
          </cell>
          <cell r="F1354" t="str">
            <v xml:space="preserve">מענה קולי         </v>
          </cell>
          <cell r="G1354" t="str">
            <v>קשיח</v>
          </cell>
          <cell r="H1354">
            <v>0</v>
          </cell>
          <cell r="I1354">
            <v>2400000</v>
          </cell>
          <cell r="J1354">
            <v>2400000</v>
          </cell>
          <cell r="K1354">
            <v>1171259.4099999999</v>
          </cell>
          <cell r="L1354">
            <v>2600000</v>
          </cell>
          <cell r="M1354">
            <v>2186971.39</v>
          </cell>
        </row>
        <row r="1355">
          <cell r="A1355">
            <v>1623200544</v>
          </cell>
          <cell r="B1355">
            <v>544</v>
          </cell>
          <cell r="C1355">
            <v>623200</v>
          </cell>
          <cell r="D1355">
            <v>1</v>
          </cell>
          <cell r="F1355" t="str">
            <v xml:space="preserve">הוצאות דאר        </v>
          </cell>
          <cell r="G1355" t="str">
            <v>קשיח</v>
          </cell>
          <cell r="H1355">
            <v>0</v>
          </cell>
          <cell r="I1355">
            <v>150000</v>
          </cell>
          <cell r="J1355">
            <v>150000</v>
          </cell>
          <cell r="K1355">
            <v>60292.31</v>
          </cell>
          <cell r="L1355">
            <v>367700</v>
          </cell>
          <cell r="M1355">
            <v>322492.68</v>
          </cell>
        </row>
        <row r="1356">
          <cell r="A1356">
            <v>1623200550</v>
          </cell>
          <cell r="B1356">
            <v>550</v>
          </cell>
          <cell r="C1356">
            <v>623200</v>
          </cell>
          <cell r="D1356">
            <v>1</v>
          </cell>
          <cell r="F1356" t="str">
            <v xml:space="preserve">פירסומים          </v>
          </cell>
          <cell r="G1356" t="str">
            <v>גמיש</v>
          </cell>
          <cell r="H1356">
            <v>0</v>
          </cell>
          <cell r="I1356">
            <v>4500</v>
          </cell>
          <cell r="J1356">
            <v>4500</v>
          </cell>
          <cell r="K1356">
            <v>1246</v>
          </cell>
          <cell r="L1356">
            <v>25700</v>
          </cell>
          <cell r="M1356">
            <v>6063</v>
          </cell>
        </row>
        <row r="1357">
          <cell r="A1357">
            <v>1623200571</v>
          </cell>
          <cell r="B1357">
            <v>571</v>
          </cell>
          <cell r="C1357">
            <v>623200</v>
          </cell>
          <cell r="D1357">
            <v>1</v>
          </cell>
          <cell r="F1357" t="str">
            <v xml:space="preserve">מיכון וענ"א       </v>
          </cell>
          <cell r="G1357" t="str">
            <v>קשיח</v>
          </cell>
          <cell r="H1357">
            <v>0</v>
          </cell>
          <cell r="I1357">
            <v>2276000</v>
          </cell>
          <cell r="J1357">
            <v>2276000</v>
          </cell>
          <cell r="K1357">
            <v>1138000</v>
          </cell>
          <cell r="L1357">
            <v>1555900</v>
          </cell>
          <cell r="M1357">
            <v>2358900</v>
          </cell>
        </row>
        <row r="1358">
          <cell r="A1358">
            <v>1623200573</v>
          </cell>
          <cell r="B1358">
            <v>573</v>
          </cell>
          <cell r="C1358">
            <v>623200</v>
          </cell>
          <cell r="D1358">
            <v>1</v>
          </cell>
          <cell r="F1358" t="str">
            <v>מיחשוב גבייה</v>
          </cell>
          <cell r="G1358" t="str">
            <v>גמיש</v>
          </cell>
          <cell r="H1358">
            <v>0.11111111111111116</v>
          </cell>
          <cell r="I1358">
            <v>1207500</v>
          </cell>
          <cell r="J1358">
            <v>1086750</v>
          </cell>
          <cell r="K1358">
            <v>0</v>
          </cell>
          <cell r="L1358">
            <v>1207500</v>
          </cell>
          <cell r="M1358">
            <v>0</v>
          </cell>
        </row>
        <row r="1359">
          <cell r="A1359">
            <v>1623200581</v>
          </cell>
          <cell r="B1359">
            <v>581</v>
          </cell>
          <cell r="C1359">
            <v>623200</v>
          </cell>
          <cell r="D1359">
            <v>1</v>
          </cell>
          <cell r="F1359" t="str">
            <v xml:space="preserve">הוצאות משפטיות    </v>
          </cell>
          <cell r="G1359" t="str">
            <v>גמיש</v>
          </cell>
          <cell r="H1359">
            <v>0</v>
          </cell>
          <cell r="I1359">
            <v>1080000</v>
          </cell>
          <cell r="J1359">
            <v>1080000</v>
          </cell>
          <cell r="K1359">
            <v>380708.73</v>
          </cell>
          <cell r="L1359">
            <v>1300000</v>
          </cell>
          <cell r="M1359">
            <v>924236.7</v>
          </cell>
        </row>
        <row r="1360">
          <cell r="A1360">
            <v>1623200582</v>
          </cell>
          <cell r="B1360">
            <v>582</v>
          </cell>
          <cell r="C1360">
            <v>623200</v>
          </cell>
          <cell r="D1360">
            <v>1</v>
          </cell>
          <cell r="F1360" t="str">
            <v xml:space="preserve">אגרות משפט        </v>
          </cell>
          <cell r="G1360" t="str">
            <v>קשיח</v>
          </cell>
          <cell r="H1360">
            <v>6.6666666666666652E-2</v>
          </cell>
          <cell r="I1360">
            <v>320000</v>
          </cell>
          <cell r="J1360">
            <v>300000</v>
          </cell>
          <cell r="K1360">
            <v>139421.43</v>
          </cell>
          <cell r="L1360">
            <v>300000</v>
          </cell>
          <cell r="M1360">
            <v>315394.11</v>
          </cell>
        </row>
        <row r="1361">
          <cell r="A1361">
            <v>1623200756</v>
          </cell>
          <cell r="B1361">
            <v>756</v>
          </cell>
          <cell r="C1361">
            <v>623200</v>
          </cell>
          <cell r="D1361">
            <v>1</v>
          </cell>
          <cell r="F1361" t="str">
            <v xml:space="preserve">שמירה בקבלנות     </v>
          </cell>
          <cell r="G1361" t="str">
            <v>קשיח</v>
          </cell>
          <cell r="H1361">
            <v>-0.1333333333333333</v>
          </cell>
          <cell r="I1361">
            <v>130000</v>
          </cell>
          <cell r="J1361">
            <v>150000</v>
          </cell>
          <cell r="K1361">
            <v>51942.37</v>
          </cell>
          <cell r="L1361">
            <v>130000</v>
          </cell>
          <cell r="M1361">
            <v>116081.46</v>
          </cell>
        </row>
        <row r="1362">
          <cell r="A1362">
            <v>1623200757</v>
          </cell>
          <cell r="B1362">
            <v>757</v>
          </cell>
          <cell r="C1362">
            <v>623200</v>
          </cell>
          <cell r="D1362">
            <v>1</v>
          </cell>
          <cell r="F1362" t="str">
            <v xml:space="preserve">אכיפת גביה        </v>
          </cell>
          <cell r="G1362" t="str">
            <v>קשיח</v>
          </cell>
          <cell r="H1362">
            <v>0</v>
          </cell>
          <cell r="I1362">
            <v>900000</v>
          </cell>
          <cell r="J1362">
            <v>900000</v>
          </cell>
          <cell r="K1362">
            <v>439567.57</v>
          </cell>
          <cell r="L1362">
            <v>1150000</v>
          </cell>
          <cell r="M1362">
            <v>1095413.57</v>
          </cell>
        </row>
        <row r="1363">
          <cell r="A1363">
            <v>1623200758</v>
          </cell>
          <cell r="B1363">
            <v>758</v>
          </cell>
          <cell r="C1363">
            <v>623200</v>
          </cell>
          <cell r="D1363">
            <v>1</v>
          </cell>
          <cell r="F1363" t="str">
            <v>אכיפת גביה - חניה</v>
          </cell>
          <cell r="G1363" t="str">
            <v>קשיח</v>
          </cell>
          <cell r="H1363">
            <v>0</v>
          </cell>
          <cell r="I1363">
            <v>1350000</v>
          </cell>
          <cell r="J1363">
            <v>1350000</v>
          </cell>
          <cell r="K1363">
            <v>45881.11</v>
          </cell>
          <cell r="L1363">
            <v>2000000</v>
          </cell>
          <cell r="M1363">
            <v>195092.77</v>
          </cell>
        </row>
        <row r="1364">
          <cell r="A1364">
            <v>1623200759</v>
          </cell>
          <cell r="B1364">
            <v>759</v>
          </cell>
          <cell r="C1364">
            <v>623200</v>
          </cell>
          <cell r="D1364">
            <v>1</v>
          </cell>
          <cell r="F1364" t="str">
            <v>אכיפת קנסות ברירת משפט</v>
          </cell>
          <cell r="G1364" t="str">
            <v>גמיש</v>
          </cell>
          <cell r="H1364">
            <v>0</v>
          </cell>
          <cell r="I1364">
            <v>9000</v>
          </cell>
          <cell r="J1364">
            <v>9000</v>
          </cell>
          <cell r="K1364">
            <v>706.68</v>
          </cell>
          <cell r="L1364">
            <v>10000</v>
          </cell>
          <cell r="M1364">
            <v>5752.77</v>
          </cell>
        </row>
        <row r="1365">
          <cell r="A1365">
            <v>1623200794</v>
          </cell>
          <cell r="B1365">
            <v>794</v>
          </cell>
          <cell r="C1365">
            <v>623200</v>
          </cell>
          <cell r="D1365">
            <v>1</v>
          </cell>
          <cell r="F1365" t="str">
            <v xml:space="preserve">השתתפות בעזר 094  </v>
          </cell>
          <cell r="G1365" t="str">
            <v>קשיח</v>
          </cell>
          <cell r="H1365">
            <v>0</v>
          </cell>
          <cell r="I1365">
            <v>8400</v>
          </cell>
          <cell r="J1365">
            <v>8400</v>
          </cell>
          <cell r="K1365">
            <v>3969</v>
          </cell>
          <cell r="L1365">
            <v>8400</v>
          </cell>
          <cell r="M1365">
            <v>10019</v>
          </cell>
        </row>
        <row r="1366">
          <cell r="A1366" t="e">
            <v>#VALUE!</v>
          </cell>
          <cell r="B1366" t="str">
            <v>623200  סך הכל</v>
          </cell>
          <cell r="F1366" t="str">
            <v xml:space="preserve">גביה              </v>
          </cell>
          <cell r="H1366">
            <v>1.3145321404346211E-2</v>
          </cell>
          <cell r="I1366">
            <v>10231400</v>
          </cell>
          <cell r="J1366">
            <v>10098650</v>
          </cell>
          <cell r="K1366">
            <v>3668838.14</v>
          </cell>
          <cell r="L1366">
            <v>10980700</v>
          </cell>
          <cell r="M1366">
            <v>8013882.9100000001</v>
          </cell>
        </row>
        <row r="1367">
          <cell r="A1367">
            <v>16237000</v>
          </cell>
          <cell r="B1367">
            <v>0</v>
          </cell>
          <cell r="C1367">
            <v>623700</v>
          </cell>
          <cell r="D1367">
            <v>1</v>
          </cell>
          <cell r="F1367" t="str">
            <v xml:space="preserve">הקופה             </v>
          </cell>
          <cell r="G1367" t="str">
            <v xml:space="preserve"> </v>
          </cell>
        </row>
        <row r="1368">
          <cell r="A1368">
            <v>1623700119</v>
          </cell>
          <cell r="B1368">
            <v>119</v>
          </cell>
          <cell r="C1368">
            <v>623700</v>
          </cell>
          <cell r="D1368">
            <v>1</v>
          </cell>
          <cell r="F1368" t="str">
            <v xml:space="preserve">השכר הקובע-צוברת  </v>
          </cell>
          <cell r="G1368" t="str">
            <v>שכר</v>
          </cell>
          <cell r="I1368">
            <v>0</v>
          </cell>
          <cell r="J1368">
            <v>0</v>
          </cell>
          <cell r="K1368">
            <v>-71.040000000000006</v>
          </cell>
          <cell r="L1368">
            <v>0</v>
          </cell>
          <cell r="M1368">
            <v>0</v>
          </cell>
        </row>
        <row r="1369">
          <cell r="A1369">
            <v>1623700437</v>
          </cell>
          <cell r="B1369">
            <v>437</v>
          </cell>
          <cell r="C1369">
            <v>623700</v>
          </cell>
          <cell r="D1369">
            <v>1</v>
          </cell>
          <cell r="F1369" t="str">
            <v xml:space="preserve">אחזקת אזעקה       </v>
          </cell>
          <cell r="G1369" t="str">
            <v>קשיח</v>
          </cell>
          <cell r="H1369">
            <v>0</v>
          </cell>
          <cell r="I1369">
            <v>1300</v>
          </cell>
          <cell r="J1369">
            <v>1300</v>
          </cell>
          <cell r="K1369">
            <v>615.96</v>
          </cell>
          <cell r="L1369">
            <v>1300</v>
          </cell>
          <cell r="M1369">
            <v>861.17</v>
          </cell>
        </row>
        <row r="1370">
          <cell r="A1370">
            <v>1623700441</v>
          </cell>
          <cell r="B1370">
            <v>441</v>
          </cell>
          <cell r="C1370">
            <v>623700</v>
          </cell>
          <cell r="D1370">
            <v>1</v>
          </cell>
          <cell r="F1370" t="str">
            <v xml:space="preserve">ביטוח כספים       </v>
          </cell>
          <cell r="G1370" t="str">
            <v>קשיח</v>
          </cell>
          <cell r="H1370">
            <v>-0.45121951219512191</v>
          </cell>
          <cell r="I1370">
            <v>4500</v>
          </cell>
          <cell r="J1370">
            <v>8200</v>
          </cell>
          <cell r="K1370">
            <v>0</v>
          </cell>
          <cell r="L1370">
            <v>8200</v>
          </cell>
          <cell r="M1370">
            <v>0</v>
          </cell>
        </row>
        <row r="1371">
          <cell r="A1371">
            <v>1623700571</v>
          </cell>
          <cell r="B1371">
            <v>571</v>
          </cell>
          <cell r="C1371">
            <v>623700</v>
          </cell>
          <cell r="D1371">
            <v>1</v>
          </cell>
          <cell r="F1371" t="str">
            <v xml:space="preserve">מיכון וענ"א       </v>
          </cell>
          <cell r="G1371" t="str">
            <v>קשיח</v>
          </cell>
          <cell r="H1371">
            <v>0</v>
          </cell>
          <cell r="I1371">
            <v>76100</v>
          </cell>
          <cell r="J1371">
            <v>76100</v>
          </cell>
          <cell r="K1371">
            <v>38050</v>
          </cell>
          <cell r="L1371">
            <v>63100</v>
          </cell>
          <cell r="M1371">
            <v>63100</v>
          </cell>
        </row>
        <row r="1372">
          <cell r="A1372" t="e">
            <v>#VALUE!</v>
          </cell>
          <cell r="B1372" t="str">
            <v>623700  סך הכל</v>
          </cell>
          <cell r="F1372" t="str">
            <v xml:space="preserve">הקופה             </v>
          </cell>
          <cell r="H1372">
            <v>-4.3224299065420579E-2</v>
          </cell>
          <cell r="I1372">
            <v>81900</v>
          </cell>
          <cell r="J1372">
            <v>85600</v>
          </cell>
          <cell r="K1372">
            <v>38594.92</v>
          </cell>
          <cell r="L1372">
            <v>72600</v>
          </cell>
          <cell r="M1372">
            <v>63961.17</v>
          </cell>
        </row>
        <row r="1373">
          <cell r="A1373">
            <v>16300000</v>
          </cell>
          <cell r="B1373">
            <v>0</v>
          </cell>
          <cell r="C1373">
            <v>630000</v>
          </cell>
          <cell r="D1373">
            <v>1</v>
          </cell>
          <cell r="F1373" t="str">
            <v xml:space="preserve">הוצאות מימון      </v>
          </cell>
          <cell r="G1373" t="str">
            <v xml:space="preserve"> </v>
          </cell>
          <cell r="I1373">
            <v>0</v>
          </cell>
        </row>
        <row r="1374">
          <cell r="A1374">
            <v>1631000610</v>
          </cell>
          <cell r="B1374">
            <v>610</v>
          </cell>
          <cell r="C1374">
            <v>631000</v>
          </cell>
          <cell r="D1374">
            <v>1</v>
          </cell>
          <cell r="F1374" t="str">
            <v xml:space="preserve">עמלות תשלומי דלפק </v>
          </cell>
          <cell r="G1374" t="str">
            <v>קשיח</v>
          </cell>
          <cell r="H1374">
            <v>0</v>
          </cell>
          <cell r="I1374">
            <v>100000</v>
          </cell>
          <cell r="J1374">
            <v>100000</v>
          </cell>
          <cell r="K1374">
            <v>58264.639999999999</v>
          </cell>
          <cell r="L1374">
            <v>100000</v>
          </cell>
          <cell r="M1374">
            <v>93685.55</v>
          </cell>
        </row>
        <row r="1375">
          <cell r="A1375">
            <v>1631000611</v>
          </cell>
          <cell r="B1375">
            <v>611</v>
          </cell>
          <cell r="C1375">
            <v>631000</v>
          </cell>
          <cell r="D1375">
            <v>1</v>
          </cell>
          <cell r="F1375" t="str">
            <v>עמלות כרטיסי אשראי</v>
          </cell>
          <cell r="G1375" t="str">
            <v>קשיח</v>
          </cell>
          <cell r="H1375">
            <v>1.5625E-2</v>
          </cell>
          <cell r="I1375">
            <v>2600000</v>
          </cell>
          <cell r="J1375">
            <v>2560000</v>
          </cell>
          <cell r="K1375">
            <v>1627042.99</v>
          </cell>
          <cell r="L1375">
            <v>2500000</v>
          </cell>
          <cell r="M1375">
            <v>2730682.61</v>
          </cell>
        </row>
        <row r="1376">
          <cell r="A1376">
            <v>1631000612</v>
          </cell>
          <cell r="B1376">
            <v>612</v>
          </cell>
          <cell r="C1376">
            <v>631000</v>
          </cell>
          <cell r="D1376">
            <v>1</v>
          </cell>
          <cell r="F1376" t="str">
            <v xml:space="preserve">עמלת תשלום חוזרים </v>
          </cell>
          <cell r="G1376" t="str">
            <v>קשיח</v>
          </cell>
          <cell r="H1376">
            <v>0</v>
          </cell>
          <cell r="I1376">
            <v>6000</v>
          </cell>
          <cell r="J1376">
            <v>6000</v>
          </cell>
          <cell r="K1376">
            <v>1044.29</v>
          </cell>
          <cell r="L1376">
            <v>9000</v>
          </cell>
          <cell r="M1376">
            <v>4497.78</v>
          </cell>
        </row>
        <row r="1377">
          <cell r="A1377">
            <v>1631000613</v>
          </cell>
          <cell r="B1377">
            <v>613</v>
          </cell>
          <cell r="C1377">
            <v>631000</v>
          </cell>
          <cell r="D1377">
            <v>1</v>
          </cell>
          <cell r="F1377" t="str">
            <v xml:space="preserve">עמלות הוראות קבע  </v>
          </cell>
          <cell r="G1377" t="str">
            <v>קשיח</v>
          </cell>
          <cell r="H1377">
            <v>-0.5</v>
          </cell>
          <cell r="I1377">
            <v>10000</v>
          </cell>
          <cell r="J1377">
            <v>20000</v>
          </cell>
          <cell r="K1377">
            <v>4428.6499999999996</v>
          </cell>
          <cell r="L1377">
            <v>45000</v>
          </cell>
          <cell r="M1377">
            <v>9304.5499999999993</v>
          </cell>
        </row>
        <row r="1378">
          <cell r="A1378">
            <v>1631000614</v>
          </cell>
          <cell r="B1378">
            <v>614</v>
          </cell>
          <cell r="C1378">
            <v>631000</v>
          </cell>
          <cell r="D1378">
            <v>1</v>
          </cell>
          <cell r="F1378" t="str">
            <v>עמלות שקים מעותדים</v>
          </cell>
          <cell r="G1378" t="str">
            <v>קשיח</v>
          </cell>
          <cell r="I1378">
            <v>0</v>
          </cell>
          <cell r="J1378">
            <v>0</v>
          </cell>
          <cell r="K1378">
            <v>0</v>
          </cell>
          <cell r="L1378">
            <v>0</v>
          </cell>
          <cell r="M1378">
            <v>0</v>
          </cell>
        </row>
        <row r="1379">
          <cell r="A1379">
            <v>1631000616</v>
          </cell>
          <cell r="B1379">
            <v>616</v>
          </cell>
          <cell r="C1379">
            <v>631000</v>
          </cell>
          <cell r="D1379">
            <v>1</v>
          </cell>
          <cell r="F1379" t="str">
            <v xml:space="preserve">דמי ניהול חשבון   </v>
          </cell>
          <cell r="G1379" t="str">
            <v>קשיח</v>
          </cell>
          <cell r="H1379">
            <v>0</v>
          </cell>
          <cell r="I1379">
            <v>7000</v>
          </cell>
          <cell r="J1379">
            <v>7000</v>
          </cell>
          <cell r="K1379">
            <v>3376.8</v>
          </cell>
          <cell r="L1379">
            <v>7000</v>
          </cell>
          <cell r="M1379">
            <v>5544.06</v>
          </cell>
        </row>
        <row r="1380">
          <cell r="A1380">
            <v>1631000617</v>
          </cell>
          <cell r="B1380">
            <v>617</v>
          </cell>
          <cell r="C1380">
            <v>631000</v>
          </cell>
          <cell r="D1380">
            <v>1</v>
          </cell>
          <cell r="F1380" t="str">
            <v xml:space="preserve">העברות בין בנקים  </v>
          </cell>
          <cell r="G1380" t="str">
            <v>קשיח</v>
          </cell>
          <cell r="H1380">
            <v>0</v>
          </cell>
          <cell r="I1380">
            <v>3000</v>
          </cell>
          <cell r="J1380">
            <v>3000</v>
          </cell>
          <cell r="K1380">
            <v>778.81</v>
          </cell>
          <cell r="L1380">
            <v>8000</v>
          </cell>
          <cell r="M1380">
            <v>1589.73</v>
          </cell>
        </row>
        <row r="1381">
          <cell r="A1381">
            <v>1631000619</v>
          </cell>
          <cell r="B1381">
            <v>619</v>
          </cell>
          <cell r="C1381">
            <v>631000</v>
          </cell>
          <cell r="D1381">
            <v>1</v>
          </cell>
          <cell r="F1381" t="str">
            <v>עמלות בנק דואר ואחרים</v>
          </cell>
          <cell r="G1381" t="str">
            <v>קשיח</v>
          </cell>
          <cell r="H1381">
            <v>-8.333333333333337E-2</v>
          </cell>
          <cell r="I1381">
            <v>550000</v>
          </cell>
          <cell r="J1381">
            <v>600000</v>
          </cell>
          <cell r="K1381">
            <v>261051.5</v>
          </cell>
          <cell r="L1381">
            <v>800000</v>
          </cell>
          <cell r="M1381">
            <v>417628.39</v>
          </cell>
        </row>
        <row r="1382">
          <cell r="A1382">
            <v>1631000694</v>
          </cell>
          <cell r="B1382">
            <v>694</v>
          </cell>
          <cell r="C1382">
            <v>631000</v>
          </cell>
          <cell r="D1382">
            <v>1</v>
          </cell>
          <cell r="F1382" t="str">
            <v>החזר הצמדת פק' פינוי פסולת</v>
          </cell>
          <cell r="G1382" t="str">
            <v>קשיח</v>
          </cell>
          <cell r="H1382">
            <v>0</v>
          </cell>
          <cell r="I1382">
            <v>5000</v>
          </cell>
          <cell r="J1382">
            <v>5000</v>
          </cell>
          <cell r="K1382">
            <v>0</v>
          </cell>
          <cell r="L1382">
            <v>10000</v>
          </cell>
          <cell r="M1382">
            <v>7310</v>
          </cell>
        </row>
        <row r="1383">
          <cell r="A1383" t="e">
            <v>#VALUE!</v>
          </cell>
          <cell r="B1383" t="str">
            <v>631000  סך הכל</v>
          </cell>
          <cell r="F1383" t="str">
            <v>עמלות והוצ' בנקאיות</v>
          </cell>
          <cell r="H1383">
            <v>-6.0587700696758118E-3</v>
          </cell>
          <cell r="I1383">
            <v>3281000</v>
          </cell>
          <cell r="J1383">
            <v>3301000</v>
          </cell>
          <cell r="K1383">
            <v>1955987.68</v>
          </cell>
          <cell r="L1383">
            <v>3479000</v>
          </cell>
          <cell r="M1383">
            <v>3270242.6699999995</v>
          </cell>
        </row>
        <row r="1384">
          <cell r="A1384">
            <v>16320000</v>
          </cell>
          <cell r="B1384">
            <v>0</v>
          </cell>
          <cell r="C1384">
            <v>632000</v>
          </cell>
          <cell r="D1384">
            <v>1</v>
          </cell>
          <cell r="F1384" t="str">
            <v xml:space="preserve">הוצאות מימון      </v>
          </cell>
          <cell r="G1384" t="str">
            <v xml:space="preserve"> </v>
          </cell>
        </row>
        <row r="1385">
          <cell r="A1385">
            <v>1632000620</v>
          </cell>
          <cell r="B1385">
            <v>620</v>
          </cell>
          <cell r="C1385">
            <v>632000</v>
          </cell>
          <cell r="D1385">
            <v>1</v>
          </cell>
          <cell r="F1385" t="str">
            <v>ריבית על משיכת יתר</v>
          </cell>
          <cell r="G1385" t="str">
            <v>קשיח</v>
          </cell>
          <cell r="H1385">
            <v>0</v>
          </cell>
          <cell r="I1385">
            <v>2000</v>
          </cell>
          <cell r="J1385">
            <v>2000</v>
          </cell>
          <cell r="K1385">
            <v>0</v>
          </cell>
          <cell r="L1385">
            <v>2000</v>
          </cell>
          <cell r="M1385">
            <v>43.83</v>
          </cell>
        </row>
        <row r="1386">
          <cell r="A1386">
            <v>1632000621</v>
          </cell>
          <cell r="B1386">
            <v>621</v>
          </cell>
          <cell r="C1386">
            <v>632000</v>
          </cell>
          <cell r="D1386">
            <v>1</v>
          </cell>
          <cell r="F1386" t="str">
            <v>שיערוכים</v>
          </cell>
          <cell r="G1386" t="str">
            <v>גמיש</v>
          </cell>
          <cell r="I1386">
            <v>0</v>
          </cell>
          <cell r="J1386">
            <v>0</v>
          </cell>
          <cell r="K1386">
            <v>0</v>
          </cell>
          <cell r="L1386">
            <v>0</v>
          </cell>
          <cell r="M1386">
            <v>0</v>
          </cell>
        </row>
        <row r="1387">
          <cell r="A1387" t="e">
            <v>#VALUE!</v>
          </cell>
          <cell r="B1387" t="str">
            <v>632000  סך הכל</v>
          </cell>
          <cell r="F1387" t="str">
            <v xml:space="preserve">הוצאות מימון      </v>
          </cell>
          <cell r="H1387">
            <v>0</v>
          </cell>
          <cell r="I1387">
            <v>2000</v>
          </cell>
          <cell r="J1387">
            <v>2000</v>
          </cell>
          <cell r="K1387">
            <v>0</v>
          </cell>
          <cell r="L1387">
            <v>2000</v>
          </cell>
          <cell r="M1387">
            <v>43.83</v>
          </cell>
        </row>
        <row r="1388">
          <cell r="A1388">
            <v>16330000</v>
          </cell>
          <cell r="B1388">
            <v>0</v>
          </cell>
          <cell r="C1388">
            <v>633000</v>
          </cell>
          <cell r="D1388">
            <v>1</v>
          </cell>
          <cell r="F1388" t="str">
            <v xml:space="preserve">הנחות למשלמי מס   </v>
          </cell>
          <cell r="G1388" t="str">
            <v xml:space="preserve"> </v>
          </cell>
        </row>
        <row r="1389">
          <cell r="A1389">
            <v>1633000860</v>
          </cell>
          <cell r="B1389">
            <v>860</v>
          </cell>
          <cell r="C1389">
            <v>633000</v>
          </cell>
          <cell r="D1389">
            <v>1</v>
          </cell>
          <cell r="F1389" t="str">
            <v xml:space="preserve">הנחות למשלמים מראש   </v>
          </cell>
          <cell r="G1389" t="str">
            <v>קשיח</v>
          </cell>
          <cell r="H1389">
            <v>3.3333333333333437E-2</v>
          </cell>
          <cell r="I1389">
            <v>1550000</v>
          </cell>
          <cell r="J1389">
            <v>1500000</v>
          </cell>
          <cell r="K1389">
            <v>1582103.39</v>
          </cell>
          <cell r="L1389">
            <v>1561500</v>
          </cell>
          <cell r="M1389">
            <v>1595381.44</v>
          </cell>
        </row>
        <row r="1390">
          <cell r="A1390" t="e">
            <v>#VALUE!</v>
          </cell>
          <cell r="B1390" t="str">
            <v>633000  סך הכל</v>
          </cell>
          <cell r="F1390" t="str">
            <v xml:space="preserve">הנחות למשלמי מס   </v>
          </cell>
          <cell r="H1390">
            <v>3.3333333333333437E-2</v>
          </cell>
          <cell r="I1390">
            <v>1550000</v>
          </cell>
          <cell r="J1390">
            <v>1500000</v>
          </cell>
          <cell r="K1390">
            <v>1582103.39</v>
          </cell>
          <cell r="L1390">
            <v>1561500</v>
          </cell>
          <cell r="M1390">
            <v>1595381.44</v>
          </cell>
        </row>
        <row r="1391">
          <cell r="A1391">
            <v>16400000</v>
          </cell>
          <cell r="B1391">
            <v>0</v>
          </cell>
          <cell r="C1391">
            <v>640000</v>
          </cell>
          <cell r="D1391">
            <v>1</v>
          </cell>
          <cell r="F1391" t="str">
            <v xml:space="preserve">פרעון מלוות       </v>
          </cell>
          <cell r="G1391" t="str">
            <v xml:space="preserve"> </v>
          </cell>
        </row>
        <row r="1392">
          <cell r="A1392">
            <v>1648000691</v>
          </cell>
          <cell r="B1392">
            <v>691</v>
          </cell>
          <cell r="C1392">
            <v>648000</v>
          </cell>
          <cell r="D1392">
            <v>1</v>
          </cell>
          <cell r="F1392" t="str">
            <v xml:space="preserve">תשלומים ע"ח הקרן  </v>
          </cell>
          <cell r="G1392" t="str">
            <v>קשיח</v>
          </cell>
          <cell r="H1392">
            <v>0.2047252833342037</v>
          </cell>
          <cell r="I1392">
            <v>36907000</v>
          </cell>
          <cell r="J1392">
            <v>30635200</v>
          </cell>
          <cell r="K1392">
            <v>19284406.77</v>
          </cell>
          <cell r="L1392">
            <v>60794800</v>
          </cell>
          <cell r="M1392">
            <v>61036931.350000001</v>
          </cell>
        </row>
        <row r="1393">
          <cell r="A1393">
            <v>1648000692</v>
          </cell>
          <cell r="B1393">
            <v>692</v>
          </cell>
          <cell r="C1393">
            <v>648000</v>
          </cell>
          <cell r="D1393">
            <v>1</v>
          </cell>
          <cell r="F1393" t="str">
            <v>תשלומים ע"ח הריבית</v>
          </cell>
          <cell r="G1393" t="str">
            <v>קשיח</v>
          </cell>
          <cell r="H1393">
            <v>0.68661961770336299</v>
          </cell>
          <cell r="I1393">
            <v>5903000</v>
          </cell>
          <cell r="J1393">
            <v>3499900</v>
          </cell>
          <cell r="K1393">
            <v>3403350.64</v>
          </cell>
          <cell r="L1393">
            <v>2676500</v>
          </cell>
          <cell r="M1393">
            <v>2868722.8</v>
          </cell>
        </row>
        <row r="1394">
          <cell r="A1394">
            <v>1648000693</v>
          </cell>
          <cell r="B1394">
            <v>693</v>
          </cell>
          <cell r="C1394">
            <v>648000</v>
          </cell>
          <cell r="D1394">
            <v>1</v>
          </cell>
          <cell r="F1394" t="str">
            <v>תש' ע"ח הצמדה וערך</v>
          </cell>
          <cell r="G1394" t="str">
            <v>קשיח</v>
          </cell>
          <cell r="H1394">
            <v>-0.19415900486749593</v>
          </cell>
          <cell r="I1394">
            <v>745000</v>
          </cell>
          <cell r="J1394">
            <v>924500</v>
          </cell>
          <cell r="K1394">
            <v>488416.97</v>
          </cell>
          <cell r="L1394">
            <v>2018500</v>
          </cell>
          <cell r="M1394">
            <v>1702321.88</v>
          </cell>
        </row>
        <row r="1395">
          <cell r="A1395">
            <v>1648000701</v>
          </cell>
          <cell r="B1395">
            <v>701</v>
          </cell>
          <cell r="C1395">
            <v>648000</v>
          </cell>
          <cell r="D1395">
            <v>1</v>
          </cell>
          <cell r="F1395" t="str">
            <v>קרן - הלוואה  לממשלה</v>
          </cell>
          <cell r="G1395" t="str">
            <v>קשיח</v>
          </cell>
          <cell r="H1395">
            <v>-1</v>
          </cell>
          <cell r="I1395">
            <v>0</v>
          </cell>
          <cell r="J1395">
            <v>888100</v>
          </cell>
          <cell r="K1395">
            <v>888100</v>
          </cell>
          <cell r="L1395">
            <v>1776200</v>
          </cell>
          <cell r="M1395">
            <v>1776200</v>
          </cell>
        </row>
        <row r="1396">
          <cell r="A1396">
            <v>1648000702</v>
          </cell>
          <cell r="B1396">
            <v>702</v>
          </cell>
          <cell r="C1396">
            <v>648000</v>
          </cell>
          <cell r="D1396">
            <v>1</v>
          </cell>
          <cell r="F1396" t="str">
            <v>ריבית - הלוואה  לממשלה</v>
          </cell>
          <cell r="G1396" t="str">
            <v>קשיח</v>
          </cell>
          <cell r="H1396">
            <v>-1</v>
          </cell>
          <cell r="I1396">
            <v>0</v>
          </cell>
          <cell r="J1396">
            <v>18700</v>
          </cell>
          <cell r="K1396">
            <v>18643</v>
          </cell>
          <cell r="L1396">
            <v>117000</v>
          </cell>
          <cell r="M1396">
            <v>112805</v>
          </cell>
        </row>
        <row r="1397">
          <cell r="A1397" t="e">
            <v>#VALUE!</v>
          </cell>
          <cell r="B1397" t="str">
            <v>648000  סך הכל</v>
          </cell>
          <cell r="F1397" t="str">
            <v>פרעון מלוות - עצמי</v>
          </cell>
          <cell r="H1397">
            <v>0.21099136972285248</v>
          </cell>
          <cell r="I1397">
            <v>43555000</v>
          </cell>
          <cell r="J1397">
            <v>35966400</v>
          </cell>
          <cell r="K1397">
            <v>24082917.379999999</v>
          </cell>
          <cell r="L1397">
            <v>67383000</v>
          </cell>
          <cell r="M1397">
            <v>67496981.030000001</v>
          </cell>
        </row>
        <row r="1398">
          <cell r="A1398">
            <v>17000000</v>
          </cell>
          <cell r="B1398">
            <v>0</v>
          </cell>
          <cell r="C1398">
            <v>700000</v>
          </cell>
          <cell r="D1398">
            <v>1</v>
          </cell>
          <cell r="F1398" t="str">
            <v xml:space="preserve">שרותים מקומיים    </v>
          </cell>
          <cell r="G1398" t="str">
            <v xml:space="preserve"> </v>
          </cell>
        </row>
        <row r="1399">
          <cell r="A1399">
            <v>1711100110</v>
          </cell>
          <cell r="B1399">
            <v>110</v>
          </cell>
          <cell r="C1399">
            <v>711100</v>
          </cell>
          <cell r="D1399">
            <v>1</v>
          </cell>
          <cell r="F1399" t="str">
            <v>השכר הקובע-תקציבית</v>
          </cell>
          <cell r="G1399" t="str">
            <v>שכר</v>
          </cell>
          <cell r="H1399">
            <v>2.5003885003884951E-2</v>
          </cell>
          <cell r="I1399">
            <v>1319180</v>
          </cell>
          <cell r="J1399">
            <v>1287000</v>
          </cell>
          <cell r="K1399">
            <v>861255.86</v>
          </cell>
          <cell r="L1399">
            <v>1070000</v>
          </cell>
          <cell r="M1399">
            <v>1357729.33</v>
          </cell>
        </row>
        <row r="1400">
          <cell r="A1400">
            <v>1711100119</v>
          </cell>
          <cell r="B1400">
            <v>119</v>
          </cell>
          <cell r="C1400">
            <v>711100</v>
          </cell>
          <cell r="D1400">
            <v>1</v>
          </cell>
          <cell r="F1400" t="str">
            <v xml:space="preserve">השכר הקובע-צוברת  </v>
          </cell>
          <cell r="G1400" t="str">
            <v>שכר</v>
          </cell>
          <cell r="H1400">
            <v>0.17272350707628581</v>
          </cell>
          <cell r="I1400">
            <v>5096070</v>
          </cell>
          <cell r="J1400">
            <v>4345500</v>
          </cell>
          <cell r="K1400">
            <v>3237674.23</v>
          </cell>
          <cell r="L1400">
            <v>3907400</v>
          </cell>
          <cell r="M1400">
            <v>4050119.5</v>
          </cell>
        </row>
        <row r="1401">
          <cell r="A1401">
            <v>1711100122</v>
          </cell>
          <cell r="B1401">
            <v>122</v>
          </cell>
          <cell r="C1401">
            <v>711100</v>
          </cell>
          <cell r="D1401">
            <v>1</v>
          </cell>
          <cell r="F1401" t="str">
            <v xml:space="preserve">ביגוד             </v>
          </cell>
          <cell r="G1401" t="str">
            <v>שכר</v>
          </cell>
          <cell r="H1401">
            <v>0.29633329629629634</v>
          </cell>
          <cell r="I1401">
            <v>77779.997777777782</v>
          </cell>
          <cell r="J1401">
            <v>60000</v>
          </cell>
          <cell r="K1401">
            <v>84424.87</v>
          </cell>
          <cell r="L1401">
            <v>51000</v>
          </cell>
          <cell r="M1401">
            <v>58592.55</v>
          </cell>
        </row>
        <row r="1402">
          <cell r="A1402">
            <v>1711100126</v>
          </cell>
          <cell r="B1402">
            <v>126</v>
          </cell>
          <cell r="C1402">
            <v>711100</v>
          </cell>
          <cell r="D1402">
            <v>1</v>
          </cell>
          <cell r="F1402" t="str">
            <v xml:space="preserve">דמי הבראה         </v>
          </cell>
          <cell r="G1402" t="str">
            <v>שכר</v>
          </cell>
          <cell r="H1402">
            <v>0.29628572486772486</v>
          </cell>
          <cell r="I1402">
            <v>181480.00148148148</v>
          </cell>
          <cell r="J1402">
            <v>140000</v>
          </cell>
          <cell r="K1402">
            <v>211342.77</v>
          </cell>
          <cell r="L1402">
            <v>135000</v>
          </cell>
          <cell r="M1402">
            <v>138289.04999999999</v>
          </cell>
        </row>
        <row r="1403">
          <cell r="A1403">
            <v>1711100130</v>
          </cell>
          <cell r="B1403">
            <v>130</v>
          </cell>
          <cell r="C1403">
            <v>711100</v>
          </cell>
          <cell r="D1403">
            <v>1</v>
          </cell>
          <cell r="F1403" t="str">
            <v xml:space="preserve">שעות נוספות       </v>
          </cell>
          <cell r="G1403" t="str">
            <v>שכר</v>
          </cell>
          <cell r="H1403">
            <v>0.26714659317791956</v>
          </cell>
          <cell r="I1403">
            <v>901220</v>
          </cell>
          <cell r="J1403">
            <v>711220</v>
          </cell>
          <cell r="K1403">
            <v>583307.26</v>
          </cell>
          <cell r="L1403">
            <v>827000</v>
          </cell>
          <cell r="M1403">
            <v>727135.65</v>
          </cell>
        </row>
        <row r="1404">
          <cell r="A1404">
            <v>1711100140</v>
          </cell>
          <cell r="B1404">
            <v>140</v>
          </cell>
          <cell r="C1404">
            <v>711100</v>
          </cell>
          <cell r="D1404">
            <v>1</v>
          </cell>
          <cell r="F1404" t="str">
            <v>השתתפות באחזקת רכב</v>
          </cell>
          <cell r="G1404" t="str">
            <v>שכר</v>
          </cell>
          <cell r="H1404">
            <v>0</v>
          </cell>
          <cell r="I1404">
            <v>475500</v>
          </cell>
          <cell r="J1404">
            <v>475500</v>
          </cell>
          <cell r="K1404">
            <v>475868.84</v>
          </cell>
          <cell r="L1404">
            <v>475500</v>
          </cell>
          <cell r="M1404">
            <v>635011.79</v>
          </cell>
        </row>
        <row r="1405">
          <cell r="A1405">
            <v>1711100253</v>
          </cell>
          <cell r="B1405">
            <v>253</v>
          </cell>
          <cell r="C1405">
            <v>711100</v>
          </cell>
          <cell r="D1405">
            <v>1</v>
          </cell>
          <cell r="F1405" t="str">
            <v xml:space="preserve">עובדים חיצוניים   </v>
          </cell>
          <cell r="G1405" t="str">
            <v>שכר</v>
          </cell>
          <cell r="I1405">
            <v>0</v>
          </cell>
          <cell r="J1405">
            <v>0</v>
          </cell>
          <cell r="K1405">
            <v>0</v>
          </cell>
          <cell r="L1405">
            <v>70000</v>
          </cell>
          <cell r="M1405">
            <v>62319.99</v>
          </cell>
        </row>
        <row r="1406">
          <cell r="A1406">
            <v>1711100350</v>
          </cell>
          <cell r="B1406">
            <v>350</v>
          </cell>
          <cell r="C1406">
            <v>711100</v>
          </cell>
          <cell r="D1406">
            <v>1</v>
          </cell>
          <cell r="F1406" t="str">
            <v>ליסינג 363-92-903</v>
          </cell>
          <cell r="G1406" t="str">
            <v>שכר</v>
          </cell>
          <cell r="H1406">
            <v>-1</v>
          </cell>
          <cell r="I1406">
            <v>0</v>
          </cell>
          <cell r="J1406">
            <v>53000</v>
          </cell>
          <cell r="K1406">
            <v>0</v>
          </cell>
          <cell r="L1406">
            <v>53000</v>
          </cell>
          <cell r="M1406">
            <v>48556.83</v>
          </cell>
        </row>
        <row r="1407">
          <cell r="A1407">
            <v>1711100351</v>
          </cell>
          <cell r="B1407">
            <v>351</v>
          </cell>
          <cell r="C1407">
            <v>711100</v>
          </cell>
          <cell r="D1407">
            <v>1</v>
          </cell>
          <cell r="F1407" t="str">
            <v>הוצאות-363-92-903</v>
          </cell>
          <cell r="G1407" t="str">
            <v>שכר</v>
          </cell>
          <cell r="H1407">
            <v>0</v>
          </cell>
          <cell r="I1407">
            <v>10000</v>
          </cell>
          <cell r="J1407">
            <v>10000</v>
          </cell>
          <cell r="K1407">
            <v>0</v>
          </cell>
          <cell r="L1407">
            <v>30500</v>
          </cell>
          <cell r="M1407">
            <v>1135.44</v>
          </cell>
        </row>
        <row r="1408">
          <cell r="A1408">
            <v>1711100470</v>
          </cell>
          <cell r="B1408">
            <v>470</v>
          </cell>
          <cell r="C1408">
            <v>711100</v>
          </cell>
          <cell r="D1408">
            <v>1</v>
          </cell>
          <cell r="F1408" t="str">
            <v xml:space="preserve">אחזקת מכונות משרד </v>
          </cell>
          <cell r="G1408" t="str">
            <v>גמיש</v>
          </cell>
          <cell r="H1408">
            <v>0.15873015873015883</v>
          </cell>
          <cell r="I1408">
            <v>2190</v>
          </cell>
          <cell r="J1408">
            <v>1890</v>
          </cell>
          <cell r="K1408">
            <v>0</v>
          </cell>
          <cell r="L1408">
            <v>2100</v>
          </cell>
          <cell r="M1408">
            <v>1375.91</v>
          </cell>
        </row>
        <row r="1409">
          <cell r="A1409">
            <v>1711100471</v>
          </cell>
          <cell r="B1409">
            <v>471</v>
          </cell>
          <cell r="C1409">
            <v>711100</v>
          </cell>
          <cell r="D1409">
            <v>1</v>
          </cell>
          <cell r="F1409" t="str">
            <v xml:space="preserve">מכשירי כתיבה      </v>
          </cell>
          <cell r="G1409" t="str">
            <v>גמיש</v>
          </cell>
          <cell r="H1409">
            <v>0.21616947686986587</v>
          </cell>
          <cell r="I1409">
            <v>28130</v>
          </cell>
          <cell r="J1409">
            <v>23130</v>
          </cell>
          <cell r="K1409">
            <v>4030.22</v>
          </cell>
          <cell r="L1409">
            <v>25700</v>
          </cell>
          <cell r="M1409">
            <v>18016.349999999999</v>
          </cell>
        </row>
        <row r="1410">
          <cell r="A1410">
            <v>1711100492</v>
          </cell>
          <cell r="B1410">
            <v>492</v>
          </cell>
          <cell r="C1410">
            <v>711100</v>
          </cell>
          <cell r="D1410">
            <v>1</v>
          </cell>
          <cell r="F1410" t="str">
            <v xml:space="preserve">השתתפות בעזר 092  </v>
          </cell>
          <cell r="G1410" t="str">
            <v>קשיח</v>
          </cell>
          <cell r="H1410">
            <v>6.8739770867430439E-2</v>
          </cell>
          <cell r="I1410">
            <v>326500</v>
          </cell>
          <cell r="J1410">
            <v>305500</v>
          </cell>
          <cell r="K1410">
            <v>120711</v>
          </cell>
          <cell r="L1410">
            <v>242000</v>
          </cell>
          <cell r="M1410">
            <v>264984</v>
          </cell>
        </row>
        <row r="1411">
          <cell r="A1411">
            <v>1711100511</v>
          </cell>
          <cell r="B1411">
            <v>511</v>
          </cell>
          <cell r="C1411">
            <v>711100</v>
          </cell>
          <cell r="D1411">
            <v>1</v>
          </cell>
          <cell r="F1411" t="str">
            <v xml:space="preserve">אירוח וכיבוד      </v>
          </cell>
          <cell r="G1411" t="str">
            <v>גמיש</v>
          </cell>
          <cell r="H1411">
            <v>1.6455026455026456</v>
          </cell>
          <cell r="I1411">
            <v>5000</v>
          </cell>
          <cell r="J1411">
            <v>1890</v>
          </cell>
          <cell r="K1411">
            <v>0</v>
          </cell>
          <cell r="L1411">
            <v>2100</v>
          </cell>
          <cell r="M1411">
            <v>908.38</v>
          </cell>
        </row>
        <row r="1412">
          <cell r="A1412">
            <v>1711100512</v>
          </cell>
          <cell r="B1412">
            <v>512</v>
          </cell>
          <cell r="C1412">
            <v>711100</v>
          </cell>
          <cell r="D1412">
            <v>1</v>
          </cell>
          <cell r="F1412" t="str">
            <v xml:space="preserve">נסיעות ואש"ל      </v>
          </cell>
          <cell r="G1412" t="str">
            <v>גמיש</v>
          </cell>
          <cell r="H1412">
            <v>0</v>
          </cell>
          <cell r="I1412">
            <v>810</v>
          </cell>
          <cell r="J1412">
            <v>810</v>
          </cell>
          <cell r="K1412">
            <v>0</v>
          </cell>
          <cell r="L1412">
            <v>900</v>
          </cell>
          <cell r="M1412">
            <v>85</v>
          </cell>
        </row>
        <row r="1413">
          <cell r="A1413">
            <v>1711100544</v>
          </cell>
          <cell r="B1413">
            <v>544</v>
          </cell>
          <cell r="C1413">
            <v>711100</v>
          </cell>
          <cell r="D1413">
            <v>1</v>
          </cell>
          <cell r="F1413" t="str">
            <v xml:space="preserve">הוצאות דאר        </v>
          </cell>
          <cell r="G1413" t="str">
            <v>קשיח</v>
          </cell>
          <cell r="H1413">
            <v>-1</v>
          </cell>
          <cell r="I1413">
            <v>0</v>
          </cell>
          <cell r="J1413">
            <v>1700</v>
          </cell>
          <cell r="K1413">
            <v>0</v>
          </cell>
          <cell r="L1413">
            <v>1700</v>
          </cell>
          <cell r="M1413">
            <v>0</v>
          </cell>
        </row>
        <row r="1414">
          <cell r="A1414">
            <v>1711100561</v>
          </cell>
          <cell r="B1414">
            <v>561</v>
          </cell>
          <cell r="C1414">
            <v>711100</v>
          </cell>
          <cell r="D1414">
            <v>1</v>
          </cell>
          <cell r="F1414" t="str">
            <v xml:space="preserve">שיכפולים          </v>
          </cell>
          <cell r="G1414" t="str">
            <v>גמיש</v>
          </cell>
          <cell r="H1414">
            <v>-1</v>
          </cell>
          <cell r="I1414">
            <v>0</v>
          </cell>
          <cell r="J1414">
            <v>720</v>
          </cell>
          <cell r="K1414">
            <v>0</v>
          </cell>
          <cell r="L1414">
            <v>800</v>
          </cell>
          <cell r="M1414">
            <v>634.94000000000005</v>
          </cell>
        </row>
        <row r="1415">
          <cell r="A1415">
            <v>1711100562</v>
          </cell>
          <cell r="B1415">
            <v>562</v>
          </cell>
          <cell r="C1415">
            <v>711100</v>
          </cell>
          <cell r="D1415">
            <v>1</v>
          </cell>
          <cell r="F1415" t="str">
            <v xml:space="preserve">הדפסות            </v>
          </cell>
          <cell r="G1415" t="str">
            <v>גמיש</v>
          </cell>
          <cell r="H1415">
            <v>0</v>
          </cell>
          <cell r="I1415">
            <v>2520</v>
          </cell>
          <cell r="J1415">
            <v>2520</v>
          </cell>
          <cell r="K1415">
            <v>0</v>
          </cell>
          <cell r="L1415">
            <v>2800</v>
          </cell>
          <cell r="M1415">
            <v>0</v>
          </cell>
        </row>
        <row r="1416">
          <cell r="A1416">
            <v>1711100571</v>
          </cell>
          <cell r="B1416">
            <v>571</v>
          </cell>
          <cell r="C1416">
            <v>711100</v>
          </cell>
          <cell r="D1416">
            <v>1</v>
          </cell>
          <cell r="F1416" t="str">
            <v xml:space="preserve">מיכון וענ"א       </v>
          </cell>
          <cell r="G1416" t="str">
            <v>קשיח</v>
          </cell>
          <cell r="H1416">
            <v>0</v>
          </cell>
          <cell r="I1416">
            <v>201000</v>
          </cell>
          <cell r="J1416">
            <v>201000</v>
          </cell>
          <cell r="K1416">
            <v>100500</v>
          </cell>
          <cell r="L1416">
            <v>173800</v>
          </cell>
          <cell r="M1416">
            <v>173800</v>
          </cell>
        </row>
        <row r="1417">
          <cell r="A1417">
            <v>1711100580</v>
          </cell>
          <cell r="B1417">
            <v>580</v>
          </cell>
          <cell r="C1417">
            <v>711100</v>
          </cell>
          <cell r="D1417">
            <v>1</v>
          </cell>
          <cell r="F1417" t="str">
            <v xml:space="preserve">יעוץ חיצוני       </v>
          </cell>
          <cell r="G1417" t="str">
            <v>גמיש</v>
          </cell>
          <cell r="I1417">
            <v>50000</v>
          </cell>
          <cell r="J1417">
            <v>0</v>
          </cell>
          <cell r="K1417">
            <v>0</v>
          </cell>
          <cell r="L1417">
            <v>0</v>
          </cell>
          <cell r="M1417">
            <v>29500</v>
          </cell>
        </row>
        <row r="1418">
          <cell r="A1418">
            <v>1711100596</v>
          </cell>
          <cell r="B1418">
            <v>596</v>
          </cell>
          <cell r="C1418">
            <v>711100</v>
          </cell>
          <cell r="D1418">
            <v>1</v>
          </cell>
          <cell r="F1418" t="str">
            <v xml:space="preserve">השתתפות בעזר 096  </v>
          </cell>
          <cell r="G1418" t="str">
            <v>קשיח</v>
          </cell>
          <cell r="H1418">
            <v>-6.0975609756097615E-2</v>
          </cell>
          <cell r="I1418">
            <v>1078000</v>
          </cell>
          <cell r="J1418">
            <v>1148000</v>
          </cell>
          <cell r="K1418">
            <v>466429</v>
          </cell>
          <cell r="L1418">
            <v>1036000</v>
          </cell>
          <cell r="M1418">
            <v>1005209.6</v>
          </cell>
        </row>
        <row r="1419">
          <cell r="A1419">
            <v>1711100794</v>
          </cell>
          <cell r="B1419">
            <v>794</v>
          </cell>
          <cell r="C1419">
            <v>711100</v>
          </cell>
          <cell r="D1419">
            <v>1</v>
          </cell>
          <cell r="F1419" t="str">
            <v xml:space="preserve">השתתפות בעזר 094  </v>
          </cell>
          <cell r="G1419" t="str">
            <v>קשיח</v>
          </cell>
          <cell r="H1419">
            <v>0</v>
          </cell>
          <cell r="I1419">
            <v>75000</v>
          </cell>
          <cell r="J1419">
            <v>75000</v>
          </cell>
          <cell r="K1419">
            <v>35432</v>
          </cell>
          <cell r="L1419">
            <v>75000</v>
          </cell>
          <cell r="M1419">
            <v>89453</v>
          </cell>
        </row>
        <row r="1420">
          <cell r="A1420" t="e">
            <v>#VALUE!</v>
          </cell>
          <cell r="B1420" t="str">
            <v>711100  סך הכל</v>
          </cell>
          <cell r="F1420" t="str">
            <v>אגף שפ"ע</v>
          </cell>
          <cell r="H1420">
            <v>0.11148322429150026</v>
          </cell>
          <cell r="I1420">
            <v>9830379.9992592596</v>
          </cell>
          <cell r="J1420">
            <v>8844380</v>
          </cell>
          <cell r="K1420">
            <v>6180976.0499999989</v>
          </cell>
          <cell r="L1420">
            <v>8182300</v>
          </cell>
          <cell r="M1420">
            <v>8662857.3100000005</v>
          </cell>
        </row>
        <row r="1421">
          <cell r="A1421">
            <v>17120000</v>
          </cell>
          <cell r="B1421">
            <v>0</v>
          </cell>
          <cell r="C1421">
            <v>712000</v>
          </cell>
          <cell r="D1421">
            <v>1</v>
          </cell>
          <cell r="F1421" t="str">
            <v xml:space="preserve">שרותי נקיון       </v>
          </cell>
          <cell r="G1421" t="str">
            <v xml:space="preserve"> </v>
          </cell>
        </row>
        <row r="1422">
          <cell r="A1422">
            <v>1712200431</v>
          </cell>
          <cell r="B1422">
            <v>431</v>
          </cell>
          <cell r="C1422">
            <v>712200</v>
          </cell>
          <cell r="D1422">
            <v>1</v>
          </cell>
          <cell r="F1422" t="str">
            <v xml:space="preserve">חשמל              </v>
          </cell>
          <cell r="G1422" t="str">
            <v>קשיח</v>
          </cell>
          <cell r="H1422">
            <v>-0.32835820895522383</v>
          </cell>
          <cell r="I1422">
            <v>4500</v>
          </cell>
          <cell r="J1422">
            <v>6700</v>
          </cell>
          <cell r="K1422">
            <v>1225.1600000000001</v>
          </cell>
          <cell r="L1422">
            <v>6600</v>
          </cell>
          <cell r="M1422">
            <v>3875.82</v>
          </cell>
        </row>
        <row r="1423">
          <cell r="A1423">
            <v>1712200561</v>
          </cell>
          <cell r="B1423">
            <v>561</v>
          </cell>
          <cell r="C1423">
            <v>712200</v>
          </cell>
          <cell r="D1423">
            <v>1</v>
          </cell>
          <cell r="F1423" t="str">
            <v xml:space="preserve">שיכפולים          </v>
          </cell>
          <cell r="G1423" t="str">
            <v>גמיש</v>
          </cell>
          <cell r="H1423">
            <v>-1</v>
          </cell>
          <cell r="I1423">
            <v>0</v>
          </cell>
          <cell r="J1423">
            <v>3690</v>
          </cell>
          <cell r="K1423">
            <v>87.51</v>
          </cell>
          <cell r="L1423">
            <v>4100</v>
          </cell>
          <cell r="M1423">
            <v>173.54</v>
          </cell>
        </row>
        <row r="1424">
          <cell r="A1424">
            <v>1712200715</v>
          </cell>
          <cell r="B1424">
            <v>715</v>
          </cell>
          <cell r="C1424">
            <v>712200</v>
          </cell>
          <cell r="D1424">
            <v>1</v>
          </cell>
          <cell r="F1424" t="str">
            <v>עבודות קבלניות רכב</v>
          </cell>
          <cell r="G1424" t="str">
            <v>גמיש</v>
          </cell>
          <cell r="H1424">
            <v>-0.22480620155038755</v>
          </cell>
          <cell r="I1424">
            <v>600000</v>
          </cell>
          <cell r="J1424">
            <v>774000</v>
          </cell>
          <cell r="K1424">
            <v>132743.70000000001</v>
          </cell>
          <cell r="L1424">
            <v>936600</v>
          </cell>
          <cell r="M1424">
            <v>781402.87</v>
          </cell>
        </row>
        <row r="1425">
          <cell r="A1425">
            <v>1712200722</v>
          </cell>
          <cell r="B1425">
            <v>722</v>
          </cell>
          <cell r="C1425">
            <v>712200</v>
          </cell>
          <cell r="D1425">
            <v>1</v>
          </cell>
          <cell r="F1425" t="str">
            <v>חמרים-תחזוקה עצמית</v>
          </cell>
          <cell r="G1425" t="str">
            <v>גמיש</v>
          </cell>
          <cell r="H1425">
            <v>0</v>
          </cell>
          <cell r="I1425">
            <v>6030</v>
          </cell>
          <cell r="J1425">
            <v>6030</v>
          </cell>
          <cell r="K1425">
            <v>5343.51</v>
          </cell>
          <cell r="L1425">
            <v>6700</v>
          </cell>
          <cell r="M1425">
            <v>6526.98</v>
          </cell>
        </row>
        <row r="1426">
          <cell r="A1426">
            <v>1712200723</v>
          </cell>
          <cell r="B1426">
            <v>723</v>
          </cell>
          <cell r="C1426">
            <v>712200</v>
          </cell>
          <cell r="D1426">
            <v>1</v>
          </cell>
          <cell r="F1426" t="str">
            <v xml:space="preserve">שקיות אשפה        </v>
          </cell>
          <cell r="G1426" t="str">
            <v>גמיש</v>
          </cell>
          <cell r="H1426">
            <v>0</v>
          </cell>
          <cell r="I1426">
            <v>40050</v>
          </cell>
          <cell r="J1426">
            <v>40050</v>
          </cell>
          <cell r="K1426">
            <v>0</v>
          </cell>
          <cell r="L1426">
            <v>44500</v>
          </cell>
          <cell r="M1426">
            <v>43536</v>
          </cell>
        </row>
        <row r="1427">
          <cell r="A1427">
            <v>1712200745</v>
          </cell>
          <cell r="B1427">
            <v>745</v>
          </cell>
          <cell r="C1427">
            <v>712200</v>
          </cell>
          <cell r="D1427">
            <v>1</v>
          </cell>
          <cell r="F1427" t="str">
            <v xml:space="preserve">תיקון נזקים       </v>
          </cell>
          <cell r="G1427" t="str">
            <v>קשיח</v>
          </cell>
          <cell r="I1427">
            <v>0</v>
          </cell>
          <cell r="J1427">
            <v>0</v>
          </cell>
          <cell r="K1427">
            <v>0</v>
          </cell>
          <cell r="L1427">
            <v>8600</v>
          </cell>
          <cell r="M1427">
            <v>0</v>
          </cell>
        </row>
        <row r="1428">
          <cell r="A1428">
            <v>1712200751</v>
          </cell>
          <cell r="B1428">
            <v>751</v>
          </cell>
          <cell r="C1428">
            <v>712200</v>
          </cell>
          <cell r="D1428">
            <v>1</v>
          </cell>
          <cell r="F1428" t="str">
            <v>עבודות קבלניות</v>
          </cell>
          <cell r="G1428" t="str">
            <v>קשיח</v>
          </cell>
          <cell r="I1428">
            <v>13500</v>
          </cell>
          <cell r="J1428">
            <v>0</v>
          </cell>
          <cell r="K1428">
            <v>0</v>
          </cell>
          <cell r="L1428">
            <v>0</v>
          </cell>
          <cell r="M1428">
            <v>0</v>
          </cell>
        </row>
        <row r="1429">
          <cell r="A1429">
            <v>1712200754</v>
          </cell>
          <cell r="B1429">
            <v>754</v>
          </cell>
          <cell r="C1429">
            <v>712200</v>
          </cell>
          <cell r="D1429">
            <v>1</v>
          </cell>
          <cell r="F1429" t="str">
            <v>הסרת גרפיטי מהמרחב הציבורי</v>
          </cell>
          <cell r="G1429" t="str">
            <v>גמיש</v>
          </cell>
          <cell r="H1429">
            <v>-0.77777777777777779</v>
          </cell>
          <cell r="I1429">
            <v>50000</v>
          </cell>
          <cell r="J1429">
            <v>225000</v>
          </cell>
          <cell r="K1429">
            <v>0</v>
          </cell>
          <cell r="L1429">
            <v>0</v>
          </cell>
          <cell r="M1429">
            <v>0</v>
          </cell>
        </row>
        <row r="1430">
          <cell r="A1430">
            <v>1712200757</v>
          </cell>
          <cell r="B1430">
            <v>757</v>
          </cell>
          <cell r="C1430">
            <v>712200</v>
          </cell>
          <cell r="D1430">
            <v>1</v>
          </cell>
          <cell r="F1430" t="str">
            <v>תיקון מבני מנהלי רובע</v>
          </cell>
          <cell r="G1430" t="str">
            <v>גמיש</v>
          </cell>
          <cell r="H1430">
            <v>-1</v>
          </cell>
          <cell r="I1430">
            <v>0</v>
          </cell>
          <cell r="J1430">
            <v>13500</v>
          </cell>
          <cell r="K1430">
            <v>0</v>
          </cell>
          <cell r="L1430">
            <v>0</v>
          </cell>
          <cell r="M1430">
            <v>0</v>
          </cell>
        </row>
        <row r="1431">
          <cell r="A1431">
            <v>1712200758</v>
          </cell>
          <cell r="B1431">
            <v>758</v>
          </cell>
          <cell r="C1431">
            <v>712200</v>
          </cell>
          <cell r="D1431">
            <v>1</v>
          </cell>
          <cell r="F1431" t="str">
            <v xml:space="preserve">נקוי רח' בקבלנות   </v>
          </cell>
          <cell r="G1431" t="str">
            <v>קשיח</v>
          </cell>
          <cell r="H1431">
            <v>0.17276067863751265</v>
          </cell>
          <cell r="I1431">
            <v>45000000</v>
          </cell>
          <cell r="J1431">
            <v>38371000</v>
          </cell>
          <cell r="K1431">
            <v>10661214.91</v>
          </cell>
          <cell r="L1431">
            <v>30674000</v>
          </cell>
          <cell r="M1431">
            <v>29606334.190000001</v>
          </cell>
        </row>
        <row r="1432">
          <cell r="A1432">
            <v>1712200759</v>
          </cell>
          <cell r="B1432">
            <v>759</v>
          </cell>
          <cell r="C1432">
            <v>712200</v>
          </cell>
          <cell r="D1432">
            <v>1</v>
          </cell>
          <cell r="F1432" t="str">
            <v xml:space="preserve">פינוי גזם          </v>
          </cell>
          <cell r="G1432" t="str">
            <v>קשיח</v>
          </cell>
          <cell r="H1432">
            <v>0.14942528735632177</v>
          </cell>
          <cell r="I1432">
            <v>9000000</v>
          </cell>
          <cell r="J1432">
            <v>7830000</v>
          </cell>
          <cell r="K1432">
            <v>4253611.45</v>
          </cell>
          <cell r="L1432">
            <v>8144000</v>
          </cell>
          <cell r="M1432">
            <v>7932392.2400000002</v>
          </cell>
        </row>
        <row r="1433">
          <cell r="A1433">
            <v>1712200794</v>
          </cell>
          <cell r="B1433">
            <v>794</v>
          </cell>
          <cell r="C1433">
            <v>712200</v>
          </cell>
          <cell r="D1433">
            <v>1</v>
          </cell>
          <cell r="F1433" t="str">
            <v xml:space="preserve">השתתפות בעזר 094  </v>
          </cell>
          <cell r="G1433" t="str">
            <v>קשיח</v>
          </cell>
          <cell r="H1433">
            <v>0</v>
          </cell>
          <cell r="I1433">
            <v>301000</v>
          </cell>
          <cell r="J1433">
            <v>301000</v>
          </cell>
          <cell r="K1433">
            <v>142198</v>
          </cell>
          <cell r="L1433">
            <v>263000</v>
          </cell>
          <cell r="M1433">
            <v>313684</v>
          </cell>
        </row>
        <row r="1434">
          <cell r="A1434" t="e">
            <v>#VALUE!</v>
          </cell>
          <cell r="B1434" t="str">
            <v>712200  סך הכל</v>
          </cell>
          <cell r="F1434" t="str">
            <v xml:space="preserve">נקוי רחובות       </v>
          </cell>
          <cell r="H1434">
            <v>0.15648430124506607</v>
          </cell>
          <cell r="I1434">
            <v>55015080</v>
          </cell>
          <cell r="J1434">
            <v>47570970</v>
          </cell>
          <cell r="K1434">
            <v>15196424.240000002</v>
          </cell>
          <cell r="L1434">
            <v>40088100</v>
          </cell>
          <cell r="M1434">
            <v>38687925.640000001</v>
          </cell>
        </row>
        <row r="1435">
          <cell r="A1435">
            <v>17123000</v>
          </cell>
          <cell r="B1435">
            <v>0</v>
          </cell>
          <cell r="C1435">
            <v>712300</v>
          </cell>
          <cell r="D1435">
            <v>1</v>
          </cell>
          <cell r="F1435" t="str">
            <v xml:space="preserve">איסוף וביעור אשפה  </v>
          </cell>
          <cell r="G1435" t="str">
            <v xml:space="preserve"> </v>
          </cell>
        </row>
        <row r="1436">
          <cell r="A1436">
            <v>1712300110</v>
          </cell>
          <cell r="B1436">
            <v>110</v>
          </cell>
          <cell r="C1436">
            <v>712300</v>
          </cell>
          <cell r="D1436">
            <v>1</v>
          </cell>
          <cell r="F1436" t="str">
            <v>השכר הקובע-תקציבית</v>
          </cell>
          <cell r="G1436" t="str">
            <v>שכר</v>
          </cell>
          <cell r="H1436">
            <v>2.4999999999999911E-2</v>
          </cell>
          <cell r="I1436">
            <v>5213150</v>
          </cell>
          <cell r="J1436">
            <v>5086000</v>
          </cell>
          <cell r="K1436">
            <v>2818188.63</v>
          </cell>
          <cell r="L1436">
            <v>4332200</v>
          </cell>
          <cell r="M1436">
            <v>5157801.1900000004</v>
          </cell>
        </row>
        <row r="1437">
          <cell r="A1437">
            <v>1712300119</v>
          </cell>
          <cell r="B1437">
            <v>119</v>
          </cell>
          <cell r="C1437">
            <v>712300</v>
          </cell>
          <cell r="D1437">
            <v>1</v>
          </cell>
          <cell r="F1437" t="str">
            <v xml:space="preserve">השכר הקובע-צוברת  </v>
          </cell>
          <cell r="G1437" t="str">
            <v>שכר</v>
          </cell>
          <cell r="H1437">
            <v>0.25961491163346317</v>
          </cell>
          <cell r="I1437">
            <v>7169979.9999999991</v>
          </cell>
          <cell r="J1437">
            <v>5692200</v>
          </cell>
          <cell r="K1437">
            <v>3839083.04</v>
          </cell>
          <cell r="L1437">
            <v>4710000</v>
          </cell>
          <cell r="M1437">
            <v>5433671.3200000003</v>
          </cell>
        </row>
        <row r="1438">
          <cell r="A1438">
            <v>1712300122</v>
          </cell>
          <cell r="B1438">
            <v>122</v>
          </cell>
          <cell r="C1438">
            <v>712300</v>
          </cell>
          <cell r="D1438">
            <v>1</v>
          </cell>
          <cell r="F1438" t="str">
            <v xml:space="preserve">ביגוד             </v>
          </cell>
          <cell r="G1438" t="str">
            <v>שכר</v>
          </cell>
          <cell r="H1438">
            <v>6.5760033684210573E-2</v>
          </cell>
          <cell r="I1438">
            <v>133220.00421052633</v>
          </cell>
          <cell r="J1438">
            <v>125000</v>
          </cell>
          <cell r="K1438">
            <v>130450.98</v>
          </cell>
          <cell r="L1438">
            <v>129000</v>
          </cell>
          <cell r="M1438">
            <v>121115.52</v>
          </cell>
        </row>
        <row r="1439">
          <cell r="A1439">
            <v>1712300126</v>
          </cell>
          <cell r="B1439">
            <v>126</v>
          </cell>
          <cell r="C1439">
            <v>712300</v>
          </cell>
          <cell r="D1439">
            <v>1</v>
          </cell>
          <cell r="F1439" t="str">
            <v xml:space="preserve">דמי הבראה         </v>
          </cell>
          <cell r="G1439" t="str">
            <v>שכר</v>
          </cell>
          <cell r="H1439">
            <v>6.5779581211092397E-2</v>
          </cell>
          <cell r="I1439">
            <v>396470.00421052636</v>
          </cell>
          <cell r="J1439">
            <v>372000</v>
          </cell>
          <cell r="K1439">
            <v>379871.99</v>
          </cell>
          <cell r="L1439">
            <v>372000</v>
          </cell>
          <cell r="M1439">
            <v>361055.6</v>
          </cell>
        </row>
        <row r="1440">
          <cell r="A1440">
            <v>1712300130</v>
          </cell>
          <cell r="B1440">
            <v>130</v>
          </cell>
          <cell r="C1440">
            <v>712300</v>
          </cell>
          <cell r="D1440">
            <v>1</v>
          </cell>
          <cell r="F1440" t="str">
            <v xml:space="preserve">שעות נוספות       </v>
          </cell>
          <cell r="G1440" t="str">
            <v>שכר</v>
          </cell>
          <cell r="H1440">
            <v>0</v>
          </cell>
          <cell r="I1440">
            <v>4042000</v>
          </cell>
          <cell r="J1440">
            <v>4042000</v>
          </cell>
          <cell r="K1440">
            <v>2777995.39</v>
          </cell>
          <cell r="L1440">
            <v>4700000</v>
          </cell>
          <cell r="M1440">
            <v>4967774.5199999996</v>
          </cell>
        </row>
        <row r="1441">
          <cell r="A1441">
            <v>1712300140</v>
          </cell>
          <cell r="B1441">
            <v>140</v>
          </cell>
          <cell r="C1441">
            <v>712300</v>
          </cell>
          <cell r="D1441">
            <v>1</v>
          </cell>
          <cell r="F1441" t="str">
            <v>השתתפות באחזקת רכב</v>
          </cell>
          <cell r="G1441" t="str">
            <v>שכר</v>
          </cell>
          <cell r="H1441">
            <v>0</v>
          </cell>
          <cell r="I1441">
            <v>304800</v>
          </cell>
          <cell r="J1441">
            <v>304800</v>
          </cell>
          <cell r="K1441">
            <v>160670.93</v>
          </cell>
          <cell r="L1441">
            <v>304800</v>
          </cell>
          <cell r="M1441">
            <v>228162.86</v>
          </cell>
        </row>
        <row r="1442">
          <cell r="A1442">
            <v>1712300253</v>
          </cell>
          <cell r="B1442">
            <v>253</v>
          </cell>
          <cell r="C1442">
            <v>712300</v>
          </cell>
          <cell r="D1442">
            <v>1</v>
          </cell>
          <cell r="F1442" t="str">
            <v xml:space="preserve">אספקת עובדים      </v>
          </cell>
          <cell r="G1442" t="str">
            <v>שכר</v>
          </cell>
          <cell r="H1442">
            <v>-0.4175285792052259</v>
          </cell>
          <cell r="I1442">
            <v>642000</v>
          </cell>
          <cell r="J1442">
            <v>1102200</v>
          </cell>
          <cell r="K1442">
            <v>561154.37</v>
          </cell>
          <cell r="L1442">
            <v>1692000</v>
          </cell>
          <cell r="M1442">
            <v>1573226.65</v>
          </cell>
        </row>
        <row r="1443">
          <cell r="A1443">
            <v>1712300255</v>
          </cell>
          <cell r="B1443">
            <v>255</v>
          </cell>
          <cell r="C1443">
            <v>712300</v>
          </cell>
          <cell r="D1443">
            <v>1</v>
          </cell>
          <cell r="F1443" t="str">
            <v xml:space="preserve">אספקת פועלים      </v>
          </cell>
          <cell r="G1443" t="str">
            <v>שכר</v>
          </cell>
          <cell r="H1443">
            <v>0</v>
          </cell>
          <cell r="I1443">
            <v>111000</v>
          </cell>
          <cell r="J1443">
            <v>111000</v>
          </cell>
          <cell r="K1443">
            <v>31114.99</v>
          </cell>
          <cell r="L1443">
            <v>109000</v>
          </cell>
          <cell r="M1443">
            <v>69680</v>
          </cell>
        </row>
        <row r="1444">
          <cell r="A1444">
            <v>1712300437</v>
          </cell>
          <cell r="B1444">
            <v>437</v>
          </cell>
          <cell r="C1444">
            <v>712300</v>
          </cell>
          <cell r="D1444">
            <v>1</v>
          </cell>
          <cell r="F1444" t="str">
            <v xml:space="preserve">אחזקת אזעקה       </v>
          </cell>
          <cell r="G1444" t="str">
            <v>קשיח</v>
          </cell>
          <cell r="H1444">
            <v>0</v>
          </cell>
          <cell r="I1444">
            <v>1300</v>
          </cell>
          <cell r="J1444">
            <v>1300</v>
          </cell>
          <cell r="K1444">
            <v>615.96</v>
          </cell>
          <cell r="L1444">
            <v>1300</v>
          </cell>
          <cell r="M1444">
            <v>1221.48</v>
          </cell>
        </row>
        <row r="1445">
          <cell r="A1445">
            <v>1712300511</v>
          </cell>
          <cell r="B1445">
            <v>511</v>
          </cell>
          <cell r="C1445">
            <v>712300</v>
          </cell>
          <cell r="D1445">
            <v>1</v>
          </cell>
          <cell r="F1445" t="str">
            <v xml:space="preserve">אירוח וכיבוד      </v>
          </cell>
          <cell r="G1445" t="str">
            <v>גמיש</v>
          </cell>
          <cell r="H1445">
            <v>-0.17777777777777781</v>
          </cell>
          <cell r="I1445">
            <v>11100</v>
          </cell>
          <cell r="J1445">
            <v>13500</v>
          </cell>
          <cell r="K1445">
            <v>8711.25</v>
          </cell>
          <cell r="L1445">
            <v>9000</v>
          </cell>
          <cell r="M1445">
            <v>15800.16</v>
          </cell>
        </row>
        <row r="1446">
          <cell r="A1446">
            <v>1712300513</v>
          </cell>
          <cell r="B1446">
            <v>513</v>
          </cell>
          <cell r="C1446">
            <v>712300</v>
          </cell>
          <cell r="D1446">
            <v>1</v>
          </cell>
          <cell r="F1446" t="str">
            <v>כלכלה לעובדי תגבור</v>
          </cell>
          <cell r="G1446" t="str">
            <v>גמיש</v>
          </cell>
          <cell r="I1446">
            <v>16500</v>
          </cell>
          <cell r="J1446">
            <v>0</v>
          </cell>
          <cell r="K1446">
            <v>0</v>
          </cell>
          <cell r="L1446">
            <v>0</v>
          </cell>
          <cell r="M1446">
            <v>0</v>
          </cell>
        </row>
        <row r="1447">
          <cell r="A1447">
            <v>1712300596</v>
          </cell>
          <cell r="B1447">
            <v>596</v>
          </cell>
          <cell r="C1447">
            <v>712300</v>
          </cell>
          <cell r="D1447">
            <v>1</v>
          </cell>
          <cell r="F1447" t="str">
            <v xml:space="preserve">השתתפות בעזר 096  </v>
          </cell>
          <cell r="G1447" t="str">
            <v>קשיח</v>
          </cell>
          <cell r="H1447">
            <v>5.6186351398806123E-2</v>
          </cell>
          <cell r="I1447">
            <v>1804600</v>
          </cell>
          <cell r="J1447">
            <v>1708600</v>
          </cell>
          <cell r="K1447">
            <v>694200.31</v>
          </cell>
          <cell r="L1447">
            <v>1676000</v>
          </cell>
          <cell r="M1447">
            <v>1566548.27</v>
          </cell>
        </row>
        <row r="1448">
          <cell r="A1448">
            <v>1712300742</v>
          </cell>
          <cell r="B1448">
            <v>742</v>
          </cell>
          <cell r="C1448">
            <v>712300</v>
          </cell>
          <cell r="D1448">
            <v>1</v>
          </cell>
          <cell r="F1448" t="str">
            <v xml:space="preserve">כלים וציוד        </v>
          </cell>
          <cell r="G1448" t="str">
            <v>גמיש</v>
          </cell>
          <cell r="H1448">
            <v>0</v>
          </cell>
          <cell r="I1448">
            <v>136980</v>
          </cell>
          <cell r="J1448">
            <v>136980</v>
          </cell>
          <cell r="K1448">
            <v>19105</v>
          </cell>
          <cell r="L1448">
            <v>152200</v>
          </cell>
          <cell r="M1448">
            <v>140087.73000000001</v>
          </cell>
        </row>
        <row r="1449">
          <cell r="A1449">
            <v>1712300750</v>
          </cell>
          <cell r="B1449">
            <v>750</v>
          </cell>
          <cell r="C1449">
            <v>712300</v>
          </cell>
          <cell r="D1449">
            <v>1</v>
          </cell>
          <cell r="F1449" t="str">
            <v>פסולת בנין</v>
          </cell>
          <cell r="G1449" t="str">
            <v>קשיח</v>
          </cell>
          <cell r="H1449">
            <v>0</v>
          </cell>
          <cell r="I1449">
            <v>50000</v>
          </cell>
          <cell r="J1449">
            <v>50000</v>
          </cell>
          <cell r="K1449">
            <v>11180</v>
          </cell>
          <cell r="L1449">
            <v>100000</v>
          </cell>
          <cell r="M1449">
            <v>0</v>
          </cell>
        </row>
        <row r="1450">
          <cell r="A1450">
            <v>1712300752</v>
          </cell>
          <cell r="B1450">
            <v>752</v>
          </cell>
          <cell r="C1450">
            <v>712300</v>
          </cell>
          <cell r="D1450">
            <v>1</v>
          </cell>
          <cell r="F1450" t="str">
            <v xml:space="preserve">נקיון בקבלנות     </v>
          </cell>
          <cell r="G1450" t="str">
            <v>קשיח</v>
          </cell>
          <cell r="H1450">
            <v>1.5531914893617023</v>
          </cell>
          <cell r="I1450">
            <v>12000</v>
          </cell>
          <cell r="J1450">
            <v>4700</v>
          </cell>
          <cell r="K1450">
            <v>2471.86</v>
          </cell>
          <cell r="L1450">
            <v>4700</v>
          </cell>
          <cell r="M1450">
            <v>3313.56</v>
          </cell>
        </row>
        <row r="1451">
          <cell r="A1451">
            <v>1712300754</v>
          </cell>
          <cell r="B1451">
            <v>754</v>
          </cell>
          <cell r="C1451">
            <v>712300</v>
          </cell>
          <cell r="D1451">
            <v>1</v>
          </cell>
          <cell r="F1451" t="str">
            <v xml:space="preserve">פינוי אשפה - פחים </v>
          </cell>
          <cell r="G1451" t="str">
            <v>קשיח</v>
          </cell>
          <cell r="H1451">
            <v>0.13636363636363646</v>
          </cell>
          <cell r="I1451">
            <v>13500000</v>
          </cell>
          <cell r="J1451">
            <v>11880000</v>
          </cell>
          <cell r="K1451">
            <v>6794869</v>
          </cell>
          <cell r="L1451">
            <v>11887000</v>
          </cell>
          <cell r="M1451">
            <v>11583664.140000001</v>
          </cell>
        </row>
        <row r="1452">
          <cell r="A1452">
            <v>1712300755</v>
          </cell>
          <cell r="B1452">
            <v>755</v>
          </cell>
          <cell r="C1452">
            <v>712300</v>
          </cell>
          <cell r="D1452">
            <v>1</v>
          </cell>
          <cell r="F1452" t="str">
            <v>פינוי אריזות-כתומים במקור</v>
          </cell>
          <cell r="G1452" t="str">
            <v>קשיח</v>
          </cell>
          <cell r="H1452">
            <v>7.7519379844961378E-3</v>
          </cell>
          <cell r="I1452">
            <v>2600000</v>
          </cell>
          <cell r="J1452">
            <v>2580000</v>
          </cell>
          <cell r="K1452">
            <v>867978</v>
          </cell>
          <cell r="L1452">
            <v>3081000</v>
          </cell>
          <cell r="M1452">
            <v>2452804.33</v>
          </cell>
        </row>
        <row r="1453">
          <cell r="A1453">
            <v>1712300757</v>
          </cell>
          <cell r="B1453">
            <v>757</v>
          </cell>
          <cell r="C1453">
            <v>712300</v>
          </cell>
          <cell r="D1453">
            <v>1</v>
          </cell>
          <cell r="F1453" t="str">
            <v>פנוי אשפה  בקבלנות</v>
          </cell>
          <cell r="G1453" t="str">
            <v>קשיח</v>
          </cell>
          <cell r="H1453">
            <v>3.0729833546734975E-2</v>
          </cell>
          <cell r="I1453">
            <v>16100000</v>
          </cell>
          <cell r="J1453">
            <v>15620000</v>
          </cell>
          <cell r="K1453">
            <v>7021224.8099999996</v>
          </cell>
          <cell r="L1453">
            <v>15538000</v>
          </cell>
          <cell r="M1453">
            <v>13986642.4</v>
          </cell>
        </row>
        <row r="1454">
          <cell r="A1454">
            <v>1712300758</v>
          </cell>
          <cell r="B1454">
            <v>758</v>
          </cell>
          <cell r="C1454">
            <v>712300</v>
          </cell>
          <cell r="D1454">
            <v>1</v>
          </cell>
          <cell r="F1454" t="str">
            <v>פנוי אשפה (מהכנסה) עיסקית</v>
          </cell>
          <cell r="G1454" t="str">
            <v>קשיח</v>
          </cell>
          <cell r="H1454">
            <v>-7.8947368421052655E-2</v>
          </cell>
          <cell r="I1454">
            <v>3500000</v>
          </cell>
          <cell r="J1454">
            <v>3800000</v>
          </cell>
          <cell r="K1454">
            <v>1593486.43</v>
          </cell>
          <cell r="L1454">
            <v>4635000</v>
          </cell>
          <cell r="M1454">
            <v>3684111.27</v>
          </cell>
        </row>
        <row r="1455">
          <cell r="A1455">
            <v>1712300759</v>
          </cell>
          <cell r="B1455">
            <v>759</v>
          </cell>
          <cell r="C1455">
            <v>712300</v>
          </cell>
          <cell r="D1455">
            <v>1</v>
          </cell>
          <cell r="F1455" t="str">
            <v xml:space="preserve">שינוע אשפה        </v>
          </cell>
          <cell r="G1455" t="str">
            <v>קשיח</v>
          </cell>
          <cell r="H1455">
            <v>1.4679487179487181</v>
          </cell>
          <cell r="I1455">
            <v>385000</v>
          </cell>
          <cell r="J1455">
            <v>156000</v>
          </cell>
          <cell r="K1455">
            <v>12839</v>
          </cell>
          <cell r="L1455">
            <v>156000</v>
          </cell>
          <cell r="M1455">
            <v>140412</v>
          </cell>
        </row>
        <row r="1456">
          <cell r="A1456">
            <v>1712300760</v>
          </cell>
          <cell r="B1456">
            <v>760</v>
          </cell>
          <cell r="C1456">
            <v>712300</v>
          </cell>
          <cell r="D1456">
            <v>1</v>
          </cell>
          <cell r="F1456" t="str">
            <v>איסוף נייר למיחזור</v>
          </cell>
          <cell r="G1456" t="str">
            <v>קשיח</v>
          </cell>
          <cell r="H1456">
            <v>2.2727272727272707E-2</v>
          </cell>
          <cell r="I1456">
            <v>900000</v>
          </cell>
          <cell r="J1456">
            <v>880000</v>
          </cell>
          <cell r="K1456">
            <v>358749.57</v>
          </cell>
          <cell r="L1456">
            <v>984000</v>
          </cell>
          <cell r="M1456">
            <v>747749.52</v>
          </cell>
        </row>
        <row r="1457">
          <cell r="A1457">
            <v>1712300794</v>
          </cell>
          <cell r="B1457">
            <v>794</v>
          </cell>
          <cell r="C1457">
            <v>712300</v>
          </cell>
          <cell r="D1457">
            <v>1</v>
          </cell>
          <cell r="F1457" t="str">
            <v xml:space="preserve">השתתפות בעזר 094  </v>
          </cell>
          <cell r="G1457" t="str">
            <v>קשיח</v>
          </cell>
          <cell r="H1457">
            <v>0</v>
          </cell>
          <cell r="I1457">
            <v>182000</v>
          </cell>
          <cell r="J1457">
            <v>182000</v>
          </cell>
          <cell r="K1457">
            <v>85979</v>
          </cell>
          <cell r="L1457">
            <v>168000</v>
          </cell>
          <cell r="M1457">
            <v>200376</v>
          </cell>
        </row>
        <row r="1458">
          <cell r="A1458">
            <v>1712300830</v>
          </cell>
          <cell r="B1458">
            <v>830</v>
          </cell>
          <cell r="C1458">
            <v>712300</v>
          </cell>
          <cell r="D1458">
            <v>1</v>
          </cell>
          <cell r="F1458" t="str">
            <v>השתת'באיגוד תברואה</v>
          </cell>
          <cell r="G1458" t="str">
            <v>קשיח</v>
          </cell>
          <cell r="H1458">
            <v>6.5134187955362854E-2</v>
          </cell>
          <cell r="I1458">
            <v>46197000</v>
          </cell>
          <cell r="J1458">
            <v>43372000</v>
          </cell>
          <cell r="K1458">
            <v>28904648</v>
          </cell>
          <cell r="L1458">
            <v>39613000</v>
          </cell>
          <cell r="M1458">
            <v>39613000</v>
          </cell>
        </row>
        <row r="1459">
          <cell r="A1459" t="e">
            <v>#VALUE!</v>
          </cell>
          <cell r="B1459" t="str">
            <v>712300  סך הכל</v>
          </cell>
          <cell r="F1459" t="str">
            <v xml:space="preserve">איסוף וביעור אשפה  </v>
          </cell>
          <cell r="H1459">
            <v>6.3657706071418962E-2</v>
          </cell>
          <cell r="I1459">
            <v>103409100.00842105</v>
          </cell>
          <cell r="J1459">
            <v>97220280</v>
          </cell>
          <cell r="K1459">
            <v>57074588.510000005</v>
          </cell>
          <cell r="L1459">
            <v>94354200</v>
          </cell>
          <cell r="M1459">
            <v>92048218.520000011</v>
          </cell>
        </row>
        <row r="1460">
          <cell r="A1460">
            <v>17125000</v>
          </cell>
          <cell r="B1460">
            <v>0</v>
          </cell>
          <cell r="C1460">
            <v>712500</v>
          </cell>
          <cell r="D1460">
            <v>1</v>
          </cell>
          <cell r="F1460" t="str">
            <v>אח'שירותים צבוריים</v>
          </cell>
          <cell r="G1460" t="str">
            <v xml:space="preserve"> </v>
          </cell>
        </row>
        <row r="1461">
          <cell r="A1461">
            <v>1712500110</v>
          </cell>
          <cell r="B1461">
            <v>110</v>
          </cell>
          <cell r="C1461">
            <v>712500</v>
          </cell>
          <cell r="D1461">
            <v>1</v>
          </cell>
          <cell r="F1461" t="str">
            <v>השכר הקובע-תקציבית</v>
          </cell>
          <cell r="G1461" t="str">
            <v>שכר</v>
          </cell>
          <cell r="H1461">
            <v>2.5030303030302958E-2</v>
          </cell>
          <cell r="I1461">
            <v>169129.99999999997</v>
          </cell>
          <cell r="J1461">
            <v>165000</v>
          </cell>
          <cell r="K1461">
            <v>101418.67</v>
          </cell>
          <cell r="L1461">
            <v>143500</v>
          </cell>
          <cell r="M1461">
            <v>180350.6</v>
          </cell>
        </row>
        <row r="1462">
          <cell r="A1462">
            <v>1712500122</v>
          </cell>
          <cell r="B1462">
            <v>122</v>
          </cell>
          <cell r="C1462">
            <v>712500</v>
          </cell>
          <cell r="D1462">
            <v>1</v>
          </cell>
          <cell r="F1462" t="str">
            <v xml:space="preserve">ביגוד             </v>
          </cell>
          <cell r="G1462" t="str">
            <v>שכר</v>
          </cell>
          <cell r="H1462">
            <v>0</v>
          </cell>
          <cell r="I1462">
            <v>2500</v>
          </cell>
          <cell r="J1462">
            <v>2500</v>
          </cell>
          <cell r="K1462">
            <v>1871.18</v>
          </cell>
          <cell r="L1462">
            <v>6300</v>
          </cell>
          <cell r="M1462">
            <v>1935.16</v>
          </cell>
        </row>
        <row r="1463">
          <cell r="A1463">
            <v>1712500126</v>
          </cell>
          <cell r="B1463">
            <v>126</v>
          </cell>
          <cell r="C1463">
            <v>712500</v>
          </cell>
          <cell r="D1463">
            <v>1</v>
          </cell>
          <cell r="F1463" t="str">
            <v xml:space="preserve">דמי הבראה         </v>
          </cell>
          <cell r="G1463" t="str">
            <v>שכר</v>
          </cell>
          <cell r="H1463">
            <v>0</v>
          </cell>
          <cell r="I1463">
            <v>6500</v>
          </cell>
          <cell r="J1463">
            <v>6500</v>
          </cell>
          <cell r="K1463">
            <v>6128.2</v>
          </cell>
          <cell r="L1463">
            <v>8000</v>
          </cell>
          <cell r="M1463">
            <v>6128.2</v>
          </cell>
        </row>
        <row r="1464">
          <cell r="A1464">
            <v>1712500130</v>
          </cell>
          <cell r="B1464">
            <v>130</v>
          </cell>
          <cell r="C1464">
            <v>712500</v>
          </cell>
          <cell r="D1464">
            <v>1</v>
          </cell>
          <cell r="F1464" t="str">
            <v xml:space="preserve">שעות נוספות       </v>
          </cell>
          <cell r="G1464" t="str">
            <v>שכר</v>
          </cell>
          <cell r="H1464">
            <v>3.9189189189189193</v>
          </cell>
          <cell r="I1464">
            <v>72800</v>
          </cell>
          <cell r="J1464">
            <v>14800</v>
          </cell>
          <cell r="K1464">
            <v>48165.04</v>
          </cell>
          <cell r="L1464">
            <v>17200</v>
          </cell>
          <cell r="M1464">
            <v>83632.960000000006</v>
          </cell>
        </row>
        <row r="1465">
          <cell r="A1465">
            <v>1712500140</v>
          </cell>
          <cell r="B1465">
            <v>140</v>
          </cell>
          <cell r="C1465">
            <v>712500</v>
          </cell>
          <cell r="D1465">
            <v>1</v>
          </cell>
          <cell r="F1465" t="str">
            <v>השתתפות באחזקת רכב</v>
          </cell>
          <cell r="G1465" t="str">
            <v>שכר</v>
          </cell>
          <cell r="H1465">
            <v>0</v>
          </cell>
          <cell r="I1465">
            <v>18300</v>
          </cell>
          <cell r="J1465">
            <v>18300</v>
          </cell>
          <cell r="K1465">
            <v>7214.28</v>
          </cell>
          <cell r="L1465">
            <v>18300</v>
          </cell>
          <cell r="M1465">
            <v>21141.18</v>
          </cell>
        </row>
        <row r="1466">
          <cell r="A1466">
            <v>1712500722</v>
          </cell>
          <cell r="B1466">
            <v>722</v>
          </cell>
          <cell r="C1466">
            <v>712500</v>
          </cell>
          <cell r="D1466">
            <v>1</v>
          </cell>
          <cell r="F1466" t="str">
            <v>חמרים-תחזוקה עצמית</v>
          </cell>
          <cell r="G1466" t="str">
            <v>גמיש</v>
          </cell>
          <cell r="H1466">
            <v>0</v>
          </cell>
          <cell r="I1466">
            <v>30780</v>
          </cell>
          <cell r="J1466">
            <v>30780</v>
          </cell>
          <cell r="K1466">
            <v>13599.16</v>
          </cell>
          <cell r="L1466">
            <v>34200</v>
          </cell>
          <cell r="M1466">
            <v>24200</v>
          </cell>
        </row>
        <row r="1467">
          <cell r="A1467">
            <v>1712500742</v>
          </cell>
          <cell r="B1467">
            <v>742</v>
          </cell>
          <cell r="C1467">
            <v>712500</v>
          </cell>
          <cell r="D1467">
            <v>1</v>
          </cell>
          <cell r="F1467" t="str">
            <v xml:space="preserve">כלים וציוד        </v>
          </cell>
          <cell r="G1467" t="str">
            <v>גמיש</v>
          </cell>
          <cell r="H1467">
            <v>0</v>
          </cell>
          <cell r="I1467">
            <v>6120</v>
          </cell>
          <cell r="J1467">
            <v>6120</v>
          </cell>
          <cell r="K1467">
            <v>575.84</v>
          </cell>
          <cell r="L1467">
            <v>6800</v>
          </cell>
          <cell r="M1467">
            <v>16800</v>
          </cell>
        </row>
        <row r="1468">
          <cell r="A1468">
            <v>1712500751</v>
          </cell>
          <cell r="B1468">
            <v>751</v>
          </cell>
          <cell r="C1468">
            <v>712500</v>
          </cell>
          <cell r="D1468">
            <v>1</v>
          </cell>
          <cell r="F1468" t="str">
            <v xml:space="preserve">עבודות קבלניות    </v>
          </cell>
          <cell r="G1468" t="str">
            <v>גמיש</v>
          </cell>
          <cell r="H1468">
            <v>0.46296296296296302</v>
          </cell>
          <cell r="I1468">
            <v>31600</v>
          </cell>
          <cell r="J1468">
            <v>21600</v>
          </cell>
          <cell r="K1468">
            <v>20892</v>
          </cell>
          <cell r="L1468">
            <v>24000</v>
          </cell>
          <cell r="M1468">
            <v>23922.2</v>
          </cell>
        </row>
        <row r="1469">
          <cell r="A1469">
            <v>1712500752</v>
          </cell>
          <cell r="B1469">
            <v>752</v>
          </cell>
          <cell r="C1469">
            <v>712500</v>
          </cell>
          <cell r="D1469">
            <v>1</v>
          </cell>
          <cell r="F1469" t="str">
            <v>נקיון שרותים צבורי</v>
          </cell>
          <cell r="G1469" t="str">
            <v>קשיח</v>
          </cell>
          <cell r="H1469">
            <v>9.0265486725663813E-2</v>
          </cell>
          <cell r="I1469">
            <v>1232000</v>
          </cell>
          <cell r="J1469">
            <v>1130000</v>
          </cell>
          <cell r="K1469">
            <v>574078.5</v>
          </cell>
          <cell r="L1469">
            <v>1092000</v>
          </cell>
          <cell r="M1469">
            <v>1092248.5</v>
          </cell>
        </row>
        <row r="1470">
          <cell r="A1470">
            <v>1712500757</v>
          </cell>
          <cell r="B1470">
            <v>757</v>
          </cell>
          <cell r="C1470">
            <v>712500</v>
          </cell>
          <cell r="D1470">
            <v>1</v>
          </cell>
          <cell r="F1470" t="str">
            <v xml:space="preserve">מסגרים חיצוניים   </v>
          </cell>
          <cell r="G1470" t="str">
            <v>קשיח</v>
          </cell>
          <cell r="H1470">
            <v>0.12235192390834415</v>
          </cell>
          <cell r="I1470">
            <v>519200</v>
          </cell>
          <cell r="J1470">
            <v>462600</v>
          </cell>
          <cell r="K1470">
            <v>298557</v>
          </cell>
          <cell r="L1470">
            <v>465300</v>
          </cell>
          <cell r="M1470">
            <v>499789.2</v>
          </cell>
        </row>
        <row r="1471">
          <cell r="A1471">
            <v>1712500794</v>
          </cell>
          <cell r="B1471">
            <v>794</v>
          </cell>
          <cell r="C1471">
            <v>712500</v>
          </cell>
          <cell r="D1471">
            <v>1</v>
          </cell>
          <cell r="F1471" t="str">
            <v xml:space="preserve">השתתפות בעזר 094  </v>
          </cell>
          <cell r="G1471" t="str">
            <v>קשיח</v>
          </cell>
          <cell r="H1471">
            <v>0</v>
          </cell>
          <cell r="I1471">
            <v>15500</v>
          </cell>
          <cell r="J1471">
            <v>15500</v>
          </cell>
          <cell r="K1471">
            <v>7323</v>
          </cell>
          <cell r="L1471">
            <v>15500</v>
          </cell>
          <cell r="M1471">
            <v>18487</v>
          </cell>
        </row>
        <row r="1472">
          <cell r="A1472">
            <v>1712500931</v>
          </cell>
          <cell r="B1472">
            <v>931</v>
          </cell>
          <cell r="C1472">
            <v>712500</v>
          </cell>
          <cell r="D1472">
            <v>1</v>
          </cell>
          <cell r="F1472" t="str">
            <v xml:space="preserve">עבודות בטיחות ח"פ </v>
          </cell>
          <cell r="G1472" t="str">
            <v>גמיש</v>
          </cell>
          <cell r="H1472">
            <v>0</v>
          </cell>
          <cell r="I1472">
            <v>9000</v>
          </cell>
          <cell r="J1472">
            <v>9000</v>
          </cell>
          <cell r="K1472">
            <v>4626.3100000000004</v>
          </cell>
          <cell r="L1472">
            <v>12900</v>
          </cell>
          <cell r="M1472">
            <v>13305.28</v>
          </cell>
        </row>
        <row r="1473">
          <cell r="A1473" t="e">
            <v>#VALUE!</v>
          </cell>
          <cell r="B1473" t="str">
            <v>712500  סך הכל</v>
          </cell>
          <cell r="F1473" t="str">
            <v>אח'שירותים צבוריים</v>
          </cell>
          <cell r="H1473">
            <v>0.1225527168428322</v>
          </cell>
          <cell r="I1473">
            <v>2113430</v>
          </cell>
          <cell r="J1473">
            <v>1882700</v>
          </cell>
          <cell r="K1473">
            <v>1084449.1800000002</v>
          </cell>
          <cell r="L1473">
            <v>1844000</v>
          </cell>
          <cell r="M1473">
            <v>1981940.28</v>
          </cell>
        </row>
        <row r="1474">
          <cell r="A1474">
            <v>17126000</v>
          </cell>
          <cell r="B1474">
            <v>0</v>
          </cell>
          <cell r="C1474">
            <v>712600</v>
          </cell>
          <cell r="D1474">
            <v>1</v>
          </cell>
          <cell r="F1474" t="str">
            <v xml:space="preserve">תחנת המעבר        </v>
          </cell>
          <cell r="G1474" t="str">
            <v xml:space="preserve"> </v>
          </cell>
        </row>
        <row r="1475">
          <cell r="A1475">
            <v>1712600119</v>
          </cell>
          <cell r="B1475">
            <v>119</v>
          </cell>
          <cell r="C1475">
            <v>712600</v>
          </cell>
          <cell r="D1475">
            <v>1</v>
          </cell>
          <cell r="F1475" t="str">
            <v xml:space="preserve">השכר הקובע-צוברת  </v>
          </cell>
          <cell r="G1475" t="str">
            <v>שכר</v>
          </cell>
          <cell r="H1475">
            <v>0.37815126050420145</v>
          </cell>
          <cell r="I1475">
            <v>491999.99999999994</v>
          </cell>
          <cell r="J1475">
            <v>357000</v>
          </cell>
          <cell r="K1475">
            <v>266100.05</v>
          </cell>
          <cell r="L1475">
            <v>202900</v>
          </cell>
          <cell r="M1475">
            <v>177820.02</v>
          </cell>
        </row>
        <row r="1476">
          <cell r="A1476">
            <v>1712600122</v>
          </cell>
          <cell r="B1476">
            <v>122</v>
          </cell>
          <cell r="C1476">
            <v>712600</v>
          </cell>
          <cell r="D1476">
            <v>1</v>
          </cell>
          <cell r="F1476" t="str">
            <v xml:space="preserve">ביגוד             </v>
          </cell>
          <cell r="G1476" t="str">
            <v>שכר</v>
          </cell>
          <cell r="H1476">
            <v>1.5</v>
          </cell>
          <cell r="I1476">
            <v>6750</v>
          </cell>
          <cell r="J1476">
            <v>2700</v>
          </cell>
          <cell r="K1476">
            <v>3584.42</v>
          </cell>
          <cell r="L1476">
            <v>3300</v>
          </cell>
          <cell r="M1476">
            <v>2405</v>
          </cell>
        </row>
        <row r="1477">
          <cell r="A1477">
            <v>1712600126</v>
          </cell>
          <cell r="B1477">
            <v>126</v>
          </cell>
          <cell r="C1477">
            <v>712600</v>
          </cell>
          <cell r="D1477">
            <v>1</v>
          </cell>
          <cell r="F1477" t="str">
            <v xml:space="preserve">דמי הבראה         </v>
          </cell>
          <cell r="G1477" t="str">
            <v>שכר</v>
          </cell>
          <cell r="H1477">
            <v>1.5</v>
          </cell>
          <cell r="I1477">
            <v>16250</v>
          </cell>
          <cell r="J1477">
            <v>6500</v>
          </cell>
          <cell r="K1477">
            <v>11850.87</v>
          </cell>
          <cell r="L1477">
            <v>8000</v>
          </cell>
          <cell r="M1477">
            <v>6128.2</v>
          </cell>
        </row>
        <row r="1478">
          <cell r="A1478">
            <v>1712600130</v>
          </cell>
          <cell r="B1478">
            <v>130</v>
          </cell>
          <cell r="C1478">
            <v>712600</v>
          </cell>
          <cell r="D1478">
            <v>1</v>
          </cell>
          <cell r="F1478" t="str">
            <v xml:space="preserve">שעות נוספות       </v>
          </cell>
          <cell r="G1478" t="str">
            <v>שכר</v>
          </cell>
          <cell r="H1478">
            <v>0</v>
          </cell>
          <cell r="I1478">
            <v>41460</v>
          </cell>
          <cell r="J1478">
            <v>41460</v>
          </cell>
          <cell r="K1478">
            <v>33063.800000000003</v>
          </cell>
          <cell r="L1478">
            <v>48200</v>
          </cell>
          <cell r="M1478">
            <v>46977.72</v>
          </cell>
        </row>
        <row r="1479">
          <cell r="A1479">
            <v>1712600140</v>
          </cell>
          <cell r="B1479">
            <v>140</v>
          </cell>
          <cell r="C1479">
            <v>712600</v>
          </cell>
          <cell r="D1479">
            <v>1</v>
          </cell>
          <cell r="F1479" t="str">
            <v>השתתפות באחזקת רכב</v>
          </cell>
          <cell r="G1479" t="str">
            <v>שכר</v>
          </cell>
          <cell r="H1479">
            <v>0</v>
          </cell>
          <cell r="I1479">
            <v>32800</v>
          </cell>
          <cell r="J1479">
            <v>32800</v>
          </cell>
          <cell r="K1479">
            <v>30998.880000000001</v>
          </cell>
          <cell r="L1479">
            <v>32800</v>
          </cell>
          <cell r="M1479">
            <v>21144.45</v>
          </cell>
        </row>
        <row r="1480">
          <cell r="A1480">
            <v>1712600431</v>
          </cell>
          <cell r="B1480">
            <v>431</v>
          </cell>
          <cell r="C1480">
            <v>712600</v>
          </cell>
          <cell r="D1480">
            <v>1</v>
          </cell>
          <cell r="F1480" t="str">
            <v xml:space="preserve">חשמל              </v>
          </cell>
          <cell r="G1480" t="str">
            <v>קשיח</v>
          </cell>
          <cell r="H1480">
            <v>-0.41275167785234901</v>
          </cell>
          <cell r="I1480">
            <v>70000</v>
          </cell>
          <cell r="J1480">
            <v>119200</v>
          </cell>
          <cell r="K1480">
            <v>40257.06</v>
          </cell>
          <cell r="L1480">
            <v>61600</v>
          </cell>
          <cell r="M1480">
            <v>67324.84</v>
          </cell>
        </row>
        <row r="1481">
          <cell r="A1481">
            <v>1712600432</v>
          </cell>
          <cell r="B1481">
            <v>432</v>
          </cell>
          <cell r="C1481">
            <v>712600</v>
          </cell>
          <cell r="D1481">
            <v>1</v>
          </cell>
          <cell r="F1481" t="str">
            <v xml:space="preserve">מים               </v>
          </cell>
          <cell r="G1481" t="str">
            <v>קשיח</v>
          </cell>
          <cell r="H1481">
            <v>-3.558718861209953E-3</v>
          </cell>
          <cell r="I1481">
            <v>56000</v>
          </cell>
          <cell r="J1481">
            <v>56200</v>
          </cell>
          <cell r="K1481">
            <v>0</v>
          </cell>
          <cell r="L1481">
            <v>56200</v>
          </cell>
          <cell r="M1481">
            <v>11930.02</v>
          </cell>
        </row>
        <row r="1482">
          <cell r="A1482">
            <v>1712600476</v>
          </cell>
          <cell r="B1482">
            <v>476</v>
          </cell>
          <cell r="C1482">
            <v>712600</v>
          </cell>
          <cell r="D1482">
            <v>1</v>
          </cell>
          <cell r="F1482" t="str">
            <v>אחזקת גנרטור ומשקל</v>
          </cell>
          <cell r="G1482" t="str">
            <v>גמיש</v>
          </cell>
          <cell r="H1482">
            <v>0</v>
          </cell>
          <cell r="I1482">
            <v>7740</v>
          </cell>
          <cell r="J1482">
            <v>7740</v>
          </cell>
          <cell r="K1482">
            <v>6490</v>
          </cell>
          <cell r="L1482">
            <v>8600</v>
          </cell>
          <cell r="M1482">
            <v>0</v>
          </cell>
        </row>
        <row r="1483">
          <cell r="A1483">
            <v>1712600511</v>
          </cell>
          <cell r="B1483">
            <v>511</v>
          </cell>
          <cell r="C1483">
            <v>712600</v>
          </cell>
          <cell r="D1483">
            <v>1</v>
          </cell>
          <cell r="F1483" t="str">
            <v xml:space="preserve">אירוח וכיבוד      </v>
          </cell>
          <cell r="G1483" t="str">
            <v>גמיש</v>
          </cell>
          <cell r="H1483">
            <v>0.38888888888888884</v>
          </cell>
          <cell r="I1483">
            <v>500</v>
          </cell>
          <cell r="J1483">
            <v>360</v>
          </cell>
          <cell r="K1483">
            <v>0</v>
          </cell>
          <cell r="L1483">
            <v>400</v>
          </cell>
          <cell r="M1483">
            <v>399.36</v>
          </cell>
        </row>
        <row r="1484">
          <cell r="A1484">
            <v>1712600540</v>
          </cell>
          <cell r="B1484">
            <v>540</v>
          </cell>
          <cell r="C1484">
            <v>712600</v>
          </cell>
          <cell r="D1484">
            <v>1</v>
          </cell>
          <cell r="F1484" t="str">
            <v xml:space="preserve">הוצאות טלפון      </v>
          </cell>
          <cell r="G1484" t="str">
            <v>קשיח</v>
          </cell>
          <cell r="H1484">
            <v>0</v>
          </cell>
          <cell r="I1484">
            <v>2000</v>
          </cell>
          <cell r="J1484">
            <v>2000</v>
          </cell>
          <cell r="K1484">
            <v>829.14</v>
          </cell>
          <cell r="L1484">
            <v>3000</v>
          </cell>
          <cell r="M1484">
            <v>2018.97</v>
          </cell>
        </row>
        <row r="1485">
          <cell r="A1485">
            <v>1712600571</v>
          </cell>
          <cell r="B1485">
            <v>571</v>
          </cell>
          <cell r="C1485">
            <v>712600</v>
          </cell>
          <cell r="D1485">
            <v>1</v>
          </cell>
          <cell r="F1485" t="str">
            <v xml:space="preserve">מיכון וענ"א       </v>
          </cell>
          <cell r="G1485" t="str">
            <v>קשיח</v>
          </cell>
          <cell r="H1485">
            <v>0</v>
          </cell>
          <cell r="I1485">
            <v>75000</v>
          </cell>
          <cell r="J1485">
            <v>75000</v>
          </cell>
          <cell r="K1485">
            <v>37500</v>
          </cell>
          <cell r="L1485">
            <v>63100</v>
          </cell>
          <cell r="M1485">
            <v>63100</v>
          </cell>
        </row>
        <row r="1486">
          <cell r="A1486">
            <v>1712600722</v>
          </cell>
          <cell r="B1486">
            <v>722</v>
          </cell>
          <cell r="C1486">
            <v>712600</v>
          </cell>
          <cell r="D1486">
            <v>1</v>
          </cell>
          <cell r="F1486" t="str">
            <v>חמרים-תחזוקה עצמית</v>
          </cell>
          <cell r="G1486" t="str">
            <v>גמיש</v>
          </cell>
          <cell r="H1486">
            <v>0</v>
          </cell>
          <cell r="I1486">
            <v>810</v>
          </cell>
          <cell r="J1486">
            <v>810</v>
          </cell>
          <cell r="K1486">
            <v>0</v>
          </cell>
          <cell r="L1486">
            <v>900</v>
          </cell>
          <cell r="M1486">
            <v>899.57</v>
          </cell>
        </row>
        <row r="1487">
          <cell r="A1487">
            <v>1712600751</v>
          </cell>
          <cell r="B1487">
            <v>751</v>
          </cell>
          <cell r="C1487">
            <v>712600</v>
          </cell>
          <cell r="D1487">
            <v>1</v>
          </cell>
          <cell r="F1487" t="str">
            <v xml:space="preserve">עבודות קבלניות    </v>
          </cell>
          <cell r="G1487" t="str">
            <v>גמיש</v>
          </cell>
          <cell r="H1487">
            <v>0</v>
          </cell>
          <cell r="I1487">
            <v>3060</v>
          </cell>
          <cell r="J1487">
            <v>3060</v>
          </cell>
          <cell r="K1487">
            <v>0</v>
          </cell>
          <cell r="L1487">
            <v>3400</v>
          </cell>
          <cell r="M1487">
            <v>1488</v>
          </cell>
        </row>
        <row r="1488">
          <cell r="A1488">
            <v>1712600752</v>
          </cell>
          <cell r="B1488">
            <v>752</v>
          </cell>
          <cell r="C1488">
            <v>712600</v>
          </cell>
          <cell r="D1488">
            <v>1</v>
          </cell>
          <cell r="F1488" t="str">
            <v xml:space="preserve">נקיון בקבלנות     </v>
          </cell>
          <cell r="G1488" t="str">
            <v>קשיח</v>
          </cell>
          <cell r="H1488">
            <v>-0.35672514619883045</v>
          </cell>
          <cell r="I1488">
            <v>22000</v>
          </cell>
          <cell r="J1488">
            <v>34200</v>
          </cell>
          <cell r="K1488">
            <v>1470.98</v>
          </cell>
          <cell r="L1488">
            <v>34200</v>
          </cell>
          <cell r="M1488">
            <v>20101.900000000001</v>
          </cell>
        </row>
        <row r="1489">
          <cell r="A1489">
            <v>1712600756</v>
          </cell>
          <cell r="B1489">
            <v>756</v>
          </cell>
          <cell r="C1489">
            <v>712600</v>
          </cell>
          <cell r="D1489">
            <v>1</v>
          </cell>
          <cell r="F1489" t="str">
            <v>שמ' תחנה+מ'גרוטאות</v>
          </cell>
          <cell r="G1489" t="str">
            <v>קשיח</v>
          </cell>
          <cell r="H1489">
            <v>-0.59166666666666667</v>
          </cell>
          <cell r="I1489">
            <v>294000</v>
          </cell>
          <cell r="J1489">
            <v>720000</v>
          </cell>
          <cell r="K1489">
            <v>293554.59999999998</v>
          </cell>
          <cell r="L1489">
            <v>640000</v>
          </cell>
          <cell r="M1489">
            <v>681847.12</v>
          </cell>
        </row>
        <row r="1490">
          <cell r="A1490" t="e">
            <v>#VALUE!</v>
          </cell>
          <cell r="B1490" t="str">
            <v>712600  סך הכל</v>
          </cell>
          <cell r="F1490" t="str">
            <v xml:space="preserve">תחנת המעבר        </v>
          </cell>
          <cell r="H1490">
            <v>-0.23211311624846642</v>
          </cell>
          <cell r="I1490">
            <v>1120370</v>
          </cell>
          <cell r="J1490">
            <v>1459030</v>
          </cell>
          <cell r="K1490">
            <v>725699.79999999993</v>
          </cell>
          <cell r="L1490">
            <v>1166600</v>
          </cell>
          <cell r="M1490">
            <v>1103585.17</v>
          </cell>
        </row>
        <row r="1491">
          <cell r="A1491">
            <v>17130000</v>
          </cell>
          <cell r="B1491">
            <v>0</v>
          </cell>
          <cell r="C1491">
            <v>713000</v>
          </cell>
          <cell r="D1491">
            <v>1</v>
          </cell>
          <cell r="F1491" t="str">
            <v xml:space="preserve">פיקוח תברואי      </v>
          </cell>
          <cell r="G1491" t="str">
            <v xml:space="preserve"> </v>
          </cell>
        </row>
        <row r="1492">
          <cell r="A1492">
            <v>1713300119</v>
          </cell>
          <cell r="B1492">
            <v>119</v>
          </cell>
          <cell r="C1492">
            <v>713300</v>
          </cell>
          <cell r="D1492">
            <v>1</v>
          </cell>
          <cell r="F1492" t="str">
            <v xml:space="preserve">השכר הקובע-צוברת  </v>
          </cell>
          <cell r="G1492" t="str">
            <v>שכר</v>
          </cell>
          <cell r="H1492">
            <v>-8.9699475393455019E-2</v>
          </cell>
          <cell r="I1492">
            <v>3279539.6999999997</v>
          </cell>
          <cell r="J1492">
            <v>3602700</v>
          </cell>
          <cell r="K1492">
            <v>1422985.89</v>
          </cell>
          <cell r="L1492">
            <v>2381800</v>
          </cell>
          <cell r="M1492">
            <v>2220565.46</v>
          </cell>
        </row>
        <row r="1493">
          <cell r="A1493">
            <v>1713300122</v>
          </cell>
          <cell r="B1493">
            <v>122</v>
          </cell>
          <cell r="C1493">
            <v>713300</v>
          </cell>
          <cell r="D1493">
            <v>1</v>
          </cell>
          <cell r="F1493" t="str">
            <v xml:space="preserve">ביגוד             </v>
          </cell>
          <cell r="G1493" t="str">
            <v>שכר</v>
          </cell>
          <cell r="H1493">
            <v>-8.999990999099905E-2</v>
          </cell>
          <cell r="I1493">
            <v>40040.003960396039</v>
          </cell>
          <cell r="J1493">
            <v>44000</v>
          </cell>
          <cell r="K1493">
            <v>30493.8</v>
          </cell>
          <cell r="L1493">
            <v>30000</v>
          </cell>
          <cell r="M1493">
            <v>28101.5</v>
          </cell>
        </row>
        <row r="1494">
          <cell r="A1494">
            <v>1713300126</v>
          </cell>
          <cell r="B1494">
            <v>126</v>
          </cell>
          <cell r="C1494">
            <v>713300</v>
          </cell>
          <cell r="D1494">
            <v>1</v>
          </cell>
          <cell r="F1494" t="str">
            <v xml:space="preserve">דמי הבראה         </v>
          </cell>
          <cell r="G1494" t="str">
            <v>שכר</v>
          </cell>
          <cell r="H1494">
            <v>-9.0000011001100222E-2</v>
          </cell>
          <cell r="I1494">
            <v>90089.998910891081</v>
          </cell>
          <cell r="J1494">
            <v>99000</v>
          </cell>
          <cell r="K1494">
            <v>76230.490000000005</v>
          </cell>
          <cell r="L1494">
            <v>78000</v>
          </cell>
          <cell r="M1494">
            <v>60801.56</v>
          </cell>
        </row>
        <row r="1495">
          <cell r="A1495">
            <v>1713300130</v>
          </cell>
          <cell r="B1495">
            <v>130</v>
          </cell>
          <cell r="C1495">
            <v>713300</v>
          </cell>
          <cell r="D1495">
            <v>1</v>
          </cell>
          <cell r="F1495" t="str">
            <v xml:space="preserve">שעות נוספות       </v>
          </cell>
          <cell r="G1495" t="str">
            <v>שכר</v>
          </cell>
          <cell r="H1495">
            <v>0</v>
          </cell>
          <cell r="I1495">
            <v>32860</v>
          </cell>
          <cell r="J1495">
            <v>32860</v>
          </cell>
          <cell r="K1495">
            <v>8299.08</v>
          </cell>
          <cell r="L1495">
            <v>4500</v>
          </cell>
          <cell r="M1495">
            <v>18089.349999999999</v>
          </cell>
        </row>
        <row r="1496">
          <cell r="A1496">
            <v>1713300140</v>
          </cell>
          <cell r="B1496">
            <v>140</v>
          </cell>
          <cell r="C1496">
            <v>713300</v>
          </cell>
          <cell r="D1496">
            <v>1</v>
          </cell>
          <cell r="F1496" t="str">
            <v>השתתפות באחזקת רכב</v>
          </cell>
          <cell r="G1496" t="str">
            <v>שכר</v>
          </cell>
          <cell r="H1496">
            <v>0</v>
          </cell>
          <cell r="I1496">
            <v>369000</v>
          </cell>
          <cell r="J1496">
            <v>369000</v>
          </cell>
          <cell r="K1496">
            <v>139618.79</v>
          </cell>
          <cell r="L1496">
            <v>245900</v>
          </cell>
          <cell r="M1496">
            <v>258638.06</v>
          </cell>
        </row>
        <row r="1497">
          <cell r="A1497">
            <v>1713300253</v>
          </cell>
          <cell r="B1497">
            <v>253</v>
          </cell>
          <cell r="C1497">
            <v>713300</v>
          </cell>
          <cell r="D1497">
            <v>1</v>
          </cell>
          <cell r="F1497" t="str">
            <v xml:space="preserve">עובדים חיצוניים   </v>
          </cell>
          <cell r="G1497" t="str">
            <v>שכר</v>
          </cell>
          <cell r="I1497">
            <v>234000</v>
          </cell>
          <cell r="J1497">
            <v>0</v>
          </cell>
          <cell r="K1497">
            <v>0</v>
          </cell>
          <cell r="L1497">
            <v>0</v>
          </cell>
          <cell r="M1497">
            <v>40410.589999999997</v>
          </cell>
        </row>
        <row r="1498">
          <cell r="A1498">
            <v>1713300470</v>
          </cell>
          <cell r="B1498">
            <v>470</v>
          </cell>
          <cell r="C1498">
            <v>713300</v>
          </cell>
          <cell r="D1498">
            <v>1</v>
          </cell>
          <cell r="F1498" t="str">
            <v xml:space="preserve">אחזקת מכונות משרד </v>
          </cell>
          <cell r="G1498" t="str">
            <v>גמיש</v>
          </cell>
          <cell r="I1498">
            <v>0</v>
          </cell>
          <cell r="J1498">
            <v>0</v>
          </cell>
          <cell r="K1498">
            <v>0</v>
          </cell>
          <cell r="L1498">
            <v>1260</v>
          </cell>
          <cell r="M1498">
            <v>0</v>
          </cell>
        </row>
        <row r="1499">
          <cell r="A1499">
            <v>1713300471</v>
          </cell>
          <cell r="B1499">
            <v>471</v>
          </cell>
          <cell r="C1499">
            <v>713300</v>
          </cell>
          <cell r="D1499">
            <v>1</v>
          </cell>
          <cell r="F1499" t="str">
            <v xml:space="preserve">מכשירי כתיבה      </v>
          </cell>
          <cell r="G1499" t="str">
            <v>גמיש</v>
          </cell>
          <cell r="H1499">
            <v>0</v>
          </cell>
          <cell r="I1499">
            <v>33210</v>
          </cell>
          <cell r="J1499">
            <v>33210</v>
          </cell>
          <cell r="K1499">
            <v>15145.95</v>
          </cell>
          <cell r="L1499">
            <v>24000</v>
          </cell>
          <cell r="M1499">
            <v>26397.119999999999</v>
          </cell>
        </row>
        <row r="1500">
          <cell r="A1500">
            <v>1713300511</v>
          </cell>
          <cell r="B1500">
            <v>511</v>
          </cell>
          <cell r="C1500">
            <v>713300</v>
          </cell>
          <cell r="D1500">
            <v>1</v>
          </cell>
          <cell r="F1500" t="str">
            <v xml:space="preserve">אירוח וכיבוד      </v>
          </cell>
          <cell r="G1500" t="str">
            <v>גמיש</v>
          </cell>
          <cell r="H1500">
            <v>-0.72789115646258495</v>
          </cell>
          <cell r="I1500">
            <v>3600</v>
          </cell>
          <cell r="J1500">
            <v>13230</v>
          </cell>
          <cell r="K1500">
            <v>0</v>
          </cell>
          <cell r="L1500">
            <v>5200</v>
          </cell>
          <cell r="M1500">
            <v>4935.0200000000004</v>
          </cell>
        </row>
        <row r="1501">
          <cell r="A1501">
            <v>1713300522</v>
          </cell>
          <cell r="B1501">
            <v>522</v>
          </cell>
          <cell r="C1501">
            <v>713300</v>
          </cell>
          <cell r="D1501">
            <v>1</v>
          </cell>
          <cell r="F1501" t="str">
            <v xml:space="preserve">ספרים ועיתונים    </v>
          </cell>
          <cell r="G1501" t="str">
            <v>גמיש</v>
          </cell>
          <cell r="H1501">
            <v>0</v>
          </cell>
          <cell r="I1501">
            <v>1350</v>
          </cell>
          <cell r="J1501">
            <v>1350</v>
          </cell>
          <cell r="K1501">
            <v>0</v>
          </cell>
          <cell r="L1501">
            <v>1500</v>
          </cell>
          <cell r="M1501">
            <v>0</v>
          </cell>
        </row>
        <row r="1502">
          <cell r="A1502">
            <v>1713300544</v>
          </cell>
          <cell r="B1502">
            <v>544</v>
          </cell>
          <cell r="C1502">
            <v>713300</v>
          </cell>
          <cell r="D1502">
            <v>1</v>
          </cell>
          <cell r="F1502" t="str">
            <v xml:space="preserve">הוצאות דאר        </v>
          </cell>
          <cell r="G1502" t="str">
            <v>קשיח</v>
          </cell>
          <cell r="H1502">
            <v>0.4285714285714286</v>
          </cell>
          <cell r="I1502">
            <v>50000</v>
          </cell>
          <cell r="J1502">
            <v>35000</v>
          </cell>
          <cell r="K1502">
            <v>21924.09</v>
          </cell>
          <cell r="L1502">
            <v>28800</v>
          </cell>
          <cell r="M1502">
            <v>46704.24</v>
          </cell>
        </row>
        <row r="1503">
          <cell r="A1503">
            <v>1713300550</v>
          </cell>
          <cell r="B1503">
            <v>550</v>
          </cell>
          <cell r="C1503">
            <v>713300</v>
          </cell>
          <cell r="D1503">
            <v>1</v>
          </cell>
          <cell r="F1503" t="str">
            <v xml:space="preserve">פירסומים          </v>
          </cell>
          <cell r="G1503" t="str">
            <v>גמיש</v>
          </cell>
          <cell r="H1503">
            <v>-0.31833674164962511</v>
          </cell>
          <cell r="I1503">
            <v>10000</v>
          </cell>
          <cell r="J1503">
            <v>14670</v>
          </cell>
          <cell r="K1503">
            <v>8921</v>
          </cell>
          <cell r="L1503">
            <v>8600</v>
          </cell>
          <cell r="M1503">
            <v>4856</v>
          </cell>
        </row>
        <row r="1504">
          <cell r="A1504">
            <v>1713300561</v>
          </cell>
          <cell r="B1504">
            <v>561</v>
          </cell>
          <cell r="C1504">
            <v>713300</v>
          </cell>
          <cell r="D1504">
            <v>1</v>
          </cell>
          <cell r="F1504" t="str">
            <v xml:space="preserve">שיכפולים          </v>
          </cell>
          <cell r="G1504" t="str">
            <v>גמיש</v>
          </cell>
          <cell r="H1504">
            <v>0</v>
          </cell>
          <cell r="I1504">
            <v>2520</v>
          </cell>
          <cell r="J1504">
            <v>2520</v>
          </cell>
          <cell r="K1504">
            <v>944.88</v>
          </cell>
          <cell r="L1504">
            <v>2100</v>
          </cell>
          <cell r="M1504">
            <v>0</v>
          </cell>
        </row>
        <row r="1505">
          <cell r="A1505">
            <v>1713300562</v>
          </cell>
          <cell r="B1505">
            <v>562</v>
          </cell>
          <cell r="C1505">
            <v>713300</v>
          </cell>
          <cell r="D1505">
            <v>1</v>
          </cell>
          <cell r="F1505" t="str">
            <v xml:space="preserve">הדפסות            </v>
          </cell>
          <cell r="G1505" t="str">
            <v>גמיש</v>
          </cell>
          <cell r="H1505">
            <v>0</v>
          </cell>
          <cell r="I1505">
            <v>24660</v>
          </cell>
          <cell r="J1505">
            <v>24660</v>
          </cell>
          <cell r="K1505">
            <v>2348</v>
          </cell>
          <cell r="L1505">
            <v>4300</v>
          </cell>
          <cell r="M1505">
            <v>2000</v>
          </cell>
        </row>
        <row r="1506">
          <cell r="A1506">
            <v>1713300566</v>
          </cell>
          <cell r="B1506">
            <v>566</v>
          </cell>
          <cell r="C1506">
            <v>713300</v>
          </cell>
          <cell r="D1506">
            <v>1</v>
          </cell>
          <cell r="F1506" t="str">
            <v>חבילת גלישה</v>
          </cell>
          <cell r="G1506" t="str">
            <v>גמיש</v>
          </cell>
          <cell r="H1506">
            <v>-1</v>
          </cell>
          <cell r="I1506">
            <v>0</v>
          </cell>
          <cell r="J1506">
            <v>3960</v>
          </cell>
          <cell r="K1506">
            <v>0</v>
          </cell>
          <cell r="L1506">
            <v>4400</v>
          </cell>
          <cell r="M1506">
            <v>0</v>
          </cell>
        </row>
        <row r="1507">
          <cell r="A1507">
            <v>1713300570</v>
          </cell>
          <cell r="B1507">
            <v>570</v>
          </cell>
          <cell r="C1507">
            <v>713300</v>
          </cell>
          <cell r="D1507">
            <v>1</v>
          </cell>
          <cell r="F1507" t="str">
            <v>מעוף קידום עסקים</v>
          </cell>
          <cell r="G1507" t="str">
            <v>גמיש</v>
          </cell>
          <cell r="I1507">
            <v>8000</v>
          </cell>
          <cell r="K1507">
            <v>0</v>
          </cell>
          <cell r="L1507">
            <v>0</v>
          </cell>
        </row>
        <row r="1508">
          <cell r="A1508">
            <v>1713300571</v>
          </cell>
          <cell r="B1508">
            <v>571</v>
          </cell>
          <cell r="C1508">
            <v>713300</v>
          </cell>
          <cell r="D1508">
            <v>1</v>
          </cell>
          <cell r="F1508" t="str">
            <v xml:space="preserve">מיכון וענ"א       </v>
          </cell>
          <cell r="G1508" t="str">
            <v>קשיח</v>
          </cell>
          <cell r="H1508">
            <v>0</v>
          </cell>
          <cell r="I1508">
            <v>201000</v>
          </cell>
          <cell r="J1508">
            <v>201000</v>
          </cell>
          <cell r="K1508">
            <v>100500</v>
          </cell>
          <cell r="L1508">
            <v>173000</v>
          </cell>
          <cell r="M1508">
            <v>173000</v>
          </cell>
        </row>
        <row r="1509">
          <cell r="A1509">
            <v>1713300573</v>
          </cell>
          <cell r="B1509">
            <v>573</v>
          </cell>
          <cell r="C1509">
            <v>713300</v>
          </cell>
          <cell r="D1509">
            <v>1</v>
          </cell>
          <cell r="F1509" t="str">
            <v>מיחשוב רישוי עסקים</v>
          </cell>
          <cell r="G1509" t="str">
            <v>גמיש</v>
          </cell>
          <cell r="H1509">
            <v>0.26453143534994061</v>
          </cell>
          <cell r="I1509">
            <v>95940</v>
          </cell>
          <cell r="J1509">
            <v>75870</v>
          </cell>
          <cell r="K1509">
            <v>0</v>
          </cell>
          <cell r="L1509">
            <v>84300</v>
          </cell>
          <cell r="M1509">
            <v>639</v>
          </cell>
        </row>
        <row r="1510">
          <cell r="A1510">
            <v>1713300580</v>
          </cell>
          <cell r="B1510">
            <v>580</v>
          </cell>
          <cell r="C1510">
            <v>713300</v>
          </cell>
          <cell r="D1510">
            <v>1</v>
          </cell>
          <cell r="F1510" t="str">
            <v xml:space="preserve">יעוץ חיצוני       </v>
          </cell>
          <cell r="G1510" t="str">
            <v>גמיש</v>
          </cell>
          <cell r="H1510">
            <v>-1</v>
          </cell>
          <cell r="I1510">
            <v>0</v>
          </cell>
          <cell r="J1510">
            <v>15390</v>
          </cell>
          <cell r="K1510">
            <v>0</v>
          </cell>
          <cell r="L1510">
            <v>0</v>
          </cell>
          <cell r="M1510">
            <v>0</v>
          </cell>
        </row>
        <row r="1511">
          <cell r="A1511">
            <v>1713300581</v>
          </cell>
          <cell r="B1511">
            <v>581</v>
          </cell>
          <cell r="C1511">
            <v>713300</v>
          </cell>
          <cell r="D1511">
            <v>1</v>
          </cell>
          <cell r="F1511" t="str">
            <v>דו"ח רשם החברות</v>
          </cell>
          <cell r="G1511" t="str">
            <v>גמיש</v>
          </cell>
          <cell r="H1511">
            <v>0.96078431372549011</v>
          </cell>
          <cell r="I1511">
            <v>3000</v>
          </cell>
          <cell r="J1511">
            <v>1530</v>
          </cell>
          <cell r="K1511">
            <v>934</v>
          </cell>
          <cell r="L1511">
            <v>1700</v>
          </cell>
          <cell r="M1511">
            <v>1700</v>
          </cell>
        </row>
        <row r="1512">
          <cell r="A1512">
            <v>1713300582</v>
          </cell>
          <cell r="B1512">
            <v>582</v>
          </cell>
          <cell r="C1512">
            <v>713300</v>
          </cell>
          <cell r="D1512">
            <v>1</v>
          </cell>
          <cell r="F1512" t="str">
            <v>סקר שילוט</v>
          </cell>
          <cell r="G1512" t="str">
            <v>גמיש</v>
          </cell>
          <cell r="H1512">
            <v>-1</v>
          </cell>
          <cell r="I1512">
            <v>0</v>
          </cell>
          <cell r="J1512">
            <v>180000</v>
          </cell>
          <cell r="K1512">
            <v>0</v>
          </cell>
          <cell r="L1512">
            <v>0</v>
          </cell>
          <cell r="M1512">
            <v>0</v>
          </cell>
        </row>
        <row r="1513">
          <cell r="A1513">
            <v>1713300585</v>
          </cell>
          <cell r="B1513">
            <v>585</v>
          </cell>
          <cell r="C1513">
            <v>713300</v>
          </cell>
          <cell r="D1513">
            <v>1</v>
          </cell>
          <cell r="F1513" t="str">
            <v>משפטי שלוט</v>
          </cell>
          <cell r="G1513" t="str">
            <v>קשיח</v>
          </cell>
          <cell r="H1513">
            <v>0.87134502923976598</v>
          </cell>
          <cell r="I1513">
            <v>160000</v>
          </cell>
          <cell r="J1513">
            <v>85500</v>
          </cell>
          <cell r="K1513">
            <v>85185.34</v>
          </cell>
          <cell r="L1513">
            <v>0</v>
          </cell>
          <cell r="M1513">
            <v>93188.95</v>
          </cell>
        </row>
        <row r="1514">
          <cell r="A1514">
            <v>1713300750</v>
          </cell>
          <cell r="B1514">
            <v>750</v>
          </cell>
          <cell r="C1514">
            <v>713300</v>
          </cell>
          <cell r="D1514">
            <v>1</v>
          </cell>
          <cell r="F1514" t="str">
            <v>מנגנון לסגירת עסקים</v>
          </cell>
          <cell r="G1514" t="str">
            <v>גמיש</v>
          </cell>
          <cell r="H1514">
            <v>-1</v>
          </cell>
          <cell r="I1514">
            <v>0</v>
          </cell>
          <cell r="J1514">
            <v>10000</v>
          </cell>
          <cell r="K1514">
            <v>0</v>
          </cell>
          <cell r="L1514">
            <v>42800</v>
          </cell>
          <cell r="M1514">
            <v>237</v>
          </cell>
        </row>
        <row r="1515">
          <cell r="A1515">
            <v>1713300751</v>
          </cell>
          <cell r="B1515">
            <v>751</v>
          </cell>
          <cell r="C1515">
            <v>713300</v>
          </cell>
          <cell r="D1515">
            <v>1</v>
          </cell>
          <cell r="F1515" t="str">
            <v>סוכן AI לרישוי עסקים</v>
          </cell>
          <cell r="G1515" t="str">
            <v>קשיח</v>
          </cell>
          <cell r="I1515">
            <v>140000</v>
          </cell>
          <cell r="J1515">
            <v>0</v>
          </cell>
          <cell r="K1515">
            <v>0</v>
          </cell>
          <cell r="L1515">
            <v>0</v>
          </cell>
          <cell r="M1515">
            <v>0</v>
          </cell>
        </row>
        <row r="1516">
          <cell r="A1516">
            <v>1713300754</v>
          </cell>
          <cell r="B1516">
            <v>754</v>
          </cell>
          <cell r="C1516">
            <v>713300</v>
          </cell>
          <cell r="D1516">
            <v>1</v>
          </cell>
          <cell r="F1516" t="str">
            <v>אח' והחלפת לוחות שכונתיים</v>
          </cell>
          <cell r="G1516" t="str">
            <v>גמיש</v>
          </cell>
          <cell r="H1516">
            <v>-1</v>
          </cell>
          <cell r="I1516">
            <v>0</v>
          </cell>
          <cell r="J1516">
            <v>107730</v>
          </cell>
          <cell r="K1516">
            <v>100018.8</v>
          </cell>
          <cell r="L1516">
            <v>0</v>
          </cell>
          <cell r="M1516">
            <v>119700</v>
          </cell>
        </row>
        <row r="1517">
          <cell r="A1517">
            <v>1713300758</v>
          </cell>
          <cell r="B1517">
            <v>758</v>
          </cell>
          <cell r="C1517">
            <v>713300</v>
          </cell>
          <cell r="D1517">
            <v>1</v>
          </cell>
          <cell r="F1517" t="str">
            <v>הצבת מודעון  - קבלן</v>
          </cell>
          <cell r="G1517" t="str">
            <v>קשיח</v>
          </cell>
          <cell r="I1517">
            <v>0</v>
          </cell>
          <cell r="K1517">
            <v>0</v>
          </cell>
          <cell r="L1517">
            <v>0</v>
          </cell>
        </row>
        <row r="1518">
          <cell r="A1518">
            <v>1713300931</v>
          </cell>
          <cell r="B1518">
            <v>931</v>
          </cell>
          <cell r="C1518">
            <v>713300</v>
          </cell>
          <cell r="D1518">
            <v>1</v>
          </cell>
          <cell r="F1518" t="str">
            <v xml:space="preserve">רכישות            </v>
          </cell>
          <cell r="G1518" t="str">
            <v>גמיש</v>
          </cell>
          <cell r="I1518">
            <v>0</v>
          </cell>
          <cell r="J1518">
            <v>0</v>
          </cell>
          <cell r="K1518">
            <v>0</v>
          </cell>
          <cell r="L1518">
            <v>8100</v>
          </cell>
          <cell r="M1518">
            <v>0</v>
          </cell>
        </row>
        <row r="1519">
          <cell r="A1519">
            <v>1713300932</v>
          </cell>
          <cell r="B1519">
            <v>932</v>
          </cell>
          <cell r="C1519">
            <v>713300</v>
          </cell>
          <cell r="D1519">
            <v>1</v>
          </cell>
          <cell r="F1519" t="str">
            <v>ציוד בטיחותי אישי</v>
          </cell>
          <cell r="G1519" t="str">
            <v>גמיש</v>
          </cell>
          <cell r="H1519">
            <v>0</v>
          </cell>
          <cell r="I1519">
            <v>4590</v>
          </cell>
          <cell r="J1519">
            <v>4590</v>
          </cell>
          <cell r="K1519">
            <v>239.02</v>
          </cell>
          <cell r="L1519">
            <v>2900</v>
          </cell>
          <cell r="M1519">
            <v>2787.14</v>
          </cell>
        </row>
        <row r="1520">
          <cell r="A1520">
            <v>1713300933</v>
          </cell>
          <cell r="B1520">
            <v>933</v>
          </cell>
          <cell r="C1520">
            <v>713300</v>
          </cell>
          <cell r="D1520">
            <v>1</v>
          </cell>
          <cell r="F1520" t="str">
            <v>התקנת ואחזקת שילוט</v>
          </cell>
          <cell r="G1520" t="str">
            <v>גמיש</v>
          </cell>
          <cell r="H1520">
            <v>0.42916536742542366</v>
          </cell>
          <cell r="I1520">
            <v>275000</v>
          </cell>
          <cell r="J1520">
            <v>192420</v>
          </cell>
          <cell r="K1520">
            <v>50000</v>
          </cell>
          <cell r="L1520">
            <v>0</v>
          </cell>
          <cell r="M1520">
            <v>127164.18</v>
          </cell>
        </row>
        <row r="1521">
          <cell r="A1521" t="e">
            <v>#VALUE!</v>
          </cell>
          <cell r="B1521" t="str">
            <v>713300  סך הכל</v>
          </cell>
          <cell r="F1521" t="str">
            <v>פיקוח עסקים+מוסדות</v>
          </cell>
          <cell r="H1521">
            <v>-1.7822701129222907E-2</v>
          </cell>
          <cell r="I1521">
            <v>5058399.7028712872</v>
          </cell>
          <cell r="J1521">
            <v>5150190</v>
          </cell>
          <cell r="K1521">
            <v>2063789.1300000001</v>
          </cell>
          <cell r="L1521">
            <v>3133160</v>
          </cell>
          <cell r="M1521">
            <v>3229915.1700000009</v>
          </cell>
        </row>
        <row r="1522">
          <cell r="A1522">
            <v>17140000</v>
          </cell>
          <cell r="B1522">
            <v>0</v>
          </cell>
          <cell r="C1522">
            <v>714000</v>
          </cell>
          <cell r="D1522">
            <v>1</v>
          </cell>
          <cell r="F1522" t="str">
            <v xml:space="preserve">שרות וטרינרי      </v>
          </cell>
          <cell r="G1522" t="str">
            <v xml:space="preserve"> </v>
          </cell>
        </row>
        <row r="1523">
          <cell r="A1523">
            <v>1714000110</v>
          </cell>
          <cell r="B1523">
            <v>110</v>
          </cell>
          <cell r="C1523">
            <v>714000</v>
          </cell>
          <cell r="D1523">
            <v>1</v>
          </cell>
          <cell r="F1523" t="str">
            <v>השכר הקובע-תקציבית</v>
          </cell>
          <cell r="G1523" t="str">
            <v>שכר</v>
          </cell>
          <cell r="H1523">
            <v>2.5024390243902239E-2</v>
          </cell>
          <cell r="I1523">
            <v>210129.99999999997</v>
          </cell>
          <cell r="J1523">
            <v>205000</v>
          </cell>
          <cell r="K1523">
            <v>134700.07999999999</v>
          </cell>
          <cell r="L1523">
            <v>166000</v>
          </cell>
          <cell r="M1523">
            <v>203117.25</v>
          </cell>
        </row>
        <row r="1524">
          <cell r="A1524">
            <v>1714000119</v>
          </cell>
          <cell r="B1524">
            <v>119</v>
          </cell>
          <cell r="C1524">
            <v>714000</v>
          </cell>
          <cell r="D1524">
            <v>1</v>
          </cell>
          <cell r="F1524" t="str">
            <v xml:space="preserve">השכר הקובע-צוברת  </v>
          </cell>
          <cell r="G1524" t="str">
            <v>שכר</v>
          </cell>
          <cell r="H1524">
            <v>2.5001758210844383E-2</v>
          </cell>
          <cell r="I1524">
            <v>2914899.9999999995</v>
          </cell>
          <cell r="J1524">
            <v>2843800</v>
          </cell>
          <cell r="K1524">
            <v>1488764.89</v>
          </cell>
          <cell r="L1524">
            <v>2788000</v>
          </cell>
          <cell r="M1524">
            <v>2474798.91</v>
          </cell>
        </row>
        <row r="1525">
          <cell r="A1525">
            <v>1714000122</v>
          </cell>
          <cell r="B1525">
            <v>122</v>
          </cell>
          <cell r="C1525">
            <v>714000</v>
          </cell>
          <cell r="D1525">
            <v>1</v>
          </cell>
          <cell r="F1525" t="str">
            <v xml:space="preserve">ביגוד             </v>
          </cell>
          <cell r="G1525" t="str">
            <v>שכר</v>
          </cell>
          <cell r="H1525">
            <v>0</v>
          </cell>
          <cell r="I1525">
            <v>20800</v>
          </cell>
          <cell r="J1525">
            <v>20800</v>
          </cell>
          <cell r="K1525">
            <v>19263.48</v>
          </cell>
          <cell r="L1525">
            <v>20800</v>
          </cell>
          <cell r="M1525">
            <v>17675.27</v>
          </cell>
        </row>
        <row r="1526">
          <cell r="A1526">
            <v>1714000126</v>
          </cell>
          <cell r="B1526">
            <v>126</v>
          </cell>
          <cell r="C1526">
            <v>714000</v>
          </cell>
          <cell r="D1526">
            <v>1</v>
          </cell>
          <cell r="F1526" t="str">
            <v xml:space="preserve">דמי הבראה         </v>
          </cell>
          <cell r="G1526" t="str">
            <v>שכר</v>
          </cell>
          <cell r="H1526">
            <v>0</v>
          </cell>
          <cell r="I1526">
            <v>48000</v>
          </cell>
          <cell r="J1526">
            <v>48000</v>
          </cell>
          <cell r="K1526">
            <v>45483.66</v>
          </cell>
          <cell r="L1526">
            <v>67000</v>
          </cell>
          <cell r="M1526">
            <v>44252.84</v>
          </cell>
        </row>
        <row r="1527">
          <cell r="A1527">
            <v>1714000130</v>
          </cell>
          <cell r="B1527">
            <v>130</v>
          </cell>
          <cell r="C1527">
            <v>714000</v>
          </cell>
          <cell r="D1527">
            <v>1</v>
          </cell>
          <cell r="F1527" t="str">
            <v xml:space="preserve">שעות נוספות       </v>
          </cell>
          <cell r="G1527" t="str">
            <v>שכר</v>
          </cell>
          <cell r="H1527">
            <v>0</v>
          </cell>
          <cell r="I1527">
            <v>57100</v>
          </cell>
          <cell r="J1527">
            <v>57100</v>
          </cell>
          <cell r="K1527">
            <v>32470.39</v>
          </cell>
          <cell r="L1527">
            <v>66400</v>
          </cell>
          <cell r="M1527">
            <v>80239.990000000005</v>
          </cell>
        </row>
        <row r="1528">
          <cell r="A1528">
            <v>1714000140</v>
          </cell>
          <cell r="B1528">
            <v>140</v>
          </cell>
          <cell r="C1528">
            <v>714000</v>
          </cell>
          <cell r="D1528">
            <v>1</v>
          </cell>
          <cell r="F1528" t="str">
            <v>השתתפות באחזקת רכב</v>
          </cell>
          <cell r="G1528" t="str">
            <v>שכר</v>
          </cell>
          <cell r="H1528">
            <v>0</v>
          </cell>
          <cell r="I1528">
            <v>194400</v>
          </cell>
          <cell r="J1528">
            <v>194400</v>
          </cell>
          <cell r="K1528">
            <v>119925.29</v>
          </cell>
          <cell r="L1528">
            <v>194400</v>
          </cell>
          <cell r="M1528">
            <v>211923.34</v>
          </cell>
        </row>
        <row r="1529">
          <cell r="A1529">
            <v>1714000433</v>
          </cell>
          <cell r="B1529">
            <v>433</v>
          </cell>
          <cell r="C1529">
            <v>714000</v>
          </cell>
          <cell r="D1529">
            <v>1</v>
          </cell>
          <cell r="F1529" t="str">
            <v xml:space="preserve">חומרי נקיון       </v>
          </cell>
          <cell r="G1529" t="str">
            <v>גמיש</v>
          </cell>
          <cell r="H1529">
            <v>0.33333333333333326</v>
          </cell>
          <cell r="I1529">
            <v>3000</v>
          </cell>
          <cell r="J1529">
            <v>2250</v>
          </cell>
          <cell r="K1529">
            <v>802</v>
          </cell>
          <cell r="L1529">
            <v>2200</v>
          </cell>
          <cell r="M1529">
            <v>2159</v>
          </cell>
        </row>
        <row r="1530">
          <cell r="A1530">
            <v>1714000437</v>
          </cell>
          <cell r="B1530">
            <v>437</v>
          </cell>
          <cell r="C1530">
            <v>714000</v>
          </cell>
          <cell r="D1530">
            <v>1</v>
          </cell>
          <cell r="F1530" t="str">
            <v xml:space="preserve">אחזקת אזעקה       </v>
          </cell>
          <cell r="G1530" t="str">
            <v>קשיח</v>
          </cell>
          <cell r="H1530">
            <v>0</v>
          </cell>
          <cell r="I1530">
            <v>1300</v>
          </cell>
          <cell r="J1530">
            <v>1300</v>
          </cell>
          <cell r="K1530">
            <v>615.96</v>
          </cell>
          <cell r="L1530">
            <v>1300</v>
          </cell>
          <cell r="M1530">
            <v>1221.48</v>
          </cell>
        </row>
        <row r="1531">
          <cell r="A1531">
            <v>1714000470</v>
          </cell>
          <cell r="B1531">
            <v>470</v>
          </cell>
          <cell r="C1531">
            <v>714000</v>
          </cell>
          <cell r="D1531">
            <v>1</v>
          </cell>
          <cell r="F1531" t="str">
            <v xml:space="preserve">אחזקת מכונות משרד </v>
          </cell>
          <cell r="G1531" t="str">
            <v>גמיש</v>
          </cell>
          <cell r="H1531">
            <v>0</v>
          </cell>
          <cell r="I1531">
            <v>630</v>
          </cell>
          <cell r="J1531">
            <v>630</v>
          </cell>
          <cell r="K1531">
            <v>180.31</v>
          </cell>
          <cell r="L1531">
            <v>1000</v>
          </cell>
          <cell r="M1531">
            <v>456.71</v>
          </cell>
        </row>
        <row r="1532">
          <cell r="A1532">
            <v>1714000471</v>
          </cell>
          <cell r="B1532">
            <v>471</v>
          </cell>
          <cell r="C1532">
            <v>714000</v>
          </cell>
          <cell r="D1532">
            <v>1</v>
          </cell>
          <cell r="F1532" t="str">
            <v xml:space="preserve">מכשירי כתיבה      </v>
          </cell>
          <cell r="G1532" t="str">
            <v>גמיש</v>
          </cell>
          <cell r="H1532">
            <v>0.33333333333333326</v>
          </cell>
          <cell r="I1532">
            <v>6000</v>
          </cell>
          <cell r="J1532">
            <v>4500</v>
          </cell>
          <cell r="K1532">
            <v>53</v>
          </cell>
          <cell r="L1532">
            <v>9500</v>
          </cell>
          <cell r="M1532">
            <v>8116.6</v>
          </cell>
        </row>
        <row r="1533">
          <cell r="A1533">
            <v>1714000511</v>
          </cell>
          <cell r="B1533">
            <v>511</v>
          </cell>
          <cell r="C1533">
            <v>714000</v>
          </cell>
          <cell r="D1533">
            <v>1</v>
          </cell>
          <cell r="F1533" t="str">
            <v xml:space="preserve">אירוח וכיבוד      </v>
          </cell>
          <cell r="G1533" t="str">
            <v>גמיש</v>
          </cell>
          <cell r="H1533">
            <v>0.79487179487179493</v>
          </cell>
          <cell r="I1533">
            <v>8400</v>
          </cell>
          <cell r="J1533">
            <v>4680</v>
          </cell>
          <cell r="K1533">
            <v>1992.62</v>
          </cell>
          <cell r="L1533">
            <v>5100</v>
          </cell>
          <cell r="M1533">
            <v>4558.2</v>
          </cell>
        </row>
        <row r="1534">
          <cell r="A1534">
            <v>1714000522</v>
          </cell>
          <cell r="B1534">
            <v>522</v>
          </cell>
          <cell r="C1534">
            <v>714000</v>
          </cell>
          <cell r="D1534">
            <v>1</v>
          </cell>
          <cell r="F1534" t="str">
            <v xml:space="preserve">ספרים ועיתונים    </v>
          </cell>
          <cell r="G1534" t="str">
            <v>גמיש</v>
          </cell>
          <cell r="H1534">
            <v>0.23456790123456783</v>
          </cell>
          <cell r="I1534">
            <v>1000</v>
          </cell>
          <cell r="J1534">
            <v>810</v>
          </cell>
          <cell r="K1534">
            <v>0</v>
          </cell>
          <cell r="L1534">
            <v>900</v>
          </cell>
          <cell r="M1534">
            <v>0</v>
          </cell>
        </row>
        <row r="1535">
          <cell r="A1535">
            <v>1714000540</v>
          </cell>
          <cell r="B1535">
            <v>540</v>
          </cell>
          <cell r="C1535">
            <v>714000</v>
          </cell>
          <cell r="D1535">
            <v>1</v>
          </cell>
          <cell r="F1535" t="str">
            <v xml:space="preserve">הוצאות טלפון      </v>
          </cell>
          <cell r="G1535" t="str">
            <v>קשיח</v>
          </cell>
          <cell r="H1535">
            <v>0.33333333333333326</v>
          </cell>
          <cell r="I1535">
            <v>2000</v>
          </cell>
          <cell r="J1535">
            <v>1500</v>
          </cell>
          <cell r="K1535">
            <v>910.64</v>
          </cell>
          <cell r="L1535">
            <v>1500</v>
          </cell>
          <cell r="M1535">
            <v>2073.02</v>
          </cell>
        </row>
        <row r="1536">
          <cell r="A1536">
            <v>1714000544</v>
          </cell>
          <cell r="B1536">
            <v>544</v>
          </cell>
          <cell r="C1536">
            <v>714000</v>
          </cell>
          <cell r="D1536">
            <v>1</v>
          </cell>
          <cell r="F1536" t="str">
            <v xml:space="preserve">הוצאות דאר        </v>
          </cell>
          <cell r="G1536" t="str">
            <v>קשיח</v>
          </cell>
          <cell r="H1536">
            <v>0</v>
          </cell>
          <cell r="I1536">
            <v>5000</v>
          </cell>
          <cell r="J1536">
            <v>5000</v>
          </cell>
          <cell r="K1536">
            <v>2123.58</v>
          </cell>
          <cell r="L1536">
            <v>12600</v>
          </cell>
          <cell r="M1536">
            <v>2401.1999999999998</v>
          </cell>
        </row>
        <row r="1537">
          <cell r="A1537">
            <v>1714000550</v>
          </cell>
          <cell r="B1537">
            <v>550</v>
          </cell>
          <cell r="C1537">
            <v>714000</v>
          </cell>
          <cell r="D1537">
            <v>1</v>
          </cell>
          <cell r="F1537" t="str">
            <v xml:space="preserve">פירסומים          </v>
          </cell>
          <cell r="G1537" t="str">
            <v>גמיש</v>
          </cell>
          <cell r="H1537">
            <v>-0.84567901234567899</v>
          </cell>
          <cell r="I1537">
            <v>3000</v>
          </cell>
          <cell r="J1537">
            <v>19440</v>
          </cell>
          <cell r="K1537">
            <v>0</v>
          </cell>
          <cell r="L1537">
            <v>21600</v>
          </cell>
          <cell r="M1537">
            <v>617</v>
          </cell>
        </row>
        <row r="1538">
          <cell r="A1538">
            <v>1714000562</v>
          </cell>
          <cell r="B1538">
            <v>562</v>
          </cell>
          <cell r="C1538">
            <v>714000</v>
          </cell>
          <cell r="D1538">
            <v>1</v>
          </cell>
          <cell r="F1538" t="str">
            <v xml:space="preserve">הדפסות            </v>
          </cell>
          <cell r="G1538" t="str">
            <v>גמיש</v>
          </cell>
          <cell r="H1538">
            <v>-0.77777777777777779</v>
          </cell>
          <cell r="I1538">
            <v>1000</v>
          </cell>
          <cell r="J1538">
            <v>4500</v>
          </cell>
          <cell r="K1538">
            <v>0</v>
          </cell>
          <cell r="L1538">
            <v>18000</v>
          </cell>
          <cell r="M1538">
            <v>0</v>
          </cell>
        </row>
        <row r="1539">
          <cell r="A1539">
            <v>1714000571</v>
          </cell>
          <cell r="B1539">
            <v>571</v>
          </cell>
          <cell r="C1539">
            <v>714000</v>
          </cell>
          <cell r="D1539">
            <v>1</v>
          </cell>
          <cell r="F1539" t="str">
            <v xml:space="preserve">מיכון וענ"א       </v>
          </cell>
          <cell r="G1539" t="str">
            <v>קשיח</v>
          </cell>
          <cell r="H1539">
            <v>0</v>
          </cell>
          <cell r="I1539">
            <v>58600</v>
          </cell>
          <cell r="J1539">
            <v>58600</v>
          </cell>
          <cell r="K1539">
            <v>29300</v>
          </cell>
          <cell r="L1539">
            <v>47200</v>
          </cell>
          <cell r="M1539">
            <v>47200</v>
          </cell>
        </row>
        <row r="1540">
          <cell r="A1540">
            <v>1714000585</v>
          </cell>
          <cell r="B1540">
            <v>585</v>
          </cell>
          <cell r="C1540">
            <v>714000</v>
          </cell>
          <cell r="D1540">
            <v>1</v>
          </cell>
          <cell r="F1540" t="str">
            <v xml:space="preserve">בדיקות בשר        </v>
          </cell>
          <cell r="G1540" t="str">
            <v>גמיש</v>
          </cell>
          <cell r="H1540">
            <v>4.5751633986928164E-2</v>
          </cell>
          <cell r="I1540">
            <v>1600</v>
          </cell>
          <cell r="J1540">
            <v>1530</v>
          </cell>
          <cell r="K1540">
            <v>0</v>
          </cell>
          <cell r="L1540">
            <v>1700</v>
          </cell>
          <cell r="M1540">
            <v>0</v>
          </cell>
        </row>
        <row r="1541">
          <cell r="A1541">
            <v>1714000596</v>
          </cell>
          <cell r="B1541">
            <v>596</v>
          </cell>
          <cell r="C1541">
            <v>714000</v>
          </cell>
          <cell r="D1541">
            <v>1</v>
          </cell>
          <cell r="F1541" t="str">
            <v xml:space="preserve">השתתפות בעזר 096  </v>
          </cell>
          <cell r="G1541" t="str">
            <v>קשיח</v>
          </cell>
          <cell r="H1541">
            <v>4.020100502512558E-2</v>
          </cell>
          <cell r="I1541">
            <v>103500</v>
          </cell>
          <cell r="J1541">
            <v>99500</v>
          </cell>
          <cell r="K1541">
            <v>40427</v>
          </cell>
          <cell r="L1541">
            <v>107500</v>
          </cell>
          <cell r="M1541">
            <v>100480</v>
          </cell>
        </row>
        <row r="1542">
          <cell r="A1542">
            <v>1714000721</v>
          </cell>
          <cell r="B1542">
            <v>721</v>
          </cell>
          <cell r="C1542">
            <v>714000</v>
          </cell>
          <cell r="D1542">
            <v>1</v>
          </cell>
          <cell r="F1542" t="str">
            <v>חמרים-תחזוקת מבנים</v>
          </cell>
          <cell r="G1542" t="str">
            <v>גמיש</v>
          </cell>
          <cell r="I1542">
            <v>0</v>
          </cell>
          <cell r="J1542">
            <v>0</v>
          </cell>
          <cell r="K1542">
            <v>0</v>
          </cell>
          <cell r="L1542">
            <v>1400</v>
          </cell>
          <cell r="M1542">
            <v>0</v>
          </cell>
        </row>
        <row r="1543">
          <cell r="A1543">
            <v>1714000723</v>
          </cell>
          <cell r="B1543">
            <v>723</v>
          </cell>
          <cell r="C1543">
            <v>714000</v>
          </cell>
          <cell r="D1543">
            <v>1</v>
          </cell>
          <cell r="F1543" t="str">
            <v xml:space="preserve">חומר חיסון לכלבים </v>
          </cell>
          <cell r="G1543" t="str">
            <v>קשיח</v>
          </cell>
          <cell r="H1543">
            <v>-0.10256410256410253</v>
          </cell>
          <cell r="I1543">
            <v>210000</v>
          </cell>
          <cell r="J1543">
            <v>234000</v>
          </cell>
          <cell r="K1543">
            <v>0</v>
          </cell>
          <cell r="L1543">
            <v>242000</v>
          </cell>
          <cell r="M1543">
            <v>182077.36</v>
          </cell>
        </row>
        <row r="1544">
          <cell r="A1544">
            <v>1714000751</v>
          </cell>
          <cell r="B1544">
            <v>751</v>
          </cell>
          <cell r="C1544">
            <v>714000</v>
          </cell>
          <cell r="D1544">
            <v>1</v>
          </cell>
          <cell r="F1544" t="str">
            <v xml:space="preserve">עבודות קבלניות    </v>
          </cell>
          <cell r="G1544" t="str">
            <v>גמיש</v>
          </cell>
          <cell r="H1544">
            <v>0</v>
          </cell>
          <cell r="I1544">
            <v>2700</v>
          </cell>
          <cell r="J1544">
            <v>2700</v>
          </cell>
          <cell r="K1544">
            <v>1368.37</v>
          </cell>
          <cell r="L1544">
            <v>3400</v>
          </cell>
          <cell r="M1544">
            <v>0</v>
          </cell>
        </row>
        <row r="1545">
          <cell r="A1545">
            <v>1714000752</v>
          </cell>
          <cell r="B1545">
            <v>752</v>
          </cell>
          <cell r="C1545">
            <v>714000</v>
          </cell>
          <cell r="D1545">
            <v>1</v>
          </cell>
          <cell r="F1545" t="str">
            <v xml:space="preserve">נקיון בקבלנות     </v>
          </cell>
          <cell r="G1545" t="str">
            <v>קשיח</v>
          </cell>
          <cell r="H1545">
            <v>-7.407407407407407E-2</v>
          </cell>
          <cell r="I1545">
            <v>60000</v>
          </cell>
          <cell r="J1545">
            <v>64800</v>
          </cell>
          <cell r="K1545">
            <v>15977.3</v>
          </cell>
          <cell r="L1545">
            <v>64800</v>
          </cell>
          <cell r="M1545">
            <v>60469.03</v>
          </cell>
        </row>
        <row r="1546">
          <cell r="A1546">
            <v>1714000754</v>
          </cell>
          <cell r="B1546">
            <v>754</v>
          </cell>
          <cell r="C1546">
            <v>714000</v>
          </cell>
          <cell r="D1546">
            <v>1</v>
          </cell>
          <cell r="F1546" t="str">
            <v>מרפאות וטרינרית-חרום</v>
          </cell>
          <cell r="G1546" t="str">
            <v>גמיש</v>
          </cell>
          <cell r="H1546">
            <v>0.19047619047619047</v>
          </cell>
          <cell r="I1546">
            <v>75000</v>
          </cell>
          <cell r="J1546">
            <v>63000</v>
          </cell>
          <cell r="K1546">
            <v>20225.599999999999</v>
          </cell>
          <cell r="L1546">
            <v>50000</v>
          </cell>
          <cell r="M1546">
            <v>43493</v>
          </cell>
        </row>
        <row r="1547">
          <cell r="A1547">
            <v>1714000757</v>
          </cell>
          <cell r="B1547">
            <v>757</v>
          </cell>
          <cell r="C1547">
            <v>714000</v>
          </cell>
          <cell r="D1547">
            <v>1</v>
          </cell>
          <cell r="F1547" t="str">
            <v xml:space="preserve">הסגרת כלבים       </v>
          </cell>
          <cell r="G1547" t="str">
            <v>קשיח</v>
          </cell>
          <cell r="I1547">
            <v>0</v>
          </cell>
          <cell r="J1547">
            <v>0</v>
          </cell>
          <cell r="K1547">
            <v>0</v>
          </cell>
          <cell r="L1547">
            <v>4300</v>
          </cell>
          <cell r="M1547">
            <v>1231</v>
          </cell>
        </row>
        <row r="1548">
          <cell r="A1548">
            <v>1714000758</v>
          </cell>
          <cell r="B1548">
            <v>758</v>
          </cell>
          <cell r="C1548">
            <v>714000</v>
          </cell>
          <cell r="D1548">
            <v>1</v>
          </cell>
          <cell r="F1548" t="str">
            <v xml:space="preserve">הסגר-בעלי חיים    </v>
          </cell>
          <cell r="G1548" t="str">
            <v>קשיח</v>
          </cell>
          <cell r="H1548">
            <v>0.43333333333333335</v>
          </cell>
          <cell r="I1548">
            <v>301000</v>
          </cell>
          <cell r="J1548">
            <v>210000</v>
          </cell>
          <cell r="K1548">
            <v>141349.73000000001</v>
          </cell>
          <cell r="L1548">
            <v>383000</v>
          </cell>
          <cell r="M1548">
            <v>232379.19</v>
          </cell>
        </row>
        <row r="1549">
          <cell r="A1549">
            <v>1714000759</v>
          </cell>
          <cell r="B1549">
            <v>759</v>
          </cell>
          <cell r="C1549">
            <v>714000</v>
          </cell>
          <cell r="D1549">
            <v>1</v>
          </cell>
          <cell r="F1549" t="str">
            <v>עיקור חתולים וכלבים</v>
          </cell>
          <cell r="G1549" t="str">
            <v>קשיח</v>
          </cell>
          <cell r="H1549">
            <v>-7.4497838799898242E-2</v>
          </cell>
          <cell r="I1549">
            <v>364000</v>
          </cell>
          <cell r="J1549">
            <v>393300</v>
          </cell>
          <cell r="K1549">
            <v>82000</v>
          </cell>
          <cell r="L1549">
            <v>480000</v>
          </cell>
          <cell r="M1549">
            <v>373520</v>
          </cell>
        </row>
        <row r="1550">
          <cell r="A1550">
            <v>1714000780</v>
          </cell>
          <cell r="B1550">
            <v>780</v>
          </cell>
          <cell r="C1550">
            <v>714000</v>
          </cell>
          <cell r="D1550">
            <v>1</v>
          </cell>
          <cell r="F1550" t="str">
            <v>מוקד ארצי לחיסונים</v>
          </cell>
          <cell r="G1550" t="str">
            <v>קשיח</v>
          </cell>
          <cell r="H1550">
            <v>0.11111111111111116</v>
          </cell>
          <cell r="I1550">
            <v>77000</v>
          </cell>
          <cell r="J1550">
            <v>69300</v>
          </cell>
          <cell r="K1550">
            <v>50617</v>
          </cell>
          <cell r="L1550">
            <v>56000</v>
          </cell>
          <cell r="M1550">
            <v>69033.100000000006</v>
          </cell>
        </row>
        <row r="1551">
          <cell r="A1551">
            <v>1714000781</v>
          </cell>
          <cell r="B1551">
            <v>781</v>
          </cell>
          <cell r="C1551">
            <v>714000</v>
          </cell>
          <cell r="D1551">
            <v>1</v>
          </cell>
          <cell r="F1551" t="str">
            <v>ציוד וחומרים מרפאה ווטרינרית</v>
          </cell>
          <cell r="G1551" t="str">
            <v>גמיש</v>
          </cell>
          <cell r="H1551">
            <v>2.3333333333333335</v>
          </cell>
          <cell r="I1551">
            <v>90000</v>
          </cell>
          <cell r="J1551">
            <v>27000</v>
          </cell>
          <cell r="K1551">
            <v>25963.51</v>
          </cell>
          <cell r="L1551">
            <v>25700</v>
          </cell>
          <cell r="M1551">
            <v>25451.83</v>
          </cell>
        </row>
        <row r="1552">
          <cell r="A1552">
            <v>1714000931</v>
          </cell>
          <cell r="B1552">
            <v>931</v>
          </cell>
          <cell r="C1552">
            <v>714000</v>
          </cell>
          <cell r="D1552">
            <v>1</v>
          </cell>
          <cell r="F1552" t="str">
            <v>רכישות ציוד</v>
          </cell>
          <cell r="G1552" t="str">
            <v>גמיש</v>
          </cell>
          <cell r="H1552">
            <v>-0.2592592592592593</v>
          </cell>
          <cell r="I1552">
            <v>20000</v>
          </cell>
          <cell r="J1552">
            <v>27000</v>
          </cell>
          <cell r="K1552">
            <v>8233.89</v>
          </cell>
          <cell r="L1552">
            <v>32000</v>
          </cell>
          <cell r="M1552">
            <v>30857.200000000001</v>
          </cell>
        </row>
        <row r="1553">
          <cell r="A1553" t="e">
            <v>#VALUE!</v>
          </cell>
          <cell r="B1553" t="str">
            <v>714000  סך הכל</v>
          </cell>
          <cell r="F1553" t="str">
            <v xml:space="preserve">שרות וטרינרי      </v>
          </cell>
          <cell r="H1553">
            <v>3.7650821963622683E-2</v>
          </cell>
          <cell r="I1553">
            <v>4840060</v>
          </cell>
          <cell r="J1553">
            <v>4664440</v>
          </cell>
          <cell r="K1553">
            <v>2262748.3000000003</v>
          </cell>
          <cell r="L1553">
            <v>4875300</v>
          </cell>
          <cell r="M1553">
            <v>4219802.5200000005</v>
          </cell>
        </row>
        <row r="1554">
          <cell r="A1554">
            <v>17150000</v>
          </cell>
          <cell r="B1554">
            <v>0</v>
          </cell>
          <cell r="C1554">
            <v>715000</v>
          </cell>
          <cell r="D1554">
            <v>1</v>
          </cell>
          <cell r="F1554" t="str">
            <v xml:space="preserve">תברואה  מונעת     </v>
          </cell>
          <cell r="G1554" t="str">
            <v xml:space="preserve"> </v>
          </cell>
        </row>
        <row r="1555">
          <cell r="A1555">
            <v>1715300119</v>
          </cell>
          <cell r="B1555">
            <v>119</v>
          </cell>
          <cell r="C1555">
            <v>715300</v>
          </cell>
          <cell r="D1555">
            <v>1</v>
          </cell>
          <cell r="F1555" t="str">
            <v xml:space="preserve">השכר הקובע-צוברת  </v>
          </cell>
          <cell r="G1555" t="str">
            <v>שכר</v>
          </cell>
          <cell r="I1555">
            <v>0</v>
          </cell>
          <cell r="J1555">
            <v>0</v>
          </cell>
          <cell r="K1555">
            <v>0</v>
          </cell>
          <cell r="L1555">
            <v>153700</v>
          </cell>
          <cell r="M1555">
            <v>0</v>
          </cell>
        </row>
        <row r="1556">
          <cell r="A1556">
            <v>1715300122</v>
          </cell>
          <cell r="B1556">
            <v>122</v>
          </cell>
          <cell r="C1556">
            <v>715300</v>
          </cell>
          <cell r="D1556">
            <v>1</v>
          </cell>
          <cell r="F1556" t="str">
            <v xml:space="preserve">ביגוד             </v>
          </cell>
          <cell r="G1556" t="str">
            <v>שכר</v>
          </cell>
          <cell r="I1556">
            <v>0</v>
          </cell>
          <cell r="J1556">
            <v>0</v>
          </cell>
          <cell r="K1556">
            <v>0</v>
          </cell>
          <cell r="L1556">
            <v>2000</v>
          </cell>
          <cell r="M1556">
            <v>0</v>
          </cell>
        </row>
        <row r="1557">
          <cell r="A1557">
            <v>1715300140</v>
          </cell>
          <cell r="B1557">
            <v>140</v>
          </cell>
          <cell r="C1557">
            <v>715300</v>
          </cell>
          <cell r="D1557">
            <v>1</v>
          </cell>
          <cell r="F1557" t="str">
            <v>השתתפות באחזקת רכב</v>
          </cell>
          <cell r="G1557" t="str">
            <v>שכר</v>
          </cell>
          <cell r="I1557">
            <v>0</v>
          </cell>
          <cell r="J1557">
            <v>0</v>
          </cell>
          <cell r="K1557">
            <v>0</v>
          </cell>
          <cell r="L1557">
            <v>10000</v>
          </cell>
          <cell r="M1557">
            <v>0</v>
          </cell>
        </row>
        <row r="1558">
          <cell r="A1558">
            <v>1715300550</v>
          </cell>
          <cell r="B1558">
            <v>550</v>
          </cell>
          <cell r="C1558">
            <v>715300</v>
          </cell>
          <cell r="D1558">
            <v>1</v>
          </cell>
          <cell r="F1558" t="str">
            <v xml:space="preserve">פעולות הסברה      </v>
          </cell>
          <cell r="G1558" t="str">
            <v>גמיש</v>
          </cell>
          <cell r="H1558">
            <v>-0.77777777777777779</v>
          </cell>
          <cell r="I1558">
            <v>2000</v>
          </cell>
          <cell r="J1558">
            <v>9000</v>
          </cell>
          <cell r="K1558">
            <v>1864</v>
          </cell>
          <cell r="L1558">
            <v>25700</v>
          </cell>
          <cell r="M1558">
            <v>877.5</v>
          </cell>
        </row>
        <row r="1559">
          <cell r="A1559">
            <v>1715300596</v>
          </cell>
          <cell r="B1559">
            <v>596</v>
          </cell>
          <cell r="C1559">
            <v>715300</v>
          </cell>
          <cell r="D1559">
            <v>1</v>
          </cell>
          <cell r="F1559" t="str">
            <v xml:space="preserve">השתתפות בעזר 096  </v>
          </cell>
          <cell r="G1559" t="str">
            <v>קשיח</v>
          </cell>
          <cell r="H1559">
            <v>9.2783505154639068E-2</v>
          </cell>
          <cell r="I1559">
            <v>212000</v>
          </cell>
          <cell r="J1559">
            <v>194000</v>
          </cell>
          <cell r="K1559">
            <v>78822</v>
          </cell>
          <cell r="L1559">
            <v>205000</v>
          </cell>
          <cell r="M1559">
            <v>191613</v>
          </cell>
        </row>
        <row r="1560">
          <cell r="A1560">
            <v>1715300757</v>
          </cell>
          <cell r="B1560">
            <v>757</v>
          </cell>
          <cell r="C1560">
            <v>715300</v>
          </cell>
          <cell r="D1560">
            <v>1</v>
          </cell>
          <cell r="F1560" t="str">
            <v xml:space="preserve">פעולות הדברה      </v>
          </cell>
          <cell r="G1560" t="str">
            <v>גמיש</v>
          </cell>
          <cell r="H1560">
            <v>0</v>
          </cell>
          <cell r="I1560">
            <v>70470</v>
          </cell>
          <cell r="J1560">
            <v>70470</v>
          </cell>
          <cell r="K1560">
            <v>10620</v>
          </cell>
          <cell r="L1560">
            <v>78300</v>
          </cell>
          <cell r="M1560">
            <v>57643</v>
          </cell>
        </row>
        <row r="1561">
          <cell r="A1561">
            <v>1715300759</v>
          </cell>
          <cell r="B1561">
            <v>759</v>
          </cell>
          <cell r="C1561">
            <v>715300</v>
          </cell>
          <cell r="D1561">
            <v>1</v>
          </cell>
          <cell r="F1561" t="str">
            <v>הדברה</v>
          </cell>
          <cell r="G1561" t="str">
            <v>קשיח</v>
          </cell>
          <cell r="H1561">
            <v>0.12835820895522398</v>
          </cell>
          <cell r="I1561">
            <v>378000</v>
          </cell>
          <cell r="J1561">
            <v>335000</v>
          </cell>
          <cell r="K1561">
            <v>166950.84</v>
          </cell>
          <cell r="L1561">
            <v>335000</v>
          </cell>
          <cell r="M1561">
            <v>342801.48</v>
          </cell>
        </row>
        <row r="1562">
          <cell r="A1562" t="e">
            <v>#VALUE!</v>
          </cell>
          <cell r="B1562" t="str">
            <v>715300  סך הכל</v>
          </cell>
          <cell r="F1562" t="str">
            <v xml:space="preserve">הדברת מזיקים      </v>
          </cell>
          <cell r="H1562">
            <v>8.8747185563791131E-2</v>
          </cell>
          <cell r="I1562">
            <v>662470</v>
          </cell>
          <cell r="J1562">
            <v>608470</v>
          </cell>
          <cell r="K1562">
            <v>258256.84</v>
          </cell>
          <cell r="L1562">
            <v>809700</v>
          </cell>
          <cell r="M1562">
            <v>592934.98</v>
          </cell>
        </row>
        <row r="1563">
          <cell r="A1563">
            <v>17210000</v>
          </cell>
          <cell r="B1563">
            <v>0</v>
          </cell>
          <cell r="C1563">
            <v>720000</v>
          </cell>
          <cell r="D1563">
            <v>1</v>
          </cell>
          <cell r="F1563" t="str">
            <v>שמירה ובטחון</v>
          </cell>
          <cell r="G1563" t="str">
            <v xml:space="preserve"> </v>
          </cell>
        </row>
        <row r="1564">
          <cell r="A1564">
            <v>1721000110</v>
          </cell>
          <cell r="B1564">
            <v>110</v>
          </cell>
          <cell r="C1564">
            <v>721000</v>
          </cell>
          <cell r="D1564">
            <v>1</v>
          </cell>
          <cell r="F1564" t="str">
            <v>השכר הקובע-תקציבית</v>
          </cell>
          <cell r="G1564" t="str">
            <v>שכר</v>
          </cell>
          <cell r="H1564">
            <v>2.4999999999999911E-2</v>
          </cell>
          <cell r="I1564">
            <v>379659.99999999994</v>
          </cell>
          <cell r="J1564">
            <v>370400</v>
          </cell>
          <cell r="K1564">
            <v>115681.46</v>
          </cell>
          <cell r="L1564">
            <v>363100</v>
          </cell>
          <cell r="M1564">
            <v>282768.13</v>
          </cell>
        </row>
        <row r="1565">
          <cell r="A1565">
            <v>1721000119</v>
          </cell>
          <cell r="B1565">
            <v>119</v>
          </cell>
          <cell r="C1565">
            <v>721000</v>
          </cell>
          <cell r="D1565">
            <v>1</v>
          </cell>
          <cell r="F1565" t="str">
            <v xml:space="preserve">השכר הקובע-צוברת  </v>
          </cell>
          <cell r="G1565" t="str">
            <v>שכר</v>
          </cell>
          <cell r="H1565">
            <v>0.1246611864030216</v>
          </cell>
          <cell r="I1565">
            <v>2531050</v>
          </cell>
          <cell r="J1565">
            <v>2250500</v>
          </cell>
          <cell r="K1565">
            <v>1313366.03</v>
          </cell>
          <cell r="L1565">
            <v>1853400</v>
          </cell>
          <cell r="M1565">
            <v>1796567.74</v>
          </cell>
        </row>
        <row r="1566">
          <cell r="A1566">
            <v>1721000122</v>
          </cell>
          <cell r="B1566">
            <v>122</v>
          </cell>
          <cell r="C1566">
            <v>721000</v>
          </cell>
          <cell r="D1566">
            <v>1</v>
          </cell>
          <cell r="F1566" t="str">
            <v xml:space="preserve">ביגוד             </v>
          </cell>
          <cell r="G1566" t="str">
            <v>שכר</v>
          </cell>
          <cell r="H1566">
            <v>0.20833333333333326</v>
          </cell>
          <cell r="I1566">
            <v>43500</v>
          </cell>
          <cell r="J1566">
            <v>36000</v>
          </cell>
          <cell r="K1566">
            <v>19845.84</v>
          </cell>
          <cell r="L1566">
            <v>17900</v>
          </cell>
          <cell r="M1566">
            <v>21653.97</v>
          </cell>
        </row>
        <row r="1567">
          <cell r="A1567">
            <v>1721000126</v>
          </cell>
          <cell r="B1567">
            <v>126</v>
          </cell>
          <cell r="C1567">
            <v>721000</v>
          </cell>
          <cell r="D1567">
            <v>1</v>
          </cell>
          <cell r="F1567" t="str">
            <v xml:space="preserve">דמי הבראה         </v>
          </cell>
          <cell r="G1567" t="str">
            <v>שכר</v>
          </cell>
          <cell r="H1567">
            <v>0.20835447257383954</v>
          </cell>
          <cell r="I1567">
            <v>95460.003333333327</v>
          </cell>
          <cell r="J1567">
            <v>79000</v>
          </cell>
          <cell r="K1567">
            <v>57702.06</v>
          </cell>
          <cell r="L1567">
            <v>69000</v>
          </cell>
          <cell r="M1567">
            <v>58349.1</v>
          </cell>
        </row>
        <row r="1568">
          <cell r="A1568">
            <v>1721000130</v>
          </cell>
          <cell r="B1568">
            <v>130</v>
          </cell>
          <cell r="C1568">
            <v>721000</v>
          </cell>
          <cell r="D1568">
            <v>1</v>
          </cell>
          <cell r="F1568" t="str">
            <v xml:space="preserve">שעות נוספות       </v>
          </cell>
          <cell r="G1568" t="str">
            <v>שכר</v>
          </cell>
          <cell r="H1568">
            <v>0</v>
          </cell>
          <cell r="I1568">
            <v>85140</v>
          </cell>
          <cell r="J1568">
            <v>85140</v>
          </cell>
          <cell r="K1568">
            <v>160649.64000000001</v>
          </cell>
          <cell r="L1568">
            <v>99000</v>
          </cell>
          <cell r="M1568">
            <v>119161.93</v>
          </cell>
        </row>
        <row r="1569">
          <cell r="A1569">
            <v>1721000140</v>
          </cell>
          <cell r="B1569">
            <v>140</v>
          </cell>
          <cell r="C1569">
            <v>721000</v>
          </cell>
          <cell r="D1569">
            <v>1</v>
          </cell>
          <cell r="F1569" t="str">
            <v>השתתפות באחזקת רכב</v>
          </cell>
          <cell r="G1569" t="str">
            <v>שכר</v>
          </cell>
          <cell r="H1569">
            <v>0</v>
          </cell>
          <cell r="I1569">
            <v>170000</v>
          </cell>
          <cell r="J1569">
            <v>170000</v>
          </cell>
          <cell r="K1569">
            <v>148078.89000000001</v>
          </cell>
          <cell r="L1569">
            <v>170000</v>
          </cell>
          <cell r="M1569">
            <v>191475.47</v>
          </cell>
        </row>
        <row r="1570">
          <cell r="A1570">
            <v>1721000253</v>
          </cell>
          <cell r="B1570">
            <v>253</v>
          </cell>
          <cell r="C1570">
            <v>721000</v>
          </cell>
          <cell r="D1570">
            <v>1</v>
          </cell>
          <cell r="F1570" t="str">
            <v xml:space="preserve">עובדים חיצוניים   </v>
          </cell>
          <cell r="G1570" t="str">
            <v>שכר</v>
          </cell>
          <cell r="J1570">
            <v>0</v>
          </cell>
          <cell r="K1570">
            <v>11030.95</v>
          </cell>
          <cell r="L1570">
            <v>0</v>
          </cell>
          <cell r="M1570">
            <v>31563.040000000001</v>
          </cell>
        </row>
        <row r="1571">
          <cell r="A1571">
            <v>1721000350</v>
          </cell>
          <cell r="B1571">
            <v>350</v>
          </cell>
          <cell r="C1571">
            <v>721000</v>
          </cell>
          <cell r="D1571">
            <v>1</v>
          </cell>
          <cell r="F1571" t="str">
            <v>ליסינג - 508-02-003</v>
          </cell>
          <cell r="G1571" t="str">
            <v>שכר</v>
          </cell>
          <cell r="H1571">
            <v>0.16349999999999998</v>
          </cell>
          <cell r="I1571">
            <v>69810</v>
          </cell>
          <cell r="J1571">
            <v>60000</v>
          </cell>
          <cell r="K1571">
            <v>34426.92</v>
          </cell>
          <cell r="L1571">
            <v>46000</v>
          </cell>
          <cell r="M1571">
            <v>67014.2</v>
          </cell>
        </row>
        <row r="1572">
          <cell r="A1572">
            <v>1721000351</v>
          </cell>
          <cell r="B1572">
            <v>351</v>
          </cell>
          <cell r="C1572">
            <v>721000</v>
          </cell>
          <cell r="D1572">
            <v>1</v>
          </cell>
          <cell r="F1572" t="str">
            <v>הוצאות - 508-02-003</v>
          </cell>
          <cell r="G1572" t="str">
            <v>שכר</v>
          </cell>
          <cell r="H1572">
            <v>0</v>
          </cell>
          <cell r="I1572">
            <v>40000</v>
          </cell>
          <cell r="J1572">
            <v>40000</v>
          </cell>
          <cell r="K1572">
            <v>22626.95</v>
          </cell>
          <cell r="L1572">
            <v>29400</v>
          </cell>
          <cell r="M1572">
            <v>41897.129999999997</v>
          </cell>
        </row>
        <row r="1573">
          <cell r="A1573">
            <v>1721000437</v>
          </cell>
          <cell r="B1573">
            <v>437</v>
          </cell>
          <cell r="C1573">
            <v>721000</v>
          </cell>
          <cell r="D1573">
            <v>1</v>
          </cell>
          <cell r="F1573" t="str">
            <v>לחצני מצוקה ומערכות טנולוגיות</v>
          </cell>
          <cell r="G1573" t="str">
            <v>קשיח</v>
          </cell>
          <cell r="H1573">
            <v>0.11111111111111116</v>
          </cell>
          <cell r="I1573">
            <v>150000</v>
          </cell>
          <cell r="J1573">
            <v>135000</v>
          </cell>
          <cell r="K1573">
            <v>-1606.16</v>
          </cell>
          <cell r="L1573">
            <v>135000</v>
          </cell>
          <cell r="M1573">
            <v>116066.76</v>
          </cell>
        </row>
        <row r="1574">
          <cell r="A1574">
            <v>1721000438</v>
          </cell>
          <cell r="B1574">
            <v>438</v>
          </cell>
          <cell r="C1574">
            <v>721000</v>
          </cell>
          <cell r="D1574">
            <v>1</v>
          </cell>
          <cell r="F1574" t="str">
            <v>אגרת רישוי מכשירי קשר</v>
          </cell>
          <cell r="G1574" t="str">
            <v>קשיח</v>
          </cell>
          <cell r="H1574">
            <v>0</v>
          </cell>
          <cell r="I1574">
            <v>29700</v>
          </cell>
          <cell r="J1574">
            <v>29700</v>
          </cell>
          <cell r="K1574">
            <v>30680</v>
          </cell>
          <cell r="L1574">
            <v>29700</v>
          </cell>
          <cell r="M1574">
            <v>29660</v>
          </cell>
        </row>
        <row r="1575">
          <cell r="A1575">
            <v>1721000439</v>
          </cell>
          <cell r="B1575">
            <v>439</v>
          </cell>
          <cell r="C1575">
            <v>721000</v>
          </cell>
          <cell r="D1575">
            <v>1</v>
          </cell>
          <cell r="F1575" t="str">
            <v>אגרת רישיון נשק</v>
          </cell>
          <cell r="G1575" t="str">
            <v>קשיח</v>
          </cell>
          <cell r="I1575">
            <v>12600</v>
          </cell>
          <cell r="J1575">
            <v>0</v>
          </cell>
          <cell r="K1575">
            <v>0</v>
          </cell>
          <cell r="L1575">
            <v>7700</v>
          </cell>
          <cell r="M1575">
            <v>0</v>
          </cell>
        </row>
        <row r="1576">
          <cell r="A1576">
            <v>1721000450</v>
          </cell>
          <cell r="B1576">
            <v>450</v>
          </cell>
          <cell r="C1576">
            <v>721000</v>
          </cell>
          <cell r="D1576">
            <v>1</v>
          </cell>
          <cell r="F1576" t="str">
            <v>אחזקת תמי 4</v>
          </cell>
          <cell r="G1576" t="str">
            <v>קשיח</v>
          </cell>
          <cell r="H1576">
            <v>0</v>
          </cell>
          <cell r="I1576">
            <v>1000</v>
          </cell>
          <cell r="J1576">
            <v>1000</v>
          </cell>
          <cell r="K1576">
            <v>0</v>
          </cell>
          <cell r="L1576">
            <v>1000</v>
          </cell>
          <cell r="M1576">
            <v>0</v>
          </cell>
        </row>
        <row r="1577">
          <cell r="A1577">
            <v>1721000470</v>
          </cell>
          <cell r="B1577">
            <v>470</v>
          </cell>
          <cell r="C1577">
            <v>721000</v>
          </cell>
          <cell r="D1577">
            <v>1</v>
          </cell>
          <cell r="F1577" t="str">
            <v xml:space="preserve">אחזקת מכונות משרד </v>
          </cell>
          <cell r="G1577" t="str">
            <v>גמיש</v>
          </cell>
          <cell r="H1577">
            <v>0</v>
          </cell>
          <cell r="I1577">
            <v>3690</v>
          </cell>
          <cell r="J1577">
            <v>3690</v>
          </cell>
          <cell r="K1577">
            <v>1784.57</v>
          </cell>
          <cell r="L1577">
            <v>4100</v>
          </cell>
          <cell r="M1577">
            <v>1831.28</v>
          </cell>
        </row>
        <row r="1578">
          <cell r="A1578">
            <v>1721000471</v>
          </cell>
          <cell r="B1578">
            <v>471</v>
          </cell>
          <cell r="C1578">
            <v>721000</v>
          </cell>
          <cell r="D1578">
            <v>1</v>
          </cell>
          <cell r="F1578" t="str">
            <v xml:space="preserve">מכשירי כתיבה      </v>
          </cell>
          <cell r="G1578" t="str">
            <v>גמיש</v>
          </cell>
          <cell r="H1578">
            <v>0.11111111111111116</v>
          </cell>
          <cell r="I1578">
            <v>11600</v>
          </cell>
          <cell r="J1578">
            <v>10440</v>
          </cell>
          <cell r="K1578">
            <v>1636.16</v>
          </cell>
          <cell r="L1578">
            <v>10600</v>
          </cell>
          <cell r="M1578">
            <v>10959.65</v>
          </cell>
        </row>
        <row r="1579">
          <cell r="A1579">
            <v>1721000511</v>
          </cell>
          <cell r="B1579">
            <v>511</v>
          </cell>
          <cell r="C1579">
            <v>721000</v>
          </cell>
          <cell r="D1579">
            <v>1</v>
          </cell>
          <cell r="F1579" t="str">
            <v xml:space="preserve">אירוח וכיבוד      </v>
          </cell>
          <cell r="G1579" t="str">
            <v>גמיש</v>
          </cell>
          <cell r="H1579">
            <v>-9.9009900990099098E-3</v>
          </cell>
          <cell r="I1579">
            <v>18000</v>
          </cell>
          <cell r="J1579">
            <v>18180</v>
          </cell>
          <cell r="K1579">
            <v>1821.22</v>
          </cell>
          <cell r="L1579">
            <v>17100</v>
          </cell>
          <cell r="M1579">
            <v>17042.509999999998</v>
          </cell>
        </row>
        <row r="1580">
          <cell r="A1580">
            <v>1721000512</v>
          </cell>
          <cell r="B1580">
            <v>512</v>
          </cell>
          <cell r="C1580">
            <v>721000</v>
          </cell>
          <cell r="D1580">
            <v>1</v>
          </cell>
          <cell r="F1580" t="str">
            <v xml:space="preserve">נסיעות ואש"ל      </v>
          </cell>
          <cell r="G1580" t="str">
            <v>גמיש</v>
          </cell>
          <cell r="H1580">
            <v>-1</v>
          </cell>
          <cell r="J1580">
            <v>360</v>
          </cell>
          <cell r="K1580">
            <v>0</v>
          </cell>
          <cell r="L1580">
            <v>400</v>
          </cell>
          <cell r="M1580">
            <v>0</v>
          </cell>
        </row>
        <row r="1581">
          <cell r="A1581">
            <v>1721000522</v>
          </cell>
          <cell r="B1581">
            <v>522</v>
          </cell>
          <cell r="C1581">
            <v>721000</v>
          </cell>
          <cell r="D1581">
            <v>1</v>
          </cell>
          <cell r="F1581" t="str">
            <v xml:space="preserve">ספרים ועיתונים    </v>
          </cell>
          <cell r="G1581" t="str">
            <v>גמיש</v>
          </cell>
          <cell r="H1581">
            <v>-1</v>
          </cell>
          <cell r="J1581">
            <v>270</v>
          </cell>
          <cell r="K1581">
            <v>0</v>
          </cell>
          <cell r="L1581">
            <v>300</v>
          </cell>
          <cell r="M1581">
            <v>0</v>
          </cell>
        </row>
        <row r="1582">
          <cell r="A1582">
            <v>1721000550</v>
          </cell>
          <cell r="B1582">
            <v>550</v>
          </cell>
          <cell r="C1582">
            <v>721000</v>
          </cell>
          <cell r="D1582">
            <v>1</v>
          </cell>
          <cell r="F1582" t="str">
            <v xml:space="preserve">פירסומים          </v>
          </cell>
          <cell r="G1582" t="str">
            <v>גמיש</v>
          </cell>
          <cell r="H1582">
            <v>0</v>
          </cell>
          <cell r="I1582">
            <v>1530</v>
          </cell>
          <cell r="J1582">
            <v>1530</v>
          </cell>
          <cell r="K1582">
            <v>1246</v>
          </cell>
          <cell r="L1582">
            <v>1700</v>
          </cell>
          <cell r="M1582">
            <v>1700</v>
          </cell>
        </row>
        <row r="1583">
          <cell r="A1583">
            <v>1721000561</v>
          </cell>
          <cell r="B1583">
            <v>561</v>
          </cell>
          <cell r="C1583">
            <v>721000</v>
          </cell>
          <cell r="D1583">
            <v>1</v>
          </cell>
          <cell r="F1583" t="str">
            <v xml:space="preserve">שיכפולים          </v>
          </cell>
          <cell r="G1583" t="str">
            <v>גמיש</v>
          </cell>
          <cell r="H1583">
            <v>0.26262626262626254</v>
          </cell>
          <cell r="I1583">
            <v>25000</v>
          </cell>
          <cell r="J1583">
            <v>19800</v>
          </cell>
          <cell r="K1583">
            <v>1184.26</v>
          </cell>
          <cell r="L1583">
            <v>9000</v>
          </cell>
          <cell r="M1583">
            <v>5613.66</v>
          </cell>
        </row>
        <row r="1584">
          <cell r="A1584">
            <v>1721000562</v>
          </cell>
          <cell r="B1584">
            <v>562</v>
          </cell>
          <cell r="C1584">
            <v>721000</v>
          </cell>
          <cell r="D1584">
            <v>1</v>
          </cell>
          <cell r="F1584" t="str">
            <v xml:space="preserve">הדפסות            </v>
          </cell>
          <cell r="G1584" t="str">
            <v>גמיש</v>
          </cell>
          <cell r="H1584">
            <v>0.11111111111111116</v>
          </cell>
          <cell r="I1584">
            <v>2000</v>
          </cell>
          <cell r="J1584">
            <v>1800</v>
          </cell>
          <cell r="K1584">
            <v>703.7</v>
          </cell>
          <cell r="L1584">
            <v>700</v>
          </cell>
          <cell r="M1584">
            <v>457</v>
          </cell>
        </row>
        <row r="1585">
          <cell r="A1585">
            <v>1721000571</v>
          </cell>
          <cell r="B1585">
            <v>571</v>
          </cell>
          <cell r="C1585">
            <v>721000</v>
          </cell>
          <cell r="D1585">
            <v>1</v>
          </cell>
          <cell r="F1585" t="str">
            <v xml:space="preserve">מיכון וענ"א       </v>
          </cell>
          <cell r="G1585" t="str">
            <v>קשיח</v>
          </cell>
          <cell r="H1585">
            <v>0</v>
          </cell>
          <cell r="I1585">
            <v>96500</v>
          </cell>
          <cell r="J1585">
            <v>96500</v>
          </cell>
          <cell r="K1585">
            <v>48250</v>
          </cell>
          <cell r="L1585">
            <v>79100</v>
          </cell>
          <cell r="M1585">
            <v>79100</v>
          </cell>
        </row>
        <row r="1586">
          <cell r="A1586">
            <v>1721000596</v>
          </cell>
          <cell r="B1586">
            <v>596</v>
          </cell>
          <cell r="C1586">
            <v>721000</v>
          </cell>
          <cell r="D1586">
            <v>1</v>
          </cell>
          <cell r="F1586" t="str">
            <v xml:space="preserve">השתתפות בעזר 096  </v>
          </cell>
          <cell r="G1586" t="str">
            <v>קשיח</v>
          </cell>
          <cell r="H1586">
            <v>0.19387755102040827</v>
          </cell>
          <cell r="I1586">
            <v>117000</v>
          </cell>
          <cell r="J1586">
            <v>98000</v>
          </cell>
          <cell r="K1586">
            <v>39817</v>
          </cell>
          <cell r="L1586">
            <v>103000</v>
          </cell>
          <cell r="M1586">
            <v>96274</v>
          </cell>
        </row>
        <row r="1587">
          <cell r="A1587">
            <v>1721000710</v>
          </cell>
          <cell r="B1587">
            <v>710</v>
          </cell>
          <cell r="C1587">
            <v>721000</v>
          </cell>
          <cell r="D1587">
            <v>1</v>
          </cell>
          <cell r="F1587" t="str">
            <v xml:space="preserve">הובלות והסעות     </v>
          </cell>
          <cell r="G1587" t="str">
            <v>גמיש</v>
          </cell>
          <cell r="H1587">
            <v>0.11111111111111116</v>
          </cell>
          <cell r="I1587">
            <v>1700</v>
          </cell>
          <cell r="J1587">
            <v>1530</v>
          </cell>
          <cell r="K1587">
            <v>1530</v>
          </cell>
          <cell r="L1587">
            <v>1700</v>
          </cell>
          <cell r="M1587">
            <v>606.07000000000005</v>
          </cell>
        </row>
        <row r="1588">
          <cell r="A1588">
            <v>1721000722</v>
          </cell>
          <cell r="B1588">
            <v>722</v>
          </cell>
          <cell r="C1588">
            <v>721000</v>
          </cell>
          <cell r="D1588">
            <v>1</v>
          </cell>
          <cell r="F1588" t="str">
            <v>חמרים-תחזוקה עצמית</v>
          </cell>
          <cell r="G1588" t="str">
            <v>גמיש</v>
          </cell>
          <cell r="H1588">
            <v>0.11111111111111116</v>
          </cell>
          <cell r="I1588">
            <v>6300</v>
          </cell>
          <cell r="J1588">
            <v>5670</v>
          </cell>
          <cell r="K1588">
            <v>1551</v>
          </cell>
          <cell r="L1588">
            <v>6300</v>
          </cell>
          <cell r="M1588">
            <v>6123.37</v>
          </cell>
        </row>
        <row r="1589">
          <cell r="A1589">
            <v>1721000740</v>
          </cell>
          <cell r="B1589">
            <v>740</v>
          </cell>
          <cell r="C1589">
            <v>721000</v>
          </cell>
          <cell r="D1589">
            <v>1</v>
          </cell>
          <cell r="F1589" t="str">
            <v xml:space="preserve">ציוד חרום         </v>
          </cell>
          <cell r="G1589" t="str">
            <v>גמיש</v>
          </cell>
          <cell r="H1589">
            <v>0</v>
          </cell>
          <cell r="I1589">
            <v>7200</v>
          </cell>
          <cell r="J1589">
            <v>7200</v>
          </cell>
          <cell r="K1589">
            <v>3080</v>
          </cell>
          <cell r="L1589">
            <v>6300</v>
          </cell>
          <cell r="M1589">
            <v>3072.9</v>
          </cell>
        </row>
        <row r="1590">
          <cell r="A1590">
            <v>1721000742</v>
          </cell>
          <cell r="B1590">
            <v>742</v>
          </cell>
          <cell r="C1590">
            <v>721000</v>
          </cell>
          <cell r="D1590">
            <v>1</v>
          </cell>
          <cell r="F1590" t="str">
            <v xml:space="preserve">כלים וציוד        </v>
          </cell>
          <cell r="G1590" t="str">
            <v>גמיש</v>
          </cell>
          <cell r="H1590">
            <v>1.5</v>
          </cell>
          <cell r="I1590">
            <v>13500</v>
          </cell>
          <cell r="J1590">
            <v>5400</v>
          </cell>
          <cell r="K1590">
            <v>3232.38</v>
          </cell>
          <cell r="L1590">
            <v>13500</v>
          </cell>
          <cell r="M1590">
            <v>13926.47</v>
          </cell>
        </row>
        <row r="1591">
          <cell r="A1591">
            <v>1721000743</v>
          </cell>
          <cell r="B1591">
            <v>743</v>
          </cell>
          <cell r="C1591">
            <v>721000</v>
          </cell>
          <cell r="D1591">
            <v>1</v>
          </cell>
          <cell r="F1591" t="str">
            <v>מערכות מיגון אב"כ</v>
          </cell>
          <cell r="G1591" t="str">
            <v>גמיש</v>
          </cell>
          <cell r="H1591">
            <v>1.2222222222222223</v>
          </cell>
          <cell r="I1591">
            <v>150000</v>
          </cell>
          <cell r="J1591">
            <v>67500</v>
          </cell>
          <cell r="K1591">
            <v>-62480.34</v>
          </cell>
          <cell r="L1591">
            <v>75000</v>
          </cell>
          <cell r="M1591">
            <v>72240.44</v>
          </cell>
        </row>
        <row r="1592">
          <cell r="A1592">
            <v>1721000780</v>
          </cell>
          <cell r="B1592">
            <v>780</v>
          </cell>
          <cell r="C1592">
            <v>721000</v>
          </cell>
          <cell r="D1592">
            <v>1</v>
          </cell>
          <cell r="F1592" t="str">
            <v xml:space="preserve">סדרי ביטחון+הדרכה      </v>
          </cell>
          <cell r="G1592" t="str">
            <v>גמיש</v>
          </cell>
          <cell r="H1592">
            <v>0.11111111111111116</v>
          </cell>
          <cell r="I1592">
            <v>35900</v>
          </cell>
          <cell r="J1592">
            <v>32310</v>
          </cell>
          <cell r="K1592">
            <v>4284.26</v>
          </cell>
          <cell r="L1592">
            <v>35900</v>
          </cell>
          <cell r="M1592">
            <v>35839.800000000003</v>
          </cell>
        </row>
        <row r="1593">
          <cell r="A1593">
            <v>1721000781</v>
          </cell>
          <cell r="B1593">
            <v>781</v>
          </cell>
          <cell r="C1593">
            <v>721000</v>
          </cell>
          <cell r="D1593">
            <v>1</v>
          </cell>
          <cell r="F1593" t="str">
            <v xml:space="preserve">מטווחים           </v>
          </cell>
          <cell r="G1593" t="str">
            <v>גמיש</v>
          </cell>
          <cell r="H1593">
            <v>0.11111111111111116</v>
          </cell>
          <cell r="I1593">
            <v>15300</v>
          </cell>
          <cell r="J1593">
            <v>13770</v>
          </cell>
          <cell r="K1593">
            <v>13745.3</v>
          </cell>
          <cell r="L1593">
            <v>15300</v>
          </cell>
          <cell r="M1593">
            <v>15299.09</v>
          </cell>
        </row>
        <row r="1594">
          <cell r="A1594">
            <v>1721000782</v>
          </cell>
          <cell r="B1594">
            <v>782</v>
          </cell>
          <cell r="C1594">
            <v>721000</v>
          </cell>
          <cell r="D1594">
            <v>1</v>
          </cell>
          <cell r="F1594" t="str">
            <v>אבטחת אירועים עירוניים</v>
          </cell>
          <cell r="G1594" t="str">
            <v>קשיח</v>
          </cell>
          <cell r="H1594">
            <v>1.3111111111111109</v>
          </cell>
          <cell r="I1594">
            <v>2600000</v>
          </cell>
          <cell r="J1594">
            <v>1125000</v>
          </cell>
          <cell r="K1594">
            <v>2087248.48</v>
          </cell>
          <cell r="L1594">
            <v>1795500</v>
          </cell>
          <cell r="M1594">
            <v>1554348.95</v>
          </cell>
        </row>
        <row r="1595">
          <cell r="A1595">
            <v>1721000784</v>
          </cell>
          <cell r="B1595">
            <v>784</v>
          </cell>
          <cell r="C1595">
            <v>721000</v>
          </cell>
          <cell r="D1595">
            <v>1</v>
          </cell>
          <cell r="F1595" t="str">
            <v>מתנדבים</v>
          </cell>
          <cell r="G1595" t="str">
            <v>גמיש</v>
          </cell>
          <cell r="H1595">
            <v>0.29629629629629628</v>
          </cell>
          <cell r="I1595">
            <v>35000</v>
          </cell>
          <cell r="J1595">
            <v>27000</v>
          </cell>
          <cell r="K1595">
            <v>1095.6199999999999</v>
          </cell>
          <cell r="L1595">
            <v>24900</v>
          </cell>
          <cell r="M1595">
            <v>23858.74</v>
          </cell>
        </row>
        <row r="1596">
          <cell r="A1596">
            <v>1721000931</v>
          </cell>
          <cell r="B1596">
            <v>931</v>
          </cell>
          <cell r="C1596">
            <v>721000</v>
          </cell>
          <cell r="D1596">
            <v>1</v>
          </cell>
          <cell r="F1596" t="str">
            <v>תיקון ליקויים</v>
          </cell>
          <cell r="G1596" t="str">
            <v>גמיש</v>
          </cell>
          <cell r="H1596">
            <v>0.11111111111111116</v>
          </cell>
          <cell r="I1596">
            <v>45000</v>
          </cell>
          <cell r="J1596">
            <v>40500</v>
          </cell>
          <cell r="K1596">
            <v>5015</v>
          </cell>
          <cell r="L1596">
            <v>45000</v>
          </cell>
          <cell r="M1596">
            <v>36891.81</v>
          </cell>
        </row>
        <row r="1597">
          <cell r="A1597">
            <v>1721000932</v>
          </cell>
          <cell r="B1597">
            <v>932</v>
          </cell>
          <cell r="C1597">
            <v>721000</v>
          </cell>
          <cell r="D1597">
            <v>1</v>
          </cell>
          <cell r="F1597" t="str">
            <v>רזרבה-מערכות אזעקה</v>
          </cell>
          <cell r="G1597" t="str">
            <v>גמיש</v>
          </cell>
          <cell r="H1597">
            <v>0.11111111111111116</v>
          </cell>
          <cell r="I1597">
            <v>34200</v>
          </cell>
          <cell r="J1597">
            <v>30780</v>
          </cell>
          <cell r="K1597">
            <v>0</v>
          </cell>
          <cell r="L1597">
            <v>34200</v>
          </cell>
          <cell r="M1597">
            <v>34200</v>
          </cell>
        </row>
        <row r="1598">
          <cell r="A1598">
            <v>1721000933</v>
          </cell>
          <cell r="B1598">
            <v>933</v>
          </cell>
          <cell r="C1598">
            <v>721000</v>
          </cell>
          <cell r="D1598">
            <v>1</v>
          </cell>
          <cell r="F1598" t="str">
            <v xml:space="preserve">אגרה ותחזוקת נשק </v>
          </cell>
          <cell r="G1598" t="str">
            <v>גמיש</v>
          </cell>
          <cell r="H1598">
            <v>0.11111111111111116</v>
          </cell>
          <cell r="I1598">
            <v>9000</v>
          </cell>
          <cell r="J1598">
            <v>8100</v>
          </cell>
          <cell r="K1598">
            <v>1534</v>
          </cell>
          <cell r="L1598">
            <v>9000</v>
          </cell>
          <cell r="M1598">
            <v>8925</v>
          </cell>
        </row>
        <row r="1599">
          <cell r="A1599" t="e">
            <v>#VALUE!</v>
          </cell>
          <cell r="B1599" t="str">
            <v>721000  סך הכל</v>
          </cell>
          <cell r="F1599" t="str">
            <v>מינהל שמירה ובטחון</v>
          </cell>
          <cell r="H1599">
            <v>0.40316949537534019</v>
          </cell>
          <cell r="I1599">
            <v>6836340.0033333339</v>
          </cell>
          <cell r="J1599">
            <v>4872070</v>
          </cell>
          <cell r="K1599">
            <v>4068761.1900000004</v>
          </cell>
          <cell r="L1599">
            <v>5109800</v>
          </cell>
          <cell r="M1599">
            <v>4774488.21</v>
          </cell>
        </row>
        <row r="1600">
          <cell r="A1600">
            <v>17211000</v>
          </cell>
          <cell r="B1600">
            <v>0</v>
          </cell>
          <cell r="C1600">
            <v>721100</v>
          </cell>
          <cell r="D1600">
            <v>1</v>
          </cell>
          <cell r="F1600" t="str">
            <v>מחלקת בטיחות</v>
          </cell>
        </row>
        <row r="1601">
          <cell r="A1601">
            <v>1721100580</v>
          </cell>
          <cell r="B1601">
            <v>580</v>
          </cell>
          <cell r="C1601">
            <v>721100</v>
          </cell>
          <cell r="D1601">
            <v>1</v>
          </cell>
          <cell r="F1601" t="str">
            <v>השתלמויות והדרכות</v>
          </cell>
          <cell r="G1601" t="str">
            <v>קשיח</v>
          </cell>
          <cell r="H1601">
            <v>0.33266699983341663</v>
          </cell>
          <cell r="I1601">
            <v>80000</v>
          </cell>
          <cell r="J1601">
            <v>60030</v>
          </cell>
          <cell r="K1601">
            <v>27964.46</v>
          </cell>
          <cell r="L1601">
            <v>66700</v>
          </cell>
          <cell r="M1601">
            <v>45268.76</v>
          </cell>
        </row>
        <row r="1602">
          <cell r="A1602">
            <v>1721100581</v>
          </cell>
          <cell r="B1602">
            <v>581</v>
          </cell>
          <cell r="C1602">
            <v>721100</v>
          </cell>
          <cell r="D1602">
            <v>1</v>
          </cell>
          <cell r="F1602" t="str">
            <v>יעוץ בטיחות</v>
          </cell>
          <cell r="G1602" t="str">
            <v>קשיח</v>
          </cell>
          <cell r="H1602">
            <v>1.1633333333333336</v>
          </cell>
          <cell r="I1602">
            <v>467280</v>
          </cell>
          <cell r="J1602">
            <v>216000</v>
          </cell>
          <cell r="K1602">
            <v>281870.13</v>
          </cell>
          <cell r="L1602">
            <v>550000</v>
          </cell>
          <cell r="M1602">
            <v>532045.81999999995</v>
          </cell>
        </row>
        <row r="1603">
          <cell r="A1603">
            <v>1721100780</v>
          </cell>
          <cell r="B1603">
            <v>780</v>
          </cell>
          <cell r="C1603">
            <v>721100</v>
          </cell>
          <cell r="D1603">
            <v>1</v>
          </cell>
          <cell r="F1603" t="str">
            <v>פעילות שוטפת</v>
          </cell>
          <cell r="G1603" t="str">
            <v>גמיש</v>
          </cell>
          <cell r="H1603">
            <v>0</v>
          </cell>
          <cell r="I1603">
            <v>6120</v>
          </cell>
          <cell r="J1603">
            <v>6120</v>
          </cell>
          <cell r="K1603">
            <v>1975</v>
          </cell>
          <cell r="L1603">
            <v>6800</v>
          </cell>
          <cell r="M1603">
            <v>6783.15</v>
          </cell>
        </row>
        <row r="1604">
          <cell r="A1604" t="e">
            <v>#VALUE!</v>
          </cell>
          <cell r="B1604" t="str">
            <v>721100  סך הכל</v>
          </cell>
          <cell r="F1604" t="str">
            <v>מחלקת בטיחות</v>
          </cell>
          <cell r="H1604">
            <v>0.96136806663122454</v>
          </cell>
          <cell r="I1604">
            <v>553400</v>
          </cell>
          <cell r="J1604">
            <v>282150</v>
          </cell>
          <cell r="K1604">
            <v>311809.59000000003</v>
          </cell>
          <cell r="L1604">
            <v>623500</v>
          </cell>
          <cell r="M1604">
            <v>584097.73</v>
          </cell>
        </row>
        <row r="1605">
          <cell r="A1605">
            <v>17220000</v>
          </cell>
          <cell r="B1605">
            <v>0</v>
          </cell>
          <cell r="C1605">
            <v>722000</v>
          </cell>
          <cell r="D1605">
            <v>1</v>
          </cell>
          <cell r="F1605" t="str">
            <v xml:space="preserve">שמירה ביטחונית    </v>
          </cell>
          <cell r="G1605" t="str">
            <v xml:space="preserve"> </v>
          </cell>
        </row>
        <row r="1606">
          <cell r="A1606">
            <v>1722100412</v>
          </cell>
          <cell r="B1606">
            <v>412</v>
          </cell>
          <cell r="C1606">
            <v>722100</v>
          </cell>
          <cell r="D1606">
            <v>1</v>
          </cell>
          <cell r="F1606" t="str">
            <v>ארנונה משא"ז</v>
          </cell>
          <cell r="G1606" t="str">
            <v>קשיח</v>
          </cell>
          <cell r="H1606">
            <v>-1</v>
          </cell>
          <cell r="I1606">
            <v>0</v>
          </cell>
          <cell r="J1606">
            <v>25000</v>
          </cell>
          <cell r="K1606">
            <v>0</v>
          </cell>
          <cell r="L1606">
            <v>100000</v>
          </cell>
          <cell r="M1606">
            <v>23307.22</v>
          </cell>
        </row>
        <row r="1607">
          <cell r="A1607">
            <v>1722100431</v>
          </cell>
          <cell r="B1607">
            <v>431</v>
          </cell>
          <cell r="C1607">
            <v>722100</v>
          </cell>
          <cell r="D1607">
            <v>1</v>
          </cell>
          <cell r="F1607" t="str">
            <v xml:space="preserve">חשמל              </v>
          </cell>
          <cell r="G1607" t="str">
            <v>קשיח</v>
          </cell>
          <cell r="H1607">
            <v>0</v>
          </cell>
          <cell r="I1607">
            <v>20000</v>
          </cell>
          <cell r="J1607">
            <v>20000</v>
          </cell>
          <cell r="K1607">
            <v>10476.81</v>
          </cell>
          <cell r="L1607">
            <v>15600</v>
          </cell>
          <cell r="M1607">
            <v>17752.330000000002</v>
          </cell>
        </row>
        <row r="1608">
          <cell r="A1608">
            <v>1722100433</v>
          </cell>
          <cell r="B1608">
            <v>433</v>
          </cell>
          <cell r="C1608">
            <v>722100</v>
          </cell>
          <cell r="D1608">
            <v>1</v>
          </cell>
          <cell r="F1608" t="str">
            <v xml:space="preserve">חומרי נקיון       </v>
          </cell>
          <cell r="G1608" t="str">
            <v>גמיש</v>
          </cell>
          <cell r="H1608">
            <v>0</v>
          </cell>
          <cell r="I1608">
            <v>1080</v>
          </cell>
          <cell r="J1608">
            <v>1080</v>
          </cell>
          <cell r="K1608">
            <v>0</v>
          </cell>
          <cell r="L1608">
            <v>1200</v>
          </cell>
          <cell r="M1608">
            <v>1192.77</v>
          </cell>
        </row>
        <row r="1609">
          <cell r="A1609">
            <v>1722100470</v>
          </cell>
          <cell r="B1609">
            <v>470</v>
          </cell>
          <cell r="C1609">
            <v>722100</v>
          </cell>
          <cell r="D1609">
            <v>1</v>
          </cell>
          <cell r="F1609" t="str">
            <v xml:space="preserve">אחזקת מכונות משרד </v>
          </cell>
          <cell r="G1609" t="str">
            <v>גמיש</v>
          </cell>
          <cell r="J1609">
            <v>0</v>
          </cell>
          <cell r="K1609">
            <v>0</v>
          </cell>
          <cell r="L1609">
            <v>1700</v>
          </cell>
          <cell r="M1609">
            <v>0</v>
          </cell>
        </row>
        <row r="1610">
          <cell r="A1610">
            <v>1722100471</v>
          </cell>
          <cell r="B1610">
            <v>471</v>
          </cell>
          <cell r="C1610">
            <v>722100</v>
          </cell>
          <cell r="D1610">
            <v>1</v>
          </cell>
          <cell r="F1610" t="str">
            <v xml:space="preserve">מכשירי כתיבה      </v>
          </cell>
          <cell r="G1610" t="str">
            <v>גמיש</v>
          </cell>
          <cell r="H1610">
            <v>-0.81481481481481488</v>
          </cell>
          <cell r="I1610">
            <v>500</v>
          </cell>
          <cell r="J1610">
            <v>2700</v>
          </cell>
          <cell r="K1610">
            <v>0</v>
          </cell>
          <cell r="L1610">
            <v>3000</v>
          </cell>
          <cell r="M1610">
            <v>574</v>
          </cell>
        </row>
        <row r="1611">
          <cell r="A1611">
            <v>1722100511</v>
          </cell>
          <cell r="B1611">
            <v>511</v>
          </cell>
          <cell r="C1611">
            <v>722100</v>
          </cell>
          <cell r="D1611">
            <v>1</v>
          </cell>
          <cell r="F1611" t="str">
            <v xml:space="preserve">אירוח וכיבוד      </v>
          </cell>
          <cell r="G1611" t="str">
            <v>גמיש</v>
          </cell>
          <cell r="H1611">
            <v>4.1666666666666741E-2</v>
          </cell>
          <cell r="I1611">
            <v>7500</v>
          </cell>
          <cell r="J1611">
            <v>7200</v>
          </cell>
          <cell r="K1611">
            <v>6033.63</v>
          </cell>
          <cell r="L1611">
            <v>6300</v>
          </cell>
          <cell r="M1611">
            <v>6462.36</v>
          </cell>
        </row>
        <row r="1612">
          <cell r="A1612">
            <v>1722100561</v>
          </cell>
          <cell r="B1612">
            <v>561</v>
          </cell>
          <cell r="C1612">
            <v>722100</v>
          </cell>
          <cell r="D1612">
            <v>1</v>
          </cell>
          <cell r="F1612" t="str">
            <v xml:space="preserve">שיכפולים          </v>
          </cell>
          <cell r="G1612" t="str">
            <v>גמיש</v>
          </cell>
          <cell r="J1612">
            <v>0</v>
          </cell>
          <cell r="K1612">
            <v>0</v>
          </cell>
          <cell r="L1612">
            <v>500</v>
          </cell>
          <cell r="M1612">
            <v>0</v>
          </cell>
        </row>
        <row r="1613">
          <cell r="A1613">
            <v>1722100742</v>
          </cell>
          <cell r="B1613">
            <v>742</v>
          </cell>
          <cell r="C1613">
            <v>722100</v>
          </cell>
          <cell r="D1613">
            <v>1</v>
          </cell>
          <cell r="F1613" t="str">
            <v>תיקון ליקויים</v>
          </cell>
          <cell r="G1613" t="str">
            <v>גמיש</v>
          </cell>
          <cell r="H1613">
            <v>0</v>
          </cell>
          <cell r="I1613">
            <v>8100</v>
          </cell>
          <cell r="J1613">
            <v>8100</v>
          </cell>
          <cell r="K1613">
            <v>0</v>
          </cell>
          <cell r="L1613">
            <v>4600</v>
          </cell>
          <cell r="M1613">
            <v>4600</v>
          </cell>
        </row>
        <row r="1614">
          <cell r="A1614">
            <v>1722100751</v>
          </cell>
          <cell r="B1614">
            <v>751</v>
          </cell>
          <cell r="C1614">
            <v>722100</v>
          </cell>
          <cell r="D1614">
            <v>1</v>
          </cell>
          <cell r="F1614" t="str">
            <v xml:space="preserve">עבודות קבלניות    </v>
          </cell>
          <cell r="G1614" t="str">
            <v>גמיש</v>
          </cell>
          <cell r="J1614">
            <v>0</v>
          </cell>
          <cell r="K1614">
            <v>0</v>
          </cell>
          <cell r="L1614">
            <v>4500</v>
          </cell>
          <cell r="M1614">
            <v>4500</v>
          </cell>
        </row>
        <row r="1615">
          <cell r="A1615">
            <v>1722100780</v>
          </cell>
          <cell r="B1615">
            <v>780</v>
          </cell>
          <cell r="C1615">
            <v>722100</v>
          </cell>
          <cell r="D1615">
            <v>1</v>
          </cell>
          <cell r="F1615" t="str">
            <v xml:space="preserve">מטווחים           </v>
          </cell>
          <cell r="G1615" t="str">
            <v>גמיש</v>
          </cell>
          <cell r="H1615">
            <v>0</v>
          </cell>
          <cell r="I1615">
            <v>18000</v>
          </cell>
          <cell r="J1615">
            <v>18000</v>
          </cell>
          <cell r="K1615">
            <v>0</v>
          </cell>
          <cell r="L1615">
            <v>10300</v>
          </cell>
          <cell r="M1615">
            <v>0</v>
          </cell>
        </row>
        <row r="1616">
          <cell r="A1616">
            <v>1722100782</v>
          </cell>
          <cell r="B1616">
            <v>782</v>
          </cell>
          <cell r="C1616">
            <v>722100</v>
          </cell>
          <cell r="D1616">
            <v>1</v>
          </cell>
          <cell r="F1616" t="str">
            <v xml:space="preserve">ארועים והסברה     </v>
          </cell>
          <cell r="G1616" t="str">
            <v>גמיש</v>
          </cell>
          <cell r="H1616">
            <v>0</v>
          </cell>
          <cell r="I1616">
            <v>10800</v>
          </cell>
          <cell r="J1616">
            <v>10800</v>
          </cell>
          <cell r="K1616">
            <v>0</v>
          </cell>
          <cell r="L1616">
            <v>6600</v>
          </cell>
          <cell r="M1616">
            <v>6619.91</v>
          </cell>
        </row>
        <row r="1617">
          <cell r="A1617">
            <v>1722100783</v>
          </cell>
          <cell r="B1617">
            <v>783</v>
          </cell>
          <cell r="C1617">
            <v>722100</v>
          </cell>
          <cell r="D1617">
            <v>1</v>
          </cell>
          <cell r="F1617" t="str">
            <v>תחזוקת משקי"ם</v>
          </cell>
          <cell r="G1617" t="str">
            <v>גמיש</v>
          </cell>
          <cell r="J1617">
            <v>0</v>
          </cell>
          <cell r="K1617">
            <v>0</v>
          </cell>
          <cell r="L1617">
            <v>6000</v>
          </cell>
          <cell r="M1617">
            <v>6129.25</v>
          </cell>
        </row>
        <row r="1618">
          <cell r="A1618">
            <v>1722100784</v>
          </cell>
          <cell r="B1618">
            <v>784</v>
          </cell>
          <cell r="C1618">
            <v>722100</v>
          </cell>
          <cell r="D1618">
            <v>1</v>
          </cell>
          <cell r="F1618" t="str">
            <v>מתנדבי השירות הלאומי</v>
          </cell>
          <cell r="G1618" t="str">
            <v>גמיש</v>
          </cell>
          <cell r="J1618">
            <v>0</v>
          </cell>
          <cell r="K1618">
            <v>0</v>
          </cell>
          <cell r="L1618">
            <v>24900</v>
          </cell>
          <cell r="M1618">
            <v>24498.880000000001</v>
          </cell>
        </row>
        <row r="1619">
          <cell r="A1619">
            <v>1722100794</v>
          </cell>
          <cell r="B1619">
            <v>794</v>
          </cell>
          <cell r="C1619">
            <v>722100</v>
          </cell>
          <cell r="D1619">
            <v>1</v>
          </cell>
          <cell r="F1619" t="str">
            <v xml:space="preserve">השתתפות בעזר 094  </v>
          </cell>
          <cell r="G1619" t="str">
            <v>קשיח</v>
          </cell>
          <cell r="H1619">
            <v>0</v>
          </cell>
          <cell r="I1619">
            <v>5100</v>
          </cell>
          <cell r="J1619">
            <v>5100</v>
          </cell>
          <cell r="K1619">
            <v>2409</v>
          </cell>
          <cell r="L1619">
            <v>5100</v>
          </cell>
          <cell r="M1619">
            <v>6083</v>
          </cell>
        </row>
        <row r="1620">
          <cell r="A1620">
            <v>1722100932</v>
          </cell>
          <cell r="B1620">
            <v>932</v>
          </cell>
          <cell r="C1620">
            <v>722100</v>
          </cell>
          <cell r="D1620">
            <v>1</v>
          </cell>
          <cell r="F1620" t="str">
            <v>כיתת כוננות</v>
          </cell>
          <cell r="G1620" t="str">
            <v>גמיש</v>
          </cell>
          <cell r="H1620">
            <v>0</v>
          </cell>
          <cell r="I1620">
            <v>9000</v>
          </cell>
          <cell r="J1620">
            <v>9000</v>
          </cell>
          <cell r="K1620">
            <v>0</v>
          </cell>
          <cell r="L1620">
            <v>0</v>
          </cell>
          <cell r="M1620">
            <v>0</v>
          </cell>
        </row>
        <row r="1621">
          <cell r="A1621" t="e">
            <v>#VALUE!</v>
          </cell>
          <cell r="B1621" t="str">
            <v>722100  סך הכל</v>
          </cell>
          <cell r="F1621" t="str">
            <v xml:space="preserve">משמר אזרחי        </v>
          </cell>
          <cell r="H1621">
            <v>-0.25144886894746676</v>
          </cell>
          <cell r="I1621">
            <v>80080</v>
          </cell>
          <cell r="J1621">
            <v>106980</v>
          </cell>
          <cell r="K1621">
            <v>18919.439999999999</v>
          </cell>
          <cell r="L1621">
            <v>190300</v>
          </cell>
          <cell r="M1621">
            <v>101719.72</v>
          </cell>
        </row>
        <row r="1622">
          <cell r="A1622">
            <v>17230000</v>
          </cell>
          <cell r="B1622">
            <v>0</v>
          </cell>
          <cell r="C1622">
            <v>723000</v>
          </cell>
          <cell r="D1622">
            <v>1</v>
          </cell>
          <cell r="F1622" t="str">
            <v xml:space="preserve">הג"א              </v>
          </cell>
          <cell r="G1622" t="str">
            <v xml:space="preserve"> </v>
          </cell>
        </row>
        <row r="1623">
          <cell r="A1623">
            <v>1723000110</v>
          </cell>
          <cell r="B1623">
            <v>110</v>
          </cell>
          <cell r="C1623">
            <v>723000</v>
          </cell>
          <cell r="D1623">
            <v>1</v>
          </cell>
          <cell r="F1623" t="str">
            <v>השכר הקובע-תקציבית</v>
          </cell>
          <cell r="G1623" t="str">
            <v>שכר</v>
          </cell>
          <cell r="H1623">
            <v>2.5023041474654173E-2</v>
          </cell>
          <cell r="I1623">
            <v>222429.99999999997</v>
          </cell>
          <cell r="J1623">
            <v>217000</v>
          </cell>
          <cell r="K1623">
            <v>131652.45000000001</v>
          </cell>
          <cell r="L1623">
            <v>181000</v>
          </cell>
          <cell r="M1623">
            <v>214097.13</v>
          </cell>
        </row>
        <row r="1624">
          <cell r="A1624">
            <v>1723000119</v>
          </cell>
          <cell r="B1624">
            <v>119</v>
          </cell>
          <cell r="C1624">
            <v>723000</v>
          </cell>
          <cell r="D1624">
            <v>1</v>
          </cell>
          <cell r="F1624" t="str">
            <v xml:space="preserve">השכר הקובע-צוברת  </v>
          </cell>
          <cell r="G1624" t="str">
            <v>שכר</v>
          </cell>
          <cell r="H1624">
            <v>2.5008098477486307E-2</v>
          </cell>
          <cell r="I1624">
            <v>632840</v>
          </cell>
          <cell r="J1624">
            <v>617400</v>
          </cell>
          <cell r="K1624">
            <v>326214.57</v>
          </cell>
          <cell r="L1624">
            <v>605300</v>
          </cell>
          <cell r="M1624">
            <v>658589.9</v>
          </cell>
        </row>
        <row r="1625">
          <cell r="A1625">
            <v>1723000122</v>
          </cell>
          <cell r="B1625">
            <v>122</v>
          </cell>
          <cell r="C1625">
            <v>723000</v>
          </cell>
          <cell r="D1625">
            <v>1</v>
          </cell>
          <cell r="F1625" t="str">
            <v xml:space="preserve">ביגוד             </v>
          </cell>
          <cell r="G1625" t="str">
            <v>שכר</v>
          </cell>
          <cell r="H1625">
            <v>0</v>
          </cell>
          <cell r="I1625">
            <v>12200</v>
          </cell>
          <cell r="J1625">
            <v>12200</v>
          </cell>
          <cell r="K1625">
            <v>11631.5</v>
          </cell>
          <cell r="L1625">
            <v>12200</v>
          </cell>
          <cell r="M1625">
            <v>11125.36</v>
          </cell>
        </row>
        <row r="1626">
          <cell r="A1626">
            <v>1723000126</v>
          </cell>
          <cell r="B1626">
            <v>126</v>
          </cell>
          <cell r="C1626">
            <v>723000</v>
          </cell>
          <cell r="D1626">
            <v>1</v>
          </cell>
          <cell r="F1626" t="str">
            <v xml:space="preserve">דמי הבראה         </v>
          </cell>
          <cell r="G1626" t="str">
            <v>שכר</v>
          </cell>
          <cell r="H1626">
            <v>0</v>
          </cell>
          <cell r="I1626">
            <v>30000</v>
          </cell>
          <cell r="J1626">
            <v>30000</v>
          </cell>
          <cell r="K1626">
            <v>28041.200000000001</v>
          </cell>
          <cell r="L1626">
            <v>32000</v>
          </cell>
          <cell r="M1626">
            <v>27529.759999999998</v>
          </cell>
        </row>
        <row r="1627">
          <cell r="A1627">
            <v>1723000130</v>
          </cell>
          <cell r="B1627">
            <v>130</v>
          </cell>
          <cell r="C1627">
            <v>723000</v>
          </cell>
          <cell r="D1627">
            <v>1</v>
          </cell>
          <cell r="F1627" t="str">
            <v xml:space="preserve">שעות נוספות       </v>
          </cell>
          <cell r="G1627" t="str">
            <v>שכר</v>
          </cell>
          <cell r="H1627">
            <v>0</v>
          </cell>
          <cell r="I1627">
            <v>60720</v>
          </cell>
          <cell r="J1627">
            <v>60720</v>
          </cell>
          <cell r="K1627">
            <v>66106.98</v>
          </cell>
          <cell r="L1627">
            <v>70600</v>
          </cell>
          <cell r="M1627">
            <v>98321.18</v>
          </cell>
        </row>
        <row r="1628">
          <cell r="A1628">
            <v>1723000140</v>
          </cell>
          <cell r="B1628">
            <v>140</v>
          </cell>
          <cell r="C1628">
            <v>723000</v>
          </cell>
          <cell r="D1628">
            <v>1</v>
          </cell>
          <cell r="F1628" t="str">
            <v>השתתפות באחזקת רכב</v>
          </cell>
          <cell r="G1628" t="str">
            <v>שכר</v>
          </cell>
          <cell r="H1628">
            <v>0</v>
          </cell>
          <cell r="I1628">
            <v>83000</v>
          </cell>
          <cell r="J1628">
            <v>83000</v>
          </cell>
          <cell r="K1628">
            <v>56690.92</v>
          </cell>
          <cell r="L1628">
            <v>83000</v>
          </cell>
          <cell r="M1628">
            <v>101602.85</v>
          </cell>
        </row>
        <row r="1629">
          <cell r="A1629">
            <v>1723000412</v>
          </cell>
          <cell r="B1629">
            <v>412</v>
          </cell>
          <cell r="C1629">
            <v>723000</v>
          </cell>
          <cell r="D1629">
            <v>1</v>
          </cell>
          <cell r="F1629" t="str">
            <v>ארנונה מחסני ערכות מגן</v>
          </cell>
          <cell r="G1629" t="str">
            <v>קשיח</v>
          </cell>
          <cell r="H1629">
            <v>0</v>
          </cell>
          <cell r="I1629">
            <v>100000</v>
          </cell>
          <cell r="J1629">
            <v>100000</v>
          </cell>
          <cell r="K1629">
            <v>0</v>
          </cell>
          <cell r="L1629">
            <v>100000</v>
          </cell>
          <cell r="M1629">
            <v>100000</v>
          </cell>
        </row>
        <row r="1630">
          <cell r="A1630">
            <v>1723000423</v>
          </cell>
          <cell r="B1630">
            <v>423</v>
          </cell>
          <cell r="C1630">
            <v>723000</v>
          </cell>
          <cell r="D1630">
            <v>1</v>
          </cell>
          <cell r="F1630" t="str">
            <v xml:space="preserve">תחזוקת מבנה       </v>
          </cell>
          <cell r="G1630" t="str">
            <v>קשיח</v>
          </cell>
          <cell r="H1630">
            <v>0</v>
          </cell>
          <cell r="I1630">
            <v>7500</v>
          </cell>
          <cell r="J1630">
            <v>7500</v>
          </cell>
          <cell r="K1630">
            <v>0</v>
          </cell>
          <cell r="L1630">
            <v>5900</v>
          </cell>
          <cell r="M1630">
            <v>5900</v>
          </cell>
        </row>
        <row r="1631">
          <cell r="A1631">
            <v>1723000431</v>
          </cell>
          <cell r="B1631">
            <v>431</v>
          </cell>
          <cell r="C1631">
            <v>723000</v>
          </cell>
          <cell r="D1631">
            <v>1</v>
          </cell>
          <cell r="F1631" t="str">
            <v xml:space="preserve">חשמל              </v>
          </cell>
          <cell r="G1631" t="str">
            <v>קשיח</v>
          </cell>
          <cell r="H1631">
            <v>0.78217821782178221</v>
          </cell>
          <cell r="I1631">
            <v>90000</v>
          </cell>
          <cell r="J1631">
            <v>50500</v>
          </cell>
          <cell r="K1631">
            <v>56929.11</v>
          </cell>
          <cell r="L1631">
            <v>30800</v>
          </cell>
          <cell r="M1631">
            <v>85047.24</v>
          </cell>
        </row>
        <row r="1632">
          <cell r="A1632">
            <v>1723000432</v>
          </cell>
          <cell r="B1632">
            <v>432</v>
          </cell>
          <cell r="C1632">
            <v>723000</v>
          </cell>
          <cell r="D1632">
            <v>1</v>
          </cell>
          <cell r="F1632" t="str">
            <v xml:space="preserve">מים               </v>
          </cell>
          <cell r="G1632" t="str">
            <v>קשיח</v>
          </cell>
          <cell r="H1632">
            <v>0</v>
          </cell>
          <cell r="I1632">
            <v>8000</v>
          </cell>
          <cell r="J1632">
            <v>8000</v>
          </cell>
          <cell r="K1632">
            <v>4804.79</v>
          </cell>
          <cell r="L1632">
            <v>10000</v>
          </cell>
          <cell r="M1632">
            <v>0</v>
          </cell>
        </row>
        <row r="1633">
          <cell r="A1633">
            <v>1723000437</v>
          </cell>
          <cell r="B1633">
            <v>437</v>
          </cell>
          <cell r="C1633">
            <v>723000</v>
          </cell>
          <cell r="D1633">
            <v>1</v>
          </cell>
          <cell r="F1633" t="str">
            <v>מערכת אזעקה</v>
          </cell>
          <cell r="G1633" t="str">
            <v>קשיח</v>
          </cell>
          <cell r="H1633">
            <v>0.3214285714285714</v>
          </cell>
          <cell r="I1633">
            <v>3700</v>
          </cell>
          <cell r="J1633">
            <v>2800</v>
          </cell>
          <cell r="K1633">
            <v>0</v>
          </cell>
          <cell r="L1633">
            <v>2800</v>
          </cell>
          <cell r="M1633">
            <v>3035.3</v>
          </cell>
        </row>
        <row r="1634">
          <cell r="A1634">
            <v>1723000471</v>
          </cell>
          <cell r="B1634">
            <v>471</v>
          </cell>
          <cell r="C1634">
            <v>723000</v>
          </cell>
          <cell r="D1634">
            <v>1</v>
          </cell>
          <cell r="F1634" t="str">
            <v xml:space="preserve">מכשירי כתיבה      </v>
          </cell>
          <cell r="G1634" t="str">
            <v>גמיש</v>
          </cell>
          <cell r="H1634">
            <v>0.11111111111111116</v>
          </cell>
          <cell r="I1634">
            <v>1300</v>
          </cell>
          <cell r="J1634">
            <v>1170</v>
          </cell>
          <cell r="K1634">
            <v>0</v>
          </cell>
          <cell r="L1634">
            <v>1300</v>
          </cell>
          <cell r="M1634">
            <v>0</v>
          </cell>
        </row>
        <row r="1635">
          <cell r="A1635">
            <v>1723000477</v>
          </cell>
          <cell r="B1635">
            <v>477</v>
          </cell>
          <cell r="C1635">
            <v>723000</v>
          </cell>
          <cell r="D1635">
            <v>1</v>
          </cell>
          <cell r="F1635" t="str">
            <v>אחז'מקלטים צבוריים</v>
          </cell>
          <cell r="G1635" t="str">
            <v>גמיש</v>
          </cell>
          <cell r="H1635">
            <v>0.11111111111111116</v>
          </cell>
          <cell r="I1635">
            <v>315000</v>
          </cell>
          <cell r="J1635">
            <v>283500</v>
          </cell>
          <cell r="K1635">
            <v>238217.68</v>
          </cell>
          <cell r="L1635">
            <v>315000</v>
          </cell>
          <cell r="M1635">
            <v>314903.05</v>
          </cell>
        </row>
        <row r="1636">
          <cell r="A1636">
            <v>1723000571</v>
          </cell>
          <cell r="B1636">
            <v>571</v>
          </cell>
          <cell r="C1636">
            <v>723000</v>
          </cell>
          <cell r="D1636">
            <v>1</v>
          </cell>
          <cell r="F1636" t="str">
            <v xml:space="preserve">מיכון וענ"א       </v>
          </cell>
          <cell r="G1636" t="str">
            <v>קשיח</v>
          </cell>
          <cell r="H1636">
            <v>0</v>
          </cell>
          <cell r="I1636">
            <v>20500</v>
          </cell>
          <cell r="J1636">
            <v>20500</v>
          </cell>
          <cell r="K1636">
            <v>10250</v>
          </cell>
          <cell r="L1636">
            <v>15600</v>
          </cell>
          <cell r="M1636">
            <v>15600</v>
          </cell>
        </row>
        <row r="1637">
          <cell r="A1637">
            <v>1723000710</v>
          </cell>
          <cell r="B1637">
            <v>710</v>
          </cell>
          <cell r="C1637">
            <v>723000</v>
          </cell>
          <cell r="D1637">
            <v>1</v>
          </cell>
          <cell r="F1637" t="str">
            <v xml:space="preserve">הובלות            </v>
          </cell>
          <cell r="G1637" t="str">
            <v>גמיש</v>
          </cell>
          <cell r="H1637">
            <v>0.11111111111111116</v>
          </cell>
          <cell r="I1637">
            <v>1000</v>
          </cell>
          <cell r="J1637">
            <v>900</v>
          </cell>
          <cell r="K1637">
            <v>900</v>
          </cell>
          <cell r="L1637">
            <v>4500</v>
          </cell>
          <cell r="M1637">
            <v>697</v>
          </cell>
        </row>
        <row r="1638">
          <cell r="A1638">
            <v>1723000721</v>
          </cell>
          <cell r="B1638">
            <v>721</v>
          </cell>
          <cell r="C1638">
            <v>723000</v>
          </cell>
          <cell r="D1638">
            <v>1</v>
          </cell>
          <cell r="F1638" t="str">
            <v>חמרים-תחזוקת מבנים</v>
          </cell>
          <cell r="G1638" t="str">
            <v>גמיש</v>
          </cell>
          <cell r="H1638">
            <v>-1</v>
          </cell>
          <cell r="I1638">
            <v>0</v>
          </cell>
          <cell r="J1638">
            <v>2430</v>
          </cell>
          <cell r="K1638">
            <v>2065</v>
          </cell>
          <cell r="L1638">
            <v>2700</v>
          </cell>
          <cell r="M1638">
            <v>1671.6</v>
          </cell>
        </row>
        <row r="1639">
          <cell r="A1639">
            <v>1723000722</v>
          </cell>
          <cell r="B1639">
            <v>722</v>
          </cell>
          <cell r="C1639">
            <v>723000</v>
          </cell>
          <cell r="D1639">
            <v>1</v>
          </cell>
          <cell r="F1639" t="str">
            <v>חמרים-תחזוקה עצמית</v>
          </cell>
          <cell r="G1639" t="str">
            <v>גמיש</v>
          </cell>
          <cell r="I1639">
            <v>2430</v>
          </cell>
          <cell r="J1639">
            <v>0</v>
          </cell>
          <cell r="K1639">
            <v>0</v>
          </cell>
          <cell r="L1639">
            <v>900</v>
          </cell>
          <cell r="M1639">
            <v>0</v>
          </cell>
        </row>
        <row r="1640">
          <cell r="A1640">
            <v>1723000744</v>
          </cell>
          <cell r="B1640">
            <v>744</v>
          </cell>
          <cell r="C1640">
            <v>723000</v>
          </cell>
          <cell r="D1640">
            <v>1</v>
          </cell>
          <cell r="F1640" t="str">
            <v xml:space="preserve">אחזקת ציוד        </v>
          </cell>
          <cell r="G1640" t="str">
            <v>גמיש</v>
          </cell>
          <cell r="H1640">
            <v>0</v>
          </cell>
          <cell r="I1640">
            <v>900</v>
          </cell>
          <cell r="J1640">
            <v>900</v>
          </cell>
          <cell r="K1640">
            <v>0</v>
          </cell>
          <cell r="L1640">
            <v>9000</v>
          </cell>
          <cell r="M1640">
            <v>5697.83</v>
          </cell>
        </row>
        <row r="1641">
          <cell r="A1641">
            <v>1723000751</v>
          </cell>
          <cell r="B1641">
            <v>751</v>
          </cell>
          <cell r="C1641">
            <v>723000</v>
          </cell>
          <cell r="D1641">
            <v>1</v>
          </cell>
          <cell r="F1641" t="str">
            <v xml:space="preserve">עבודות קבלניות    </v>
          </cell>
          <cell r="G1641" t="str">
            <v>גמיש</v>
          </cell>
          <cell r="H1641">
            <v>0.72839506172839497</v>
          </cell>
          <cell r="I1641">
            <v>21000</v>
          </cell>
          <cell r="J1641">
            <v>12150</v>
          </cell>
          <cell r="K1641">
            <v>12127</v>
          </cell>
          <cell r="L1641">
            <v>13500</v>
          </cell>
          <cell r="M1641">
            <v>10640</v>
          </cell>
        </row>
        <row r="1642">
          <cell r="A1642">
            <v>1723000781</v>
          </cell>
          <cell r="B1642">
            <v>781</v>
          </cell>
          <cell r="C1642">
            <v>723000</v>
          </cell>
          <cell r="D1642">
            <v>1</v>
          </cell>
          <cell r="F1642" t="str">
            <v xml:space="preserve">הסברה וארועים     </v>
          </cell>
          <cell r="G1642" t="str">
            <v>גמיש</v>
          </cell>
          <cell r="H1642">
            <v>0.11111111111111116</v>
          </cell>
          <cell r="I1642">
            <v>4100</v>
          </cell>
          <cell r="J1642">
            <v>3690</v>
          </cell>
          <cell r="K1642">
            <v>0</v>
          </cell>
          <cell r="L1642">
            <v>4100</v>
          </cell>
          <cell r="M1642">
            <v>4098.8100000000004</v>
          </cell>
        </row>
        <row r="1643">
          <cell r="A1643">
            <v>1723000783</v>
          </cell>
          <cell r="B1643">
            <v>783</v>
          </cell>
          <cell r="C1643">
            <v>723000</v>
          </cell>
          <cell r="D1643">
            <v>1</v>
          </cell>
          <cell r="F1643" t="str">
            <v xml:space="preserve">תרגילים וארועים   </v>
          </cell>
          <cell r="G1643" t="str">
            <v>גמיש</v>
          </cell>
          <cell r="H1643">
            <v>0.11111111111111116</v>
          </cell>
          <cell r="I1643">
            <v>2000</v>
          </cell>
          <cell r="J1643">
            <v>1800</v>
          </cell>
          <cell r="K1643">
            <v>0</v>
          </cell>
          <cell r="L1643">
            <v>2000</v>
          </cell>
          <cell r="M1643">
            <v>2000</v>
          </cell>
        </row>
        <row r="1644">
          <cell r="A1644">
            <v>1723000794</v>
          </cell>
          <cell r="B1644">
            <v>794</v>
          </cell>
          <cell r="C1644">
            <v>723000</v>
          </cell>
          <cell r="D1644">
            <v>1</v>
          </cell>
          <cell r="F1644" t="str">
            <v xml:space="preserve">השתתפות בעזר 094  </v>
          </cell>
          <cell r="G1644" t="str">
            <v>קשיח</v>
          </cell>
          <cell r="H1644">
            <v>0</v>
          </cell>
          <cell r="I1644">
            <v>68300</v>
          </cell>
          <cell r="J1644">
            <v>68300</v>
          </cell>
          <cell r="K1644">
            <v>32266</v>
          </cell>
          <cell r="L1644">
            <v>73300</v>
          </cell>
          <cell r="M1644">
            <v>87426</v>
          </cell>
        </row>
        <row r="1645">
          <cell r="A1645">
            <v>1723000812</v>
          </cell>
          <cell r="B1645">
            <v>812</v>
          </cell>
          <cell r="C1645">
            <v>723000</v>
          </cell>
          <cell r="D1645">
            <v>1</v>
          </cell>
          <cell r="F1645" t="str">
            <v xml:space="preserve">השתת'בתקציב הג"א  </v>
          </cell>
          <cell r="G1645" t="str">
            <v>קשיח</v>
          </cell>
          <cell r="H1645">
            <v>0</v>
          </cell>
          <cell r="I1645">
            <v>1300000</v>
          </cell>
          <cell r="J1645">
            <v>1300000</v>
          </cell>
          <cell r="K1645">
            <v>0</v>
          </cell>
          <cell r="L1645">
            <v>1300000</v>
          </cell>
          <cell r="M1645">
            <v>1089136</v>
          </cell>
        </row>
        <row r="1646">
          <cell r="A1646">
            <v>1723000933</v>
          </cell>
          <cell r="B1646">
            <v>933</v>
          </cell>
          <cell r="C1646">
            <v>723000</v>
          </cell>
          <cell r="D1646">
            <v>1</v>
          </cell>
          <cell r="F1646" t="str">
            <v xml:space="preserve">הוצאות חד-פעמיות  </v>
          </cell>
          <cell r="G1646" t="str">
            <v>גמיש</v>
          </cell>
          <cell r="H1646">
            <v>0</v>
          </cell>
          <cell r="I1646">
            <v>4500</v>
          </cell>
          <cell r="J1646">
            <v>4500</v>
          </cell>
          <cell r="K1646">
            <v>2569.1999999999998</v>
          </cell>
          <cell r="L1646">
            <v>3600</v>
          </cell>
          <cell r="M1646">
            <v>2548.27</v>
          </cell>
        </row>
        <row r="1647">
          <cell r="A1647" t="e">
            <v>#VALUE!</v>
          </cell>
          <cell r="B1647" t="str">
            <v>723000  סך הכל</v>
          </cell>
          <cell r="F1647" t="str">
            <v xml:space="preserve">הג"א              </v>
          </cell>
          <cell r="H1647">
            <v>3.5466050066459864E-2</v>
          </cell>
          <cell r="I1647">
            <v>2991420</v>
          </cell>
          <cell r="J1647">
            <v>2888960</v>
          </cell>
          <cell r="K1647">
            <v>980466.40000000014</v>
          </cell>
          <cell r="L1647">
            <v>2879100</v>
          </cell>
          <cell r="M1647">
            <v>2839667.2800000007</v>
          </cell>
        </row>
        <row r="1648">
          <cell r="A1648">
            <v>17240000</v>
          </cell>
          <cell r="B1648">
            <v>0</v>
          </cell>
          <cell r="C1648">
            <v>724000</v>
          </cell>
          <cell r="D1648">
            <v>1</v>
          </cell>
          <cell r="F1648" t="str">
            <v xml:space="preserve">כבוי אש           </v>
          </cell>
          <cell r="G1648" t="str">
            <v xml:space="preserve"> </v>
          </cell>
        </row>
        <row r="1649">
          <cell r="A1649">
            <v>1724000421</v>
          </cell>
          <cell r="B1649">
            <v>421</v>
          </cell>
          <cell r="C1649">
            <v>724000</v>
          </cell>
          <cell r="D1649">
            <v>1</v>
          </cell>
          <cell r="F1649" t="str">
            <v>אגרת כיבוי אש</v>
          </cell>
          <cell r="G1649" t="str">
            <v>קשיח</v>
          </cell>
          <cell r="H1649">
            <v>0</v>
          </cell>
          <cell r="I1649">
            <v>60000</v>
          </cell>
          <cell r="J1649">
            <v>60000</v>
          </cell>
          <cell r="K1649">
            <v>11176.7</v>
          </cell>
          <cell r="L1649">
            <v>135000</v>
          </cell>
          <cell r="M1649">
            <v>24169.13</v>
          </cell>
        </row>
        <row r="1650">
          <cell r="A1650" t="e">
            <v>#VALUE!</v>
          </cell>
          <cell r="B1650" t="str">
            <v>724000  סך הכל</v>
          </cell>
          <cell r="F1650" t="str">
            <v xml:space="preserve">כבוי אש           </v>
          </cell>
          <cell r="H1650">
            <v>0</v>
          </cell>
          <cell r="I1650">
            <v>60000</v>
          </cell>
          <cell r="J1650">
            <v>60000</v>
          </cell>
          <cell r="K1650">
            <v>11176.7</v>
          </cell>
          <cell r="L1650">
            <v>135000</v>
          </cell>
          <cell r="M1650">
            <v>24169.13</v>
          </cell>
        </row>
        <row r="1651">
          <cell r="A1651">
            <v>17260000</v>
          </cell>
          <cell r="B1651">
            <v>0</v>
          </cell>
          <cell r="C1651">
            <v>726000</v>
          </cell>
          <cell r="D1651">
            <v>1</v>
          </cell>
          <cell r="F1651" t="str">
            <v xml:space="preserve">מל"ח ופס"ח        </v>
          </cell>
          <cell r="G1651" t="str">
            <v xml:space="preserve"> </v>
          </cell>
        </row>
        <row r="1652">
          <cell r="A1652">
            <v>1726100119</v>
          </cell>
          <cell r="B1652">
            <v>119</v>
          </cell>
          <cell r="C1652">
            <v>726100</v>
          </cell>
          <cell r="D1652">
            <v>1</v>
          </cell>
          <cell r="F1652" t="str">
            <v xml:space="preserve">השכר הקובע-צוברת  </v>
          </cell>
          <cell r="G1652" t="str">
            <v>שכר</v>
          </cell>
          <cell r="H1652">
            <v>-0.35812480202724117</v>
          </cell>
          <cell r="I1652">
            <v>202639.99999999997</v>
          </cell>
          <cell r="J1652">
            <v>315700</v>
          </cell>
          <cell r="K1652">
            <v>22552.11</v>
          </cell>
          <cell r="L1652">
            <v>309500</v>
          </cell>
          <cell r="M1652">
            <v>192948.06</v>
          </cell>
        </row>
        <row r="1653">
          <cell r="A1653">
            <v>1726100122</v>
          </cell>
          <cell r="B1653">
            <v>122</v>
          </cell>
          <cell r="C1653">
            <v>726100</v>
          </cell>
          <cell r="D1653">
            <v>1</v>
          </cell>
          <cell r="F1653" t="str">
            <v xml:space="preserve">ביגוד             </v>
          </cell>
          <cell r="G1653" t="str">
            <v>שכר</v>
          </cell>
          <cell r="H1653">
            <v>0</v>
          </cell>
          <cell r="I1653">
            <v>4000</v>
          </cell>
          <cell r="J1653">
            <v>4000</v>
          </cell>
          <cell r="K1653">
            <v>672.24</v>
          </cell>
          <cell r="L1653">
            <v>4000</v>
          </cell>
          <cell r="M1653">
            <v>5281.12</v>
          </cell>
        </row>
        <row r="1654">
          <cell r="A1654">
            <v>1726100126</v>
          </cell>
          <cell r="B1654">
            <v>126</v>
          </cell>
          <cell r="C1654">
            <v>726100</v>
          </cell>
          <cell r="D1654">
            <v>1</v>
          </cell>
          <cell r="F1654" t="str">
            <v xml:space="preserve">דמי הבראה         </v>
          </cell>
          <cell r="G1654" t="str">
            <v>שכר</v>
          </cell>
          <cell r="H1654">
            <v>0</v>
          </cell>
          <cell r="I1654">
            <v>9000</v>
          </cell>
          <cell r="J1654">
            <v>9000</v>
          </cell>
          <cell r="K1654">
            <v>1661.82</v>
          </cell>
          <cell r="L1654">
            <v>12000</v>
          </cell>
          <cell r="M1654">
            <v>11058.53</v>
          </cell>
        </row>
        <row r="1655">
          <cell r="A1655">
            <v>1726100130</v>
          </cell>
          <cell r="B1655">
            <v>130</v>
          </cell>
          <cell r="C1655">
            <v>726100</v>
          </cell>
          <cell r="D1655">
            <v>1</v>
          </cell>
          <cell r="F1655" t="str">
            <v xml:space="preserve">שעות נוספות       </v>
          </cell>
          <cell r="G1655" t="str">
            <v>שכר</v>
          </cell>
          <cell r="H1655">
            <v>0</v>
          </cell>
          <cell r="I1655">
            <v>19440</v>
          </cell>
          <cell r="J1655">
            <v>19440</v>
          </cell>
          <cell r="K1655">
            <v>0</v>
          </cell>
          <cell r="L1655">
            <v>22600</v>
          </cell>
          <cell r="M1655">
            <v>12879.02</v>
          </cell>
        </row>
        <row r="1656">
          <cell r="A1656">
            <v>1726100140</v>
          </cell>
          <cell r="B1656">
            <v>140</v>
          </cell>
          <cell r="C1656">
            <v>726100</v>
          </cell>
          <cell r="D1656">
            <v>1</v>
          </cell>
          <cell r="F1656" t="str">
            <v>השתתפות באחזקת רכב</v>
          </cell>
          <cell r="G1656" t="str">
            <v>שכר</v>
          </cell>
          <cell r="H1656">
            <v>0</v>
          </cell>
          <cell r="I1656">
            <v>33200</v>
          </cell>
          <cell r="J1656">
            <v>33200</v>
          </cell>
          <cell r="K1656">
            <v>0</v>
          </cell>
          <cell r="L1656">
            <v>33200</v>
          </cell>
          <cell r="M1656">
            <v>16947.080000000002</v>
          </cell>
        </row>
        <row r="1657">
          <cell r="A1657">
            <v>1726100253</v>
          </cell>
          <cell r="B1657">
            <v>253</v>
          </cell>
          <cell r="C1657">
            <v>726100</v>
          </cell>
          <cell r="D1657">
            <v>1</v>
          </cell>
          <cell r="F1657" t="str">
            <v xml:space="preserve">עובדים חיצוניים   </v>
          </cell>
          <cell r="G1657" t="str">
            <v>שכר</v>
          </cell>
          <cell r="J1657">
            <v>0</v>
          </cell>
          <cell r="K1657">
            <v>0</v>
          </cell>
          <cell r="L1657">
            <v>0</v>
          </cell>
          <cell r="M1657">
            <v>1728.18</v>
          </cell>
        </row>
        <row r="1658">
          <cell r="A1658">
            <v>1726100437</v>
          </cell>
          <cell r="B1658">
            <v>437</v>
          </cell>
          <cell r="C1658">
            <v>726100</v>
          </cell>
          <cell r="D1658">
            <v>1</v>
          </cell>
          <cell r="F1658" t="str">
            <v>מערכת אזעקה</v>
          </cell>
          <cell r="G1658" t="str">
            <v>קשיח</v>
          </cell>
          <cell r="H1658">
            <v>0</v>
          </cell>
          <cell r="I1658">
            <v>7000</v>
          </cell>
          <cell r="J1658">
            <v>7000</v>
          </cell>
          <cell r="K1658">
            <v>615.96</v>
          </cell>
          <cell r="L1658">
            <v>7000</v>
          </cell>
          <cell r="M1658">
            <v>6107.4</v>
          </cell>
        </row>
        <row r="1659">
          <cell r="A1659">
            <v>1726100470</v>
          </cell>
          <cell r="B1659">
            <v>470</v>
          </cell>
          <cell r="C1659">
            <v>726100</v>
          </cell>
          <cell r="D1659">
            <v>1</v>
          </cell>
          <cell r="F1659" t="str">
            <v xml:space="preserve">אחזקת מכונות משרד </v>
          </cell>
          <cell r="G1659" t="str">
            <v>גמיש</v>
          </cell>
          <cell r="H1659">
            <v>0.11111111111111116</v>
          </cell>
          <cell r="I1659">
            <v>500</v>
          </cell>
          <cell r="J1659">
            <v>450</v>
          </cell>
          <cell r="K1659">
            <v>46.55</v>
          </cell>
          <cell r="L1659">
            <v>500</v>
          </cell>
          <cell r="M1659">
            <v>0</v>
          </cell>
        </row>
        <row r="1660">
          <cell r="A1660">
            <v>1726100471</v>
          </cell>
          <cell r="B1660">
            <v>471</v>
          </cell>
          <cell r="C1660">
            <v>726100</v>
          </cell>
          <cell r="D1660">
            <v>1</v>
          </cell>
          <cell r="F1660" t="str">
            <v xml:space="preserve">מכשירי כתיבה      </v>
          </cell>
          <cell r="G1660" t="str">
            <v>גמיש</v>
          </cell>
          <cell r="H1660">
            <v>0.11111111111111116</v>
          </cell>
          <cell r="I1660">
            <v>2800</v>
          </cell>
          <cell r="J1660">
            <v>2520</v>
          </cell>
          <cell r="K1660">
            <v>1711</v>
          </cell>
          <cell r="L1660">
            <v>2800</v>
          </cell>
          <cell r="M1660">
            <v>0</v>
          </cell>
        </row>
        <row r="1661">
          <cell r="A1661">
            <v>1726100492</v>
          </cell>
          <cell r="B1661">
            <v>492</v>
          </cell>
          <cell r="C1661">
            <v>726100</v>
          </cell>
          <cell r="D1661">
            <v>1</v>
          </cell>
          <cell r="F1661" t="str">
            <v xml:space="preserve">השתתפות בעזר 092  </v>
          </cell>
          <cell r="G1661" t="str">
            <v>קשיח</v>
          </cell>
          <cell r="H1661">
            <v>0.18221070811744378</v>
          </cell>
          <cell r="I1661">
            <v>136900</v>
          </cell>
          <cell r="J1661">
            <v>115800</v>
          </cell>
          <cell r="K1661">
            <v>45756</v>
          </cell>
          <cell r="L1661">
            <v>115800</v>
          </cell>
          <cell r="M1661">
            <v>126799</v>
          </cell>
        </row>
        <row r="1662">
          <cell r="A1662">
            <v>1726100521</v>
          </cell>
          <cell r="B1662">
            <v>521</v>
          </cell>
          <cell r="C1662">
            <v>726100</v>
          </cell>
          <cell r="D1662">
            <v>1</v>
          </cell>
          <cell r="F1662" t="str">
            <v xml:space="preserve">השתלמויות לפס"ח   </v>
          </cell>
          <cell r="G1662" t="str">
            <v>גמיש</v>
          </cell>
          <cell r="H1662">
            <v>0.11111111111111116</v>
          </cell>
          <cell r="I1662">
            <v>27000</v>
          </cell>
          <cell r="J1662">
            <v>24300</v>
          </cell>
          <cell r="K1662">
            <v>8678.4500000000007</v>
          </cell>
          <cell r="L1662">
            <v>27000</v>
          </cell>
          <cell r="M1662">
            <v>26628.98</v>
          </cell>
        </row>
        <row r="1663">
          <cell r="A1663">
            <v>1726100540</v>
          </cell>
          <cell r="B1663">
            <v>540</v>
          </cell>
          <cell r="C1663">
            <v>726100</v>
          </cell>
          <cell r="D1663">
            <v>1</v>
          </cell>
          <cell r="F1663" t="str">
            <v xml:space="preserve">הוצאות טלפון      </v>
          </cell>
          <cell r="G1663" t="str">
            <v>קשיח</v>
          </cell>
          <cell r="H1663">
            <v>1</v>
          </cell>
          <cell r="I1663">
            <v>1000</v>
          </cell>
          <cell r="J1663">
            <v>500</v>
          </cell>
          <cell r="K1663">
            <v>126.5</v>
          </cell>
          <cell r="L1663">
            <v>1000</v>
          </cell>
          <cell r="M1663">
            <v>910</v>
          </cell>
        </row>
        <row r="1664">
          <cell r="A1664">
            <v>1726100571</v>
          </cell>
          <cell r="B1664">
            <v>571</v>
          </cell>
          <cell r="C1664">
            <v>726100</v>
          </cell>
          <cell r="D1664">
            <v>1</v>
          </cell>
          <cell r="F1664" t="str">
            <v xml:space="preserve">מיכון וענ"א       </v>
          </cell>
          <cell r="G1664" t="str">
            <v>קשיח</v>
          </cell>
          <cell r="H1664">
            <v>1.4233576642335768</v>
          </cell>
          <cell r="I1664">
            <v>99600</v>
          </cell>
          <cell r="J1664">
            <v>41100</v>
          </cell>
          <cell r="K1664">
            <v>20550</v>
          </cell>
          <cell r="L1664">
            <v>31600</v>
          </cell>
          <cell r="M1664">
            <v>31600</v>
          </cell>
        </row>
        <row r="1665">
          <cell r="A1665">
            <v>1726100580</v>
          </cell>
          <cell r="B1665">
            <v>580</v>
          </cell>
          <cell r="C1665">
            <v>726100</v>
          </cell>
          <cell r="D1665">
            <v>1</v>
          </cell>
          <cell r="F1665" t="str">
            <v>שירותי יעוץ חיצוניים</v>
          </cell>
          <cell r="G1665" t="str">
            <v>קשיח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M1665">
            <v>0</v>
          </cell>
        </row>
        <row r="1666">
          <cell r="A1666">
            <v>1726100722</v>
          </cell>
          <cell r="B1666">
            <v>722</v>
          </cell>
          <cell r="C1666">
            <v>726100</v>
          </cell>
          <cell r="D1666">
            <v>1</v>
          </cell>
          <cell r="F1666" t="str">
            <v>חמרים-תחזוקה עצמית</v>
          </cell>
          <cell r="G1666" t="str">
            <v>גמיש</v>
          </cell>
          <cell r="H1666">
            <v>0.11111111111111116</v>
          </cell>
          <cell r="I1666">
            <v>4500</v>
          </cell>
          <cell r="J1666">
            <v>4050</v>
          </cell>
          <cell r="K1666">
            <v>0</v>
          </cell>
          <cell r="L1666">
            <v>4500</v>
          </cell>
          <cell r="M1666">
            <v>2412.54</v>
          </cell>
        </row>
        <row r="1667">
          <cell r="A1667">
            <v>1726100743</v>
          </cell>
          <cell r="B1667">
            <v>743</v>
          </cell>
          <cell r="C1667">
            <v>726100</v>
          </cell>
          <cell r="D1667">
            <v>1</v>
          </cell>
          <cell r="F1667" t="str">
            <v>אחזקת ציוד לש'חרום</v>
          </cell>
          <cell r="G1667" t="str">
            <v>גמיש</v>
          </cell>
          <cell r="H1667">
            <v>2.3333333333333335</v>
          </cell>
          <cell r="I1667">
            <v>90000</v>
          </cell>
          <cell r="J1667">
            <v>27000</v>
          </cell>
          <cell r="K1667">
            <v>33536</v>
          </cell>
          <cell r="L1667">
            <v>36000</v>
          </cell>
          <cell r="M1667">
            <v>35750.01</v>
          </cell>
        </row>
        <row r="1668">
          <cell r="A1668">
            <v>1726100781</v>
          </cell>
          <cell r="B1668">
            <v>781</v>
          </cell>
          <cell r="C1668">
            <v>726100</v>
          </cell>
          <cell r="D1668">
            <v>1</v>
          </cell>
          <cell r="F1668" t="str">
            <v xml:space="preserve">תרגילים וארועים   </v>
          </cell>
          <cell r="G1668" t="str">
            <v>גמיש</v>
          </cell>
          <cell r="H1668">
            <v>0</v>
          </cell>
          <cell r="I1668">
            <v>4500</v>
          </cell>
          <cell r="J1668">
            <v>4500</v>
          </cell>
          <cell r="K1668">
            <v>0</v>
          </cell>
          <cell r="L1668">
            <v>4100</v>
          </cell>
          <cell r="M1668">
            <v>3013.95</v>
          </cell>
        </row>
        <row r="1669">
          <cell r="A1669">
            <v>1726100794</v>
          </cell>
          <cell r="B1669">
            <v>794</v>
          </cell>
          <cell r="C1669">
            <v>726100</v>
          </cell>
          <cell r="D1669">
            <v>1</v>
          </cell>
          <cell r="F1669" t="str">
            <v xml:space="preserve">השתתפות בעזר 094  </v>
          </cell>
          <cell r="G1669" t="str">
            <v>קשיח</v>
          </cell>
          <cell r="H1669">
            <v>0</v>
          </cell>
          <cell r="I1669">
            <v>9100</v>
          </cell>
          <cell r="J1669">
            <v>9100</v>
          </cell>
          <cell r="K1669">
            <v>4299</v>
          </cell>
          <cell r="L1669">
            <v>9100</v>
          </cell>
          <cell r="M1669">
            <v>10853</v>
          </cell>
        </row>
        <row r="1670">
          <cell r="A1670">
            <v>1726100931</v>
          </cell>
          <cell r="B1670">
            <v>931</v>
          </cell>
          <cell r="C1670">
            <v>726100</v>
          </cell>
          <cell r="D1670">
            <v>1</v>
          </cell>
          <cell r="F1670" t="str">
            <v xml:space="preserve">רכישת ציוד לשע"ח   </v>
          </cell>
          <cell r="G1670" t="str">
            <v>גמיש</v>
          </cell>
          <cell r="H1670">
            <v>0</v>
          </cell>
          <cell r="I1670">
            <v>27000</v>
          </cell>
          <cell r="J1670">
            <v>27000</v>
          </cell>
          <cell r="K1670">
            <v>2775.12</v>
          </cell>
          <cell r="L1670">
            <v>27000</v>
          </cell>
          <cell r="M1670">
            <v>8190</v>
          </cell>
        </row>
        <row r="1671">
          <cell r="A1671" t="e">
            <v>#VALUE!</v>
          </cell>
          <cell r="B1671" t="str">
            <v>726100  סך הכל</v>
          </cell>
          <cell r="F1671" t="str">
            <v xml:space="preserve">מל"ח              </v>
          </cell>
          <cell r="H1671">
            <v>5.1996401203735276E-2</v>
          </cell>
          <cell r="I1671">
            <v>678180</v>
          </cell>
          <cell r="J1671">
            <v>644660</v>
          </cell>
          <cell r="K1671">
            <v>142980.75</v>
          </cell>
          <cell r="L1671">
            <v>647700</v>
          </cell>
          <cell r="M1671">
            <v>493106.87</v>
          </cell>
        </row>
        <row r="1672">
          <cell r="A1672">
            <v>17300000</v>
          </cell>
          <cell r="B1672">
            <v>0</v>
          </cell>
          <cell r="C1672">
            <v>730000</v>
          </cell>
          <cell r="D1672">
            <v>1</v>
          </cell>
          <cell r="F1672" t="str">
            <v xml:space="preserve">תכנון ובנין עיר   </v>
          </cell>
          <cell r="G1672" t="str">
            <v xml:space="preserve"> </v>
          </cell>
        </row>
        <row r="1673">
          <cell r="A1673">
            <v>1731000110</v>
          </cell>
          <cell r="B1673">
            <v>110</v>
          </cell>
          <cell r="C1673">
            <v>731000</v>
          </cell>
          <cell r="D1673">
            <v>1</v>
          </cell>
          <cell r="F1673" t="str">
            <v>השכר הקובע-תקציבית</v>
          </cell>
          <cell r="G1673" t="str">
            <v>שכר</v>
          </cell>
          <cell r="H1673">
            <v>2.498540572095731E-2</v>
          </cell>
          <cell r="I1673">
            <v>175579.99999999997</v>
          </cell>
          <cell r="J1673">
            <v>171300</v>
          </cell>
          <cell r="K1673">
            <v>102183.34</v>
          </cell>
          <cell r="L1673">
            <v>167900</v>
          </cell>
          <cell r="M1673">
            <v>168723.42</v>
          </cell>
        </row>
        <row r="1674">
          <cell r="A1674">
            <v>1731000119</v>
          </cell>
          <cell r="B1674">
            <v>119</v>
          </cell>
          <cell r="C1674">
            <v>731000</v>
          </cell>
          <cell r="D1674">
            <v>1</v>
          </cell>
          <cell r="F1674" t="str">
            <v xml:space="preserve">השכר הקובע-צוברת  </v>
          </cell>
          <cell r="G1674" t="str">
            <v>שכר</v>
          </cell>
          <cell r="H1674">
            <v>0.10942437334084265</v>
          </cell>
          <cell r="I1674">
            <v>3230499.55</v>
          </cell>
          <cell r="J1674">
            <v>2911870</v>
          </cell>
          <cell r="K1674">
            <v>675143.38</v>
          </cell>
          <cell r="L1674">
            <v>2854800</v>
          </cell>
          <cell r="M1674">
            <v>1351131.19</v>
          </cell>
        </row>
        <row r="1675">
          <cell r="A1675">
            <v>1731000122</v>
          </cell>
          <cell r="B1675">
            <v>122</v>
          </cell>
          <cell r="C1675">
            <v>731000</v>
          </cell>
          <cell r="D1675">
            <v>1</v>
          </cell>
          <cell r="F1675" t="str">
            <v xml:space="preserve">ביגוד             </v>
          </cell>
          <cell r="G1675" t="str">
            <v>שכר</v>
          </cell>
          <cell r="H1675">
            <v>-0.16877637130801693</v>
          </cell>
          <cell r="I1675">
            <v>17040.084388185653</v>
          </cell>
          <cell r="J1675">
            <v>20500</v>
          </cell>
          <cell r="K1675">
            <v>12615.48</v>
          </cell>
          <cell r="L1675">
            <v>20500</v>
          </cell>
          <cell r="M1675">
            <v>19096.689999999999</v>
          </cell>
        </row>
        <row r="1676">
          <cell r="A1676">
            <v>1731000126</v>
          </cell>
          <cell r="B1676">
            <v>126</v>
          </cell>
          <cell r="C1676">
            <v>731000</v>
          </cell>
          <cell r="D1676">
            <v>1</v>
          </cell>
          <cell r="F1676" t="str">
            <v xml:space="preserve">דמי הבראה         </v>
          </cell>
          <cell r="G1676" t="str">
            <v>שכר</v>
          </cell>
          <cell r="H1676">
            <v>-0.16875012130801681</v>
          </cell>
          <cell r="I1676">
            <v>33249.995147679329</v>
          </cell>
          <cell r="J1676">
            <v>40000</v>
          </cell>
          <cell r="K1676">
            <v>29250.37</v>
          </cell>
          <cell r="L1676">
            <v>67000</v>
          </cell>
          <cell r="M1676">
            <v>42837.02</v>
          </cell>
        </row>
        <row r="1677">
          <cell r="A1677">
            <v>1731000130</v>
          </cell>
          <cell r="B1677">
            <v>130</v>
          </cell>
          <cell r="C1677">
            <v>731000</v>
          </cell>
          <cell r="D1677">
            <v>1</v>
          </cell>
          <cell r="F1677" t="str">
            <v xml:space="preserve">שעות נוספות       </v>
          </cell>
          <cell r="G1677" t="str">
            <v>שכר</v>
          </cell>
          <cell r="H1677">
            <v>0</v>
          </cell>
          <cell r="I1677">
            <v>24100</v>
          </cell>
          <cell r="J1677">
            <v>24100</v>
          </cell>
          <cell r="K1677">
            <v>1273.49</v>
          </cell>
          <cell r="L1677">
            <v>28100</v>
          </cell>
          <cell r="M1677">
            <v>0</v>
          </cell>
        </row>
        <row r="1678">
          <cell r="A1678">
            <v>1731000140</v>
          </cell>
          <cell r="B1678">
            <v>140</v>
          </cell>
          <cell r="C1678">
            <v>731000</v>
          </cell>
          <cell r="D1678">
            <v>1</v>
          </cell>
          <cell r="F1678" t="str">
            <v>השתתפות באחזקת רכב</v>
          </cell>
          <cell r="G1678" t="str">
            <v>שכר</v>
          </cell>
          <cell r="H1678">
            <v>-0.28882113821138211</v>
          </cell>
          <cell r="I1678">
            <v>139960</v>
          </cell>
          <cell r="J1678">
            <v>196800</v>
          </cell>
          <cell r="K1678">
            <v>58665.21</v>
          </cell>
          <cell r="L1678">
            <v>196800</v>
          </cell>
          <cell r="M1678">
            <v>116285.12</v>
          </cell>
        </row>
        <row r="1679">
          <cell r="A1679">
            <v>1731000253</v>
          </cell>
          <cell r="B1679">
            <v>253</v>
          </cell>
          <cell r="C1679">
            <v>731000</v>
          </cell>
          <cell r="D1679">
            <v>1</v>
          </cell>
          <cell r="F1679" t="str">
            <v xml:space="preserve">עובדים חיצוניים   </v>
          </cell>
          <cell r="G1679" t="str">
            <v>שכר</v>
          </cell>
          <cell r="J1679">
            <v>0</v>
          </cell>
          <cell r="K1679">
            <v>0</v>
          </cell>
          <cell r="L1679">
            <v>0</v>
          </cell>
          <cell r="M1679">
            <v>64507.35</v>
          </cell>
        </row>
        <row r="1680">
          <cell r="A1680">
            <v>1731000350</v>
          </cell>
          <cell r="B1680">
            <v>350</v>
          </cell>
          <cell r="C1680">
            <v>731000</v>
          </cell>
          <cell r="D1680">
            <v>1</v>
          </cell>
          <cell r="F1680" t="str">
            <v>ליסינג - 195-92-704</v>
          </cell>
          <cell r="G1680" t="str">
            <v>שכר</v>
          </cell>
          <cell r="H1680">
            <v>-9.0148923076923126E-2</v>
          </cell>
          <cell r="I1680">
            <v>59140.32</v>
          </cell>
          <cell r="J1680">
            <v>65000</v>
          </cell>
          <cell r="K1680">
            <v>18216.28</v>
          </cell>
          <cell r="L1680">
            <v>65000</v>
          </cell>
          <cell r="M1680">
            <v>63446.66</v>
          </cell>
        </row>
        <row r="1681">
          <cell r="A1681">
            <v>1731000351</v>
          </cell>
          <cell r="B1681">
            <v>351</v>
          </cell>
          <cell r="C1681">
            <v>731000</v>
          </cell>
          <cell r="D1681">
            <v>1</v>
          </cell>
          <cell r="F1681" t="str">
            <v>הוצאות - 195-92-704</v>
          </cell>
          <cell r="G1681" t="str">
            <v>שכר</v>
          </cell>
          <cell r="H1681">
            <v>0</v>
          </cell>
          <cell r="I1681">
            <v>30000</v>
          </cell>
          <cell r="J1681">
            <v>30000</v>
          </cell>
          <cell r="K1681">
            <v>9521.24</v>
          </cell>
          <cell r="L1681">
            <v>18400</v>
          </cell>
          <cell r="M1681">
            <v>25051.71</v>
          </cell>
        </row>
        <row r="1682">
          <cell r="A1682">
            <v>1731000433</v>
          </cell>
          <cell r="B1682">
            <v>433</v>
          </cell>
          <cell r="C1682">
            <v>731000</v>
          </cell>
          <cell r="D1682">
            <v>1</v>
          </cell>
          <cell r="F1682" t="str">
            <v xml:space="preserve">חומרי נקיון       </v>
          </cell>
          <cell r="G1682" t="str">
            <v>גמיש</v>
          </cell>
          <cell r="H1682">
            <v>-0.18518518518518523</v>
          </cell>
          <cell r="I1682">
            <v>1100</v>
          </cell>
          <cell r="J1682">
            <v>1350</v>
          </cell>
          <cell r="K1682">
            <v>260.76</v>
          </cell>
          <cell r="L1682">
            <v>1500</v>
          </cell>
          <cell r="M1682">
            <v>709.17</v>
          </cell>
        </row>
        <row r="1683">
          <cell r="A1683">
            <v>1731000441</v>
          </cell>
          <cell r="B1683">
            <v>441</v>
          </cell>
          <cell r="C1683">
            <v>731000</v>
          </cell>
          <cell r="D1683">
            <v>1</v>
          </cell>
          <cell r="F1683" t="str">
            <v>בטוח אחריות מקצועית</v>
          </cell>
          <cell r="G1683" t="str">
            <v>קשיח</v>
          </cell>
          <cell r="H1683">
            <v>-0.2592592592592593</v>
          </cell>
          <cell r="I1683">
            <v>300000</v>
          </cell>
          <cell r="J1683">
            <v>405000</v>
          </cell>
          <cell r="K1683">
            <v>0</v>
          </cell>
          <cell r="L1683">
            <v>64400</v>
          </cell>
          <cell r="M1683">
            <v>0</v>
          </cell>
        </row>
        <row r="1684">
          <cell r="A1684">
            <v>1731000470</v>
          </cell>
          <cell r="B1684">
            <v>470</v>
          </cell>
          <cell r="C1684">
            <v>731000</v>
          </cell>
          <cell r="D1684">
            <v>1</v>
          </cell>
          <cell r="F1684" t="str">
            <v xml:space="preserve">אחזקת מכונות משרד </v>
          </cell>
          <cell r="G1684" t="str">
            <v>גמיש</v>
          </cell>
          <cell r="H1684">
            <v>0</v>
          </cell>
          <cell r="I1684">
            <v>3600</v>
          </cell>
          <cell r="J1684">
            <v>3600</v>
          </cell>
          <cell r="K1684">
            <v>2159.9699999999998</v>
          </cell>
          <cell r="L1684">
            <v>13700</v>
          </cell>
          <cell r="M1684">
            <v>1849.05</v>
          </cell>
        </row>
        <row r="1685">
          <cell r="A1685">
            <v>1731000471</v>
          </cell>
          <cell r="B1685">
            <v>471</v>
          </cell>
          <cell r="C1685">
            <v>731000</v>
          </cell>
          <cell r="D1685">
            <v>1</v>
          </cell>
          <cell r="F1685" t="str">
            <v xml:space="preserve">מכשירי כתיבה      </v>
          </cell>
          <cell r="G1685" t="str">
            <v>גמיש</v>
          </cell>
          <cell r="H1685">
            <v>-0.32659932659932656</v>
          </cell>
          <cell r="I1685">
            <v>18000</v>
          </cell>
          <cell r="J1685">
            <v>26730</v>
          </cell>
          <cell r="K1685">
            <v>4434.38</v>
          </cell>
          <cell r="L1685">
            <v>29700</v>
          </cell>
          <cell r="M1685">
            <v>23899.09</v>
          </cell>
        </row>
        <row r="1686">
          <cell r="A1686">
            <v>1731000492</v>
          </cell>
          <cell r="B1686">
            <v>492</v>
          </cell>
          <cell r="C1686">
            <v>731000</v>
          </cell>
          <cell r="D1686">
            <v>1</v>
          </cell>
          <cell r="F1686" t="str">
            <v xml:space="preserve">השתתפות בעזר 092  </v>
          </cell>
          <cell r="G1686" t="str">
            <v>קשיח</v>
          </cell>
          <cell r="H1686">
            <v>2.3443910444262084E-2</v>
          </cell>
          <cell r="I1686">
            <v>873100</v>
          </cell>
          <cell r="J1686">
            <v>853100</v>
          </cell>
          <cell r="K1686">
            <v>305108</v>
          </cell>
          <cell r="L1686">
            <v>722700</v>
          </cell>
          <cell r="M1686">
            <v>791340</v>
          </cell>
        </row>
        <row r="1687">
          <cell r="A1687">
            <v>1731000511</v>
          </cell>
          <cell r="B1687">
            <v>511</v>
          </cell>
          <cell r="C1687">
            <v>731000</v>
          </cell>
          <cell r="D1687">
            <v>1</v>
          </cell>
          <cell r="F1687" t="str">
            <v xml:space="preserve">אירוח וכיבוד      </v>
          </cell>
          <cell r="G1687" t="str">
            <v>גמיש</v>
          </cell>
          <cell r="H1687">
            <v>-6.8100358422939045E-2</v>
          </cell>
          <cell r="I1687">
            <v>5200</v>
          </cell>
          <cell r="J1687">
            <v>5580</v>
          </cell>
          <cell r="K1687">
            <v>0</v>
          </cell>
          <cell r="L1687">
            <v>6100</v>
          </cell>
          <cell r="M1687">
            <v>2294.88</v>
          </cell>
        </row>
        <row r="1688">
          <cell r="A1688">
            <v>1731000512</v>
          </cell>
          <cell r="B1688">
            <v>512</v>
          </cell>
          <cell r="C1688">
            <v>731000</v>
          </cell>
          <cell r="D1688">
            <v>1</v>
          </cell>
          <cell r="F1688" t="str">
            <v xml:space="preserve">נסיעות ואש"ל      </v>
          </cell>
          <cell r="G1688" t="str">
            <v>גמיש</v>
          </cell>
          <cell r="H1688">
            <v>0</v>
          </cell>
          <cell r="I1688">
            <v>3870</v>
          </cell>
          <cell r="J1688">
            <v>3870</v>
          </cell>
          <cell r="K1688">
            <v>1055</v>
          </cell>
          <cell r="L1688">
            <v>4300</v>
          </cell>
          <cell r="M1688">
            <v>3070.7</v>
          </cell>
        </row>
        <row r="1689">
          <cell r="A1689">
            <v>1731000522</v>
          </cell>
          <cell r="B1689">
            <v>522</v>
          </cell>
          <cell r="C1689">
            <v>731000</v>
          </cell>
          <cell r="D1689">
            <v>1</v>
          </cell>
          <cell r="F1689" t="str">
            <v xml:space="preserve">ספרים ועיתונים    </v>
          </cell>
          <cell r="G1689" t="str">
            <v>גמיש</v>
          </cell>
          <cell r="H1689">
            <v>-3.3816425120772986E-2</v>
          </cell>
          <cell r="I1689">
            <v>4000</v>
          </cell>
          <cell r="J1689">
            <v>4140</v>
          </cell>
          <cell r="K1689">
            <v>1180</v>
          </cell>
          <cell r="L1689">
            <v>4600</v>
          </cell>
          <cell r="M1689">
            <v>3898</v>
          </cell>
        </row>
        <row r="1690">
          <cell r="A1690">
            <v>1731000544</v>
          </cell>
          <cell r="B1690">
            <v>544</v>
          </cell>
          <cell r="C1690">
            <v>731000</v>
          </cell>
          <cell r="D1690">
            <v>1</v>
          </cell>
          <cell r="F1690" t="str">
            <v xml:space="preserve">הוצאות דאר        </v>
          </cell>
          <cell r="G1690" t="str">
            <v>קשיח</v>
          </cell>
          <cell r="H1690">
            <v>0</v>
          </cell>
          <cell r="I1690">
            <v>50000</v>
          </cell>
          <cell r="J1690">
            <v>50000</v>
          </cell>
          <cell r="K1690">
            <v>9122.92</v>
          </cell>
          <cell r="L1690">
            <v>90000</v>
          </cell>
          <cell r="M1690">
            <v>40678.68</v>
          </cell>
        </row>
        <row r="1691">
          <cell r="A1691">
            <v>1731000550</v>
          </cell>
          <cell r="B1691">
            <v>550</v>
          </cell>
          <cell r="C1691">
            <v>731000</v>
          </cell>
          <cell r="D1691">
            <v>1</v>
          </cell>
          <cell r="F1691" t="str">
            <v xml:space="preserve">פירסומים          </v>
          </cell>
          <cell r="G1691" t="str">
            <v>גמיש</v>
          </cell>
          <cell r="H1691">
            <v>-0.84779299847792999</v>
          </cell>
          <cell r="I1691">
            <v>2000</v>
          </cell>
          <cell r="J1691">
            <v>13140</v>
          </cell>
          <cell r="K1691">
            <v>8381</v>
          </cell>
          <cell r="L1691">
            <v>14600</v>
          </cell>
          <cell r="M1691">
            <v>6655</v>
          </cell>
        </row>
        <row r="1692">
          <cell r="A1692">
            <v>1731000562</v>
          </cell>
          <cell r="B1692">
            <v>562</v>
          </cell>
          <cell r="C1692">
            <v>731000</v>
          </cell>
          <cell r="D1692">
            <v>1</v>
          </cell>
          <cell r="F1692" t="str">
            <v xml:space="preserve">הדפסות            </v>
          </cell>
          <cell r="G1692" t="str">
            <v>גמיש</v>
          </cell>
          <cell r="H1692">
            <v>0</v>
          </cell>
          <cell r="I1692">
            <v>360</v>
          </cell>
          <cell r="J1692">
            <v>360</v>
          </cell>
          <cell r="K1692">
            <v>212</v>
          </cell>
          <cell r="L1692">
            <v>400</v>
          </cell>
          <cell r="M1692">
            <v>582.4</v>
          </cell>
        </row>
        <row r="1693">
          <cell r="A1693">
            <v>1731000563</v>
          </cell>
          <cell r="B1693">
            <v>563</v>
          </cell>
          <cell r="C1693">
            <v>731000</v>
          </cell>
          <cell r="D1693">
            <v>1</v>
          </cell>
          <cell r="F1693" t="str">
            <v>הקלטה ותמלול ועדות הקצאה</v>
          </cell>
          <cell r="G1693" t="str">
            <v>גמיש</v>
          </cell>
          <cell r="H1693">
            <v>-0.35185185185185186</v>
          </cell>
          <cell r="I1693">
            <v>7000</v>
          </cell>
          <cell r="J1693">
            <v>10800</v>
          </cell>
          <cell r="K1693">
            <v>3266.1</v>
          </cell>
          <cell r="L1693">
            <v>12000</v>
          </cell>
          <cell r="M1693">
            <v>6985.52</v>
          </cell>
        </row>
        <row r="1694">
          <cell r="A1694">
            <v>1731000564</v>
          </cell>
          <cell r="B1694">
            <v>564</v>
          </cell>
          <cell r="C1694">
            <v>731000</v>
          </cell>
          <cell r="D1694">
            <v>1</v>
          </cell>
          <cell r="F1694" t="str">
            <v>אתר הועדה המקומית לתכנון</v>
          </cell>
          <cell r="G1694" t="str">
            <v>גמיש</v>
          </cell>
          <cell r="J1694">
            <v>0</v>
          </cell>
          <cell r="K1694">
            <v>0</v>
          </cell>
          <cell r="L1694">
            <v>33000</v>
          </cell>
          <cell r="M1694">
            <v>0</v>
          </cell>
        </row>
        <row r="1695">
          <cell r="A1695">
            <v>1731000565</v>
          </cell>
          <cell r="B1695">
            <v>565</v>
          </cell>
          <cell r="C1695">
            <v>731000</v>
          </cell>
          <cell r="D1695">
            <v>1</v>
          </cell>
          <cell r="F1695" t="str">
            <v xml:space="preserve">צילום מפות        </v>
          </cell>
          <cell r="G1695" t="str">
            <v>גמיש</v>
          </cell>
          <cell r="H1695">
            <v>-1</v>
          </cell>
          <cell r="J1695">
            <v>810</v>
          </cell>
          <cell r="K1695">
            <v>0</v>
          </cell>
          <cell r="L1695">
            <v>900</v>
          </cell>
          <cell r="M1695">
            <v>0</v>
          </cell>
        </row>
        <row r="1696">
          <cell r="A1696">
            <v>1731000570</v>
          </cell>
          <cell r="B1696">
            <v>570</v>
          </cell>
          <cell r="C1696">
            <v>731000</v>
          </cell>
          <cell r="D1696">
            <v>1</v>
          </cell>
          <cell r="F1696" t="str">
            <v>מערכות ממוחשבות</v>
          </cell>
          <cell r="G1696" t="str">
            <v>קשיח</v>
          </cell>
          <cell r="H1696">
            <v>-0.30588235294117649</v>
          </cell>
          <cell r="I1696">
            <v>590000</v>
          </cell>
          <cell r="J1696">
            <v>850000</v>
          </cell>
          <cell r="K1696">
            <v>103327.88</v>
          </cell>
          <cell r="L1696">
            <v>850000</v>
          </cell>
          <cell r="M1696">
            <v>151593.22</v>
          </cell>
        </row>
        <row r="1697">
          <cell r="A1697">
            <v>1731000571</v>
          </cell>
          <cell r="B1697">
            <v>571</v>
          </cell>
          <cell r="C1697">
            <v>731000</v>
          </cell>
          <cell r="D1697">
            <v>1</v>
          </cell>
          <cell r="F1697" t="str">
            <v xml:space="preserve">מיכון וענ"א       </v>
          </cell>
          <cell r="G1697" t="str">
            <v>קשיח</v>
          </cell>
          <cell r="H1697">
            <v>0.11393229166666674</v>
          </cell>
          <cell r="I1697">
            <v>684400</v>
          </cell>
          <cell r="J1697">
            <v>614400</v>
          </cell>
          <cell r="K1697">
            <v>307200</v>
          </cell>
          <cell r="L1697">
            <v>233800</v>
          </cell>
          <cell r="M1697">
            <v>233800</v>
          </cell>
        </row>
        <row r="1698">
          <cell r="A1698">
            <v>1731000580</v>
          </cell>
          <cell r="B1698">
            <v>580</v>
          </cell>
          <cell r="C1698">
            <v>731000</v>
          </cell>
          <cell r="D1698">
            <v>1</v>
          </cell>
          <cell r="F1698" t="str">
            <v>נסחים והערות אזהרה</v>
          </cell>
          <cell r="G1698" t="str">
            <v>גמיש</v>
          </cell>
          <cell r="H1698">
            <v>-0.46666666666666667</v>
          </cell>
          <cell r="I1698">
            <v>12000</v>
          </cell>
          <cell r="J1698">
            <v>22500</v>
          </cell>
          <cell r="K1698">
            <v>1446</v>
          </cell>
          <cell r="L1698">
            <v>42800</v>
          </cell>
          <cell r="M1698">
            <v>38617</v>
          </cell>
        </row>
        <row r="1699">
          <cell r="A1699">
            <v>1731000582</v>
          </cell>
          <cell r="B1699">
            <v>582</v>
          </cell>
          <cell r="C1699">
            <v>731000</v>
          </cell>
          <cell r="D1699">
            <v>1</v>
          </cell>
          <cell r="F1699" t="str">
            <v>הוצאות משפטיות</v>
          </cell>
          <cell r="G1699" t="str">
            <v>גמיש</v>
          </cell>
          <cell r="H1699">
            <v>0</v>
          </cell>
          <cell r="I1699">
            <v>1750500</v>
          </cell>
          <cell r="J1699">
            <v>1750500</v>
          </cell>
          <cell r="K1699">
            <v>904804.23</v>
          </cell>
          <cell r="L1699">
            <v>1945000</v>
          </cell>
          <cell r="M1699">
            <v>1739104.43</v>
          </cell>
        </row>
        <row r="1700">
          <cell r="A1700">
            <v>1731000583</v>
          </cell>
          <cell r="B1700">
            <v>583</v>
          </cell>
          <cell r="C1700">
            <v>731000</v>
          </cell>
          <cell r="D1700">
            <v>1</v>
          </cell>
          <cell r="F1700" t="str">
            <v>נציג בעל דעה מייעצת</v>
          </cell>
          <cell r="G1700" t="str">
            <v>גמיש</v>
          </cell>
          <cell r="H1700">
            <v>-0.38888888888888884</v>
          </cell>
          <cell r="I1700">
            <v>2200</v>
          </cell>
          <cell r="J1700">
            <v>3600</v>
          </cell>
          <cell r="K1700">
            <v>0</v>
          </cell>
          <cell r="L1700">
            <v>23900</v>
          </cell>
          <cell r="M1700">
            <v>0</v>
          </cell>
        </row>
        <row r="1701">
          <cell r="A1701">
            <v>1731000584</v>
          </cell>
          <cell r="B1701">
            <v>584</v>
          </cell>
          <cell r="C1701">
            <v>731000</v>
          </cell>
          <cell r="D1701">
            <v>1</v>
          </cell>
          <cell r="F1701" t="str">
            <v>הזנת נתונים למחשב</v>
          </cell>
          <cell r="G1701" t="str">
            <v>גמיש</v>
          </cell>
          <cell r="I1701">
            <v>0</v>
          </cell>
          <cell r="J1701">
            <v>0</v>
          </cell>
          <cell r="K1701">
            <v>0</v>
          </cell>
          <cell r="L1701">
            <v>247000</v>
          </cell>
          <cell r="M1701">
            <v>53903</v>
          </cell>
        </row>
        <row r="1702">
          <cell r="A1702">
            <v>1731000596</v>
          </cell>
          <cell r="B1702">
            <v>596</v>
          </cell>
          <cell r="C1702">
            <v>731000</v>
          </cell>
          <cell r="D1702">
            <v>1</v>
          </cell>
          <cell r="F1702" t="str">
            <v xml:space="preserve">השתתפות בעזר 096  </v>
          </cell>
          <cell r="G1702" t="str">
            <v>קשיח</v>
          </cell>
          <cell r="H1702">
            <v>0.21739130434782616</v>
          </cell>
          <cell r="I1702">
            <v>28000</v>
          </cell>
          <cell r="J1702">
            <v>23000</v>
          </cell>
          <cell r="K1702">
            <v>9345</v>
          </cell>
          <cell r="L1702">
            <v>31900</v>
          </cell>
          <cell r="M1702">
            <v>29817</v>
          </cell>
        </row>
        <row r="1703">
          <cell r="A1703">
            <v>1731000781</v>
          </cell>
          <cell r="B1703">
            <v>781</v>
          </cell>
          <cell r="C1703">
            <v>731000</v>
          </cell>
          <cell r="D1703">
            <v>1</v>
          </cell>
          <cell r="F1703" t="str">
            <v>פעולות סמנכ"ל</v>
          </cell>
          <cell r="G1703" t="str">
            <v>גמיש</v>
          </cell>
          <cell r="H1703">
            <v>0.30555555555555558</v>
          </cell>
          <cell r="I1703">
            <v>23500</v>
          </cell>
          <cell r="J1703">
            <v>18000</v>
          </cell>
          <cell r="K1703">
            <v>6226.41</v>
          </cell>
          <cell r="L1703">
            <v>20000</v>
          </cell>
          <cell r="M1703">
            <v>19048.79</v>
          </cell>
        </row>
        <row r="1704">
          <cell r="A1704">
            <v>1731000782</v>
          </cell>
          <cell r="B1704">
            <v>782</v>
          </cell>
          <cell r="C1704">
            <v>731000</v>
          </cell>
          <cell r="D1704">
            <v>1</v>
          </cell>
          <cell r="F1704" t="str">
            <v>אירוח לכנסים ויזמות</v>
          </cell>
          <cell r="G1704" t="str">
            <v>גמיש</v>
          </cell>
          <cell r="H1704">
            <v>0.4814814814814814</v>
          </cell>
          <cell r="I1704">
            <v>6000</v>
          </cell>
          <cell r="J1704">
            <v>4050</v>
          </cell>
          <cell r="K1704">
            <v>1498.62</v>
          </cell>
          <cell r="L1704">
            <v>0</v>
          </cell>
          <cell r="M1704">
            <v>0</v>
          </cell>
        </row>
        <row r="1705">
          <cell r="A1705">
            <v>1731000794</v>
          </cell>
          <cell r="B1705">
            <v>794</v>
          </cell>
          <cell r="C1705">
            <v>731000</v>
          </cell>
          <cell r="D1705">
            <v>1</v>
          </cell>
          <cell r="F1705" t="str">
            <v xml:space="preserve">השתתפות בעזר 094  </v>
          </cell>
          <cell r="G1705" t="str">
            <v>קשיח</v>
          </cell>
          <cell r="H1705">
            <v>0</v>
          </cell>
          <cell r="I1705">
            <v>59000</v>
          </cell>
          <cell r="J1705">
            <v>59000</v>
          </cell>
          <cell r="K1705">
            <v>27872</v>
          </cell>
          <cell r="L1705">
            <v>59000</v>
          </cell>
          <cell r="M1705">
            <v>70370</v>
          </cell>
        </row>
        <row r="1706">
          <cell r="A1706" t="e">
            <v>#VALUE!</v>
          </cell>
          <cell r="B1706" t="str">
            <v>731000  סך הכל</v>
          </cell>
          <cell r="F1706" t="str">
            <v xml:space="preserve">משרד מהנדס הרשות </v>
          </cell>
          <cell r="H1706">
            <v>-6.0734990974244951E-3</v>
          </cell>
          <cell r="I1706">
            <v>8133399.9495358653</v>
          </cell>
          <cell r="J1706">
            <v>8183100</v>
          </cell>
          <cell r="K1706">
            <v>2603769.06</v>
          </cell>
          <cell r="L1706">
            <v>7869800</v>
          </cell>
          <cell r="M1706">
            <v>5069295.09</v>
          </cell>
        </row>
        <row r="1707">
          <cell r="A1707">
            <v>17320000</v>
          </cell>
          <cell r="B1707">
            <v>0</v>
          </cell>
          <cell r="C1707">
            <v>732000</v>
          </cell>
          <cell r="D1707">
            <v>1</v>
          </cell>
          <cell r="F1707" t="str">
            <v xml:space="preserve">תכנון עיר         </v>
          </cell>
          <cell r="G1707" t="str">
            <v xml:space="preserve"> </v>
          </cell>
        </row>
        <row r="1708">
          <cell r="A1708">
            <v>1732000119</v>
          </cell>
          <cell r="B1708">
            <v>119</v>
          </cell>
          <cell r="C1708">
            <v>732000</v>
          </cell>
          <cell r="D1708">
            <v>1</v>
          </cell>
          <cell r="F1708" t="str">
            <v xml:space="preserve">השכר הקובע-צוברת  </v>
          </cell>
          <cell r="G1708" t="str">
            <v>שכר</v>
          </cell>
          <cell r="H1708">
            <v>-1.0294540454100942E-2</v>
          </cell>
          <cell r="I1708">
            <v>5898119.9949999992</v>
          </cell>
          <cell r="J1708">
            <v>5959470</v>
          </cell>
          <cell r="K1708">
            <v>2888446.47</v>
          </cell>
          <cell r="L1708">
            <v>5617200</v>
          </cell>
          <cell r="M1708">
            <v>5296874.01</v>
          </cell>
        </row>
        <row r="1709">
          <cell r="A1709">
            <v>1732000122</v>
          </cell>
          <cell r="B1709">
            <v>122</v>
          </cell>
          <cell r="C1709">
            <v>732000</v>
          </cell>
          <cell r="D1709">
            <v>1</v>
          </cell>
          <cell r="F1709" t="str">
            <v xml:space="preserve">ביגוד             </v>
          </cell>
          <cell r="G1709" t="str">
            <v>שכר</v>
          </cell>
          <cell r="H1709">
            <v>0</v>
          </cell>
          <cell r="I1709">
            <v>43500</v>
          </cell>
          <cell r="J1709">
            <v>43500</v>
          </cell>
          <cell r="K1709">
            <v>55463.43</v>
          </cell>
          <cell r="L1709">
            <v>34000</v>
          </cell>
          <cell r="M1709">
            <v>44775.15</v>
          </cell>
        </row>
        <row r="1710">
          <cell r="A1710">
            <v>1732000126</v>
          </cell>
          <cell r="B1710">
            <v>126</v>
          </cell>
          <cell r="C1710">
            <v>732000</v>
          </cell>
          <cell r="D1710">
            <v>1</v>
          </cell>
          <cell r="F1710" t="str">
            <v xml:space="preserve">דמי הבראה         </v>
          </cell>
          <cell r="G1710" t="str">
            <v>שכר</v>
          </cell>
          <cell r="H1710">
            <v>0</v>
          </cell>
          <cell r="I1710">
            <v>85000</v>
          </cell>
          <cell r="J1710">
            <v>85000</v>
          </cell>
          <cell r="K1710">
            <v>108338.2</v>
          </cell>
          <cell r="L1710">
            <v>75000</v>
          </cell>
          <cell r="M1710">
            <v>84374.27</v>
          </cell>
        </row>
        <row r="1711">
          <cell r="A1711">
            <v>1732000130</v>
          </cell>
          <cell r="B1711">
            <v>130</v>
          </cell>
          <cell r="C1711">
            <v>732000</v>
          </cell>
          <cell r="D1711">
            <v>1</v>
          </cell>
          <cell r="F1711" t="str">
            <v xml:space="preserve">שעות נוספות       </v>
          </cell>
          <cell r="G1711" t="str">
            <v>שכר</v>
          </cell>
          <cell r="H1711">
            <v>0</v>
          </cell>
          <cell r="I1711">
            <v>17100</v>
          </cell>
          <cell r="J1711">
            <v>17100</v>
          </cell>
          <cell r="K1711">
            <v>7733.49</v>
          </cell>
          <cell r="L1711">
            <v>19900</v>
          </cell>
          <cell r="M1711">
            <v>423.22</v>
          </cell>
        </row>
        <row r="1712">
          <cell r="A1712">
            <v>1732000140</v>
          </cell>
          <cell r="B1712">
            <v>140</v>
          </cell>
          <cell r="C1712">
            <v>732000</v>
          </cell>
          <cell r="D1712">
            <v>1</v>
          </cell>
          <cell r="F1712" t="str">
            <v>השתתפות באחזקת רכב</v>
          </cell>
          <cell r="G1712" t="str">
            <v>שכר</v>
          </cell>
          <cell r="H1712">
            <v>0</v>
          </cell>
          <cell r="I1712">
            <v>480000</v>
          </cell>
          <cell r="J1712">
            <v>480000</v>
          </cell>
          <cell r="K1712">
            <v>276269.15000000002</v>
          </cell>
          <cell r="L1712">
            <v>387000</v>
          </cell>
          <cell r="M1712">
            <v>559366.05000000005</v>
          </cell>
        </row>
        <row r="1713">
          <cell r="A1713">
            <v>1732000253</v>
          </cell>
          <cell r="B1713">
            <v>253</v>
          </cell>
          <cell r="C1713">
            <v>732000</v>
          </cell>
          <cell r="D1713">
            <v>1</v>
          </cell>
          <cell r="F1713" t="str">
            <v xml:space="preserve">עובדים חיצוניים   </v>
          </cell>
          <cell r="G1713" t="str">
            <v>שכר</v>
          </cell>
          <cell r="J1713">
            <v>0</v>
          </cell>
          <cell r="K1713">
            <v>180792.06</v>
          </cell>
          <cell r="L1713">
            <v>0</v>
          </cell>
          <cell r="M1713">
            <v>22915.81</v>
          </cell>
        </row>
        <row r="1714">
          <cell r="A1714">
            <v>1732000471</v>
          </cell>
          <cell r="B1714">
            <v>471</v>
          </cell>
          <cell r="C1714">
            <v>732000</v>
          </cell>
          <cell r="D1714">
            <v>1</v>
          </cell>
          <cell r="F1714" t="str">
            <v xml:space="preserve">מכשירי כתיבה      </v>
          </cell>
          <cell r="G1714" t="str">
            <v>גמיש</v>
          </cell>
          <cell r="H1714">
            <v>3.3591731266149782E-2</v>
          </cell>
          <cell r="I1714">
            <v>12000</v>
          </cell>
          <cell r="J1714">
            <v>11610</v>
          </cell>
          <cell r="K1714">
            <v>5836.49</v>
          </cell>
          <cell r="L1714">
            <v>12900</v>
          </cell>
          <cell r="M1714">
            <v>10916.62</v>
          </cell>
        </row>
        <row r="1715">
          <cell r="A1715">
            <v>1732000511</v>
          </cell>
          <cell r="B1715">
            <v>511</v>
          </cell>
          <cell r="C1715">
            <v>732000</v>
          </cell>
          <cell r="D1715">
            <v>1</v>
          </cell>
          <cell r="F1715" t="str">
            <v xml:space="preserve">אירוח וכיבוד      </v>
          </cell>
          <cell r="G1715" t="str">
            <v>גמיש</v>
          </cell>
          <cell r="H1715">
            <v>0.7543859649122806</v>
          </cell>
          <cell r="I1715">
            <v>6000</v>
          </cell>
          <cell r="J1715">
            <v>3420</v>
          </cell>
          <cell r="K1715">
            <v>0</v>
          </cell>
          <cell r="L1715">
            <v>2300</v>
          </cell>
          <cell r="M1715">
            <v>132.99</v>
          </cell>
        </row>
        <row r="1716">
          <cell r="A1716">
            <v>1732000550</v>
          </cell>
          <cell r="B1716">
            <v>550</v>
          </cell>
          <cell r="C1716">
            <v>732000</v>
          </cell>
          <cell r="D1716">
            <v>1</v>
          </cell>
          <cell r="F1716" t="str">
            <v xml:space="preserve">פירסומים          </v>
          </cell>
          <cell r="G1716" t="str">
            <v>גמיש</v>
          </cell>
          <cell r="H1716">
            <v>0.11111111111111116</v>
          </cell>
          <cell r="I1716">
            <v>60000</v>
          </cell>
          <cell r="J1716">
            <v>54000</v>
          </cell>
          <cell r="K1716">
            <v>46902</v>
          </cell>
          <cell r="L1716">
            <v>92300</v>
          </cell>
          <cell r="M1716">
            <v>53843</v>
          </cell>
        </row>
        <row r="1717">
          <cell r="A1717">
            <v>1732000571</v>
          </cell>
          <cell r="B1717">
            <v>571</v>
          </cell>
          <cell r="C1717">
            <v>732000</v>
          </cell>
          <cell r="D1717">
            <v>1</v>
          </cell>
          <cell r="F1717" t="str">
            <v xml:space="preserve">מיכון וענ"א       </v>
          </cell>
          <cell r="G1717" t="str">
            <v>קשיח</v>
          </cell>
          <cell r="H1717">
            <v>0.10933557611438194</v>
          </cell>
          <cell r="I1717">
            <v>131900</v>
          </cell>
          <cell r="J1717">
            <v>118900</v>
          </cell>
          <cell r="K1717">
            <v>59450</v>
          </cell>
          <cell r="L1717">
            <v>102300</v>
          </cell>
          <cell r="M1717">
            <v>102300</v>
          </cell>
        </row>
        <row r="1718">
          <cell r="A1718">
            <v>1732000782</v>
          </cell>
          <cell r="B1718">
            <v>782</v>
          </cell>
          <cell r="C1718">
            <v>732000</v>
          </cell>
          <cell r="D1718">
            <v>1</v>
          </cell>
          <cell r="F1718" t="str">
            <v>אירוח לכנסים ויזמות</v>
          </cell>
          <cell r="G1718" t="str">
            <v>גמיש</v>
          </cell>
          <cell r="I1718">
            <v>0</v>
          </cell>
          <cell r="J1718">
            <v>0</v>
          </cell>
          <cell r="K1718">
            <v>0</v>
          </cell>
          <cell r="L1718">
            <v>0</v>
          </cell>
          <cell r="M1718">
            <v>0</v>
          </cell>
        </row>
        <row r="1719">
          <cell r="A1719">
            <v>1732000952</v>
          </cell>
          <cell r="B1719">
            <v>952</v>
          </cell>
          <cell r="C1719">
            <v>732000</v>
          </cell>
          <cell r="D1719">
            <v>1</v>
          </cell>
          <cell r="F1719" t="str">
            <v xml:space="preserve">תכניות            </v>
          </cell>
          <cell r="G1719" t="str">
            <v>גמיש</v>
          </cell>
          <cell r="H1719">
            <v>-0.20634920634920639</v>
          </cell>
          <cell r="I1719">
            <v>5000</v>
          </cell>
          <cell r="J1719">
            <v>6300</v>
          </cell>
          <cell r="K1719">
            <v>1023</v>
          </cell>
          <cell r="L1719">
            <v>30000</v>
          </cell>
          <cell r="M1719">
            <v>252</v>
          </cell>
        </row>
        <row r="1720">
          <cell r="A1720" t="e">
            <v>#VALUE!</v>
          </cell>
          <cell r="B1720" t="str">
            <v>732000  סך הכל</v>
          </cell>
          <cell r="F1720" t="str">
            <v xml:space="preserve">תכנון עיר         </v>
          </cell>
          <cell r="H1720">
            <v>-6.0006202705294998E-3</v>
          </cell>
          <cell r="I1720">
            <v>6738619.9949999992</v>
          </cell>
          <cell r="J1720">
            <v>6779300</v>
          </cell>
          <cell r="K1720">
            <v>3630254.290000001</v>
          </cell>
          <cell r="L1720">
            <v>6372900</v>
          </cell>
          <cell r="M1720">
            <v>6176173.1199999992</v>
          </cell>
        </row>
        <row r="1721">
          <cell r="A1721">
            <v>17322000</v>
          </cell>
          <cell r="B1721">
            <v>0</v>
          </cell>
          <cell r="C1721">
            <v>732200</v>
          </cell>
          <cell r="D1721">
            <v>1</v>
          </cell>
          <cell r="F1721" t="str">
            <v>חזות העיר</v>
          </cell>
        </row>
        <row r="1722">
          <cell r="A1722">
            <v>1732200119</v>
          </cell>
          <cell r="B1722">
            <v>119</v>
          </cell>
          <cell r="C1722">
            <v>732200</v>
          </cell>
          <cell r="D1722">
            <v>1</v>
          </cell>
          <cell r="F1722" t="str">
            <v xml:space="preserve">השכר הקובע-צוברת  </v>
          </cell>
          <cell r="G1722" t="str">
            <v>שכר</v>
          </cell>
          <cell r="I1722">
            <v>0</v>
          </cell>
          <cell r="J1722">
            <v>0</v>
          </cell>
          <cell r="K1722">
            <v>672574.59</v>
          </cell>
          <cell r="L1722">
            <v>1150300</v>
          </cell>
          <cell r="M1722">
            <v>1131767.8500000001</v>
          </cell>
        </row>
        <row r="1723">
          <cell r="A1723">
            <v>1732200122</v>
          </cell>
          <cell r="B1723">
            <v>122</v>
          </cell>
          <cell r="C1723">
            <v>732200</v>
          </cell>
          <cell r="D1723">
            <v>1</v>
          </cell>
          <cell r="F1723" t="str">
            <v xml:space="preserve">ביגוד             </v>
          </cell>
          <cell r="G1723" t="str">
            <v>שכר</v>
          </cell>
          <cell r="I1723">
            <v>0</v>
          </cell>
          <cell r="J1723">
            <v>0</v>
          </cell>
          <cell r="K1723">
            <v>13190.11</v>
          </cell>
          <cell r="L1723">
            <v>19000</v>
          </cell>
          <cell r="M1723">
            <v>12749.13</v>
          </cell>
        </row>
        <row r="1724">
          <cell r="A1724">
            <v>1732200126</v>
          </cell>
          <cell r="B1724">
            <v>126</v>
          </cell>
          <cell r="C1724">
            <v>732200</v>
          </cell>
          <cell r="D1724">
            <v>1</v>
          </cell>
          <cell r="F1724" t="str">
            <v xml:space="preserve">דמי הבראה         </v>
          </cell>
          <cell r="G1724" t="str">
            <v>שכר</v>
          </cell>
          <cell r="I1724">
            <v>0</v>
          </cell>
          <cell r="J1724">
            <v>0</v>
          </cell>
          <cell r="K1724">
            <v>31988.31</v>
          </cell>
          <cell r="L1724">
            <v>45000</v>
          </cell>
          <cell r="M1724">
            <v>27534.28</v>
          </cell>
        </row>
        <row r="1725">
          <cell r="A1725">
            <v>1732200130</v>
          </cell>
          <cell r="B1725">
            <v>130</v>
          </cell>
          <cell r="C1725">
            <v>732200</v>
          </cell>
          <cell r="D1725">
            <v>1</v>
          </cell>
          <cell r="F1725" t="str">
            <v xml:space="preserve">שעות נוספות       </v>
          </cell>
          <cell r="G1725" t="str">
            <v>שכר</v>
          </cell>
          <cell r="I1725">
            <v>0</v>
          </cell>
          <cell r="J1725">
            <v>0</v>
          </cell>
          <cell r="K1725">
            <v>25479.69</v>
          </cell>
          <cell r="L1725">
            <v>33700</v>
          </cell>
          <cell r="M1725">
            <v>26758.28</v>
          </cell>
        </row>
        <row r="1726">
          <cell r="A1726">
            <v>1732200140</v>
          </cell>
          <cell r="B1726">
            <v>140</v>
          </cell>
          <cell r="C1726">
            <v>732200</v>
          </cell>
          <cell r="D1726">
            <v>1</v>
          </cell>
          <cell r="F1726" t="str">
            <v>השתתפות באחזקת רכב</v>
          </cell>
          <cell r="G1726" t="str">
            <v>שכר</v>
          </cell>
          <cell r="I1726">
            <v>0</v>
          </cell>
          <cell r="J1726">
            <v>0</v>
          </cell>
          <cell r="K1726">
            <v>83142.23</v>
          </cell>
          <cell r="L1726">
            <v>188000</v>
          </cell>
          <cell r="M1726">
            <v>161949.47</v>
          </cell>
        </row>
        <row r="1727">
          <cell r="A1727">
            <v>1732200253</v>
          </cell>
          <cell r="B1727">
            <v>253</v>
          </cell>
          <cell r="C1727">
            <v>732200</v>
          </cell>
          <cell r="D1727">
            <v>1</v>
          </cell>
          <cell r="F1727" t="str">
            <v xml:space="preserve">עובדים חיצוניים   </v>
          </cell>
          <cell r="G1727" t="str">
            <v>שכר</v>
          </cell>
          <cell r="I1727">
            <v>0</v>
          </cell>
          <cell r="J1727">
            <v>0</v>
          </cell>
          <cell r="K1727">
            <v>0</v>
          </cell>
          <cell r="L1727">
            <v>0</v>
          </cell>
          <cell r="M1727">
            <v>617.29999999999995</v>
          </cell>
        </row>
        <row r="1728">
          <cell r="A1728">
            <v>1732200350</v>
          </cell>
          <cell r="B1728">
            <v>350</v>
          </cell>
          <cell r="C1728">
            <v>732200</v>
          </cell>
          <cell r="D1728">
            <v>1</v>
          </cell>
          <cell r="F1728" t="str">
            <v>ליסינג 512-27-101</v>
          </cell>
          <cell r="G1728" t="str">
            <v>שכר</v>
          </cell>
          <cell r="I1728">
            <v>0</v>
          </cell>
          <cell r="J1728">
            <v>0</v>
          </cell>
          <cell r="K1728">
            <v>0</v>
          </cell>
          <cell r="L1728">
            <v>0</v>
          </cell>
          <cell r="M1728">
            <v>0</v>
          </cell>
        </row>
        <row r="1729">
          <cell r="A1729">
            <v>1732200351</v>
          </cell>
          <cell r="B1729">
            <v>351</v>
          </cell>
          <cell r="C1729">
            <v>732200</v>
          </cell>
          <cell r="D1729">
            <v>1</v>
          </cell>
          <cell r="F1729" t="str">
            <v>הוצאות 512-27-101</v>
          </cell>
          <cell r="G1729" t="str">
            <v>שכר</v>
          </cell>
          <cell r="I1729">
            <v>0</v>
          </cell>
          <cell r="J1729">
            <v>0</v>
          </cell>
          <cell r="K1729">
            <v>0</v>
          </cell>
          <cell r="L1729">
            <v>0</v>
          </cell>
          <cell r="M1729">
            <v>0</v>
          </cell>
        </row>
        <row r="1730">
          <cell r="A1730">
            <v>1732200471</v>
          </cell>
          <cell r="B1730">
            <v>471</v>
          </cell>
          <cell r="C1730">
            <v>732200</v>
          </cell>
          <cell r="D1730">
            <v>1</v>
          </cell>
          <cell r="F1730" t="str">
            <v xml:space="preserve">מכשירי כתיבה      </v>
          </cell>
          <cell r="G1730" t="str">
            <v>גמיש</v>
          </cell>
          <cell r="I1730">
            <v>0</v>
          </cell>
          <cell r="J1730">
            <v>0</v>
          </cell>
          <cell r="K1730">
            <v>0</v>
          </cell>
          <cell r="L1730">
            <v>12900</v>
          </cell>
          <cell r="M1730">
            <v>1473.65</v>
          </cell>
        </row>
        <row r="1731">
          <cell r="A1731">
            <v>1732200550</v>
          </cell>
          <cell r="B1731">
            <v>550</v>
          </cell>
          <cell r="C1731">
            <v>732200</v>
          </cell>
          <cell r="D1731">
            <v>1</v>
          </cell>
          <cell r="F1731" t="str">
            <v xml:space="preserve">פירסומים          </v>
          </cell>
          <cell r="G1731" t="str">
            <v>גמיש</v>
          </cell>
          <cell r="I1731">
            <v>0</v>
          </cell>
          <cell r="J1731">
            <v>0</v>
          </cell>
          <cell r="K1731">
            <v>0</v>
          </cell>
          <cell r="L1731">
            <v>7700</v>
          </cell>
          <cell r="M1731">
            <v>617</v>
          </cell>
        </row>
        <row r="1732">
          <cell r="A1732">
            <v>1732200561</v>
          </cell>
          <cell r="B1732">
            <v>561</v>
          </cell>
          <cell r="C1732">
            <v>732200</v>
          </cell>
          <cell r="D1732">
            <v>1</v>
          </cell>
          <cell r="F1732" t="str">
            <v xml:space="preserve">שיכפולים          </v>
          </cell>
          <cell r="G1732" t="str">
            <v>גמיש</v>
          </cell>
          <cell r="I1732">
            <v>0</v>
          </cell>
          <cell r="J1732">
            <v>0</v>
          </cell>
          <cell r="K1732">
            <v>0</v>
          </cell>
          <cell r="L1732">
            <v>700</v>
          </cell>
          <cell r="M1732">
            <v>0</v>
          </cell>
        </row>
        <row r="1733">
          <cell r="A1733">
            <v>1732200562</v>
          </cell>
          <cell r="B1733">
            <v>562</v>
          </cell>
          <cell r="C1733">
            <v>732200</v>
          </cell>
          <cell r="D1733">
            <v>1</v>
          </cell>
          <cell r="F1733" t="str">
            <v xml:space="preserve">הדפסות            </v>
          </cell>
          <cell r="G1733" t="str">
            <v>גמיש</v>
          </cell>
          <cell r="I1733">
            <v>0</v>
          </cell>
          <cell r="J1733">
            <v>0</v>
          </cell>
          <cell r="K1733">
            <v>0</v>
          </cell>
          <cell r="L1733">
            <v>23100</v>
          </cell>
          <cell r="M1733">
            <v>4680</v>
          </cell>
        </row>
        <row r="1734">
          <cell r="A1734">
            <v>1732200580</v>
          </cell>
          <cell r="B1734">
            <v>580</v>
          </cell>
          <cell r="C1734">
            <v>732200</v>
          </cell>
          <cell r="D1734">
            <v>1</v>
          </cell>
          <cell r="F1734" t="str">
            <v xml:space="preserve">יעוץ חיצוני       </v>
          </cell>
          <cell r="G1734" t="str">
            <v>קשיח</v>
          </cell>
          <cell r="I1734">
            <v>0</v>
          </cell>
          <cell r="J1734">
            <v>0</v>
          </cell>
          <cell r="K1734">
            <v>0</v>
          </cell>
          <cell r="L1734">
            <v>17100</v>
          </cell>
          <cell r="M1734">
            <v>0</v>
          </cell>
        </row>
        <row r="1735">
          <cell r="A1735">
            <v>1732200585</v>
          </cell>
          <cell r="B1735">
            <v>585</v>
          </cell>
          <cell r="C1735">
            <v>732200</v>
          </cell>
          <cell r="D1735">
            <v>1</v>
          </cell>
          <cell r="F1735" t="str">
            <v xml:space="preserve">משפטי שילוט       </v>
          </cell>
          <cell r="G1735" t="str">
            <v>גמיש</v>
          </cell>
          <cell r="I1735">
            <v>0</v>
          </cell>
          <cell r="J1735">
            <v>0</v>
          </cell>
          <cell r="K1735">
            <v>0</v>
          </cell>
          <cell r="L1735">
            <v>85500</v>
          </cell>
          <cell r="M1735">
            <v>81801.22</v>
          </cell>
        </row>
        <row r="1736">
          <cell r="A1736">
            <v>1732200754</v>
          </cell>
          <cell r="B1736">
            <v>754</v>
          </cell>
          <cell r="C1736">
            <v>732200</v>
          </cell>
          <cell r="D1736">
            <v>1</v>
          </cell>
          <cell r="F1736" t="str">
            <v>אח' והחלפת לוחות שכונתיים</v>
          </cell>
          <cell r="G1736" t="str">
            <v>גמיש</v>
          </cell>
          <cell r="I1736">
            <v>0</v>
          </cell>
          <cell r="J1736">
            <v>0</v>
          </cell>
          <cell r="K1736">
            <v>0</v>
          </cell>
          <cell r="L1736">
            <v>119700</v>
          </cell>
          <cell r="M1736">
            <v>55364.4</v>
          </cell>
        </row>
        <row r="1737">
          <cell r="A1737">
            <v>1732200757</v>
          </cell>
          <cell r="B1737">
            <v>757</v>
          </cell>
          <cell r="C1737">
            <v>732200</v>
          </cell>
          <cell r="D1737">
            <v>1</v>
          </cell>
          <cell r="F1737" t="str">
            <v>מספרים לבתים חדשים</v>
          </cell>
          <cell r="G1737" t="str">
            <v>גמיש</v>
          </cell>
          <cell r="I1737">
            <v>0</v>
          </cell>
          <cell r="J1737">
            <v>0</v>
          </cell>
          <cell r="K1737">
            <v>0</v>
          </cell>
          <cell r="L1737">
            <v>4300</v>
          </cell>
          <cell r="M1737">
            <v>0</v>
          </cell>
        </row>
        <row r="1738">
          <cell r="A1738">
            <v>1732200759</v>
          </cell>
          <cell r="B1738">
            <v>759</v>
          </cell>
          <cell r="C1738">
            <v>732200</v>
          </cell>
          <cell r="D1738">
            <v>1</v>
          </cell>
          <cell r="F1738" t="str">
            <v>מפות עירוניות</v>
          </cell>
          <cell r="G1738" t="str">
            <v>גמיש</v>
          </cell>
          <cell r="I1738">
            <v>0</v>
          </cell>
          <cell r="J1738">
            <v>0</v>
          </cell>
          <cell r="K1738">
            <v>0</v>
          </cell>
          <cell r="L1738">
            <v>2200</v>
          </cell>
          <cell r="M1738">
            <v>0</v>
          </cell>
        </row>
        <row r="1739">
          <cell r="A1739">
            <v>1732200932</v>
          </cell>
          <cell r="B1739">
            <v>932</v>
          </cell>
          <cell r="C1739">
            <v>732200</v>
          </cell>
          <cell r="D1739">
            <v>1</v>
          </cell>
          <cell r="F1739" t="str">
            <v>התקנת ואחזקת שילוט</v>
          </cell>
          <cell r="G1739" t="str">
            <v>גמיש</v>
          </cell>
          <cell r="I1739">
            <v>0</v>
          </cell>
          <cell r="J1739">
            <v>0</v>
          </cell>
          <cell r="K1739">
            <v>0</v>
          </cell>
          <cell r="L1739">
            <v>213800</v>
          </cell>
          <cell r="M1739">
            <v>7123</v>
          </cell>
        </row>
        <row r="1740">
          <cell r="A1740">
            <v>1732200933</v>
          </cell>
          <cell r="B1740">
            <v>933</v>
          </cell>
          <cell r="C1740">
            <v>732200</v>
          </cell>
          <cell r="D1740">
            <v>1</v>
          </cell>
          <cell r="F1740" t="str">
            <v>ציוד בטיחותי אישי</v>
          </cell>
          <cell r="G1740" t="str">
            <v>גמיש</v>
          </cell>
          <cell r="I1740">
            <v>0</v>
          </cell>
          <cell r="J1740">
            <v>0</v>
          </cell>
          <cell r="K1740">
            <v>0</v>
          </cell>
          <cell r="L1740">
            <v>2200</v>
          </cell>
          <cell r="M1740">
            <v>0</v>
          </cell>
        </row>
        <row r="1741">
          <cell r="A1741" t="e">
            <v>#VALUE!</v>
          </cell>
          <cell r="B1741" t="str">
            <v>732200  סך הכל</v>
          </cell>
          <cell r="F1741" t="str">
            <v>חזות העיר</v>
          </cell>
          <cell r="I1741">
            <v>0</v>
          </cell>
          <cell r="J1741">
            <v>0</v>
          </cell>
          <cell r="K1741">
            <v>826374.92999999993</v>
          </cell>
          <cell r="L1741">
            <v>1925200</v>
          </cell>
          <cell r="M1741">
            <v>1512435.5799999998</v>
          </cell>
        </row>
        <row r="1742">
          <cell r="A1742">
            <v>17323000</v>
          </cell>
          <cell r="B1742">
            <v>0</v>
          </cell>
          <cell r="C1742">
            <v>732300</v>
          </cell>
          <cell r="D1742">
            <v>1</v>
          </cell>
          <cell r="F1742" t="str">
            <v xml:space="preserve">הדבקת מודעות      </v>
          </cell>
          <cell r="G1742" t="str">
            <v xml:space="preserve"> </v>
          </cell>
        </row>
        <row r="1743">
          <cell r="A1743">
            <v>1732300757</v>
          </cell>
          <cell r="B1743">
            <v>757</v>
          </cell>
          <cell r="C1743">
            <v>732300</v>
          </cell>
          <cell r="D1743">
            <v>1</v>
          </cell>
          <cell r="F1743" t="str">
            <v>הדבקת מודעות - קבלן</v>
          </cell>
          <cell r="G1743" t="str">
            <v>קשיח</v>
          </cell>
          <cell r="J1743">
            <v>0</v>
          </cell>
          <cell r="K1743">
            <v>587</v>
          </cell>
          <cell r="L1743">
            <v>34200</v>
          </cell>
          <cell r="M1743">
            <v>11093</v>
          </cell>
        </row>
        <row r="1744">
          <cell r="A1744" t="e">
            <v>#VALUE!</v>
          </cell>
          <cell r="B1744" t="str">
            <v>732300  סך הכל</v>
          </cell>
          <cell r="F1744" t="str">
            <v xml:space="preserve">הדבקת מודעות      </v>
          </cell>
          <cell r="I1744">
            <v>0</v>
          </cell>
          <cell r="J1744">
            <v>0</v>
          </cell>
          <cell r="K1744">
            <v>587</v>
          </cell>
          <cell r="L1744">
            <v>34200</v>
          </cell>
          <cell r="M1744">
            <v>11093</v>
          </cell>
        </row>
        <row r="1745">
          <cell r="A1745">
            <v>17324000</v>
          </cell>
          <cell r="B1745">
            <v>0</v>
          </cell>
          <cell r="C1745">
            <v>732400</v>
          </cell>
          <cell r="D1745">
            <v>1</v>
          </cell>
          <cell r="F1745" t="str">
            <v>אגף התנועה</v>
          </cell>
          <cell r="G1745" t="str">
            <v xml:space="preserve"> </v>
          </cell>
        </row>
        <row r="1746">
          <cell r="A1746">
            <v>1732400110</v>
          </cell>
          <cell r="B1746">
            <v>110</v>
          </cell>
          <cell r="C1746">
            <v>732400</v>
          </cell>
          <cell r="D1746">
            <v>1</v>
          </cell>
          <cell r="F1746" t="str">
            <v>השכר הקובע-תקציבית</v>
          </cell>
          <cell r="G1746" t="str">
            <v>שכר</v>
          </cell>
          <cell r="H1746">
            <v>2.501063377286239E-2</v>
          </cell>
          <cell r="I1746">
            <v>240979.99999999997</v>
          </cell>
          <cell r="J1746">
            <v>235100</v>
          </cell>
          <cell r="K1746">
            <v>137168.53</v>
          </cell>
          <cell r="L1746">
            <v>231600</v>
          </cell>
          <cell r="M1746">
            <v>233247.73</v>
          </cell>
        </row>
        <row r="1747">
          <cell r="A1747">
            <v>1732400119</v>
          </cell>
          <cell r="B1747">
            <v>119</v>
          </cell>
          <cell r="C1747">
            <v>732400</v>
          </cell>
          <cell r="D1747">
            <v>1</v>
          </cell>
          <cell r="F1747" t="str">
            <v xml:space="preserve">השכר הקובע-צוברת  </v>
          </cell>
          <cell r="G1747" t="str">
            <v>שכר</v>
          </cell>
          <cell r="H1747">
            <v>3.8887132469174857E-2</v>
          </cell>
          <cell r="I1747">
            <v>2300200</v>
          </cell>
          <cell r="J1747">
            <v>2214100</v>
          </cell>
          <cell r="K1747">
            <v>1301200.0900000001</v>
          </cell>
          <cell r="L1747">
            <v>2170700</v>
          </cell>
          <cell r="M1747">
            <v>2201754.46</v>
          </cell>
        </row>
        <row r="1748">
          <cell r="A1748">
            <v>1732400122</v>
          </cell>
          <cell r="B1748">
            <v>122</v>
          </cell>
          <cell r="C1748">
            <v>732400</v>
          </cell>
          <cell r="D1748">
            <v>1</v>
          </cell>
          <cell r="F1748" t="str">
            <v xml:space="preserve">ביגוד             </v>
          </cell>
          <cell r="G1748" t="str">
            <v>שכר</v>
          </cell>
          <cell r="H1748">
            <v>0</v>
          </cell>
          <cell r="I1748">
            <v>17800</v>
          </cell>
          <cell r="J1748">
            <v>17800</v>
          </cell>
          <cell r="K1748">
            <v>21399.55</v>
          </cell>
          <cell r="L1748">
            <v>17800</v>
          </cell>
          <cell r="M1748">
            <v>17498.07</v>
          </cell>
        </row>
        <row r="1749">
          <cell r="A1749">
            <v>1732400126</v>
          </cell>
          <cell r="B1749">
            <v>126</v>
          </cell>
          <cell r="C1749">
            <v>732400</v>
          </cell>
          <cell r="D1749">
            <v>1</v>
          </cell>
          <cell r="F1749" t="str">
            <v xml:space="preserve">דמי הבראה         </v>
          </cell>
          <cell r="G1749" t="str">
            <v>שכר</v>
          </cell>
          <cell r="H1749">
            <v>0</v>
          </cell>
          <cell r="I1749">
            <v>44000</v>
          </cell>
          <cell r="J1749">
            <v>44000</v>
          </cell>
          <cell r="K1749">
            <v>50987.31</v>
          </cell>
          <cell r="L1749">
            <v>50000</v>
          </cell>
          <cell r="M1749">
            <v>42019.18</v>
          </cell>
        </row>
        <row r="1750">
          <cell r="A1750">
            <v>1732400130</v>
          </cell>
          <cell r="B1750">
            <v>130</v>
          </cell>
          <cell r="C1750">
            <v>732400</v>
          </cell>
          <cell r="D1750">
            <v>1</v>
          </cell>
          <cell r="F1750" t="str">
            <v xml:space="preserve">שעות נוספות       </v>
          </cell>
          <cell r="G1750" t="str">
            <v>שכר</v>
          </cell>
          <cell r="H1750">
            <v>0</v>
          </cell>
          <cell r="I1750">
            <v>25800</v>
          </cell>
          <cell r="J1750">
            <v>25800</v>
          </cell>
          <cell r="K1750">
            <v>25821.07</v>
          </cell>
          <cell r="L1750">
            <v>30000</v>
          </cell>
          <cell r="M1750">
            <v>29320.18</v>
          </cell>
        </row>
        <row r="1751">
          <cell r="A1751">
            <v>1732400140</v>
          </cell>
          <cell r="B1751">
            <v>140</v>
          </cell>
          <cell r="C1751">
            <v>732400</v>
          </cell>
          <cell r="D1751">
            <v>1</v>
          </cell>
          <cell r="F1751" t="str">
            <v>השתתפות באחזקת רכב</v>
          </cell>
          <cell r="G1751" t="str">
            <v>שכר</v>
          </cell>
          <cell r="H1751">
            <v>0</v>
          </cell>
          <cell r="I1751">
            <v>169100</v>
          </cell>
          <cell r="J1751">
            <v>169100</v>
          </cell>
          <cell r="K1751">
            <v>121338.81</v>
          </cell>
          <cell r="L1751">
            <v>169100</v>
          </cell>
          <cell r="M1751">
            <v>200619.92</v>
          </cell>
        </row>
        <row r="1752">
          <cell r="A1752">
            <v>1732400253</v>
          </cell>
          <cell r="B1752">
            <v>253</v>
          </cell>
          <cell r="C1752">
            <v>732400</v>
          </cell>
          <cell r="D1752">
            <v>1</v>
          </cell>
          <cell r="F1752" t="str">
            <v xml:space="preserve">עובדים חיצוניים   </v>
          </cell>
          <cell r="G1752" t="str">
            <v>שכר</v>
          </cell>
          <cell r="J1752">
            <v>0</v>
          </cell>
          <cell r="K1752">
            <v>0</v>
          </cell>
          <cell r="L1752">
            <v>0</v>
          </cell>
          <cell r="M1752">
            <v>12234.81</v>
          </cell>
        </row>
        <row r="1753">
          <cell r="A1753">
            <v>1732400350</v>
          </cell>
          <cell r="B1753">
            <v>350</v>
          </cell>
          <cell r="C1753">
            <v>732400</v>
          </cell>
          <cell r="D1753">
            <v>1</v>
          </cell>
          <cell r="F1753" t="str">
            <v>ליסינג 353-81-703</v>
          </cell>
          <cell r="G1753" t="str">
            <v>שכר</v>
          </cell>
          <cell r="H1753">
            <v>-0.44933333333333336</v>
          </cell>
          <cell r="I1753">
            <v>49560</v>
          </cell>
          <cell r="J1753">
            <v>90000</v>
          </cell>
          <cell r="K1753">
            <v>47420.47</v>
          </cell>
          <cell r="L1753">
            <v>90000</v>
          </cell>
          <cell r="M1753">
            <v>95882.55</v>
          </cell>
        </row>
        <row r="1754">
          <cell r="A1754">
            <v>1732400351</v>
          </cell>
          <cell r="B1754">
            <v>351</v>
          </cell>
          <cell r="C1754">
            <v>732400</v>
          </cell>
          <cell r="D1754">
            <v>1</v>
          </cell>
          <cell r="F1754" t="str">
            <v xml:space="preserve">הוצאות </v>
          </cell>
          <cell r="G1754" t="str">
            <v>שכר</v>
          </cell>
          <cell r="H1754">
            <v>0</v>
          </cell>
          <cell r="I1754">
            <v>24000</v>
          </cell>
          <cell r="J1754">
            <v>24000</v>
          </cell>
          <cell r="K1754">
            <v>9708.34</v>
          </cell>
          <cell r="L1754">
            <v>22100</v>
          </cell>
          <cell r="M1754">
            <v>21023.35</v>
          </cell>
        </row>
        <row r="1755">
          <cell r="A1755">
            <v>1732400470</v>
          </cell>
          <cell r="B1755">
            <v>470</v>
          </cell>
          <cell r="C1755">
            <v>732400</v>
          </cell>
          <cell r="D1755">
            <v>1</v>
          </cell>
          <cell r="F1755" t="str">
            <v xml:space="preserve">אחזקת מכונות משרד </v>
          </cell>
          <cell r="G1755" t="str">
            <v>גמיש</v>
          </cell>
          <cell r="H1755">
            <v>0</v>
          </cell>
          <cell r="I1755">
            <v>450</v>
          </cell>
          <cell r="J1755">
            <v>450</v>
          </cell>
          <cell r="K1755">
            <v>0</v>
          </cell>
          <cell r="L1755">
            <v>1300</v>
          </cell>
          <cell r="M1755">
            <v>0</v>
          </cell>
        </row>
        <row r="1756">
          <cell r="A1756">
            <v>1732400471</v>
          </cell>
          <cell r="B1756">
            <v>471</v>
          </cell>
          <cell r="C1756">
            <v>732400</v>
          </cell>
          <cell r="D1756">
            <v>1</v>
          </cell>
          <cell r="F1756" t="str">
            <v xml:space="preserve">מכשירי כתיבה      </v>
          </cell>
          <cell r="G1756" t="str">
            <v>גמיש</v>
          </cell>
          <cell r="H1756">
            <v>0.85185185185185186</v>
          </cell>
          <cell r="I1756">
            <v>15000</v>
          </cell>
          <cell r="J1756">
            <v>8100</v>
          </cell>
          <cell r="K1756">
            <v>8082.33</v>
          </cell>
          <cell r="L1756">
            <v>9000</v>
          </cell>
          <cell r="M1756">
            <v>8522.94</v>
          </cell>
        </row>
        <row r="1757">
          <cell r="A1757">
            <v>1732400511</v>
          </cell>
          <cell r="B1757">
            <v>511</v>
          </cell>
          <cell r="C1757">
            <v>732400</v>
          </cell>
          <cell r="D1757">
            <v>1</v>
          </cell>
          <cell r="F1757" t="str">
            <v xml:space="preserve">אירוח וכיבוד      </v>
          </cell>
          <cell r="G1757" t="str">
            <v>גמיש</v>
          </cell>
          <cell r="H1757">
            <v>1.3931623931623931</v>
          </cell>
          <cell r="I1757">
            <v>2800</v>
          </cell>
          <cell r="J1757">
            <v>1170</v>
          </cell>
          <cell r="K1757">
            <v>0</v>
          </cell>
          <cell r="L1757">
            <v>1300</v>
          </cell>
          <cell r="M1757">
            <v>1174.23</v>
          </cell>
        </row>
        <row r="1758">
          <cell r="A1758">
            <v>1732400512</v>
          </cell>
          <cell r="B1758">
            <v>512</v>
          </cell>
          <cell r="C1758">
            <v>732400</v>
          </cell>
          <cell r="D1758">
            <v>1</v>
          </cell>
          <cell r="F1758" t="str">
            <v xml:space="preserve">נסיעות ואש"ל      </v>
          </cell>
          <cell r="G1758" t="str">
            <v>גמיש</v>
          </cell>
          <cell r="H1758">
            <v>0.72839506172839497</v>
          </cell>
          <cell r="I1758">
            <v>1400</v>
          </cell>
          <cell r="J1758">
            <v>810</v>
          </cell>
          <cell r="K1758">
            <v>170</v>
          </cell>
          <cell r="L1758">
            <v>900</v>
          </cell>
          <cell r="M1758">
            <v>1307.8499999999999</v>
          </cell>
        </row>
        <row r="1759">
          <cell r="A1759">
            <v>1732400561</v>
          </cell>
          <cell r="B1759">
            <v>561</v>
          </cell>
          <cell r="C1759">
            <v>732400</v>
          </cell>
          <cell r="D1759">
            <v>1</v>
          </cell>
          <cell r="F1759" t="str">
            <v xml:space="preserve">שיכפולים          </v>
          </cell>
          <cell r="G1759" t="str">
            <v>גמיש</v>
          </cell>
          <cell r="H1759">
            <v>-1</v>
          </cell>
          <cell r="I1759">
            <v>0</v>
          </cell>
          <cell r="J1759">
            <v>810</v>
          </cell>
          <cell r="K1759">
            <v>0</v>
          </cell>
          <cell r="L1759">
            <v>900</v>
          </cell>
          <cell r="M1759">
            <v>0</v>
          </cell>
        </row>
        <row r="1760">
          <cell r="A1760">
            <v>1732400580</v>
          </cell>
          <cell r="B1760">
            <v>580</v>
          </cell>
          <cell r="C1760">
            <v>732400</v>
          </cell>
          <cell r="D1760">
            <v>1</v>
          </cell>
          <cell r="F1760" t="str">
            <v xml:space="preserve">יעוץ חיצוני       </v>
          </cell>
          <cell r="G1760" t="str">
            <v>קשיח</v>
          </cell>
          <cell r="H1760">
            <v>-0.23414798963847283</v>
          </cell>
          <cell r="I1760">
            <v>680000</v>
          </cell>
          <cell r="J1760">
            <v>887900</v>
          </cell>
          <cell r="K1760">
            <v>353225.07</v>
          </cell>
          <cell r="L1760">
            <v>554700</v>
          </cell>
          <cell r="M1760">
            <v>552555.65</v>
          </cell>
        </row>
        <row r="1761">
          <cell r="A1761">
            <v>1732400581</v>
          </cell>
          <cell r="B1761">
            <v>581</v>
          </cell>
          <cell r="C1761">
            <v>732400</v>
          </cell>
          <cell r="D1761">
            <v>1</v>
          </cell>
          <cell r="F1761" t="str">
            <v>ועדות תנועה</v>
          </cell>
          <cell r="G1761" t="str">
            <v>גמיש</v>
          </cell>
          <cell r="H1761">
            <v>0</v>
          </cell>
          <cell r="I1761">
            <v>14400</v>
          </cell>
          <cell r="J1761">
            <v>14400</v>
          </cell>
          <cell r="K1761">
            <v>5214.25</v>
          </cell>
          <cell r="L1761">
            <v>21400</v>
          </cell>
          <cell r="M1761">
            <v>15512.13</v>
          </cell>
        </row>
        <row r="1762">
          <cell r="A1762">
            <v>1732400582</v>
          </cell>
          <cell r="B1762">
            <v>582</v>
          </cell>
          <cell r="C1762">
            <v>732400</v>
          </cell>
          <cell r="D1762">
            <v>1</v>
          </cell>
          <cell r="F1762" t="str">
            <v>בדיקת רופא - חנית נכים</v>
          </cell>
          <cell r="G1762" t="str">
            <v>גמיש</v>
          </cell>
          <cell r="H1762">
            <v>0.31134803035778824</v>
          </cell>
          <cell r="I1762">
            <v>72570</v>
          </cell>
          <cell r="J1762">
            <v>55340</v>
          </cell>
          <cell r="K1762">
            <v>15281</v>
          </cell>
          <cell r="L1762">
            <v>64200</v>
          </cell>
          <cell r="M1762">
            <v>37263.5</v>
          </cell>
        </row>
        <row r="1763">
          <cell r="A1763">
            <v>1732400584</v>
          </cell>
          <cell r="B1763">
            <v>584</v>
          </cell>
          <cell r="C1763">
            <v>732400</v>
          </cell>
          <cell r="D1763">
            <v>1</v>
          </cell>
          <cell r="F1763" t="str">
            <v>הזנת נתונים למחשב</v>
          </cell>
          <cell r="G1763" t="str">
            <v>גמיש</v>
          </cell>
          <cell r="H1763">
            <v>0.35132924335378313</v>
          </cell>
          <cell r="I1763">
            <v>198240</v>
          </cell>
          <cell r="J1763">
            <v>146700</v>
          </cell>
          <cell r="K1763">
            <v>62427.9</v>
          </cell>
          <cell r="L1763">
            <v>163000</v>
          </cell>
          <cell r="M1763">
            <v>156513.59</v>
          </cell>
        </row>
        <row r="1764">
          <cell r="A1764">
            <v>1732400744</v>
          </cell>
          <cell r="B1764">
            <v>744</v>
          </cell>
          <cell r="C1764">
            <v>732400</v>
          </cell>
          <cell r="D1764">
            <v>1</v>
          </cell>
          <cell r="F1764" t="str">
            <v>מדים וציוד</v>
          </cell>
          <cell r="G1764" t="str">
            <v>גמיש</v>
          </cell>
          <cell r="H1764">
            <v>0</v>
          </cell>
          <cell r="I1764">
            <v>2520</v>
          </cell>
          <cell r="J1764">
            <v>2520</v>
          </cell>
          <cell r="K1764">
            <v>903</v>
          </cell>
          <cell r="L1764">
            <v>2800</v>
          </cell>
          <cell r="M1764">
            <v>0</v>
          </cell>
        </row>
        <row r="1765">
          <cell r="A1765">
            <v>1732400757</v>
          </cell>
          <cell r="B1765">
            <v>757</v>
          </cell>
          <cell r="C1765">
            <v>732400</v>
          </cell>
          <cell r="D1765">
            <v>1</v>
          </cell>
          <cell r="F1765" t="str">
            <v xml:space="preserve">אחזקת רמזורים     </v>
          </cell>
          <cell r="G1765" t="str">
            <v>קשיח</v>
          </cell>
          <cell r="I1765">
            <v>0</v>
          </cell>
          <cell r="J1765">
            <v>0</v>
          </cell>
          <cell r="K1765">
            <v>0</v>
          </cell>
          <cell r="L1765">
            <v>1480000</v>
          </cell>
          <cell r="M1765">
            <v>537882.73</v>
          </cell>
        </row>
        <row r="1766">
          <cell r="A1766">
            <v>1732400758</v>
          </cell>
          <cell r="B1766">
            <v>758</v>
          </cell>
          <cell r="C1766">
            <v>732400</v>
          </cell>
          <cell r="D1766">
            <v>1</v>
          </cell>
          <cell r="F1766" t="str">
            <v>תיכנון תנועה ורמזורים</v>
          </cell>
          <cell r="G1766" t="str">
            <v>קשיח</v>
          </cell>
          <cell r="J1766">
            <v>0</v>
          </cell>
          <cell r="K1766">
            <v>0</v>
          </cell>
          <cell r="L1766">
            <v>167000</v>
          </cell>
          <cell r="M1766">
            <v>0</v>
          </cell>
        </row>
        <row r="1767">
          <cell r="A1767">
            <v>1732400759</v>
          </cell>
          <cell r="B1767">
            <v>759</v>
          </cell>
          <cell r="C1767">
            <v>732400</v>
          </cell>
          <cell r="D1767">
            <v>1</v>
          </cell>
          <cell r="F1767" t="str">
            <v>אח' תמרור : ג'-7 ה'-8</v>
          </cell>
          <cell r="G1767" t="str">
            <v>קשיח</v>
          </cell>
          <cell r="H1767">
            <v>-0.16666666666666663</v>
          </cell>
          <cell r="I1767">
            <v>250000</v>
          </cell>
          <cell r="J1767">
            <v>300000</v>
          </cell>
          <cell r="K1767">
            <v>95713.25</v>
          </cell>
          <cell r="L1767">
            <v>375000</v>
          </cell>
          <cell r="M1767">
            <v>232273.35</v>
          </cell>
        </row>
        <row r="1768">
          <cell r="A1768" t="e">
            <v>#VALUE!</v>
          </cell>
          <cell r="B1768" t="str">
            <v>732400  סך הכל</v>
          </cell>
          <cell r="F1768" t="str">
            <v>אגף התנועה</v>
          </cell>
          <cell r="H1768">
            <v>-3.0504235388499557E-2</v>
          </cell>
          <cell r="I1768">
            <v>4108820</v>
          </cell>
          <cell r="J1768">
            <v>4238100</v>
          </cell>
          <cell r="K1768">
            <v>2256060.9700000007</v>
          </cell>
          <cell r="L1768">
            <v>5622800</v>
          </cell>
          <cell r="M1768">
            <v>4396606.22</v>
          </cell>
        </row>
        <row r="1769">
          <cell r="A1769">
            <v>17330000</v>
          </cell>
          <cell r="B1769">
            <v>0</v>
          </cell>
          <cell r="C1769">
            <v>733000</v>
          </cell>
          <cell r="D1769">
            <v>1</v>
          </cell>
          <cell r="F1769" t="str">
            <v xml:space="preserve">רשוי בניה         </v>
          </cell>
          <cell r="G1769" t="str">
            <v xml:space="preserve"> </v>
          </cell>
        </row>
        <row r="1770">
          <cell r="A1770">
            <v>1733000110</v>
          </cell>
          <cell r="B1770">
            <v>110</v>
          </cell>
          <cell r="C1770">
            <v>733000</v>
          </cell>
          <cell r="D1770">
            <v>1</v>
          </cell>
          <cell r="F1770" t="str">
            <v>שכר קובע - תקציבית</v>
          </cell>
          <cell r="G1770" t="str">
            <v>שכר</v>
          </cell>
          <cell r="I1770">
            <v>0</v>
          </cell>
          <cell r="J1770">
            <v>0</v>
          </cell>
          <cell r="K1770">
            <v>0</v>
          </cell>
          <cell r="L1770">
            <v>0</v>
          </cell>
          <cell r="M1770">
            <v>0</v>
          </cell>
        </row>
        <row r="1771">
          <cell r="A1771">
            <v>1733000119</v>
          </cell>
          <cell r="B1771">
            <v>119</v>
          </cell>
          <cell r="C1771">
            <v>733000</v>
          </cell>
          <cell r="D1771">
            <v>1</v>
          </cell>
          <cell r="F1771" t="str">
            <v xml:space="preserve">השכר הקובע-צוברת  </v>
          </cell>
          <cell r="G1771" t="str">
            <v>שכר</v>
          </cell>
          <cell r="H1771">
            <v>4.3457412801022333E-3</v>
          </cell>
          <cell r="I1771">
            <v>5655270</v>
          </cell>
          <cell r="J1771">
            <v>5630800</v>
          </cell>
          <cell r="K1771">
            <v>3253781.45</v>
          </cell>
          <cell r="L1771">
            <v>5002700</v>
          </cell>
          <cell r="M1771">
            <v>4925596.5199999996</v>
          </cell>
        </row>
        <row r="1772">
          <cell r="A1772">
            <v>1733000122</v>
          </cell>
          <cell r="B1772">
            <v>122</v>
          </cell>
          <cell r="C1772">
            <v>733000</v>
          </cell>
          <cell r="D1772">
            <v>1</v>
          </cell>
          <cell r="F1772" t="str">
            <v xml:space="preserve">ביגוד             </v>
          </cell>
          <cell r="G1772" t="str">
            <v>שכר</v>
          </cell>
          <cell r="H1772">
            <v>-9.2800031788079496E-2</v>
          </cell>
          <cell r="I1772">
            <v>45359.998410596025</v>
          </cell>
          <cell r="J1772">
            <v>50000</v>
          </cell>
          <cell r="K1772">
            <v>56693.62</v>
          </cell>
          <cell r="L1772">
            <v>55000</v>
          </cell>
          <cell r="M1772">
            <v>51985.9</v>
          </cell>
        </row>
        <row r="1773">
          <cell r="A1773">
            <v>1733000126</v>
          </cell>
          <cell r="B1773">
            <v>126</v>
          </cell>
          <cell r="C1773">
            <v>733000</v>
          </cell>
          <cell r="D1773">
            <v>1</v>
          </cell>
          <cell r="F1773" t="str">
            <v xml:space="preserve">דמי הבראה         </v>
          </cell>
          <cell r="G1773" t="str">
            <v>שכר</v>
          </cell>
          <cell r="H1773">
            <v>-9.2682955365315345E-2</v>
          </cell>
          <cell r="I1773">
            <v>111599.99649006622</v>
          </cell>
          <cell r="J1773">
            <v>123000</v>
          </cell>
          <cell r="K1773">
            <v>126825.15</v>
          </cell>
          <cell r="L1773">
            <v>123000</v>
          </cell>
          <cell r="M1773">
            <v>112274.45</v>
          </cell>
        </row>
        <row r="1774">
          <cell r="A1774">
            <v>1733000130</v>
          </cell>
          <cell r="B1774">
            <v>130</v>
          </cell>
          <cell r="C1774">
            <v>733000</v>
          </cell>
          <cell r="D1774">
            <v>1</v>
          </cell>
          <cell r="F1774" t="str">
            <v xml:space="preserve">שעות נוספות       </v>
          </cell>
          <cell r="G1774" t="str">
            <v>שכר</v>
          </cell>
          <cell r="H1774">
            <v>0</v>
          </cell>
          <cell r="I1774">
            <v>46790</v>
          </cell>
          <cell r="J1774">
            <v>46790</v>
          </cell>
          <cell r="K1774">
            <v>49119.56</v>
          </cell>
          <cell r="L1774">
            <v>54400</v>
          </cell>
          <cell r="M1774">
            <v>19811.36</v>
          </cell>
        </row>
        <row r="1775">
          <cell r="A1775">
            <v>1733000140</v>
          </cell>
          <cell r="B1775">
            <v>140</v>
          </cell>
          <cell r="C1775">
            <v>733000</v>
          </cell>
          <cell r="D1775">
            <v>1</v>
          </cell>
          <cell r="F1775" t="str">
            <v>השתתפות באחזקת רכב</v>
          </cell>
          <cell r="G1775" t="str">
            <v>שכר</v>
          </cell>
          <cell r="H1775">
            <v>-6.5790580319596281E-2</v>
          </cell>
          <cell r="I1775">
            <v>444310</v>
          </cell>
          <cell r="J1775">
            <v>475600</v>
          </cell>
          <cell r="K1775">
            <v>295821.25</v>
          </cell>
          <cell r="L1775">
            <v>475600</v>
          </cell>
          <cell r="M1775">
            <v>518213.52</v>
          </cell>
        </row>
        <row r="1776">
          <cell r="A1776">
            <v>1733000253</v>
          </cell>
          <cell r="B1776">
            <v>253</v>
          </cell>
          <cell r="C1776">
            <v>733000</v>
          </cell>
          <cell r="D1776">
            <v>1</v>
          </cell>
          <cell r="F1776" t="str">
            <v xml:space="preserve">עובדים חיצוניים   </v>
          </cell>
          <cell r="G1776" t="str">
            <v>שכר</v>
          </cell>
          <cell r="J1776">
            <v>0</v>
          </cell>
          <cell r="K1776">
            <v>53194.61</v>
          </cell>
          <cell r="L1776">
            <v>80000</v>
          </cell>
          <cell r="M1776">
            <v>96267.21</v>
          </cell>
        </row>
        <row r="1777">
          <cell r="A1777">
            <v>1733000350</v>
          </cell>
          <cell r="B1777">
            <v>350</v>
          </cell>
          <cell r="C1777">
            <v>733000</v>
          </cell>
          <cell r="D1777">
            <v>1</v>
          </cell>
          <cell r="F1777" t="str">
            <v>ליסינג 174-52-804</v>
          </cell>
          <cell r="G1777" t="str">
            <v>שכר</v>
          </cell>
          <cell r="I1777">
            <v>57430</v>
          </cell>
          <cell r="J1777">
            <v>0</v>
          </cell>
          <cell r="K1777">
            <v>797.67</v>
          </cell>
          <cell r="L1777">
            <v>0</v>
          </cell>
          <cell r="M1777">
            <v>0</v>
          </cell>
        </row>
        <row r="1778">
          <cell r="A1778">
            <v>1733000351</v>
          </cell>
          <cell r="B1778">
            <v>351</v>
          </cell>
          <cell r="C1778">
            <v>733000</v>
          </cell>
          <cell r="D1778">
            <v>1</v>
          </cell>
          <cell r="F1778" t="str">
            <v>הוצאות רכב</v>
          </cell>
          <cell r="G1778" t="str">
            <v>שכר</v>
          </cell>
          <cell r="I1778">
            <v>35000</v>
          </cell>
          <cell r="J1778">
            <v>0</v>
          </cell>
          <cell r="K1778">
            <v>3314.41</v>
          </cell>
          <cell r="L1778">
            <v>0</v>
          </cell>
          <cell r="M1778">
            <v>0</v>
          </cell>
        </row>
        <row r="1779">
          <cell r="A1779">
            <v>1733000471</v>
          </cell>
          <cell r="B1779">
            <v>471</v>
          </cell>
          <cell r="C1779">
            <v>733000</v>
          </cell>
          <cell r="D1779">
            <v>1</v>
          </cell>
          <cell r="F1779" t="str">
            <v xml:space="preserve">מכשירי כתיבה      </v>
          </cell>
          <cell r="G1779" t="str">
            <v>גמיש</v>
          </cell>
          <cell r="H1779">
            <v>0.2970168612191959</v>
          </cell>
          <cell r="I1779">
            <v>30000</v>
          </cell>
          <cell r="J1779">
            <v>23130</v>
          </cell>
          <cell r="K1779">
            <v>20182.810000000001</v>
          </cell>
          <cell r="L1779">
            <v>25700</v>
          </cell>
          <cell r="M1779">
            <v>25442.89</v>
          </cell>
        </row>
        <row r="1780">
          <cell r="A1780">
            <v>1733000511</v>
          </cell>
          <cell r="B1780">
            <v>511</v>
          </cell>
          <cell r="C1780">
            <v>733000</v>
          </cell>
          <cell r="D1780">
            <v>1</v>
          </cell>
          <cell r="F1780" t="str">
            <v xml:space="preserve">אירוח וכיבוד      </v>
          </cell>
          <cell r="G1780" t="str">
            <v>גמיש</v>
          </cell>
          <cell r="H1780">
            <v>2.4126984126984126</v>
          </cell>
          <cell r="I1780">
            <v>4300</v>
          </cell>
          <cell r="J1780">
            <v>1260</v>
          </cell>
          <cell r="K1780">
            <v>0</v>
          </cell>
          <cell r="L1780">
            <v>2300</v>
          </cell>
          <cell r="M1780">
            <v>1493.01</v>
          </cell>
        </row>
        <row r="1781">
          <cell r="A1781">
            <v>1733000550</v>
          </cell>
          <cell r="B1781">
            <v>550</v>
          </cell>
          <cell r="C1781">
            <v>733000</v>
          </cell>
          <cell r="D1781">
            <v>1</v>
          </cell>
          <cell r="F1781" t="str">
            <v>פירסומים ושילוט</v>
          </cell>
          <cell r="G1781" t="str">
            <v>גמיש</v>
          </cell>
          <cell r="H1781">
            <v>-1</v>
          </cell>
          <cell r="I1781">
            <v>0</v>
          </cell>
          <cell r="J1781">
            <v>4500</v>
          </cell>
          <cell r="K1781">
            <v>0</v>
          </cell>
          <cell r="L1781">
            <v>6800</v>
          </cell>
          <cell r="M1781">
            <v>0</v>
          </cell>
        </row>
        <row r="1782">
          <cell r="A1782">
            <v>1733000561</v>
          </cell>
          <cell r="B1782">
            <v>561</v>
          </cell>
          <cell r="C1782">
            <v>733000</v>
          </cell>
          <cell r="D1782">
            <v>1</v>
          </cell>
          <cell r="F1782" t="str">
            <v xml:space="preserve">שיכפולים          </v>
          </cell>
          <cell r="G1782" t="str">
            <v>גמיש</v>
          </cell>
          <cell r="H1782">
            <v>-1.2345679012345734E-2</v>
          </cell>
          <cell r="I1782">
            <v>800</v>
          </cell>
          <cell r="J1782">
            <v>810</v>
          </cell>
          <cell r="K1782">
            <v>653</v>
          </cell>
          <cell r="L1782">
            <v>900</v>
          </cell>
          <cell r="M1782">
            <v>378</v>
          </cell>
        </row>
        <row r="1783">
          <cell r="A1783">
            <v>1733000564</v>
          </cell>
          <cell r="B1783">
            <v>564</v>
          </cell>
          <cell r="C1783">
            <v>733000</v>
          </cell>
          <cell r="D1783">
            <v>1</v>
          </cell>
          <cell r="F1783" t="str">
            <v xml:space="preserve">פרטיכל - משנה     </v>
          </cell>
          <cell r="G1783" t="str">
            <v>גמיש</v>
          </cell>
          <cell r="H1783">
            <v>0</v>
          </cell>
          <cell r="I1783">
            <v>11610</v>
          </cell>
          <cell r="J1783">
            <v>11610</v>
          </cell>
          <cell r="K1783">
            <v>5493.5</v>
          </cell>
          <cell r="L1783">
            <v>12900</v>
          </cell>
          <cell r="M1783">
            <v>12866.48</v>
          </cell>
        </row>
        <row r="1784">
          <cell r="A1784">
            <v>1733000570</v>
          </cell>
          <cell r="B1784">
            <v>570</v>
          </cell>
          <cell r="C1784">
            <v>733000</v>
          </cell>
          <cell r="D1784">
            <v>1</v>
          </cell>
          <cell r="F1784" t="str">
            <v>מיחשוב רישוי+הטלים</v>
          </cell>
          <cell r="G1784" t="str">
            <v>קשיח</v>
          </cell>
          <cell r="J1784">
            <v>0</v>
          </cell>
          <cell r="K1784">
            <v>0</v>
          </cell>
          <cell r="L1784">
            <v>0</v>
          </cell>
          <cell r="M1784">
            <v>0</v>
          </cell>
        </row>
        <row r="1785">
          <cell r="A1785">
            <v>1733000571</v>
          </cell>
          <cell r="B1785">
            <v>571</v>
          </cell>
          <cell r="C1785">
            <v>733000</v>
          </cell>
          <cell r="D1785">
            <v>1</v>
          </cell>
          <cell r="F1785" t="str">
            <v xml:space="preserve">מיכון וענ"א       </v>
          </cell>
          <cell r="G1785" t="str">
            <v>קשיח</v>
          </cell>
          <cell r="H1785">
            <v>1.0579211848717351E-2</v>
          </cell>
          <cell r="I1785">
            <v>382100</v>
          </cell>
          <cell r="J1785">
            <v>378100</v>
          </cell>
          <cell r="K1785">
            <v>189050</v>
          </cell>
          <cell r="L1785">
            <v>319700</v>
          </cell>
          <cell r="M1785">
            <v>319700</v>
          </cell>
        </row>
        <row r="1786">
          <cell r="A1786">
            <v>1733000580</v>
          </cell>
          <cell r="B1786">
            <v>580</v>
          </cell>
          <cell r="C1786">
            <v>733000</v>
          </cell>
          <cell r="D1786">
            <v>1</v>
          </cell>
          <cell r="F1786" t="str">
            <v xml:space="preserve">שכ"ט שמאים        </v>
          </cell>
          <cell r="G1786" t="str">
            <v>קשיח</v>
          </cell>
          <cell r="H1786">
            <v>-1</v>
          </cell>
          <cell r="I1786">
            <v>0</v>
          </cell>
          <cell r="J1786">
            <v>2100000</v>
          </cell>
          <cell r="K1786">
            <v>1268523.6299999999</v>
          </cell>
          <cell r="L1786">
            <v>1795500</v>
          </cell>
          <cell r="M1786">
            <v>2417578.61</v>
          </cell>
        </row>
        <row r="1787">
          <cell r="A1787">
            <v>1733000581</v>
          </cell>
          <cell r="B1787">
            <v>581</v>
          </cell>
          <cell r="C1787">
            <v>733000</v>
          </cell>
          <cell r="D1787">
            <v>1</v>
          </cell>
          <cell r="F1787" t="str">
            <v xml:space="preserve">שכ"ט שמאים מכריעים        </v>
          </cell>
          <cell r="G1787" t="str">
            <v>גמיש</v>
          </cell>
          <cell r="H1787">
            <v>-1</v>
          </cell>
          <cell r="I1787">
            <v>0</v>
          </cell>
          <cell r="J1787">
            <v>684000</v>
          </cell>
          <cell r="K1787">
            <v>554779.29</v>
          </cell>
          <cell r="L1787">
            <v>684000</v>
          </cell>
          <cell r="M1787">
            <v>750624.68</v>
          </cell>
        </row>
        <row r="1788">
          <cell r="A1788">
            <v>1733000782</v>
          </cell>
          <cell r="B1788">
            <v>782</v>
          </cell>
          <cell r="C1788">
            <v>733000</v>
          </cell>
          <cell r="D1788">
            <v>1</v>
          </cell>
          <cell r="F1788" t="str">
            <v>אירוח לכנסים ויזמות</v>
          </cell>
          <cell r="G1788" t="str">
            <v>גמיש</v>
          </cell>
          <cell r="I1788">
            <v>1000</v>
          </cell>
          <cell r="J1788">
            <v>0</v>
          </cell>
          <cell r="K1788">
            <v>0</v>
          </cell>
          <cell r="L1788">
            <v>0</v>
          </cell>
          <cell r="M1788">
            <v>0</v>
          </cell>
        </row>
        <row r="1789">
          <cell r="A1789" t="e">
            <v>#VALUE!</v>
          </cell>
          <cell r="B1789" t="str">
            <v>733000  סך הכל</v>
          </cell>
          <cell r="F1789" t="str">
            <v xml:space="preserve">רשוי בניה         </v>
          </cell>
          <cell r="H1789">
            <v>-0.28375063015229796</v>
          </cell>
          <cell r="I1789">
            <v>6825569.9949006615</v>
          </cell>
          <cell r="J1789">
            <v>9529600</v>
          </cell>
          <cell r="K1789">
            <v>5878229.9500000002</v>
          </cell>
          <cell r="L1789">
            <v>8638500</v>
          </cell>
          <cell r="M1789">
            <v>9252232.629999999</v>
          </cell>
        </row>
        <row r="1790">
          <cell r="A1790">
            <v>17333000</v>
          </cell>
          <cell r="B1790">
            <v>0</v>
          </cell>
          <cell r="C1790">
            <v>733300</v>
          </cell>
          <cell r="D1790">
            <v>1</v>
          </cell>
          <cell r="F1790" t="str">
            <v xml:space="preserve">פיקוח על הבניה    </v>
          </cell>
          <cell r="G1790" t="str">
            <v xml:space="preserve"> </v>
          </cell>
        </row>
        <row r="1791">
          <cell r="A1791">
            <v>1733300119</v>
          </cell>
          <cell r="B1791">
            <v>119</v>
          </cell>
          <cell r="C1791">
            <v>733300</v>
          </cell>
          <cell r="D1791">
            <v>1</v>
          </cell>
          <cell r="F1791" t="str">
            <v xml:space="preserve">השכר הקובע-צוברת  </v>
          </cell>
          <cell r="G1791" t="str">
            <v>שכר</v>
          </cell>
          <cell r="H1791">
            <v>6.879376187101327E-2</v>
          </cell>
          <cell r="I1791">
            <v>3770169.9949999996</v>
          </cell>
          <cell r="J1791">
            <v>3527500</v>
          </cell>
          <cell r="K1791">
            <v>2435054.9700000002</v>
          </cell>
          <cell r="L1791">
            <v>3360300</v>
          </cell>
          <cell r="M1791">
            <v>3550618.64</v>
          </cell>
        </row>
        <row r="1792">
          <cell r="A1792">
            <v>1733300122</v>
          </cell>
          <cell r="B1792">
            <v>122</v>
          </cell>
          <cell r="C1792">
            <v>733300</v>
          </cell>
          <cell r="D1792">
            <v>1</v>
          </cell>
          <cell r="F1792" t="str">
            <v xml:space="preserve">ביגוד             </v>
          </cell>
          <cell r="G1792" t="str">
            <v>שכר</v>
          </cell>
          <cell r="H1792">
            <v>0.20705870028301021</v>
          </cell>
          <cell r="I1792">
            <v>41039.995809622349</v>
          </cell>
          <cell r="J1792">
            <v>34000</v>
          </cell>
          <cell r="K1792">
            <v>37912.17</v>
          </cell>
          <cell r="L1792">
            <v>24000</v>
          </cell>
          <cell r="M1792">
            <v>32658.29</v>
          </cell>
        </row>
        <row r="1793">
          <cell r="A1793">
            <v>1733300126</v>
          </cell>
          <cell r="B1793">
            <v>126</v>
          </cell>
          <cell r="C1793">
            <v>733300</v>
          </cell>
          <cell r="D1793">
            <v>1</v>
          </cell>
          <cell r="F1793" t="str">
            <v xml:space="preserve">דמי הבראה         </v>
          </cell>
          <cell r="G1793" t="str">
            <v>שכר</v>
          </cell>
          <cell r="H1793">
            <v>0.20694612191034389</v>
          </cell>
          <cell r="I1793">
            <v>100780.00117951371</v>
          </cell>
          <cell r="J1793">
            <v>83500</v>
          </cell>
          <cell r="K1793">
            <v>85740.7</v>
          </cell>
          <cell r="L1793">
            <v>83500</v>
          </cell>
          <cell r="M1793">
            <v>77616.58</v>
          </cell>
        </row>
        <row r="1794">
          <cell r="A1794">
            <v>1733300130</v>
          </cell>
          <cell r="B1794">
            <v>130</v>
          </cell>
          <cell r="C1794">
            <v>733300</v>
          </cell>
          <cell r="D1794">
            <v>1</v>
          </cell>
          <cell r="F1794" t="str">
            <v xml:space="preserve">שעות נוספות       </v>
          </cell>
          <cell r="G1794" t="str">
            <v>שכר</v>
          </cell>
          <cell r="H1794">
            <v>0</v>
          </cell>
          <cell r="I1794">
            <v>112400</v>
          </cell>
          <cell r="J1794">
            <v>112400</v>
          </cell>
          <cell r="K1794">
            <v>228774.01</v>
          </cell>
          <cell r="L1794">
            <v>130700</v>
          </cell>
          <cell r="M1794">
            <v>228695.33</v>
          </cell>
        </row>
        <row r="1795">
          <cell r="A1795">
            <v>1733300140</v>
          </cell>
          <cell r="B1795">
            <v>140</v>
          </cell>
          <cell r="C1795">
            <v>733300</v>
          </cell>
          <cell r="D1795">
            <v>1</v>
          </cell>
          <cell r="F1795" t="str">
            <v>השתתפות באחזקת רכב</v>
          </cell>
          <cell r="G1795" t="str">
            <v>שכר</v>
          </cell>
          <cell r="H1795">
            <v>0</v>
          </cell>
          <cell r="I1795">
            <v>332000</v>
          </cell>
          <cell r="J1795">
            <v>332000</v>
          </cell>
          <cell r="K1795">
            <v>273649.33</v>
          </cell>
          <cell r="L1795">
            <v>332000</v>
          </cell>
          <cell r="M1795">
            <v>440540.38</v>
          </cell>
        </row>
        <row r="1796">
          <cell r="A1796">
            <v>1733300253</v>
          </cell>
          <cell r="B1796">
            <v>253</v>
          </cell>
          <cell r="C1796">
            <v>733300</v>
          </cell>
          <cell r="D1796">
            <v>1</v>
          </cell>
          <cell r="F1796" t="str">
            <v xml:space="preserve">עובדים חיצוניים   </v>
          </cell>
          <cell r="G1796" t="str">
            <v>שכר</v>
          </cell>
          <cell r="J1796">
            <v>0</v>
          </cell>
          <cell r="K1796">
            <v>49439.65</v>
          </cell>
          <cell r="L1796">
            <v>0</v>
          </cell>
          <cell r="M1796">
            <v>290976.48</v>
          </cell>
        </row>
        <row r="1797">
          <cell r="A1797">
            <v>1733300350</v>
          </cell>
          <cell r="B1797">
            <v>350</v>
          </cell>
          <cell r="C1797">
            <v>733300</v>
          </cell>
          <cell r="D1797">
            <v>1</v>
          </cell>
          <cell r="F1797" t="str">
            <v>ליסינג 489-03-303</v>
          </cell>
          <cell r="G1797" t="str">
            <v>שכר</v>
          </cell>
          <cell r="I1797">
            <v>16000</v>
          </cell>
          <cell r="J1797">
            <v>0</v>
          </cell>
          <cell r="K1797">
            <v>16606.46</v>
          </cell>
          <cell r="L1797">
            <v>0</v>
          </cell>
          <cell r="M1797">
            <v>0</v>
          </cell>
        </row>
        <row r="1798">
          <cell r="A1798">
            <v>1733300351</v>
          </cell>
          <cell r="B1798">
            <v>351</v>
          </cell>
          <cell r="C1798">
            <v>733300</v>
          </cell>
          <cell r="D1798">
            <v>1</v>
          </cell>
          <cell r="F1798" t="str">
            <v>הוצאות רכב</v>
          </cell>
          <cell r="G1798" t="str">
            <v>שכר</v>
          </cell>
          <cell r="I1798">
            <v>6000</v>
          </cell>
          <cell r="J1798">
            <v>0</v>
          </cell>
          <cell r="K1798">
            <v>0</v>
          </cell>
          <cell r="L1798">
            <v>0</v>
          </cell>
          <cell r="M1798">
            <v>0</v>
          </cell>
        </row>
        <row r="1799">
          <cell r="A1799">
            <v>1733300471</v>
          </cell>
          <cell r="B1799">
            <v>471</v>
          </cell>
          <cell r="C1799">
            <v>733300</v>
          </cell>
          <cell r="D1799">
            <v>1</v>
          </cell>
          <cell r="F1799" t="str">
            <v xml:space="preserve">מכשירי כתיבה      </v>
          </cell>
          <cell r="G1799" t="str">
            <v>גמיש</v>
          </cell>
          <cell r="H1799">
            <v>0</v>
          </cell>
          <cell r="I1799">
            <v>30690</v>
          </cell>
          <cell r="J1799">
            <v>30690</v>
          </cell>
          <cell r="K1799">
            <v>8607.7999999999993</v>
          </cell>
          <cell r="L1799">
            <v>34100</v>
          </cell>
          <cell r="M1799">
            <v>30295.32</v>
          </cell>
        </row>
        <row r="1800">
          <cell r="A1800">
            <v>1733300511</v>
          </cell>
          <cell r="B1800">
            <v>511</v>
          </cell>
          <cell r="C1800">
            <v>733300</v>
          </cell>
          <cell r="D1800">
            <v>1</v>
          </cell>
          <cell r="F1800" t="str">
            <v xml:space="preserve">אירוח וכיבוד      </v>
          </cell>
          <cell r="G1800" t="str">
            <v>גמיש</v>
          </cell>
          <cell r="I1800">
            <v>3000</v>
          </cell>
          <cell r="J1800">
            <v>0</v>
          </cell>
          <cell r="K1800">
            <v>0</v>
          </cell>
          <cell r="L1800">
            <v>0</v>
          </cell>
          <cell r="M1800">
            <v>0</v>
          </cell>
        </row>
        <row r="1801">
          <cell r="A1801">
            <v>1733300562</v>
          </cell>
          <cell r="B1801">
            <v>562</v>
          </cell>
          <cell r="C1801">
            <v>733300</v>
          </cell>
          <cell r="D1801">
            <v>1</v>
          </cell>
          <cell r="F1801" t="str">
            <v xml:space="preserve">הדפסות            </v>
          </cell>
          <cell r="G1801" t="str">
            <v>גמיש</v>
          </cell>
          <cell r="H1801">
            <v>-0.72222222222222221</v>
          </cell>
          <cell r="I1801">
            <v>500</v>
          </cell>
          <cell r="J1801">
            <v>1800</v>
          </cell>
          <cell r="K1801">
            <v>496</v>
          </cell>
          <cell r="L1801">
            <v>3400</v>
          </cell>
          <cell r="M1801">
            <v>351</v>
          </cell>
        </row>
        <row r="1802">
          <cell r="A1802">
            <v>1733300570</v>
          </cell>
          <cell r="B1802">
            <v>570</v>
          </cell>
          <cell r="C1802">
            <v>733300</v>
          </cell>
          <cell r="D1802">
            <v>1</v>
          </cell>
          <cell r="F1802" t="str">
            <v>תוכנת רישוי בניה</v>
          </cell>
          <cell r="G1802" t="str">
            <v>קשיח</v>
          </cell>
          <cell r="J1802">
            <v>0</v>
          </cell>
          <cell r="K1802">
            <v>0</v>
          </cell>
          <cell r="L1802">
            <v>0</v>
          </cell>
          <cell r="M1802">
            <v>0</v>
          </cell>
        </row>
        <row r="1803">
          <cell r="A1803">
            <v>1733300571</v>
          </cell>
          <cell r="B1803">
            <v>571</v>
          </cell>
          <cell r="C1803">
            <v>733300</v>
          </cell>
          <cell r="D1803">
            <v>1</v>
          </cell>
          <cell r="F1803" t="str">
            <v xml:space="preserve">מיכון וענ"א       </v>
          </cell>
          <cell r="G1803" t="str">
            <v>קשיח</v>
          </cell>
          <cell r="H1803">
            <v>0.21674876847290636</v>
          </cell>
          <cell r="I1803">
            <v>123500</v>
          </cell>
          <cell r="J1803">
            <v>101500</v>
          </cell>
          <cell r="K1803">
            <v>50750</v>
          </cell>
          <cell r="L1803">
            <v>87800</v>
          </cell>
          <cell r="M1803">
            <v>87800</v>
          </cell>
        </row>
        <row r="1804">
          <cell r="A1804">
            <v>1733300753</v>
          </cell>
          <cell r="B1804">
            <v>753</v>
          </cell>
          <cell r="C1804">
            <v>733300</v>
          </cell>
          <cell r="D1804">
            <v>1</v>
          </cell>
          <cell r="F1804" t="str">
            <v>שרות מנעולן</v>
          </cell>
          <cell r="G1804" t="str">
            <v>גמיש</v>
          </cell>
          <cell r="H1804">
            <v>0.10000000000000009</v>
          </cell>
          <cell r="I1804">
            <v>22000</v>
          </cell>
          <cell r="J1804">
            <v>20000</v>
          </cell>
          <cell r="K1804">
            <v>6324</v>
          </cell>
          <cell r="L1804">
            <v>21400</v>
          </cell>
          <cell r="M1804">
            <v>21032.7</v>
          </cell>
        </row>
        <row r="1805">
          <cell r="A1805">
            <v>1733300756</v>
          </cell>
          <cell r="B1805">
            <v>756</v>
          </cell>
          <cell r="C1805">
            <v>733300</v>
          </cell>
          <cell r="D1805">
            <v>1</v>
          </cell>
          <cell r="F1805" t="str">
            <v xml:space="preserve">שמירה בקבלנות     </v>
          </cell>
          <cell r="G1805" t="str">
            <v>קשיח</v>
          </cell>
          <cell r="H1805">
            <v>0</v>
          </cell>
          <cell r="I1805">
            <v>5000</v>
          </cell>
          <cell r="J1805">
            <v>5000</v>
          </cell>
          <cell r="K1805">
            <v>0</v>
          </cell>
          <cell r="L1805">
            <v>12000</v>
          </cell>
          <cell r="M1805">
            <v>804.17</v>
          </cell>
        </row>
        <row r="1806">
          <cell r="A1806">
            <v>1733300757</v>
          </cell>
          <cell r="B1806">
            <v>757</v>
          </cell>
          <cell r="C1806">
            <v>733300</v>
          </cell>
          <cell r="D1806">
            <v>1</v>
          </cell>
          <cell r="F1806" t="str">
            <v>צילומי אויר</v>
          </cell>
          <cell r="G1806" t="str">
            <v>גמיש</v>
          </cell>
          <cell r="H1806">
            <v>-1</v>
          </cell>
          <cell r="J1806">
            <v>101060</v>
          </cell>
          <cell r="K1806">
            <v>0</v>
          </cell>
          <cell r="L1806">
            <v>112300</v>
          </cell>
          <cell r="M1806">
            <v>0</v>
          </cell>
        </row>
        <row r="1807">
          <cell r="A1807">
            <v>1733300759</v>
          </cell>
          <cell r="B1807">
            <v>759</v>
          </cell>
          <cell r="C1807">
            <v>733300</v>
          </cell>
          <cell r="D1807">
            <v>1</v>
          </cell>
          <cell r="F1807" t="str">
            <v>הריסת מבנים</v>
          </cell>
          <cell r="G1807" t="str">
            <v>גמיש</v>
          </cell>
          <cell r="H1807">
            <v>0</v>
          </cell>
          <cell r="I1807">
            <v>315000</v>
          </cell>
          <cell r="J1807">
            <v>315000</v>
          </cell>
          <cell r="K1807">
            <v>0</v>
          </cell>
          <cell r="L1807">
            <v>427500</v>
          </cell>
          <cell r="M1807">
            <v>197339.44</v>
          </cell>
        </row>
        <row r="1808">
          <cell r="A1808">
            <v>1733300933</v>
          </cell>
          <cell r="B1808">
            <v>933</v>
          </cell>
          <cell r="C1808">
            <v>733300</v>
          </cell>
          <cell r="D1808">
            <v>1</v>
          </cell>
          <cell r="F1808" t="str">
            <v>ציוד בטיחותי אישי</v>
          </cell>
          <cell r="G1808" t="str">
            <v>גמיש</v>
          </cell>
          <cell r="H1808">
            <v>0</v>
          </cell>
          <cell r="I1808">
            <v>8550</v>
          </cell>
          <cell r="J1808">
            <v>8550</v>
          </cell>
          <cell r="K1808">
            <v>826</v>
          </cell>
          <cell r="L1808">
            <v>9500</v>
          </cell>
          <cell r="M1808">
            <v>7085.1</v>
          </cell>
        </row>
        <row r="1809">
          <cell r="A1809">
            <v>1733300961</v>
          </cell>
          <cell r="B1809">
            <v>961</v>
          </cell>
          <cell r="C1809">
            <v>733300</v>
          </cell>
          <cell r="D1809">
            <v>1</v>
          </cell>
          <cell r="F1809" t="str">
            <v>רז' פעולות ורכישות</v>
          </cell>
          <cell r="G1809" t="str">
            <v>גמיש</v>
          </cell>
          <cell r="J1809">
            <v>0</v>
          </cell>
          <cell r="K1809">
            <v>0</v>
          </cell>
          <cell r="L1809">
            <v>50000</v>
          </cell>
          <cell r="M1809">
            <v>4491.58</v>
          </cell>
        </row>
        <row r="1810">
          <cell r="A1810" t="e">
            <v>#VALUE!</v>
          </cell>
          <cell r="B1810" t="str">
            <v>733300  סך הכל</v>
          </cell>
          <cell r="F1810" t="str">
            <v xml:space="preserve">פיקוח על הבניה    </v>
          </cell>
          <cell r="H1810">
            <v>4.5715812537799216E-2</v>
          </cell>
          <cell r="I1810">
            <v>4886629.9919891357</v>
          </cell>
          <cell r="J1810">
            <v>4673000</v>
          </cell>
          <cell r="K1810">
            <v>3194181.0900000003</v>
          </cell>
          <cell r="L1810">
            <v>4688500</v>
          </cell>
          <cell r="M1810">
            <v>4970305.0100000016</v>
          </cell>
        </row>
        <row r="1811">
          <cell r="A1811">
            <v>17340000</v>
          </cell>
          <cell r="B1811">
            <v>0</v>
          </cell>
          <cell r="C1811">
            <v>734000</v>
          </cell>
          <cell r="D1811">
            <v>1</v>
          </cell>
          <cell r="F1811" t="str">
            <v xml:space="preserve">מיחשוב יעודי קרקע </v>
          </cell>
          <cell r="G1811" t="str">
            <v xml:space="preserve"> </v>
          </cell>
        </row>
        <row r="1812">
          <cell r="A1812">
            <v>1734000570</v>
          </cell>
          <cell r="B1812">
            <v>570</v>
          </cell>
          <cell r="C1812">
            <v>734000</v>
          </cell>
          <cell r="D1812">
            <v>1</v>
          </cell>
          <cell r="F1812" t="str">
            <v xml:space="preserve">חב' לאוטומציה     </v>
          </cell>
          <cell r="G1812" t="str">
            <v>קשיח</v>
          </cell>
          <cell r="J1812">
            <v>0</v>
          </cell>
          <cell r="K1812">
            <v>0</v>
          </cell>
          <cell r="L1812">
            <v>0</v>
          </cell>
          <cell r="M1812">
            <v>0</v>
          </cell>
        </row>
        <row r="1813">
          <cell r="A1813">
            <v>1734000572</v>
          </cell>
          <cell r="B1813">
            <v>572</v>
          </cell>
          <cell r="C1813">
            <v>734000</v>
          </cell>
          <cell r="D1813">
            <v>1</v>
          </cell>
          <cell r="F1813" t="str">
            <v>מעקב תב"ע</v>
          </cell>
          <cell r="G1813" t="str">
            <v>קשיח</v>
          </cell>
          <cell r="J1813">
            <v>0</v>
          </cell>
          <cell r="K1813">
            <v>0</v>
          </cell>
          <cell r="L1813">
            <v>0</v>
          </cell>
          <cell r="M1813">
            <v>0</v>
          </cell>
        </row>
        <row r="1814">
          <cell r="A1814" t="e">
            <v>#VALUE!</v>
          </cell>
          <cell r="B1814" t="str">
            <v>734000  סך הכל</v>
          </cell>
          <cell r="F1814" t="str">
            <v xml:space="preserve">מיחשוב יעודי קרקע 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  <cell r="M1814">
            <v>0</v>
          </cell>
        </row>
        <row r="1815">
          <cell r="A1815">
            <v>17350000</v>
          </cell>
          <cell r="B1815">
            <v>0</v>
          </cell>
          <cell r="C1815">
            <v>735000</v>
          </cell>
          <cell r="D1815">
            <v>1</v>
          </cell>
          <cell r="F1815" t="str">
            <v xml:space="preserve">בנית מבני ציבור   </v>
          </cell>
          <cell r="G1815" t="str">
            <v xml:space="preserve"> </v>
          </cell>
        </row>
        <row r="1816">
          <cell r="A1816">
            <v>1735000110</v>
          </cell>
          <cell r="B1816">
            <v>110</v>
          </cell>
          <cell r="C1816">
            <v>735000</v>
          </cell>
          <cell r="D1816">
            <v>1</v>
          </cell>
          <cell r="F1816" t="str">
            <v>השכר הקובע-תקציבית</v>
          </cell>
          <cell r="G1816" t="str">
            <v>שכר</v>
          </cell>
          <cell r="H1816">
            <v>2.5032679738562047E-2</v>
          </cell>
          <cell r="I1816">
            <v>156830</v>
          </cell>
          <cell r="J1816">
            <v>153000</v>
          </cell>
          <cell r="K1816">
            <v>95432.34</v>
          </cell>
          <cell r="L1816">
            <v>150000</v>
          </cell>
          <cell r="M1816">
            <v>162394.15</v>
          </cell>
        </row>
        <row r="1817">
          <cell r="A1817">
            <v>1735000119</v>
          </cell>
          <cell r="B1817">
            <v>119</v>
          </cell>
          <cell r="C1817">
            <v>735000</v>
          </cell>
          <cell r="D1817">
            <v>1</v>
          </cell>
          <cell r="F1817" t="str">
            <v xml:space="preserve">השכר הקובע-צוברת  </v>
          </cell>
          <cell r="G1817" t="str">
            <v>שכר</v>
          </cell>
          <cell r="H1817">
            <v>4.9572049490538506E-2</v>
          </cell>
          <cell r="I1817">
            <v>1802639.9949999999</v>
          </cell>
          <cell r="J1817">
            <v>1717500</v>
          </cell>
          <cell r="K1817">
            <v>1021082.14</v>
          </cell>
          <cell r="L1817">
            <v>1683800</v>
          </cell>
          <cell r="M1817">
            <v>2429461.81</v>
          </cell>
        </row>
        <row r="1818">
          <cell r="A1818">
            <v>1735000122</v>
          </cell>
          <cell r="B1818">
            <v>122</v>
          </cell>
          <cell r="C1818">
            <v>735000</v>
          </cell>
          <cell r="D1818">
            <v>1</v>
          </cell>
          <cell r="F1818" t="str">
            <v xml:space="preserve">ביגוד             </v>
          </cell>
          <cell r="G1818" t="str">
            <v>שכר</v>
          </cell>
          <cell r="H1818">
            <v>0.12523809523809515</v>
          </cell>
          <cell r="I1818">
            <v>23630</v>
          </cell>
          <cell r="J1818">
            <v>21000</v>
          </cell>
          <cell r="K1818">
            <v>19288.66</v>
          </cell>
          <cell r="L1818">
            <v>11500</v>
          </cell>
          <cell r="M1818">
            <v>22405.15</v>
          </cell>
        </row>
        <row r="1819">
          <cell r="A1819">
            <v>1735000126</v>
          </cell>
          <cell r="B1819">
            <v>126</v>
          </cell>
          <cell r="C1819">
            <v>735000</v>
          </cell>
          <cell r="D1819">
            <v>1</v>
          </cell>
          <cell r="F1819" t="str">
            <v xml:space="preserve">דמי הבראה         </v>
          </cell>
          <cell r="G1819" t="str">
            <v>שכר</v>
          </cell>
          <cell r="H1819">
            <v>0.125</v>
          </cell>
          <cell r="I1819">
            <v>49500</v>
          </cell>
          <cell r="J1819">
            <v>44000</v>
          </cell>
          <cell r="K1819">
            <v>41177.11</v>
          </cell>
          <cell r="L1819">
            <v>44000</v>
          </cell>
          <cell r="M1819">
            <v>49528.86</v>
          </cell>
        </row>
        <row r="1820">
          <cell r="A1820">
            <v>1735000130</v>
          </cell>
          <cell r="B1820">
            <v>130</v>
          </cell>
          <cell r="C1820">
            <v>735000</v>
          </cell>
          <cell r="D1820">
            <v>1</v>
          </cell>
          <cell r="F1820" t="str">
            <v xml:space="preserve">שעות נוספות       </v>
          </cell>
          <cell r="G1820" t="str">
            <v>שכר</v>
          </cell>
          <cell r="H1820">
            <v>0</v>
          </cell>
          <cell r="I1820">
            <v>25890</v>
          </cell>
          <cell r="J1820">
            <v>25890</v>
          </cell>
          <cell r="K1820">
            <v>19580.240000000002</v>
          </cell>
          <cell r="L1820">
            <v>30100</v>
          </cell>
          <cell r="M1820">
            <v>8652.1</v>
          </cell>
        </row>
        <row r="1821">
          <cell r="A1821">
            <v>1735000140</v>
          </cell>
          <cell r="B1821">
            <v>140</v>
          </cell>
          <cell r="C1821">
            <v>735000</v>
          </cell>
          <cell r="D1821">
            <v>1</v>
          </cell>
          <cell r="F1821" t="str">
            <v>השתתפות באחזקת רכב</v>
          </cell>
          <cell r="G1821" t="str">
            <v>שכר</v>
          </cell>
          <cell r="H1821">
            <v>0</v>
          </cell>
          <cell r="I1821">
            <v>235800</v>
          </cell>
          <cell r="J1821">
            <v>235800</v>
          </cell>
          <cell r="K1821">
            <v>115921.45</v>
          </cell>
          <cell r="L1821">
            <v>175100</v>
          </cell>
          <cell r="M1821">
            <v>270019.42</v>
          </cell>
        </row>
        <row r="1822">
          <cell r="A1822">
            <v>1735000253</v>
          </cell>
          <cell r="B1822">
            <v>253</v>
          </cell>
          <cell r="C1822">
            <v>735000</v>
          </cell>
          <cell r="D1822">
            <v>1</v>
          </cell>
          <cell r="F1822" t="str">
            <v xml:space="preserve">עובדים חיצוניים   </v>
          </cell>
          <cell r="G1822" t="str">
            <v>שכר</v>
          </cell>
          <cell r="J1822">
            <v>0</v>
          </cell>
          <cell r="K1822">
            <v>0</v>
          </cell>
          <cell r="L1822">
            <v>0</v>
          </cell>
          <cell r="M1822">
            <v>5505.58</v>
          </cell>
        </row>
        <row r="1823">
          <cell r="A1823">
            <v>1735000433</v>
          </cell>
          <cell r="B1823">
            <v>433</v>
          </cell>
          <cell r="C1823">
            <v>735000</v>
          </cell>
          <cell r="D1823">
            <v>1</v>
          </cell>
          <cell r="F1823" t="str">
            <v xml:space="preserve">חומרי נקיון       </v>
          </cell>
          <cell r="G1823" t="str">
            <v>גמיש</v>
          </cell>
          <cell r="H1823">
            <v>0.11111111111111116</v>
          </cell>
          <cell r="I1823">
            <v>1000</v>
          </cell>
          <cell r="J1823">
            <v>900</v>
          </cell>
          <cell r="K1823">
            <v>665.62</v>
          </cell>
          <cell r="L1823">
            <v>1800</v>
          </cell>
          <cell r="M1823">
            <v>955.7</v>
          </cell>
        </row>
        <row r="1824">
          <cell r="A1824">
            <v>1735000437</v>
          </cell>
          <cell r="B1824">
            <v>437</v>
          </cell>
          <cell r="C1824">
            <v>735000</v>
          </cell>
          <cell r="D1824">
            <v>1</v>
          </cell>
          <cell r="F1824" t="str">
            <v>מערכת אזעקה</v>
          </cell>
          <cell r="G1824" t="str">
            <v>קשיח</v>
          </cell>
          <cell r="J1824">
            <v>0</v>
          </cell>
          <cell r="K1824">
            <v>0</v>
          </cell>
          <cell r="L1824">
            <v>2800</v>
          </cell>
          <cell r="M1824">
            <v>0</v>
          </cell>
        </row>
        <row r="1825">
          <cell r="A1825">
            <v>1735000470</v>
          </cell>
          <cell r="B1825">
            <v>470</v>
          </cell>
          <cell r="C1825">
            <v>735000</v>
          </cell>
          <cell r="D1825">
            <v>1</v>
          </cell>
          <cell r="F1825" t="str">
            <v xml:space="preserve">אחזקת מכונות משרד </v>
          </cell>
          <cell r="G1825" t="str">
            <v>גמיש</v>
          </cell>
          <cell r="H1825">
            <v>0.4814814814814814</v>
          </cell>
          <cell r="I1825">
            <v>1200</v>
          </cell>
          <cell r="J1825">
            <v>810</v>
          </cell>
          <cell r="K1825">
            <v>809.65</v>
          </cell>
          <cell r="L1825">
            <v>2700</v>
          </cell>
          <cell r="M1825">
            <v>765.4</v>
          </cell>
        </row>
        <row r="1826">
          <cell r="A1826">
            <v>1735000471</v>
          </cell>
          <cell r="B1826">
            <v>471</v>
          </cell>
          <cell r="C1826">
            <v>735000</v>
          </cell>
          <cell r="D1826">
            <v>1</v>
          </cell>
          <cell r="F1826" t="str">
            <v xml:space="preserve">מכשירי כתיבה      </v>
          </cell>
          <cell r="G1826" t="str">
            <v>גמיש</v>
          </cell>
          <cell r="H1826">
            <v>0</v>
          </cell>
          <cell r="I1826">
            <v>22500</v>
          </cell>
          <cell r="J1826">
            <v>22500</v>
          </cell>
          <cell r="K1826">
            <v>12944.6</v>
          </cell>
          <cell r="L1826">
            <v>32400</v>
          </cell>
          <cell r="M1826">
            <v>24989.94</v>
          </cell>
        </row>
        <row r="1827">
          <cell r="A1827">
            <v>1735000511</v>
          </cell>
          <cell r="B1827">
            <v>511</v>
          </cell>
          <cell r="C1827">
            <v>735000</v>
          </cell>
          <cell r="D1827">
            <v>1</v>
          </cell>
          <cell r="F1827" t="str">
            <v xml:space="preserve">אירוח וכיבוד      </v>
          </cell>
          <cell r="G1827" t="str">
            <v>גמיש</v>
          </cell>
          <cell r="H1827">
            <v>-0.60927960927960934</v>
          </cell>
          <cell r="I1827">
            <v>3200</v>
          </cell>
          <cell r="J1827">
            <v>8190</v>
          </cell>
          <cell r="K1827">
            <v>4667.46</v>
          </cell>
          <cell r="L1827">
            <v>8600</v>
          </cell>
          <cell r="M1827">
            <v>7958.09</v>
          </cell>
        </row>
        <row r="1828">
          <cell r="A1828">
            <v>1735000522</v>
          </cell>
          <cell r="B1828">
            <v>522</v>
          </cell>
          <cell r="C1828">
            <v>735000</v>
          </cell>
          <cell r="D1828">
            <v>1</v>
          </cell>
          <cell r="F1828" t="str">
            <v xml:space="preserve">ספרים ועיתונים    </v>
          </cell>
          <cell r="G1828" t="str">
            <v>גמיש</v>
          </cell>
          <cell r="J1828">
            <v>0</v>
          </cell>
          <cell r="K1828">
            <v>0</v>
          </cell>
          <cell r="L1828">
            <v>8600</v>
          </cell>
          <cell r="M1828">
            <v>0</v>
          </cell>
        </row>
        <row r="1829">
          <cell r="A1829">
            <v>1735000562</v>
          </cell>
          <cell r="B1829">
            <v>562</v>
          </cell>
          <cell r="C1829">
            <v>735000</v>
          </cell>
          <cell r="D1829">
            <v>1</v>
          </cell>
          <cell r="F1829" t="str">
            <v xml:space="preserve">הדפסות            </v>
          </cell>
          <cell r="G1829" t="str">
            <v>גמיש</v>
          </cell>
          <cell r="J1829">
            <v>0</v>
          </cell>
          <cell r="K1829">
            <v>0</v>
          </cell>
          <cell r="L1829">
            <v>1800</v>
          </cell>
          <cell r="M1829">
            <v>0</v>
          </cell>
        </row>
        <row r="1830">
          <cell r="A1830">
            <v>1735000571</v>
          </cell>
          <cell r="B1830">
            <v>571</v>
          </cell>
          <cell r="C1830">
            <v>735000</v>
          </cell>
          <cell r="D1830">
            <v>1</v>
          </cell>
          <cell r="F1830" t="str">
            <v xml:space="preserve">מיכון וענ"א       </v>
          </cell>
          <cell r="G1830" t="str">
            <v>קשיח</v>
          </cell>
          <cell r="H1830">
            <v>0.24084621643612691</v>
          </cell>
          <cell r="I1830">
            <v>305000</v>
          </cell>
          <cell r="J1830">
            <v>245800</v>
          </cell>
          <cell r="K1830">
            <v>122900</v>
          </cell>
          <cell r="L1830">
            <v>186200</v>
          </cell>
          <cell r="M1830">
            <v>186200</v>
          </cell>
        </row>
        <row r="1831">
          <cell r="A1831">
            <v>1735000752</v>
          </cell>
          <cell r="B1831">
            <v>752</v>
          </cell>
          <cell r="C1831">
            <v>735000</v>
          </cell>
          <cell r="D1831">
            <v>1</v>
          </cell>
          <cell r="F1831" t="str">
            <v xml:space="preserve">נקיון בקבלנות     </v>
          </cell>
          <cell r="G1831" t="str">
            <v>גמיש</v>
          </cell>
          <cell r="H1831">
            <v>-1</v>
          </cell>
          <cell r="I1831">
            <v>0</v>
          </cell>
          <cell r="J1831">
            <v>48600</v>
          </cell>
          <cell r="K1831">
            <v>5732.28</v>
          </cell>
          <cell r="L1831">
            <v>54000</v>
          </cell>
          <cell r="M1831">
            <v>48160.99</v>
          </cell>
        </row>
        <row r="1832">
          <cell r="A1832">
            <v>1735000754</v>
          </cell>
          <cell r="B1832">
            <v>754</v>
          </cell>
          <cell r="C1832">
            <v>735000</v>
          </cell>
          <cell r="D1832">
            <v>1</v>
          </cell>
          <cell r="F1832" t="str">
            <v>הסרת גרפיטי</v>
          </cell>
          <cell r="G1832" t="str">
            <v>גמיש</v>
          </cell>
          <cell r="H1832">
            <v>0</v>
          </cell>
          <cell r="I1832">
            <v>45000</v>
          </cell>
          <cell r="J1832">
            <v>45000</v>
          </cell>
          <cell r="K1832">
            <v>0</v>
          </cell>
          <cell r="L1832">
            <v>0</v>
          </cell>
          <cell r="M1832">
            <v>0</v>
          </cell>
        </row>
        <row r="1833">
          <cell r="A1833" t="e">
            <v>#VALUE!</v>
          </cell>
          <cell r="B1833" t="str">
            <v>735000  סך הכל</v>
          </cell>
          <cell r="F1833" t="str">
            <v xml:space="preserve">בנית מבני ציבור   </v>
          </cell>
          <cell r="H1833">
            <v>4.0171427292437834E-2</v>
          </cell>
          <cell r="I1833">
            <v>2672189.9950000001</v>
          </cell>
          <cell r="J1833">
            <v>2568990</v>
          </cell>
          <cell r="K1833">
            <v>1460201.55</v>
          </cell>
          <cell r="L1833">
            <v>2393400</v>
          </cell>
          <cell r="M1833">
            <v>3216997.19</v>
          </cell>
        </row>
        <row r="1834">
          <cell r="A1834">
            <v>17360000</v>
          </cell>
          <cell r="B1834">
            <v>0</v>
          </cell>
          <cell r="C1834">
            <v>736000</v>
          </cell>
          <cell r="D1834">
            <v>1</v>
          </cell>
          <cell r="F1834" t="str">
            <v>אח' נכסים ציבוריים</v>
          </cell>
          <cell r="G1834" t="str">
            <v xml:space="preserve"> </v>
          </cell>
        </row>
        <row r="1835">
          <cell r="A1835">
            <v>1736000119</v>
          </cell>
          <cell r="B1835">
            <v>119</v>
          </cell>
          <cell r="C1835">
            <v>736000</v>
          </cell>
          <cell r="D1835">
            <v>1</v>
          </cell>
          <cell r="F1835" t="str">
            <v xml:space="preserve">השכר הקובע-צוברת  </v>
          </cell>
          <cell r="G1835" t="str">
            <v>שכר</v>
          </cell>
          <cell r="H1835">
            <v>2.49943451707757E-2</v>
          </cell>
          <cell r="I1835">
            <v>453149.99999999994</v>
          </cell>
          <cell r="J1835">
            <v>442100</v>
          </cell>
          <cell r="K1835">
            <v>212156.74</v>
          </cell>
          <cell r="L1835">
            <v>433400</v>
          </cell>
          <cell r="M1835">
            <v>426557.45</v>
          </cell>
        </row>
        <row r="1836">
          <cell r="A1836">
            <v>1736000122</v>
          </cell>
          <cell r="B1836">
            <v>122</v>
          </cell>
          <cell r="C1836">
            <v>736000</v>
          </cell>
          <cell r="D1836">
            <v>1</v>
          </cell>
          <cell r="F1836" t="str">
            <v xml:space="preserve">ביגוד             </v>
          </cell>
          <cell r="G1836" t="str">
            <v>שכר</v>
          </cell>
          <cell r="H1836">
            <v>0</v>
          </cell>
          <cell r="I1836">
            <v>5600</v>
          </cell>
          <cell r="J1836">
            <v>5600</v>
          </cell>
          <cell r="K1836">
            <v>4958</v>
          </cell>
          <cell r="L1836">
            <v>5600</v>
          </cell>
          <cell r="M1836">
            <v>4893.13</v>
          </cell>
        </row>
        <row r="1837">
          <cell r="A1837">
            <v>1736000126</v>
          </cell>
          <cell r="B1837">
            <v>126</v>
          </cell>
          <cell r="C1837">
            <v>736000</v>
          </cell>
          <cell r="D1837">
            <v>1</v>
          </cell>
          <cell r="F1837" t="str">
            <v xml:space="preserve">דמי הבראה         </v>
          </cell>
          <cell r="G1837" t="str">
            <v>שכר</v>
          </cell>
          <cell r="H1837">
            <v>0</v>
          </cell>
          <cell r="I1837">
            <v>11000</v>
          </cell>
          <cell r="J1837">
            <v>11000</v>
          </cell>
          <cell r="K1837">
            <v>10842.2</v>
          </cell>
          <cell r="L1837">
            <v>22000</v>
          </cell>
          <cell r="M1837">
            <v>9220.07</v>
          </cell>
        </row>
        <row r="1838">
          <cell r="A1838">
            <v>1736000130</v>
          </cell>
          <cell r="B1838">
            <v>130</v>
          </cell>
          <cell r="C1838">
            <v>736000</v>
          </cell>
          <cell r="D1838">
            <v>1</v>
          </cell>
          <cell r="F1838" t="str">
            <v xml:space="preserve">שעות נוספות       </v>
          </cell>
          <cell r="G1838" t="str">
            <v>שכר</v>
          </cell>
          <cell r="H1838">
            <v>0</v>
          </cell>
          <cell r="I1838">
            <v>56800</v>
          </cell>
          <cell r="J1838">
            <v>56800</v>
          </cell>
          <cell r="K1838">
            <v>14250.12</v>
          </cell>
          <cell r="L1838">
            <v>66100</v>
          </cell>
          <cell r="M1838">
            <v>18489.12</v>
          </cell>
        </row>
        <row r="1839">
          <cell r="A1839">
            <v>1736000140</v>
          </cell>
          <cell r="B1839">
            <v>140</v>
          </cell>
          <cell r="C1839">
            <v>736000</v>
          </cell>
          <cell r="D1839">
            <v>1</v>
          </cell>
          <cell r="F1839" t="str">
            <v>השתתפות באחזקת רכב</v>
          </cell>
          <cell r="G1839" t="str">
            <v>שכר</v>
          </cell>
          <cell r="H1839">
            <v>0</v>
          </cell>
          <cell r="I1839">
            <v>68900</v>
          </cell>
          <cell r="J1839">
            <v>68900</v>
          </cell>
          <cell r="K1839">
            <v>30843.14</v>
          </cell>
          <cell r="L1839">
            <v>68900</v>
          </cell>
          <cell r="M1839">
            <v>61802.55</v>
          </cell>
        </row>
        <row r="1840">
          <cell r="A1840">
            <v>1736000450</v>
          </cell>
          <cell r="B1840">
            <v>450</v>
          </cell>
          <cell r="C1840">
            <v>736000</v>
          </cell>
          <cell r="D1840">
            <v>1</v>
          </cell>
          <cell r="F1840" t="str">
            <v>אחזקת תמי 4</v>
          </cell>
          <cell r="G1840" t="str">
            <v>קשיח</v>
          </cell>
          <cell r="H1840">
            <v>-1</v>
          </cell>
          <cell r="I1840">
            <v>0</v>
          </cell>
          <cell r="J1840">
            <v>1000</v>
          </cell>
          <cell r="K1840">
            <v>0</v>
          </cell>
          <cell r="L1840">
            <v>1000</v>
          </cell>
          <cell r="M1840">
            <v>0</v>
          </cell>
        </row>
        <row r="1841">
          <cell r="A1841">
            <v>1736000474</v>
          </cell>
          <cell r="B1841">
            <v>474</v>
          </cell>
          <cell r="C1841">
            <v>736000</v>
          </cell>
          <cell r="D1841">
            <v>1</v>
          </cell>
          <cell r="F1841" t="str">
            <v>אחזקת מעליות</v>
          </cell>
          <cell r="G1841" t="str">
            <v>קשיח</v>
          </cell>
          <cell r="I1841">
            <v>90000</v>
          </cell>
          <cell r="J1841">
            <v>0</v>
          </cell>
          <cell r="K1841">
            <v>0</v>
          </cell>
          <cell r="L1841">
            <v>0</v>
          </cell>
          <cell r="M1841">
            <v>0</v>
          </cell>
        </row>
        <row r="1842">
          <cell r="A1842">
            <v>1736000476</v>
          </cell>
          <cell r="B1842">
            <v>476</v>
          </cell>
          <cell r="C1842">
            <v>736000</v>
          </cell>
          <cell r="D1842">
            <v>1</v>
          </cell>
          <cell r="F1842" t="str">
            <v>אחזקת גנרטור</v>
          </cell>
          <cell r="G1842" t="str">
            <v>גמיש</v>
          </cell>
          <cell r="I1842">
            <v>42000</v>
          </cell>
          <cell r="J1842">
            <v>0</v>
          </cell>
          <cell r="K1842">
            <v>0</v>
          </cell>
          <cell r="L1842">
            <v>0</v>
          </cell>
          <cell r="M1842">
            <v>0</v>
          </cell>
        </row>
        <row r="1843">
          <cell r="A1843">
            <v>1736000492</v>
          </cell>
          <cell r="B1843">
            <v>492</v>
          </cell>
          <cell r="C1843">
            <v>736000</v>
          </cell>
          <cell r="D1843">
            <v>1</v>
          </cell>
          <cell r="F1843" t="str">
            <v xml:space="preserve">השתתפות בעזר 092  </v>
          </cell>
          <cell r="G1843" t="str">
            <v>קשיח</v>
          </cell>
          <cell r="H1843">
            <v>7.1910112359550471E-2</v>
          </cell>
          <cell r="I1843">
            <v>238500</v>
          </cell>
          <cell r="J1843">
            <v>222500</v>
          </cell>
          <cell r="K1843">
            <v>87915</v>
          </cell>
          <cell r="L1843">
            <v>185000</v>
          </cell>
          <cell r="M1843">
            <v>202571</v>
          </cell>
        </row>
        <row r="1844">
          <cell r="A1844">
            <v>1736000596</v>
          </cell>
          <cell r="B1844">
            <v>596</v>
          </cell>
          <cell r="C1844">
            <v>736000</v>
          </cell>
          <cell r="D1844">
            <v>1</v>
          </cell>
          <cell r="F1844" t="str">
            <v xml:space="preserve">השתתפות בעזר 096  </v>
          </cell>
          <cell r="G1844" t="str">
            <v>קשיח</v>
          </cell>
          <cell r="H1844">
            <v>3.054989816700604E-2</v>
          </cell>
          <cell r="I1844">
            <v>506000</v>
          </cell>
          <cell r="J1844">
            <v>491000</v>
          </cell>
          <cell r="K1844">
            <v>199493</v>
          </cell>
          <cell r="L1844">
            <v>482000</v>
          </cell>
          <cell r="M1844">
            <v>450524</v>
          </cell>
        </row>
        <row r="1845">
          <cell r="A1845">
            <v>1736000721</v>
          </cell>
          <cell r="B1845">
            <v>721</v>
          </cell>
          <cell r="C1845">
            <v>736000</v>
          </cell>
          <cell r="D1845">
            <v>1</v>
          </cell>
          <cell r="F1845" t="str">
            <v>חומרים תחזוקת מבנים</v>
          </cell>
          <cell r="G1845" t="str">
            <v>גמיש</v>
          </cell>
          <cell r="I1845">
            <v>40000</v>
          </cell>
          <cell r="J1845">
            <v>0</v>
          </cell>
          <cell r="K1845">
            <v>0</v>
          </cell>
          <cell r="L1845">
            <v>0</v>
          </cell>
          <cell r="M1845">
            <v>0</v>
          </cell>
        </row>
        <row r="1846">
          <cell r="A1846">
            <v>1736000742</v>
          </cell>
          <cell r="B1846">
            <v>742</v>
          </cell>
          <cell r="C1846">
            <v>736000</v>
          </cell>
          <cell r="D1846">
            <v>1</v>
          </cell>
          <cell r="F1846" t="str">
            <v xml:space="preserve">כלים וציוד        </v>
          </cell>
          <cell r="G1846" t="str">
            <v>גמיש</v>
          </cell>
          <cell r="H1846">
            <v>0</v>
          </cell>
          <cell r="I1846">
            <v>1800</v>
          </cell>
          <cell r="J1846">
            <v>1800</v>
          </cell>
          <cell r="K1846">
            <v>1216</v>
          </cell>
          <cell r="L1846">
            <v>3600</v>
          </cell>
          <cell r="M1846">
            <v>1766.38</v>
          </cell>
        </row>
        <row r="1847">
          <cell r="A1847">
            <v>1736000794</v>
          </cell>
          <cell r="B1847">
            <v>794</v>
          </cell>
          <cell r="C1847">
            <v>736000</v>
          </cell>
          <cell r="D1847">
            <v>1</v>
          </cell>
          <cell r="F1847" t="str">
            <v xml:space="preserve">השתתפות בעזר 094  </v>
          </cell>
          <cell r="G1847" t="str">
            <v>קשיח</v>
          </cell>
          <cell r="H1847">
            <v>0</v>
          </cell>
          <cell r="I1847">
            <v>12100</v>
          </cell>
          <cell r="J1847">
            <v>12100</v>
          </cell>
          <cell r="K1847">
            <v>5716</v>
          </cell>
          <cell r="L1847">
            <v>12100</v>
          </cell>
          <cell r="M1847">
            <v>14431</v>
          </cell>
        </row>
        <row r="1848">
          <cell r="A1848">
            <v>1736000931</v>
          </cell>
          <cell r="B1848">
            <v>931</v>
          </cell>
          <cell r="C1848">
            <v>736000</v>
          </cell>
          <cell r="D1848">
            <v>1</v>
          </cell>
          <cell r="F1848" t="str">
            <v xml:space="preserve">ציוד חד פעמי      </v>
          </cell>
          <cell r="G1848" t="str">
            <v>גמיש</v>
          </cell>
          <cell r="J1848">
            <v>0</v>
          </cell>
          <cell r="K1848">
            <v>0</v>
          </cell>
          <cell r="L1848">
            <v>9000</v>
          </cell>
          <cell r="M1848">
            <v>1042</v>
          </cell>
        </row>
        <row r="1849">
          <cell r="A1849" t="e">
            <v>#VALUE!</v>
          </cell>
          <cell r="B1849" t="str">
            <v>736000  סך הכל</v>
          </cell>
          <cell r="F1849" t="str">
            <v>אח' נכסים ציבוריים</v>
          </cell>
          <cell r="H1849">
            <v>0.16228671541742834</v>
          </cell>
          <cell r="I1849">
            <v>1525850</v>
          </cell>
          <cell r="J1849">
            <v>1312800</v>
          </cell>
          <cell r="K1849">
            <v>567390.19999999995</v>
          </cell>
          <cell r="L1849">
            <v>1288700</v>
          </cell>
          <cell r="M1849">
            <v>1191296.7</v>
          </cell>
        </row>
        <row r="1850">
          <cell r="A1850">
            <v>17361000</v>
          </cell>
          <cell r="B1850">
            <v>0</v>
          </cell>
          <cell r="C1850">
            <v>736100</v>
          </cell>
          <cell r="D1850">
            <v>1</v>
          </cell>
          <cell r="F1850" t="str">
            <v>אח' נכסים ציבוריים</v>
          </cell>
          <cell r="G1850" t="str">
            <v xml:space="preserve"> </v>
          </cell>
        </row>
        <row r="1851">
          <cell r="A1851">
            <v>1736100423</v>
          </cell>
          <cell r="B1851">
            <v>423</v>
          </cell>
          <cell r="C1851">
            <v>736100</v>
          </cell>
          <cell r="D1851">
            <v>1</v>
          </cell>
          <cell r="F1851" t="str">
            <v xml:space="preserve">תחזוקת מבנה       </v>
          </cell>
          <cell r="G1851" t="str">
            <v>קשיח</v>
          </cell>
          <cell r="H1851">
            <v>0.16228671541742834</v>
          </cell>
          <cell r="I1851">
            <v>-1525850</v>
          </cell>
          <cell r="J1851">
            <v>-1312800</v>
          </cell>
          <cell r="K1851">
            <v>0</v>
          </cell>
          <cell r="L1851">
            <v>-1288700</v>
          </cell>
          <cell r="M1851">
            <v>-1288700</v>
          </cell>
        </row>
        <row r="1852">
          <cell r="A1852" t="e">
            <v>#VALUE!</v>
          </cell>
          <cell r="B1852" t="str">
            <v>736100  סך הכל</v>
          </cell>
          <cell r="F1852" t="str">
            <v>אח' נכסים ציבוריים</v>
          </cell>
          <cell r="H1852">
            <v>0.16228671541742834</v>
          </cell>
          <cell r="I1852">
            <v>-1525850</v>
          </cell>
          <cell r="J1852">
            <v>-1312800</v>
          </cell>
          <cell r="K1852">
            <v>0</v>
          </cell>
          <cell r="L1852">
            <v>-1288700</v>
          </cell>
          <cell r="M1852">
            <v>-1288700</v>
          </cell>
        </row>
        <row r="1853">
          <cell r="A1853">
            <v>17400000</v>
          </cell>
          <cell r="B1853">
            <v>0</v>
          </cell>
          <cell r="C1853">
            <v>740000</v>
          </cell>
          <cell r="D1853">
            <v>1</v>
          </cell>
          <cell r="F1853" t="str">
            <v xml:space="preserve">נכסים צבוריים     </v>
          </cell>
          <cell r="G1853" t="str">
            <v xml:space="preserve"> </v>
          </cell>
        </row>
        <row r="1854">
          <cell r="A1854">
            <v>1741000119</v>
          </cell>
          <cell r="B1854">
            <v>119</v>
          </cell>
          <cell r="C1854">
            <v>741000</v>
          </cell>
          <cell r="D1854">
            <v>1</v>
          </cell>
          <cell r="F1854" t="str">
            <v xml:space="preserve">השכר הקובע-צוברת  </v>
          </cell>
          <cell r="G1854" t="str">
            <v>שכר</v>
          </cell>
          <cell r="H1854">
            <v>2.4999999999999911E-2</v>
          </cell>
          <cell r="I1854">
            <v>1284530</v>
          </cell>
          <cell r="J1854">
            <v>1253200</v>
          </cell>
          <cell r="K1854">
            <v>898390.32</v>
          </cell>
          <cell r="L1854">
            <v>1228600</v>
          </cell>
          <cell r="M1854">
            <v>1694071.41</v>
          </cell>
        </row>
        <row r="1855">
          <cell r="A1855">
            <v>1741000122</v>
          </cell>
          <cell r="B1855">
            <v>122</v>
          </cell>
          <cell r="C1855">
            <v>741000</v>
          </cell>
          <cell r="D1855">
            <v>1</v>
          </cell>
          <cell r="F1855" t="str">
            <v xml:space="preserve">ביגוד             </v>
          </cell>
          <cell r="G1855" t="str">
            <v>שכר</v>
          </cell>
          <cell r="H1855">
            <v>0</v>
          </cell>
          <cell r="I1855">
            <v>18000</v>
          </cell>
          <cell r="J1855">
            <v>18000</v>
          </cell>
          <cell r="K1855">
            <v>15872.99</v>
          </cell>
          <cell r="L1855">
            <v>14100</v>
          </cell>
          <cell r="M1855">
            <v>20292.09</v>
          </cell>
        </row>
        <row r="1856">
          <cell r="A1856">
            <v>1741000126</v>
          </cell>
          <cell r="B1856">
            <v>126</v>
          </cell>
          <cell r="C1856">
            <v>741000</v>
          </cell>
          <cell r="D1856">
            <v>1</v>
          </cell>
          <cell r="F1856" t="str">
            <v xml:space="preserve">דמי הבראה         </v>
          </cell>
          <cell r="G1856" t="str">
            <v>שכר</v>
          </cell>
          <cell r="H1856">
            <v>0</v>
          </cell>
          <cell r="I1856">
            <v>33000</v>
          </cell>
          <cell r="J1856">
            <v>33000</v>
          </cell>
          <cell r="K1856">
            <v>25817.22</v>
          </cell>
          <cell r="L1856">
            <v>29000</v>
          </cell>
          <cell r="M1856">
            <v>37208.31</v>
          </cell>
        </row>
        <row r="1857">
          <cell r="A1857">
            <v>1741000140</v>
          </cell>
          <cell r="B1857">
            <v>140</v>
          </cell>
          <cell r="C1857">
            <v>741000</v>
          </cell>
          <cell r="D1857">
            <v>1</v>
          </cell>
          <cell r="F1857" t="str">
            <v>השתתפות באחזקת רכב</v>
          </cell>
          <cell r="G1857" t="str">
            <v>שכר</v>
          </cell>
          <cell r="H1857">
            <v>0</v>
          </cell>
          <cell r="I1857">
            <v>170400</v>
          </cell>
          <cell r="J1857">
            <v>170400</v>
          </cell>
          <cell r="K1857">
            <v>117697.62</v>
          </cell>
          <cell r="L1857">
            <v>110400</v>
          </cell>
          <cell r="M1857">
            <v>162639.22</v>
          </cell>
        </row>
        <row r="1858">
          <cell r="A1858">
            <v>1741000253</v>
          </cell>
          <cell r="B1858">
            <v>253</v>
          </cell>
          <cell r="C1858">
            <v>741000</v>
          </cell>
          <cell r="D1858">
            <v>1</v>
          </cell>
          <cell r="F1858" t="str">
            <v xml:space="preserve">עובדים חיצוניים   </v>
          </cell>
          <cell r="G1858" t="str">
            <v>שכר</v>
          </cell>
          <cell r="I1858">
            <v>550000</v>
          </cell>
          <cell r="J1858">
            <v>0</v>
          </cell>
          <cell r="K1858">
            <v>0</v>
          </cell>
          <cell r="L1858">
            <v>0</v>
          </cell>
          <cell r="M1858">
            <v>18443.330000000002</v>
          </cell>
        </row>
        <row r="1859">
          <cell r="A1859">
            <v>1741000350</v>
          </cell>
          <cell r="B1859">
            <v>350</v>
          </cell>
          <cell r="C1859">
            <v>741000</v>
          </cell>
          <cell r="D1859">
            <v>1</v>
          </cell>
          <cell r="F1859" t="str">
            <v>ליסינג - 741-53-902</v>
          </cell>
          <cell r="G1859" t="str">
            <v>שכר</v>
          </cell>
          <cell r="H1859">
            <v>-1</v>
          </cell>
          <cell r="I1859">
            <v>0</v>
          </cell>
          <cell r="J1859">
            <v>50000</v>
          </cell>
          <cell r="K1859">
            <v>0</v>
          </cell>
          <cell r="L1859">
            <v>50000</v>
          </cell>
          <cell r="M1859">
            <v>53507.71</v>
          </cell>
        </row>
        <row r="1860">
          <cell r="A1860">
            <v>1741000351</v>
          </cell>
          <cell r="B1860">
            <v>351</v>
          </cell>
          <cell r="C1860">
            <v>741000</v>
          </cell>
          <cell r="D1860">
            <v>1</v>
          </cell>
          <cell r="F1860" t="str">
            <v>הוצאות - 741-53-902</v>
          </cell>
          <cell r="G1860" t="str">
            <v>שכר</v>
          </cell>
          <cell r="H1860">
            <v>-1</v>
          </cell>
          <cell r="I1860">
            <v>0</v>
          </cell>
          <cell r="J1860">
            <v>30000</v>
          </cell>
          <cell r="K1860">
            <v>0</v>
          </cell>
          <cell r="L1860">
            <v>4900</v>
          </cell>
          <cell r="M1860">
            <v>29451.66</v>
          </cell>
        </row>
        <row r="1861">
          <cell r="A1861">
            <v>1741000471</v>
          </cell>
          <cell r="B1861">
            <v>471</v>
          </cell>
          <cell r="C1861">
            <v>741000</v>
          </cell>
          <cell r="D1861">
            <v>1</v>
          </cell>
          <cell r="F1861" t="str">
            <v xml:space="preserve">מכשירי כתיבה      </v>
          </cell>
          <cell r="G1861" t="str">
            <v>גמיש</v>
          </cell>
          <cell r="H1861">
            <v>0.29629629629629628</v>
          </cell>
          <cell r="I1861">
            <v>7000</v>
          </cell>
          <cell r="J1861">
            <v>5400</v>
          </cell>
          <cell r="K1861">
            <v>3588.44</v>
          </cell>
          <cell r="L1861">
            <v>5600</v>
          </cell>
          <cell r="M1861">
            <v>4703.72</v>
          </cell>
        </row>
        <row r="1862">
          <cell r="A1862">
            <v>1741000492</v>
          </cell>
          <cell r="B1862">
            <v>492</v>
          </cell>
          <cell r="C1862">
            <v>741000</v>
          </cell>
          <cell r="D1862">
            <v>1</v>
          </cell>
          <cell r="F1862" t="str">
            <v xml:space="preserve">השתתפות בעזר 092  </v>
          </cell>
          <cell r="G1862" t="str">
            <v>קשיח</v>
          </cell>
          <cell r="H1862">
            <v>4.5022511255627728E-2</v>
          </cell>
          <cell r="I1862">
            <v>208900</v>
          </cell>
          <cell r="J1862">
            <v>199900</v>
          </cell>
          <cell r="K1862">
            <v>78986</v>
          </cell>
          <cell r="L1862">
            <v>199900</v>
          </cell>
          <cell r="M1862">
            <v>218886</v>
          </cell>
        </row>
        <row r="1863">
          <cell r="A1863">
            <v>1741000511</v>
          </cell>
          <cell r="B1863">
            <v>511</v>
          </cell>
          <cell r="C1863">
            <v>741000</v>
          </cell>
          <cell r="D1863">
            <v>1</v>
          </cell>
          <cell r="F1863" t="str">
            <v xml:space="preserve">אירוח וכיבוד      </v>
          </cell>
          <cell r="G1863" t="str">
            <v>גמיש</v>
          </cell>
          <cell r="H1863">
            <v>-1</v>
          </cell>
          <cell r="I1863">
            <v>0</v>
          </cell>
          <cell r="J1863">
            <v>4680</v>
          </cell>
          <cell r="K1863">
            <v>81.66</v>
          </cell>
          <cell r="L1863">
            <v>5100</v>
          </cell>
          <cell r="M1863">
            <v>4765.74</v>
          </cell>
        </row>
        <row r="1864">
          <cell r="A1864">
            <v>1741000512</v>
          </cell>
          <cell r="B1864">
            <v>512</v>
          </cell>
          <cell r="C1864">
            <v>741000</v>
          </cell>
          <cell r="D1864">
            <v>1</v>
          </cell>
          <cell r="F1864" t="str">
            <v xml:space="preserve">נסיעות ואש"ל      </v>
          </cell>
          <cell r="G1864" t="str">
            <v>גמיש</v>
          </cell>
          <cell r="H1864">
            <v>0</v>
          </cell>
          <cell r="I1864">
            <v>450</v>
          </cell>
          <cell r="J1864">
            <v>450</v>
          </cell>
          <cell r="K1864">
            <v>101</v>
          </cell>
          <cell r="L1864">
            <v>600</v>
          </cell>
          <cell r="M1864">
            <v>9.5</v>
          </cell>
        </row>
        <row r="1865">
          <cell r="A1865">
            <v>1741000522</v>
          </cell>
          <cell r="B1865">
            <v>522</v>
          </cell>
          <cell r="C1865">
            <v>741000</v>
          </cell>
          <cell r="D1865">
            <v>1</v>
          </cell>
          <cell r="F1865" t="str">
            <v xml:space="preserve">ספרים ועיתונים    </v>
          </cell>
          <cell r="G1865" t="str">
            <v>גמיש</v>
          </cell>
          <cell r="H1865">
            <v>0.11111111111111116</v>
          </cell>
          <cell r="I1865">
            <v>2700</v>
          </cell>
          <cell r="J1865">
            <v>2430</v>
          </cell>
          <cell r="K1865">
            <v>0</v>
          </cell>
          <cell r="L1865">
            <v>2700</v>
          </cell>
          <cell r="M1865">
            <v>0</v>
          </cell>
        </row>
        <row r="1866">
          <cell r="A1866">
            <v>1741000550</v>
          </cell>
          <cell r="B1866">
            <v>550</v>
          </cell>
          <cell r="C1866">
            <v>741000</v>
          </cell>
          <cell r="D1866">
            <v>1</v>
          </cell>
          <cell r="F1866" t="str">
            <v xml:space="preserve">פירסומים          </v>
          </cell>
          <cell r="G1866" t="str">
            <v>גמיש</v>
          </cell>
          <cell r="H1866">
            <v>0.94444444444444442</v>
          </cell>
          <cell r="I1866">
            <v>700</v>
          </cell>
          <cell r="J1866">
            <v>360</v>
          </cell>
          <cell r="K1866">
            <v>0</v>
          </cell>
          <cell r="L1866">
            <v>0</v>
          </cell>
          <cell r="M1866">
            <v>0</v>
          </cell>
        </row>
        <row r="1867">
          <cell r="A1867">
            <v>1741000561</v>
          </cell>
          <cell r="B1867">
            <v>561</v>
          </cell>
          <cell r="C1867">
            <v>741000</v>
          </cell>
          <cell r="D1867">
            <v>1</v>
          </cell>
          <cell r="F1867" t="str">
            <v xml:space="preserve">שיכפולים          </v>
          </cell>
          <cell r="G1867" t="str">
            <v>גמיש</v>
          </cell>
          <cell r="I1867">
            <v>0</v>
          </cell>
          <cell r="J1867">
            <v>0</v>
          </cell>
          <cell r="K1867">
            <v>0</v>
          </cell>
          <cell r="L1867">
            <v>400</v>
          </cell>
          <cell r="M1867">
            <v>0</v>
          </cell>
        </row>
        <row r="1868">
          <cell r="A1868">
            <v>1741000562</v>
          </cell>
          <cell r="B1868">
            <v>562</v>
          </cell>
          <cell r="C1868">
            <v>741000</v>
          </cell>
          <cell r="D1868">
            <v>1</v>
          </cell>
          <cell r="F1868" t="str">
            <v xml:space="preserve">הדפסות            </v>
          </cell>
          <cell r="G1868" t="str">
            <v>גמיש</v>
          </cell>
          <cell r="H1868">
            <v>-0.33333333333333337</v>
          </cell>
          <cell r="I1868">
            <v>300</v>
          </cell>
          <cell r="J1868">
            <v>450</v>
          </cell>
          <cell r="K1868">
            <v>0</v>
          </cell>
          <cell r="L1868">
            <v>300</v>
          </cell>
          <cell r="M1868">
            <v>291.2</v>
          </cell>
        </row>
        <row r="1869">
          <cell r="A1869">
            <v>1741000565</v>
          </cell>
          <cell r="B1869">
            <v>565</v>
          </cell>
          <cell r="C1869">
            <v>741000</v>
          </cell>
          <cell r="D1869">
            <v>1</v>
          </cell>
          <cell r="F1869" t="str">
            <v>מפות</v>
          </cell>
          <cell r="G1869" t="str">
            <v>גמיש</v>
          </cell>
          <cell r="H1869">
            <v>-1</v>
          </cell>
          <cell r="I1869">
            <v>0</v>
          </cell>
          <cell r="J1869">
            <v>1260</v>
          </cell>
          <cell r="K1869">
            <v>0</v>
          </cell>
          <cell r="L1869">
            <v>1400</v>
          </cell>
          <cell r="M1869">
            <v>0</v>
          </cell>
        </row>
        <row r="1870">
          <cell r="A1870">
            <v>1741000571</v>
          </cell>
          <cell r="B1870">
            <v>571</v>
          </cell>
          <cell r="C1870">
            <v>741000</v>
          </cell>
          <cell r="D1870">
            <v>1</v>
          </cell>
          <cell r="F1870" t="str">
            <v xml:space="preserve">מיכון וענ"א       </v>
          </cell>
          <cell r="G1870" t="str">
            <v>קשיח</v>
          </cell>
          <cell r="H1870">
            <v>0.53311617806731815</v>
          </cell>
          <cell r="I1870">
            <v>141200</v>
          </cell>
          <cell r="J1870">
            <v>92100</v>
          </cell>
          <cell r="K1870">
            <v>46050</v>
          </cell>
          <cell r="L1870">
            <v>85100</v>
          </cell>
          <cell r="M1870">
            <v>85100</v>
          </cell>
        </row>
        <row r="1871">
          <cell r="A1871">
            <v>1741000572</v>
          </cell>
          <cell r="B1871">
            <v>572</v>
          </cell>
          <cell r="C1871">
            <v>741000</v>
          </cell>
          <cell r="D1871">
            <v>1</v>
          </cell>
          <cell r="F1871" t="str">
            <v>תוכנת דקל - חב' כלכלית</v>
          </cell>
          <cell r="G1871" t="str">
            <v>קשיח</v>
          </cell>
          <cell r="H1871">
            <v>1.9629629629629628</v>
          </cell>
          <cell r="I1871">
            <v>156000</v>
          </cell>
          <cell r="J1871">
            <v>52650</v>
          </cell>
          <cell r="K1871">
            <v>59000</v>
          </cell>
          <cell r="L1871">
            <v>58500</v>
          </cell>
          <cell r="M1871">
            <v>58500</v>
          </cell>
        </row>
        <row r="1872">
          <cell r="A1872">
            <v>1741000781</v>
          </cell>
          <cell r="B1872">
            <v>781</v>
          </cell>
          <cell r="C1872">
            <v>741000</v>
          </cell>
          <cell r="D1872">
            <v>1</v>
          </cell>
          <cell r="F1872" t="str">
            <v>פעולות סמנכ"ל</v>
          </cell>
          <cell r="G1872" t="str">
            <v>גמיש</v>
          </cell>
          <cell r="H1872">
            <v>0.22222222222222232</v>
          </cell>
          <cell r="I1872">
            <v>22000</v>
          </cell>
          <cell r="J1872">
            <v>18000</v>
          </cell>
          <cell r="K1872">
            <v>4516.1400000000003</v>
          </cell>
          <cell r="L1872">
            <v>20000</v>
          </cell>
          <cell r="M1872">
            <v>17931.05</v>
          </cell>
        </row>
        <row r="1873">
          <cell r="A1873">
            <v>1741000931</v>
          </cell>
          <cell r="B1873">
            <v>931</v>
          </cell>
          <cell r="C1873">
            <v>741000</v>
          </cell>
          <cell r="D1873">
            <v>1</v>
          </cell>
          <cell r="F1873" t="str">
            <v>עבודות בטיחות</v>
          </cell>
          <cell r="G1873" t="str">
            <v>גמיש</v>
          </cell>
          <cell r="H1873">
            <v>-1</v>
          </cell>
          <cell r="I1873">
            <v>0</v>
          </cell>
          <cell r="J1873">
            <v>54720</v>
          </cell>
          <cell r="K1873">
            <v>0</v>
          </cell>
          <cell r="L1873">
            <v>60800</v>
          </cell>
          <cell r="M1873">
            <v>0</v>
          </cell>
        </row>
        <row r="1874">
          <cell r="A1874" t="e">
            <v>#VALUE!</v>
          </cell>
          <cell r="B1874" t="str">
            <v>741000  סך הכל</v>
          </cell>
          <cell r="F1874" t="str">
            <v>מינהל נכס'ציבוריים</v>
          </cell>
          <cell r="H1874">
            <v>0.30607951685958734</v>
          </cell>
          <cell r="I1874">
            <v>2595180</v>
          </cell>
          <cell r="J1874">
            <v>1987000</v>
          </cell>
          <cell r="K1874">
            <v>1250101.3899999997</v>
          </cell>
          <cell r="L1874">
            <v>1877400</v>
          </cell>
          <cell r="M1874">
            <v>2405800.9400000004</v>
          </cell>
        </row>
        <row r="1875">
          <cell r="A1875">
            <v>17411000</v>
          </cell>
          <cell r="B1875">
            <v>0</v>
          </cell>
          <cell r="C1875">
            <v>741100</v>
          </cell>
          <cell r="D1875">
            <v>1</v>
          </cell>
          <cell r="F1875" t="str">
            <v>אגף התשתיות</v>
          </cell>
          <cell r="G1875" t="str">
            <v xml:space="preserve"> </v>
          </cell>
        </row>
        <row r="1876">
          <cell r="A1876">
            <v>1741100110</v>
          </cell>
          <cell r="B1876">
            <v>110</v>
          </cell>
          <cell r="C1876">
            <v>741100</v>
          </cell>
          <cell r="D1876">
            <v>1</v>
          </cell>
          <cell r="F1876" t="str">
            <v>השכר הקובע-תקציבית</v>
          </cell>
          <cell r="G1876" t="str">
            <v>שכר</v>
          </cell>
          <cell r="H1876">
            <v>2.5018896447467798E-2</v>
          </cell>
          <cell r="I1876">
            <v>271220</v>
          </cell>
          <cell r="J1876">
            <v>264600</v>
          </cell>
          <cell r="K1876">
            <v>163588.21</v>
          </cell>
          <cell r="L1876">
            <v>259400</v>
          </cell>
          <cell r="M1876">
            <v>270061.3</v>
          </cell>
        </row>
        <row r="1877">
          <cell r="A1877">
            <v>1741100119</v>
          </cell>
          <cell r="B1877">
            <v>119</v>
          </cell>
          <cell r="C1877">
            <v>741100</v>
          </cell>
          <cell r="D1877">
            <v>1</v>
          </cell>
          <cell r="F1877" t="str">
            <v xml:space="preserve">השכר הקובע-צוברת  </v>
          </cell>
          <cell r="G1877" t="str">
            <v>שכר</v>
          </cell>
          <cell r="H1877">
            <v>0.15154720826963675</v>
          </cell>
          <cell r="I1877">
            <v>1581880.4</v>
          </cell>
          <cell r="J1877">
            <v>1373700</v>
          </cell>
          <cell r="K1877">
            <v>622998.18999999994</v>
          </cell>
          <cell r="L1877">
            <v>1139700</v>
          </cell>
          <cell r="M1877">
            <v>1229255.03</v>
          </cell>
        </row>
        <row r="1878">
          <cell r="A1878">
            <v>1741100122</v>
          </cell>
          <cell r="B1878">
            <v>122</v>
          </cell>
          <cell r="C1878">
            <v>741100</v>
          </cell>
          <cell r="D1878">
            <v>1</v>
          </cell>
          <cell r="F1878" t="str">
            <v xml:space="preserve">ביגוד             </v>
          </cell>
          <cell r="G1878" t="str">
            <v>שכר</v>
          </cell>
          <cell r="H1878">
            <v>0</v>
          </cell>
          <cell r="I1878">
            <v>15000</v>
          </cell>
          <cell r="J1878">
            <v>15000</v>
          </cell>
          <cell r="K1878">
            <v>14808.78</v>
          </cell>
          <cell r="L1878">
            <v>13800</v>
          </cell>
          <cell r="M1878">
            <v>16403.93</v>
          </cell>
        </row>
        <row r="1879">
          <cell r="A1879">
            <v>1741100126</v>
          </cell>
          <cell r="B1879">
            <v>126</v>
          </cell>
          <cell r="C1879">
            <v>741100</v>
          </cell>
          <cell r="D1879">
            <v>1</v>
          </cell>
          <cell r="F1879" t="str">
            <v xml:space="preserve">דמי הבראה         </v>
          </cell>
          <cell r="G1879" t="str">
            <v>שכר</v>
          </cell>
          <cell r="H1879">
            <v>0</v>
          </cell>
          <cell r="I1879">
            <v>45000</v>
          </cell>
          <cell r="J1879">
            <v>45000</v>
          </cell>
          <cell r="K1879">
            <v>37305.18</v>
          </cell>
          <cell r="L1879">
            <v>39000</v>
          </cell>
          <cell r="M1879">
            <v>39923.06</v>
          </cell>
        </row>
        <row r="1880">
          <cell r="A1880">
            <v>1741100130</v>
          </cell>
          <cell r="B1880">
            <v>130</v>
          </cell>
          <cell r="C1880">
            <v>741100</v>
          </cell>
          <cell r="D1880">
            <v>1</v>
          </cell>
          <cell r="F1880" t="str">
            <v xml:space="preserve">שעות נוספות       </v>
          </cell>
          <cell r="G1880" t="str">
            <v>שכר</v>
          </cell>
          <cell r="H1880">
            <v>0</v>
          </cell>
          <cell r="I1880">
            <v>20730</v>
          </cell>
          <cell r="J1880">
            <v>20730</v>
          </cell>
          <cell r="K1880">
            <v>39305.4</v>
          </cell>
          <cell r="L1880">
            <v>24100</v>
          </cell>
          <cell r="M1880">
            <v>33882.92</v>
          </cell>
        </row>
        <row r="1881">
          <cell r="A1881">
            <v>1741100140</v>
          </cell>
          <cell r="B1881">
            <v>140</v>
          </cell>
          <cell r="C1881">
            <v>741100</v>
          </cell>
          <cell r="D1881">
            <v>1</v>
          </cell>
          <cell r="F1881" t="str">
            <v>השתתפות באחזקת רכב</v>
          </cell>
          <cell r="G1881" t="str">
            <v>שכר</v>
          </cell>
          <cell r="H1881">
            <v>0</v>
          </cell>
          <cell r="I1881">
            <v>148300</v>
          </cell>
          <cell r="J1881">
            <v>148300</v>
          </cell>
          <cell r="K1881">
            <v>61976.53</v>
          </cell>
          <cell r="L1881">
            <v>48300</v>
          </cell>
          <cell r="M1881">
            <v>108574.23</v>
          </cell>
        </row>
        <row r="1882">
          <cell r="A1882">
            <v>1741100253</v>
          </cell>
          <cell r="B1882">
            <v>253</v>
          </cell>
          <cell r="C1882">
            <v>741100</v>
          </cell>
          <cell r="D1882">
            <v>1</v>
          </cell>
          <cell r="F1882" t="str">
            <v xml:space="preserve">עובדים חיצוניים   </v>
          </cell>
          <cell r="G1882" t="str">
            <v>שכר</v>
          </cell>
          <cell r="I1882">
            <v>0</v>
          </cell>
          <cell r="J1882">
            <v>0</v>
          </cell>
          <cell r="K1882">
            <v>0</v>
          </cell>
          <cell r="L1882">
            <v>0</v>
          </cell>
          <cell r="M1882">
            <v>4028.79</v>
          </cell>
        </row>
        <row r="1883">
          <cell r="A1883">
            <v>1741100350</v>
          </cell>
          <cell r="B1883">
            <v>350</v>
          </cell>
          <cell r="C1883">
            <v>741100</v>
          </cell>
          <cell r="D1883">
            <v>1</v>
          </cell>
          <cell r="F1883" t="str">
            <v>ליסינג - 596-85-003</v>
          </cell>
          <cell r="G1883" t="str">
            <v>שכר</v>
          </cell>
          <cell r="H1883">
            <v>-1</v>
          </cell>
          <cell r="I1883">
            <v>0</v>
          </cell>
          <cell r="J1883">
            <v>47000</v>
          </cell>
          <cell r="K1883">
            <v>8663.4699999999993</v>
          </cell>
          <cell r="L1883">
            <v>47000</v>
          </cell>
          <cell r="M1883">
            <v>51294.45</v>
          </cell>
        </row>
        <row r="1884">
          <cell r="A1884">
            <v>1741100351</v>
          </cell>
          <cell r="B1884">
            <v>351</v>
          </cell>
          <cell r="C1884">
            <v>741100</v>
          </cell>
          <cell r="D1884">
            <v>1</v>
          </cell>
          <cell r="F1884" t="str">
            <v>הוצאות - 596-85-003</v>
          </cell>
          <cell r="G1884" t="str">
            <v>שכר</v>
          </cell>
          <cell r="H1884">
            <v>-1</v>
          </cell>
          <cell r="I1884">
            <v>0</v>
          </cell>
          <cell r="J1884">
            <v>10000</v>
          </cell>
          <cell r="K1884">
            <v>41.3</v>
          </cell>
          <cell r="L1884">
            <v>44100</v>
          </cell>
          <cell r="M1884">
            <v>862.97</v>
          </cell>
        </row>
        <row r="1885">
          <cell r="A1885">
            <v>1741100470</v>
          </cell>
          <cell r="B1885">
            <v>470</v>
          </cell>
          <cell r="C1885">
            <v>741100</v>
          </cell>
          <cell r="D1885">
            <v>1</v>
          </cell>
          <cell r="F1885" t="str">
            <v xml:space="preserve">אחזקת מכונות משרד </v>
          </cell>
          <cell r="G1885" t="str">
            <v>גמיש</v>
          </cell>
          <cell r="H1885">
            <v>-0.44444444444444442</v>
          </cell>
          <cell r="I1885">
            <v>1000</v>
          </cell>
          <cell r="J1885">
            <v>1800</v>
          </cell>
          <cell r="K1885">
            <v>625.88</v>
          </cell>
          <cell r="L1885">
            <v>2600</v>
          </cell>
          <cell r="M1885">
            <v>0</v>
          </cell>
        </row>
        <row r="1886">
          <cell r="A1886">
            <v>1741100471</v>
          </cell>
          <cell r="B1886">
            <v>471</v>
          </cell>
          <cell r="C1886">
            <v>741100</v>
          </cell>
          <cell r="D1886">
            <v>1</v>
          </cell>
          <cell r="F1886" t="str">
            <v xml:space="preserve">מכשירי כתיבה      </v>
          </cell>
          <cell r="G1886" t="str">
            <v>גמיש</v>
          </cell>
          <cell r="H1886">
            <v>0.17647058823529416</v>
          </cell>
          <cell r="I1886">
            <v>18000</v>
          </cell>
          <cell r="J1886">
            <v>15300</v>
          </cell>
          <cell r="K1886">
            <v>10301.530000000001</v>
          </cell>
          <cell r="L1886">
            <v>16300</v>
          </cell>
          <cell r="M1886">
            <v>15566.03</v>
          </cell>
        </row>
        <row r="1887">
          <cell r="A1887">
            <v>1741100511</v>
          </cell>
          <cell r="B1887">
            <v>511</v>
          </cell>
          <cell r="C1887">
            <v>741100</v>
          </cell>
          <cell r="D1887">
            <v>1</v>
          </cell>
          <cell r="F1887" t="str">
            <v xml:space="preserve">אירוח וכיבוד      </v>
          </cell>
          <cell r="G1887" t="str">
            <v>גמיש</v>
          </cell>
          <cell r="H1887">
            <v>0.79894179894179884</v>
          </cell>
          <cell r="I1887">
            <v>3400</v>
          </cell>
          <cell r="J1887">
            <v>1890</v>
          </cell>
          <cell r="K1887">
            <v>0</v>
          </cell>
          <cell r="L1887">
            <v>2100</v>
          </cell>
          <cell r="M1887">
            <v>1503.12</v>
          </cell>
        </row>
        <row r="1888">
          <cell r="A1888">
            <v>1741100512</v>
          </cell>
          <cell r="B1888">
            <v>512</v>
          </cell>
          <cell r="C1888">
            <v>741100</v>
          </cell>
          <cell r="D1888">
            <v>1</v>
          </cell>
          <cell r="F1888" t="str">
            <v xml:space="preserve">נסיעות ואש"ל      </v>
          </cell>
          <cell r="G1888" t="str">
            <v>גמיש</v>
          </cell>
          <cell r="H1888">
            <v>-1</v>
          </cell>
          <cell r="I1888">
            <v>0</v>
          </cell>
          <cell r="J1888">
            <v>360</v>
          </cell>
          <cell r="K1888">
            <v>0</v>
          </cell>
          <cell r="L1888">
            <v>500</v>
          </cell>
          <cell r="M1888">
            <v>0</v>
          </cell>
        </row>
        <row r="1889">
          <cell r="A1889">
            <v>1741100522</v>
          </cell>
          <cell r="B1889">
            <v>522</v>
          </cell>
          <cell r="C1889">
            <v>741100</v>
          </cell>
          <cell r="D1889">
            <v>1</v>
          </cell>
          <cell r="F1889" t="str">
            <v xml:space="preserve">ספרים ועיתונים    </v>
          </cell>
          <cell r="G1889" t="str">
            <v>גמיש</v>
          </cell>
          <cell r="H1889">
            <v>-1</v>
          </cell>
          <cell r="I1889">
            <v>0</v>
          </cell>
          <cell r="J1889">
            <v>180</v>
          </cell>
          <cell r="K1889">
            <v>0</v>
          </cell>
          <cell r="L1889">
            <v>200</v>
          </cell>
          <cell r="M1889">
            <v>0</v>
          </cell>
        </row>
        <row r="1890">
          <cell r="A1890">
            <v>1741100561</v>
          </cell>
          <cell r="B1890">
            <v>561</v>
          </cell>
          <cell r="C1890">
            <v>741100</v>
          </cell>
          <cell r="D1890">
            <v>1</v>
          </cell>
          <cell r="F1890" t="str">
            <v xml:space="preserve">שיכפולים          </v>
          </cell>
          <cell r="G1890" t="str">
            <v>גמיש</v>
          </cell>
          <cell r="H1890">
            <v>-1</v>
          </cell>
          <cell r="I1890">
            <v>0</v>
          </cell>
          <cell r="J1890">
            <v>900</v>
          </cell>
          <cell r="K1890">
            <v>0</v>
          </cell>
          <cell r="L1890">
            <v>1700</v>
          </cell>
          <cell r="M1890">
            <v>582.4</v>
          </cell>
        </row>
        <row r="1891">
          <cell r="A1891">
            <v>1741100562</v>
          </cell>
          <cell r="B1891">
            <v>562</v>
          </cell>
          <cell r="C1891">
            <v>741100</v>
          </cell>
          <cell r="D1891">
            <v>1</v>
          </cell>
          <cell r="F1891" t="str">
            <v xml:space="preserve">הדפסות            </v>
          </cell>
          <cell r="G1891" t="str">
            <v>גמיש</v>
          </cell>
          <cell r="H1891">
            <v>1.5925925925925926</v>
          </cell>
          <cell r="I1891">
            <v>700</v>
          </cell>
          <cell r="J1891">
            <v>270</v>
          </cell>
          <cell r="K1891">
            <v>0</v>
          </cell>
          <cell r="L1891">
            <v>300</v>
          </cell>
          <cell r="M1891">
            <v>0</v>
          </cell>
        </row>
        <row r="1892">
          <cell r="A1892" t="e">
            <v>#VALUE!</v>
          </cell>
          <cell r="B1892" t="str">
            <v>741100  סך הכל</v>
          </cell>
          <cell r="F1892" t="str">
            <v>אגף התשתיות</v>
          </cell>
          <cell r="H1892">
            <v>8.2363973820455127E-2</v>
          </cell>
          <cell r="I1892">
            <v>2105230.4</v>
          </cell>
          <cell r="J1892">
            <v>1945030</v>
          </cell>
          <cell r="K1892">
            <v>959614.47000000009</v>
          </cell>
          <cell r="L1892">
            <v>1639100</v>
          </cell>
          <cell r="M1892">
            <v>1771938.23</v>
          </cell>
        </row>
        <row r="1893">
          <cell r="A1893">
            <v>17420000</v>
          </cell>
          <cell r="B1893">
            <v>0</v>
          </cell>
          <cell r="C1893">
            <v>742000</v>
          </cell>
          <cell r="D1893">
            <v>1</v>
          </cell>
          <cell r="F1893" t="str">
            <v>מערך דרכים</v>
          </cell>
          <cell r="G1893" t="str">
            <v xml:space="preserve"> </v>
          </cell>
        </row>
        <row r="1894">
          <cell r="A1894">
            <v>1742000110</v>
          </cell>
          <cell r="B1894">
            <v>110</v>
          </cell>
          <cell r="C1894">
            <v>742000</v>
          </cell>
          <cell r="D1894">
            <v>1</v>
          </cell>
          <cell r="F1894" t="str">
            <v>השכר הקובע-תקציבית</v>
          </cell>
          <cell r="G1894" t="str">
            <v>שכר</v>
          </cell>
          <cell r="H1894">
            <v>2.5013248542660182E-2</v>
          </cell>
          <cell r="I1894">
            <v>193419.99999999997</v>
          </cell>
          <cell r="J1894">
            <v>188700</v>
          </cell>
          <cell r="K1894">
            <v>131319.87</v>
          </cell>
          <cell r="L1894">
            <v>185000</v>
          </cell>
          <cell r="M1894">
            <v>211218.56</v>
          </cell>
        </row>
        <row r="1895">
          <cell r="A1895">
            <v>1742000119</v>
          </cell>
          <cell r="B1895">
            <v>119</v>
          </cell>
          <cell r="C1895">
            <v>742000</v>
          </cell>
          <cell r="D1895">
            <v>1</v>
          </cell>
          <cell r="F1895" t="str">
            <v xml:space="preserve">השכר הקובע-צוברת  </v>
          </cell>
          <cell r="G1895" t="str">
            <v>שכר</v>
          </cell>
          <cell r="H1895">
            <v>2.4998828984964083E-2</v>
          </cell>
          <cell r="I1895">
            <v>2188270</v>
          </cell>
          <cell r="J1895">
            <v>2134900</v>
          </cell>
          <cell r="K1895">
            <v>1625776.52</v>
          </cell>
          <cell r="L1895">
            <v>2093000</v>
          </cell>
          <cell r="M1895">
            <v>2771961.65</v>
          </cell>
        </row>
        <row r="1896">
          <cell r="A1896">
            <v>1742000122</v>
          </cell>
          <cell r="B1896">
            <v>122</v>
          </cell>
          <cell r="C1896">
            <v>742000</v>
          </cell>
          <cell r="D1896">
            <v>1</v>
          </cell>
          <cell r="F1896" t="str">
            <v xml:space="preserve">ביגוד             </v>
          </cell>
          <cell r="G1896" t="str">
            <v>שכר</v>
          </cell>
          <cell r="H1896">
            <v>0</v>
          </cell>
          <cell r="I1896">
            <v>26000</v>
          </cell>
          <cell r="J1896">
            <v>26000</v>
          </cell>
          <cell r="K1896">
            <v>31080.6</v>
          </cell>
          <cell r="L1896">
            <v>20800</v>
          </cell>
          <cell r="M1896">
            <v>25225.71</v>
          </cell>
        </row>
        <row r="1897">
          <cell r="A1897">
            <v>1742000126</v>
          </cell>
          <cell r="B1897">
            <v>126</v>
          </cell>
          <cell r="C1897">
            <v>742000</v>
          </cell>
          <cell r="D1897">
            <v>1</v>
          </cell>
          <cell r="F1897" t="str">
            <v xml:space="preserve">דמי הבראה         </v>
          </cell>
          <cell r="G1897" t="str">
            <v>שכר</v>
          </cell>
          <cell r="H1897">
            <v>0</v>
          </cell>
          <cell r="I1897">
            <v>65000</v>
          </cell>
          <cell r="J1897">
            <v>65000</v>
          </cell>
          <cell r="K1897">
            <v>79187.45</v>
          </cell>
          <cell r="L1897">
            <v>45400</v>
          </cell>
          <cell r="M1897">
            <v>63527.93</v>
          </cell>
        </row>
        <row r="1898">
          <cell r="A1898">
            <v>1742000130</v>
          </cell>
          <cell r="B1898">
            <v>130</v>
          </cell>
          <cell r="C1898">
            <v>742000</v>
          </cell>
          <cell r="D1898">
            <v>1</v>
          </cell>
          <cell r="F1898" t="str">
            <v xml:space="preserve">שעות נוספות       </v>
          </cell>
          <cell r="G1898" t="str">
            <v>שכר</v>
          </cell>
          <cell r="H1898">
            <v>0</v>
          </cell>
          <cell r="I1898">
            <v>84020</v>
          </cell>
          <cell r="J1898">
            <v>84020</v>
          </cell>
          <cell r="K1898">
            <v>58301.86</v>
          </cell>
          <cell r="L1898">
            <v>97700</v>
          </cell>
          <cell r="M1898">
            <v>73619</v>
          </cell>
        </row>
        <row r="1899">
          <cell r="A1899">
            <v>1742000140</v>
          </cell>
          <cell r="B1899">
            <v>140</v>
          </cell>
          <cell r="C1899">
            <v>742000</v>
          </cell>
          <cell r="D1899">
            <v>1</v>
          </cell>
          <cell r="F1899" t="str">
            <v>השתתפות באחזקת רכב</v>
          </cell>
          <cell r="G1899" t="str">
            <v>שכר</v>
          </cell>
          <cell r="H1899">
            <v>0</v>
          </cell>
          <cell r="I1899">
            <v>306000</v>
          </cell>
          <cell r="J1899">
            <v>306000</v>
          </cell>
          <cell r="K1899">
            <v>187029.75</v>
          </cell>
          <cell r="L1899">
            <v>206000</v>
          </cell>
          <cell r="M1899">
            <v>382474.43</v>
          </cell>
        </row>
        <row r="1900">
          <cell r="A1900">
            <v>1742000511</v>
          </cell>
          <cell r="B1900">
            <v>511</v>
          </cell>
          <cell r="C1900">
            <v>742000</v>
          </cell>
          <cell r="D1900">
            <v>1</v>
          </cell>
          <cell r="F1900" t="str">
            <v xml:space="preserve">אירוח וכיבוד      </v>
          </cell>
          <cell r="G1900" t="str">
            <v>גמיש</v>
          </cell>
          <cell r="H1900">
            <v>-1.2484394506866447E-3</v>
          </cell>
          <cell r="I1900">
            <v>8000</v>
          </cell>
          <cell r="J1900">
            <v>8010</v>
          </cell>
          <cell r="K1900">
            <v>2328.13</v>
          </cell>
          <cell r="L1900">
            <v>8800</v>
          </cell>
          <cell r="M1900">
            <v>7333.53</v>
          </cell>
        </row>
        <row r="1901">
          <cell r="A1901">
            <v>1742000544</v>
          </cell>
          <cell r="B1901">
            <v>544</v>
          </cell>
          <cell r="C1901">
            <v>742000</v>
          </cell>
          <cell r="D1901">
            <v>1</v>
          </cell>
          <cell r="F1901" t="str">
            <v xml:space="preserve">הוצאות דאר        </v>
          </cell>
          <cell r="G1901" t="str">
            <v>קשיח</v>
          </cell>
          <cell r="H1901">
            <v>0</v>
          </cell>
          <cell r="I1901">
            <v>900</v>
          </cell>
          <cell r="J1901">
            <v>900</v>
          </cell>
          <cell r="K1901">
            <v>0</v>
          </cell>
          <cell r="L1901">
            <v>900</v>
          </cell>
          <cell r="M1901">
            <v>0</v>
          </cell>
        </row>
        <row r="1902">
          <cell r="A1902">
            <v>1742000571</v>
          </cell>
          <cell r="B1902">
            <v>571</v>
          </cell>
          <cell r="C1902">
            <v>742000</v>
          </cell>
          <cell r="D1902">
            <v>1</v>
          </cell>
          <cell r="F1902" t="str">
            <v xml:space="preserve">מיכון וענ"א       </v>
          </cell>
          <cell r="G1902" t="str">
            <v>קשיח</v>
          </cell>
          <cell r="H1902">
            <v>0</v>
          </cell>
          <cell r="I1902">
            <v>36900</v>
          </cell>
          <cell r="J1902">
            <v>36900</v>
          </cell>
          <cell r="K1902">
            <v>18450</v>
          </cell>
          <cell r="L1902">
            <v>31600</v>
          </cell>
          <cell r="M1902">
            <v>31600</v>
          </cell>
        </row>
        <row r="1903">
          <cell r="A1903">
            <v>1742000580</v>
          </cell>
          <cell r="B1903">
            <v>580</v>
          </cell>
          <cell r="C1903">
            <v>742000</v>
          </cell>
          <cell r="D1903">
            <v>1</v>
          </cell>
          <cell r="F1903" t="str">
            <v>יעוץ לטופס 4+5</v>
          </cell>
          <cell r="G1903" t="str">
            <v>גמיש</v>
          </cell>
          <cell r="H1903">
            <v>0.55555555555555558</v>
          </cell>
          <cell r="I1903">
            <v>91000</v>
          </cell>
          <cell r="J1903">
            <v>58500</v>
          </cell>
          <cell r="K1903">
            <v>16992</v>
          </cell>
          <cell r="L1903">
            <v>77000</v>
          </cell>
          <cell r="M1903">
            <v>45770.400000000001</v>
          </cell>
        </row>
        <row r="1904">
          <cell r="A1904">
            <v>1742000581</v>
          </cell>
          <cell r="B1904">
            <v>581</v>
          </cell>
          <cell r="C1904">
            <v>742000</v>
          </cell>
          <cell r="D1904">
            <v>1</v>
          </cell>
          <cell r="F1904" t="str">
            <v>יעוץ ושרות למחלקת דרכים</v>
          </cell>
          <cell r="G1904" t="str">
            <v>גמיש</v>
          </cell>
          <cell r="H1904">
            <v>-1</v>
          </cell>
          <cell r="I1904">
            <v>0</v>
          </cell>
          <cell r="J1904">
            <v>227700</v>
          </cell>
          <cell r="K1904">
            <v>0</v>
          </cell>
          <cell r="L1904">
            <v>253000</v>
          </cell>
          <cell r="M1904">
            <v>0</v>
          </cell>
        </row>
        <row r="1905">
          <cell r="A1905">
            <v>1742000582</v>
          </cell>
          <cell r="B1905">
            <v>582</v>
          </cell>
          <cell r="C1905">
            <v>742000</v>
          </cell>
          <cell r="D1905">
            <v>1</v>
          </cell>
          <cell r="F1905" t="str">
            <v>אחזקת סככות אוטובוס</v>
          </cell>
          <cell r="G1905" t="str">
            <v>גמיש</v>
          </cell>
          <cell r="H1905">
            <v>-3.157894736842104E-2</v>
          </cell>
          <cell r="I1905">
            <v>230000</v>
          </cell>
          <cell r="J1905">
            <v>237500</v>
          </cell>
          <cell r="K1905">
            <v>52859.5</v>
          </cell>
          <cell r="L1905">
            <v>237500</v>
          </cell>
          <cell r="M1905">
            <v>198020.8</v>
          </cell>
        </row>
        <row r="1906">
          <cell r="A1906">
            <v>1742000583</v>
          </cell>
          <cell r="B1906">
            <v>583</v>
          </cell>
          <cell r="C1906">
            <v>742000</v>
          </cell>
          <cell r="D1906">
            <v>1</v>
          </cell>
          <cell r="F1906" t="str">
            <v>אחזקה מונעת סככות מהיר לעיר</v>
          </cell>
          <cell r="G1906" t="str">
            <v>גמיש</v>
          </cell>
          <cell r="H1906">
            <v>0</v>
          </cell>
          <cell r="I1906">
            <v>855000</v>
          </cell>
          <cell r="J1906">
            <v>855000</v>
          </cell>
          <cell r="K1906">
            <v>0</v>
          </cell>
          <cell r="L1906">
            <v>950000</v>
          </cell>
          <cell r="M1906">
            <v>0</v>
          </cell>
        </row>
        <row r="1907">
          <cell r="A1907">
            <v>1742000584</v>
          </cell>
          <cell r="B1907">
            <v>584</v>
          </cell>
          <cell r="C1907">
            <v>742000</v>
          </cell>
          <cell r="D1907">
            <v>1</v>
          </cell>
          <cell r="F1907" t="str">
            <v>ייעוץ לממ"ש</v>
          </cell>
          <cell r="G1907" t="str">
            <v>קשיח</v>
          </cell>
          <cell r="H1907">
            <v>-1</v>
          </cell>
          <cell r="I1907">
            <v>0</v>
          </cell>
          <cell r="J1907">
            <v>208620</v>
          </cell>
          <cell r="K1907">
            <v>73897.5</v>
          </cell>
          <cell r="L1907">
            <v>231800</v>
          </cell>
          <cell r="M1907">
            <v>104827.5</v>
          </cell>
        </row>
        <row r="1908">
          <cell r="A1908">
            <v>1742000585</v>
          </cell>
          <cell r="B1908">
            <v>585</v>
          </cell>
          <cell r="C1908">
            <v>742000</v>
          </cell>
          <cell r="D1908">
            <v>1</v>
          </cell>
          <cell r="F1908" t="str">
            <v>פיקוח על סככות אוטובוס</v>
          </cell>
          <cell r="G1908" t="str">
            <v>גמיש</v>
          </cell>
          <cell r="H1908">
            <v>-1</v>
          </cell>
          <cell r="I1908">
            <v>0</v>
          </cell>
          <cell r="J1908">
            <v>66150</v>
          </cell>
          <cell r="K1908">
            <v>0</v>
          </cell>
          <cell r="L1908">
            <v>73500</v>
          </cell>
          <cell r="M1908">
            <v>0</v>
          </cell>
        </row>
        <row r="1909">
          <cell r="A1909">
            <v>1742000596</v>
          </cell>
          <cell r="B1909">
            <v>596</v>
          </cell>
          <cell r="C1909">
            <v>742000</v>
          </cell>
          <cell r="D1909">
            <v>1</v>
          </cell>
          <cell r="F1909" t="str">
            <v xml:space="preserve">השתתפות בעזר 096  </v>
          </cell>
          <cell r="G1909" t="str">
            <v>קשיח</v>
          </cell>
          <cell r="H1909">
            <v>7.0814365199797669E-2</v>
          </cell>
          <cell r="I1909">
            <v>211700</v>
          </cell>
          <cell r="J1909">
            <v>197700</v>
          </cell>
          <cell r="K1909">
            <v>80325</v>
          </cell>
          <cell r="L1909">
            <v>177700</v>
          </cell>
          <cell r="M1909">
            <v>166095</v>
          </cell>
        </row>
        <row r="1910">
          <cell r="A1910">
            <v>1742000722</v>
          </cell>
          <cell r="B1910">
            <v>722</v>
          </cell>
          <cell r="C1910">
            <v>742000</v>
          </cell>
          <cell r="D1910">
            <v>1</v>
          </cell>
          <cell r="F1910" t="str">
            <v>חמרים-תחזוקה עצמית</v>
          </cell>
          <cell r="G1910" t="str">
            <v>גמיש</v>
          </cell>
          <cell r="H1910">
            <v>0.1371020142949968</v>
          </cell>
          <cell r="I1910">
            <v>105000</v>
          </cell>
          <cell r="J1910">
            <v>92340</v>
          </cell>
          <cell r="K1910">
            <v>14751</v>
          </cell>
          <cell r="L1910">
            <v>102600</v>
          </cell>
          <cell r="M1910">
            <v>101833.3</v>
          </cell>
        </row>
        <row r="1911">
          <cell r="A1911">
            <v>1742000737</v>
          </cell>
          <cell r="B1911">
            <v>737</v>
          </cell>
          <cell r="C1911">
            <v>742000</v>
          </cell>
          <cell r="D1911">
            <v>1</v>
          </cell>
          <cell r="F1911" t="str">
            <v>שכירות רכב לימים גשומים</v>
          </cell>
          <cell r="G1911" t="str">
            <v>גמיש</v>
          </cell>
          <cell r="H1911">
            <v>0</v>
          </cell>
          <cell r="I1911">
            <v>15000</v>
          </cell>
          <cell r="J1911">
            <v>15000</v>
          </cell>
          <cell r="K1911">
            <v>0</v>
          </cell>
          <cell r="L1911">
            <v>15000</v>
          </cell>
          <cell r="M1911">
            <v>0</v>
          </cell>
        </row>
        <row r="1912">
          <cell r="A1912">
            <v>1742000742</v>
          </cell>
          <cell r="B1912">
            <v>742</v>
          </cell>
          <cell r="C1912">
            <v>742000</v>
          </cell>
          <cell r="D1912">
            <v>1</v>
          </cell>
          <cell r="F1912" t="str">
            <v xml:space="preserve">כלים וציוד        </v>
          </cell>
          <cell r="G1912" t="str">
            <v>גמיש</v>
          </cell>
          <cell r="H1912">
            <v>1.0101010101010166E-2</v>
          </cell>
          <cell r="I1912">
            <v>13000</v>
          </cell>
          <cell r="J1912">
            <v>12870</v>
          </cell>
          <cell r="K1912">
            <v>3527.72</v>
          </cell>
          <cell r="L1912">
            <v>12900</v>
          </cell>
          <cell r="M1912">
            <v>14638.6</v>
          </cell>
        </row>
        <row r="1913">
          <cell r="A1913">
            <v>1742000745</v>
          </cell>
          <cell r="B1913">
            <v>745</v>
          </cell>
          <cell r="C1913">
            <v>742000</v>
          </cell>
          <cell r="D1913">
            <v>1</v>
          </cell>
          <cell r="F1913" t="str">
            <v xml:space="preserve">מבצעי חורף        </v>
          </cell>
          <cell r="G1913" t="str">
            <v>גמיש</v>
          </cell>
          <cell r="H1913">
            <v>-5.9205190592051871E-2</v>
          </cell>
          <cell r="I1913">
            <v>11600</v>
          </cell>
          <cell r="J1913">
            <v>12330</v>
          </cell>
          <cell r="K1913">
            <v>7080</v>
          </cell>
          <cell r="L1913">
            <v>13700</v>
          </cell>
          <cell r="M1913">
            <v>6805</v>
          </cell>
        </row>
        <row r="1914">
          <cell r="A1914">
            <v>1742000754</v>
          </cell>
          <cell r="B1914">
            <v>754</v>
          </cell>
          <cell r="C1914">
            <v>742000</v>
          </cell>
          <cell r="D1914">
            <v>1</v>
          </cell>
          <cell r="F1914" t="str">
            <v xml:space="preserve">עבודות קבלניות    </v>
          </cell>
          <cell r="G1914" t="str">
            <v>גמיש</v>
          </cell>
          <cell r="H1914">
            <v>0</v>
          </cell>
          <cell r="I1914">
            <v>720000</v>
          </cell>
          <cell r="J1914">
            <v>720000</v>
          </cell>
          <cell r="K1914">
            <v>27505</v>
          </cell>
          <cell r="L1914">
            <v>684000</v>
          </cell>
          <cell r="M1914">
            <v>683999.3</v>
          </cell>
        </row>
        <row r="1915">
          <cell r="A1915">
            <v>1742000759</v>
          </cell>
          <cell r="B1915">
            <v>759</v>
          </cell>
          <cell r="C1915">
            <v>742000</v>
          </cell>
          <cell r="D1915">
            <v>1</v>
          </cell>
          <cell r="F1915" t="str">
            <v>עבודת קבלני טרקטור</v>
          </cell>
          <cell r="G1915" t="str">
            <v>גמיש</v>
          </cell>
          <cell r="H1915">
            <v>1.2145748987854255E-2</v>
          </cell>
          <cell r="I1915">
            <v>90000</v>
          </cell>
          <cell r="J1915">
            <v>88920</v>
          </cell>
          <cell r="K1915">
            <v>58136</v>
          </cell>
          <cell r="L1915">
            <v>88900</v>
          </cell>
          <cell r="M1915">
            <v>44709</v>
          </cell>
        </row>
        <row r="1916">
          <cell r="A1916">
            <v>1742000794</v>
          </cell>
          <cell r="B1916">
            <v>794</v>
          </cell>
          <cell r="C1916">
            <v>742000</v>
          </cell>
          <cell r="D1916">
            <v>1</v>
          </cell>
          <cell r="F1916" t="str">
            <v xml:space="preserve">השתתפות בעזר 094  </v>
          </cell>
          <cell r="G1916" t="str">
            <v>קשיח</v>
          </cell>
          <cell r="H1916">
            <v>0</v>
          </cell>
          <cell r="I1916">
            <v>89500</v>
          </cell>
          <cell r="J1916">
            <v>89500</v>
          </cell>
          <cell r="K1916">
            <v>42281</v>
          </cell>
          <cell r="L1916">
            <v>47900</v>
          </cell>
          <cell r="M1916">
            <v>57131</v>
          </cell>
        </row>
        <row r="1917">
          <cell r="A1917">
            <v>1742000931</v>
          </cell>
          <cell r="B1917">
            <v>931</v>
          </cell>
          <cell r="C1917">
            <v>742000</v>
          </cell>
          <cell r="D1917">
            <v>1</v>
          </cell>
          <cell r="F1917" t="str">
            <v xml:space="preserve">הוצאות חד פעמיות  </v>
          </cell>
          <cell r="G1917" t="str">
            <v>גמיש</v>
          </cell>
          <cell r="H1917">
            <v>-0.18300653594771243</v>
          </cell>
          <cell r="I1917">
            <v>5000</v>
          </cell>
          <cell r="J1917">
            <v>6120</v>
          </cell>
          <cell r="K1917">
            <v>623</v>
          </cell>
          <cell r="L1917">
            <v>6800</v>
          </cell>
          <cell r="M1917">
            <v>1006</v>
          </cell>
        </row>
        <row r="1918">
          <cell r="A1918">
            <v>1742000960</v>
          </cell>
          <cell r="B1918">
            <v>960</v>
          </cell>
          <cell r="C1918">
            <v>742000</v>
          </cell>
          <cell r="D1918">
            <v>1</v>
          </cell>
          <cell r="F1918" t="str">
            <v>רזרבה-תחזוקה כללית</v>
          </cell>
          <cell r="G1918" t="str">
            <v>גמיש</v>
          </cell>
          <cell r="H1918">
            <v>0</v>
          </cell>
          <cell r="I1918">
            <v>189000</v>
          </cell>
          <cell r="J1918">
            <v>189000</v>
          </cell>
          <cell r="K1918">
            <v>19641</v>
          </cell>
          <cell r="L1918">
            <v>172700</v>
          </cell>
          <cell r="M1918">
            <v>171397.21</v>
          </cell>
        </row>
        <row r="1919">
          <cell r="A1919" t="e">
            <v>#VALUE!</v>
          </cell>
          <cell r="B1919" t="str">
            <v>742000  סך הכל</v>
          </cell>
          <cell r="F1919" t="str">
            <v>מערך דרכים</v>
          </cell>
          <cell r="H1919">
            <v>-6.6361544482833046E-2</v>
          </cell>
          <cell r="I1919">
            <v>5534310</v>
          </cell>
          <cell r="J1919">
            <v>5927680</v>
          </cell>
          <cell r="K1919">
            <v>2531092.9000000004</v>
          </cell>
          <cell r="L1919">
            <v>5834200</v>
          </cell>
          <cell r="M1919">
            <v>5163193.919999999</v>
          </cell>
        </row>
        <row r="1920">
          <cell r="A1920">
            <v>17430000</v>
          </cell>
          <cell r="B1920">
            <v>0</v>
          </cell>
          <cell r="C1920">
            <v>743000</v>
          </cell>
          <cell r="D1920">
            <v>1</v>
          </cell>
          <cell r="F1920" t="str">
            <v>מחלקת מאור</v>
          </cell>
          <cell r="G1920" t="str">
            <v xml:space="preserve"> </v>
          </cell>
        </row>
        <row r="1921">
          <cell r="A1921">
            <v>1743000110</v>
          </cell>
          <cell r="B1921">
            <v>110</v>
          </cell>
          <cell r="C1921">
            <v>743000</v>
          </cell>
          <cell r="D1921">
            <v>1</v>
          </cell>
          <cell r="F1921" t="str">
            <v>השכר הקובע-תקציבית</v>
          </cell>
          <cell r="G1921" t="str">
            <v>שכר</v>
          </cell>
          <cell r="H1921">
            <v>2.4999999999999911E-2</v>
          </cell>
          <cell r="I1921">
            <v>318160</v>
          </cell>
          <cell r="J1921">
            <v>310400</v>
          </cell>
          <cell r="K1921">
            <v>205498.9</v>
          </cell>
          <cell r="L1921">
            <v>304300</v>
          </cell>
          <cell r="M1921">
            <v>318954.62</v>
          </cell>
        </row>
        <row r="1922">
          <cell r="A1922">
            <v>1743000119</v>
          </cell>
          <cell r="B1922">
            <v>119</v>
          </cell>
          <cell r="C1922">
            <v>743000</v>
          </cell>
          <cell r="D1922">
            <v>1</v>
          </cell>
          <cell r="F1922" t="str">
            <v xml:space="preserve">השכר הקובע-צוברת  </v>
          </cell>
          <cell r="G1922" t="str">
            <v>שכר</v>
          </cell>
          <cell r="H1922">
            <v>2.4995539696699431E-2</v>
          </cell>
          <cell r="I1922">
            <v>574510</v>
          </cell>
          <cell r="J1922">
            <v>560500</v>
          </cell>
          <cell r="K1922">
            <v>654885.02</v>
          </cell>
          <cell r="L1922">
            <v>647500</v>
          </cell>
          <cell r="M1922">
            <v>1067512.77</v>
          </cell>
        </row>
        <row r="1923">
          <cell r="A1923">
            <v>1743000122</v>
          </cell>
          <cell r="B1923">
            <v>122</v>
          </cell>
          <cell r="C1923">
            <v>743000</v>
          </cell>
          <cell r="D1923">
            <v>1</v>
          </cell>
          <cell r="F1923" t="str">
            <v xml:space="preserve">ביגוד             </v>
          </cell>
          <cell r="G1923" t="str">
            <v>שכר</v>
          </cell>
          <cell r="H1923">
            <v>0</v>
          </cell>
          <cell r="I1923">
            <v>15000</v>
          </cell>
          <cell r="J1923">
            <v>15000</v>
          </cell>
          <cell r="K1923">
            <v>13640.3</v>
          </cell>
          <cell r="L1923">
            <v>9500</v>
          </cell>
          <cell r="M1923">
            <v>13996.79</v>
          </cell>
        </row>
        <row r="1924">
          <cell r="A1924">
            <v>1743000126</v>
          </cell>
          <cell r="B1924">
            <v>126</v>
          </cell>
          <cell r="C1924">
            <v>743000</v>
          </cell>
          <cell r="D1924">
            <v>1</v>
          </cell>
          <cell r="F1924" t="str">
            <v xml:space="preserve">דמי הבראה         </v>
          </cell>
          <cell r="G1924" t="str">
            <v>שכר</v>
          </cell>
          <cell r="H1924">
            <v>0</v>
          </cell>
          <cell r="I1924">
            <v>43000</v>
          </cell>
          <cell r="J1924">
            <v>43000</v>
          </cell>
          <cell r="K1924">
            <v>40027.769999999997</v>
          </cell>
          <cell r="L1924">
            <v>42400</v>
          </cell>
          <cell r="M1924">
            <v>42700.99</v>
          </cell>
        </row>
        <row r="1925">
          <cell r="A1925">
            <v>1743000130</v>
          </cell>
          <cell r="B1925">
            <v>130</v>
          </cell>
          <cell r="C1925">
            <v>743000</v>
          </cell>
          <cell r="D1925">
            <v>1</v>
          </cell>
          <cell r="F1925" t="str">
            <v xml:space="preserve">שעות נוספות       </v>
          </cell>
          <cell r="G1925" t="str">
            <v>שכר</v>
          </cell>
          <cell r="H1925">
            <v>0</v>
          </cell>
          <cell r="I1925">
            <v>119280</v>
          </cell>
          <cell r="J1925">
            <v>119280</v>
          </cell>
          <cell r="K1925">
            <v>114659.05</v>
          </cell>
          <cell r="L1925">
            <v>138700</v>
          </cell>
          <cell r="M1925">
            <v>142132.04999999999</v>
          </cell>
        </row>
        <row r="1926">
          <cell r="A1926">
            <v>1743000140</v>
          </cell>
          <cell r="B1926">
            <v>140</v>
          </cell>
          <cell r="C1926">
            <v>743000</v>
          </cell>
          <cell r="D1926">
            <v>1</v>
          </cell>
          <cell r="F1926" t="str">
            <v>השתתפות באחזקת רכב</v>
          </cell>
          <cell r="G1926" t="str">
            <v>שכר</v>
          </cell>
          <cell r="H1926">
            <v>0</v>
          </cell>
          <cell r="I1926">
            <v>158000</v>
          </cell>
          <cell r="J1926">
            <v>158000</v>
          </cell>
          <cell r="K1926">
            <v>85751.47</v>
          </cell>
          <cell r="L1926">
            <v>158000</v>
          </cell>
          <cell r="M1926">
            <v>157840.43</v>
          </cell>
        </row>
        <row r="1927">
          <cell r="A1927">
            <v>1743000431</v>
          </cell>
          <cell r="B1927">
            <v>431</v>
          </cell>
          <cell r="C1927">
            <v>743000</v>
          </cell>
          <cell r="D1927">
            <v>1</v>
          </cell>
          <cell r="F1927" t="str">
            <v xml:space="preserve">חשמל              </v>
          </cell>
          <cell r="G1927" t="str">
            <v>קשיח</v>
          </cell>
          <cell r="H1927">
            <v>-0.18811881188118806</v>
          </cell>
          <cell r="I1927">
            <v>4100000</v>
          </cell>
          <cell r="J1927">
            <v>5050000</v>
          </cell>
          <cell r="K1927">
            <v>2321988.2999999998</v>
          </cell>
          <cell r="L1927">
            <v>4800000</v>
          </cell>
          <cell r="M1927">
            <v>3891173.4</v>
          </cell>
        </row>
        <row r="1928">
          <cell r="A1928">
            <v>1743000511</v>
          </cell>
          <cell r="B1928">
            <v>511</v>
          </cell>
          <cell r="C1928">
            <v>743000</v>
          </cell>
          <cell r="D1928">
            <v>1</v>
          </cell>
          <cell r="F1928" t="str">
            <v xml:space="preserve">אירוח וכיבוד      </v>
          </cell>
          <cell r="G1928" t="str">
            <v>גמיש</v>
          </cell>
          <cell r="H1928">
            <v>0</v>
          </cell>
          <cell r="I1928">
            <v>6000</v>
          </cell>
          <cell r="J1928">
            <v>6000</v>
          </cell>
          <cell r="K1928">
            <v>1949.89</v>
          </cell>
          <cell r="L1928">
            <v>5900</v>
          </cell>
          <cell r="M1928">
            <v>5357.35</v>
          </cell>
        </row>
        <row r="1929">
          <cell r="A1929">
            <v>1743000596</v>
          </cell>
          <cell r="B1929">
            <v>596</v>
          </cell>
          <cell r="C1929">
            <v>743000</v>
          </cell>
          <cell r="D1929">
            <v>1</v>
          </cell>
          <cell r="F1929" t="str">
            <v xml:space="preserve">השתתפות בעזר 096  </v>
          </cell>
          <cell r="G1929" t="str">
            <v>קשיח</v>
          </cell>
          <cell r="H1929">
            <v>1.5128593040847127E-2</v>
          </cell>
          <cell r="I1929">
            <v>671000</v>
          </cell>
          <cell r="J1929">
            <v>661000</v>
          </cell>
          <cell r="K1929">
            <v>268563</v>
          </cell>
          <cell r="L1929">
            <v>648800</v>
          </cell>
          <cell r="M1929">
            <v>606430</v>
          </cell>
        </row>
        <row r="1930">
          <cell r="A1930">
            <v>1743000722</v>
          </cell>
          <cell r="B1930">
            <v>722</v>
          </cell>
          <cell r="C1930">
            <v>743000</v>
          </cell>
          <cell r="D1930">
            <v>1</v>
          </cell>
          <cell r="F1930" t="str">
            <v xml:space="preserve">פנסים ומנורות     </v>
          </cell>
          <cell r="G1930" t="str">
            <v>גמיש</v>
          </cell>
          <cell r="I1930">
            <v>0</v>
          </cell>
          <cell r="J1930">
            <v>0</v>
          </cell>
          <cell r="K1930">
            <v>0</v>
          </cell>
          <cell r="L1930">
            <v>384800</v>
          </cell>
          <cell r="M1930">
            <v>384800</v>
          </cell>
        </row>
        <row r="1931">
          <cell r="A1931">
            <v>1743000742</v>
          </cell>
          <cell r="B1931">
            <v>742</v>
          </cell>
          <cell r="C1931">
            <v>743000</v>
          </cell>
          <cell r="D1931">
            <v>1</v>
          </cell>
          <cell r="F1931" t="str">
            <v xml:space="preserve">כלים וציוד        </v>
          </cell>
          <cell r="G1931" t="str">
            <v>גמיש</v>
          </cell>
          <cell r="H1931">
            <v>0</v>
          </cell>
          <cell r="I1931">
            <v>18000</v>
          </cell>
          <cell r="J1931">
            <v>18000</v>
          </cell>
          <cell r="K1931">
            <v>2526</v>
          </cell>
          <cell r="L1931">
            <v>17100</v>
          </cell>
          <cell r="M1931">
            <v>16052.51</v>
          </cell>
        </row>
        <row r="1932">
          <cell r="A1932">
            <v>1743000745</v>
          </cell>
          <cell r="B1932">
            <v>745</v>
          </cell>
          <cell r="C1932">
            <v>743000</v>
          </cell>
          <cell r="D1932">
            <v>1</v>
          </cell>
          <cell r="F1932" t="str">
            <v xml:space="preserve">תיקון נזקים       </v>
          </cell>
          <cell r="G1932" t="str">
            <v>גמיש</v>
          </cell>
          <cell r="I1932">
            <v>0</v>
          </cell>
          <cell r="J1932">
            <v>0</v>
          </cell>
          <cell r="K1932">
            <v>0</v>
          </cell>
          <cell r="L1932">
            <v>130000</v>
          </cell>
          <cell r="M1932">
            <v>130000</v>
          </cell>
        </row>
        <row r="1933">
          <cell r="A1933">
            <v>1743000754</v>
          </cell>
          <cell r="B1933">
            <v>754</v>
          </cell>
          <cell r="C1933">
            <v>743000</v>
          </cell>
          <cell r="D1933">
            <v>1</v>
          </cell>
          <cell r="F1933" t="str">
            <v xml:space="preserve">עבודות תאורה      </v>
          </cell>
          <cell r="G1933" t="str">
            <v>גמיש</v>
          </cell>
          <cell r="I1933">
            <v>0</v>
          </cell>
          <cell r="J1933">
            <v>0</v>
          </cell>
          <cell r="K1933">
            <v>0</v>
          </cell>
          <cell r="L1933">
            <v>171000</v>
          </cell>
          <cell r="M1933">
            <v>171000</v>
          </cell>
        </row>
        <row r="1934">
          <cell r="A1934">
            <v>1743000759</v>
          </cell>
          <cell r="B1934">
            <v>759</v>
          </cell>
          <cell r="C1934">
            <v>743000</v>
          </cell>
          <cell r="D1934">
            <v>1</v>
          </cell>
          <cell r="F1934" t="str">
            <v>תחזוקה - תשלום קבוע</v>
          </cell>
          <cell r="G1934" t="str">
            <v>קשיח</v>
          </cell>
          <cell r="H1934">
            <v>4.2402826855123754E-2</v>
          </cell>
          <cell r="I1934">
            <v>1180000</v>
          </cell>
          <cell r="J1934">
            <v>1132000</v>
          </cell>
          <cell r="K1934">
            <v>567768.76</v>
          </cell>
          <cell r="L1934">
            <v>430000</v>
          </cell>
          <cell r="M1934">
            <v>617611</v>
          </cell>
        </row>
        <row r="1935">
          <cell r="A1935">
            <v>1743000794</v>
          </cell>
          <cell r="B1935">
            <v>794</v>
          </cell>
          <cell r="C1935">
            <v>743000</v>
          </cell>
          <cell r="D1935">
            <v>1</v>
          </cell>
          <cell r="F1935" t="str">
            <v xml:space="preserve">השתתפות בעזר 094  </v>
          </cell>
          <cell r="G1935" t="str">
            <v>קשיח</v>
          </cell>
          <cell r="H1935">
            <v>0</v>
          </cell>
          <cell r="I1935">
            <v>79200</v>
          </cell>
          <cell r="J1935">
            <v>79200</v>
          </cell>
          <cell r="K1935">
            <v>37415</v>
          </cell>
          <cell r="L1935">
            <v>79200</v>
          </cell>
          <cell r="M1935">
            <v>94463</v>
          </cell>
        </row>
        <row r="1936">
          <cell r="A1936" t="e">
            <v>#VALUE!</v>
          </cell>
          <cell r="B1936" t="str">
            <v>743000  סך הכל</v>
          </cell>
          <cell r="F1936" t="str">
            <v>מחלקת מאור</v>
          </cell>
          <cell r="H1936">
            <v>-0.10674551480671901</v>
          </cell>
          <cell r="I1936">
            <v>7282150</v>
          </cell>
          <cell r="J1936">
            <v>8152380</v>
          </cell>
          <cell r="K1936">
            <v>4314673.46</v>
          </cell>
          <cell r="L1936">
            <v>7967200</v>
          </cell>
          <cell r="M1936">
            <v>7660024.9099999992</v>
          </cell>
        </row>
        <row r="1937">
          <cell r="A1937">
            <v>17440000</v>
          </cell>
          <cell r="B1937">
            <v>0</v>
          </cell>
          <cell r="C1937">
            <v>744000</v>
          </cell>
          <cell r="D1937">
            <v>1</v>
          </cell>
          <cell r="F1937" t="str">
            <v xml:space="preserve">בטיחות בדרכים     </v>
          </cell>
          <cell r="G1937" t="str">
            <v xml:space="preserve"> </v>
          </cell>
        </row>
        <row r="1938">
          <cell r="A1938">
            <v>1744000119</v>
          </cell>
          <cell r="B1938">
            <v>119</v>
          </cell>
          <cell r="C1938">
            <v>744000</v>
          </cell>
          <cell r="D1938">
            <v>1</v>
          </cell>
          <cell r="F1938" t="str">
            <v>השכר הקובע-צוברת</v>
          </cell>
          <cell r="G1938" t="str">
            <v>שכר</v>
          </cell>
          <cell r="H1938">
            <v>0.10247841931338342</v>
          </cell>
          <cell r="I1938">
            <v>600519.995</v>
          </cell>
          <cell r="J1938">
            <v>544700</v>
          </cell>
          <cell r="K1938">
            <v>252721.64</v>
          </cell>
          <cell r="L1938">
            <v>534000</v>
          </cell>
          <cell r="M1938">
            <v>380748.82</v>
          </cell>
        </row>
        <row r="1939">
          <cell r="A1939">
            <v>1744000122</v>
          </cell>
          <cell r="B1939">
            <v>122</v>
          </cell>
          <cell r="C1939">
            <v>744000</v>
          </cell>
          <cell r="D1939">
            <v>1</v>
          </cell>
          <cell r="F1939" t="str">
            <v>ביגוד</v>
          </cell>
          <cell r="G1939" t="str">
            <v>שכר</v>
          </cell>
          <cell r="H1939">
            <v>5.5999555555555469E-2</v>
          </cell>
          <cell r="I1939">
            <v>5279.9977777777776</v>
          </cell>
          <cell r="J1939">
            <v>5000</v>
          </cell>
          <cell r="K1939">
            <v>4958</v>
          </cell>
          <cell r="L1939">
            <v>3600</v>
          </cell>
          <cell r="M1939">
            <v>4810</v>
          </cell>
        </row>
        <row r="1940">
          <cell r="A1940">
            <v>1744000126</v>
          </cell>
          <cell r="B1940">
            <v>126</v>
          </cell>
          <cell r="C1940">
            <v>744000</v>
          </cell>
          <cell r="D1940">
            <v>1</v>
          </cell>
          <cell r="F1940" t="str">
            <v>דמי הבראה</v>
          </cell>
          <cell r="G1940" t="str">
            <v>שכר</v>
          </cell>
          <cell r="H1940">
            <v>5.520035555555558E-2</v>
          </cell>
          <cell r="I1940">
            <v>13190.004444444445</v>
          </cell>
          <cell r="J1940">
            <v>12500</v>
          </cell>
          <cell r="K1940">
            <v>11785</v>
          </cell>
          <cell r="L1940">
            <v>15000</v>
          </cell>
          <cell r="M1940">
            <v>11785</v>
          </cell>
        </row>
        <row r="1941">
          <cell r="A1941">
            <v>1744000130</v>
          </cell>
          <cell r="B1941">
            <v>130</v>
          </cell>
          <cell r="C1941">
            <v>744000</v>
          </cell>
          <cell r="D1941">
            <v>1</v>
          </cell>
          <cell r="F1941" t="str">
            <v>שעות נוספות</v>
          </cell>
          <cell r="G1941" t="str">
            <v>שכר</v>
          </cell>
          <cell r="H1941">
            <v>13.023255813953488</v>
          </cell>
          <cell r="I1941">
            <v>60300</v>
          </cell>
          <cell r="J1941">
            <v>4300</v>
          </cell>
          <cell r="K1941">
            <v>28517.66</v>
          </cell>
          <cell r="L1941">
            <v>5000</v>
          </cell>
          <cell r="M1941">
            <v>23189.73</v>
          </cell>
        </row>
        <row r="1942">
          <cell r="A1942">
            <v>1744000140</v>
          </cell>
          <cell r="B1942">
            <v>140</v>
          </cell>
          <cell r="C1942">
            <v>744000</v>
          </cell>
          <cell r="D1942">
            <v>1</v>
          </cell>
          <cell r="F1942" t="str">
            <v>השתתפות באחזקת רכב</v>
          </cell>
          <cell r="G1942" t="str">
            <v>שכר</v>
          </cell>
          <cell r="H1942">
            <v>0</v>
          </cell>
          <cell r="I1942">
            <v>42500</v>
          </cell>
          <cell r="J1942">
            <v>42500</v>
          </cell>
          <cell r="K1942">
            <v>27483.96</v>
          </cell>
          <cell r="L1942">
            <v>42500</v>
          </cell>
          <cell r="M1942">
            <v>45825.35</v>
          </cell>
        </row>
        <row r="1943">
          <cell r="A1943">
            <v>1744000431</v>
          </cell>
          <cell r="B1943">
            <v>431</v>
          </cell>
          <cell r="C1943">
            <v>744000</v>
          </cell>
          <cell r="D1943">
            <v>1</v>
          </cell>
          <cell r="F1943" t="str">
            <v xml:space="preserve">חשמל              </v>
          </cell>
          <cell r="G1943" t="str">
            <v>קשיח</v>
          </cell>
          <cell r="H1943">
            <v>-9.9009900990099098E-3</v>
          </cell>
          <cell r="I1943">
            <v>350000</v>
          </cell>
          <cell r="J1943">
            <v>353500</v>
          </cell>
          <cell r="K1943">
            <v>170924.02</v>
          </cell>
          <cell r="L1943">
            <v>350000</v>
          </cell>
          <cell r="M1943">
            <v>322097.99</v>
          </cell>
        </row>
        <row r="1944">
          <cell r="A1944">
            <v>1744000571</v>
          </cell>
          <cell r="B1944">
            <v>571</v>
          </cell>
          <cell r="C1944">
            <v>744000</v>
          </cell>
          <cell r="D1944">
            <v>1</v>
          </cell>
          <cell r="F1944" t="str">
            <v xml:space="preserve">מיכון וענ"א       </v>
          </cell>
          <cell r="G1944" t="str">
            <v>קשיח</v>
          </cell>
          <cell r="H1944">
            <v>0</v>
          </cell>
          <cell r="I1944">
            <v>80400</v>
          </cell>
          <cell r="J1944">
            <v>80400</v>
          </cell>
          <cell r="K1944">
            <v>40200</v>
          </cell>
          <cell r="L1944">
            <v>63100</v>
          </cell>
          <cell r="M1944">
            <v>63100</v>
          </cell>
        </row>
        <row r="1945">
          <cell r="A1945">
            <v>1744000581</v>
          </cell>
          <cell r="B1945">
            <v>581</v>
          </cell>
          <cell r="C1945">
            <v>744000</v>
          </cell>
          <cell r="D1945">
            <v>1</v>
          </cell>
          <cell r="F1945" t="str">
            <v>הסדרי תנועה זמניים</v>
          </cell>
          <cell r="G1945" t="str">
            <v>גמיש</v>
          </cell>
          <cell r="I1945">
            <v>0</v>
          </cell>
          <cell r="J1945">
            <v>0</v>
          </cell>
          <cell r="K1945">
            <v>0</v>
          </cell>
          <cell r="L1945">
            <v>141300</v>
          </cell>
          <cell r="M1945">
            <v>0</v>
          </cell>
        </row>
        <row r="1946">
          <cell r="A1946">
            <v>1744000722</v>
          </cell>
          <cell r="B1946">
            <v>722</v>
          </cell>
          <cell r="C1946">
            <v>744000</v>
          </cell>
          <cell r="D1946">
            <v>1</v>
          </cell>
          <cell r="F1946" t="str">
            <v>חמרים-תחזוקה עצמית</v>
          </cell>
          <cell r="G1946" t="str">
            <v>גמיש</v>
          </cell>
          <cell r="H1946">
            <v>-9.7538083892859673E-2</v>
          </cell>
          <cell r="I1946">
            <v>125000</v>
          </cell>
          <cell r="J1946">
            <v>138510</v>
          </cell>
          <cell r="K1946">
            <v>11646.3</v>
          </cell>
          <cell r="L1946">
            <v>153900</v>
          </cell>
          <cell r="M1946">
            <v>12870.4</v>
          </cell>
        </row>
        <row r="1947">
          <cell r="A1947">
            <v>1744000742</v>
          </cell>
          <cell r="B1947">
            <v>742</v>
          </cell>
          <cell r="C1947">
            <v>744000</v>
          </cell>
          <cell r="D1947">
            <v>1</v>
          </cell>
          <cell r="F1947" t="str">
            <v xml:space="preserve">כלים וציוד        </v>
          </cell>
          <cell r="G1947" t="str">
            <v>גמיש</v>
          </cell>
          <cell r="H1947">
            <v>-1.9607843137254943E-2</v>
          </cell>
          <cell r="I1947">
            <v>6000</v>
          </cell>
          <cell r="J1947">
            <v>6120</v>
          </cell>
          <cell r="K1947">
            <v>0</v>
          </cell>
          <cell r="L1947">
            <v>6800</v>
          </cell>
          <cell r="M1947">
            <v>6673.39</v>
          </cell>
        </row>
        <row r="1948">
          <cell r="A1948">
            <v>1744000754</v>
          </cell>
          <cell r="B1948">
            <v>754</v>
          </cell>
          <cell r="C1948">
            <v>744000</v>
          </cell>
          <cell r="D1948">
            <v>1</v>
          </cell>
          <cell r="F1948" t="str">
            <v xml:space="preserve">עב' בטיחות בדרכים </v>
          </cell>
          <cell r="G1948" t="str">
            <v>גמיש</v>
          </cell>
          <cell r="H1948">
            <v>-1</v>
          </cell>
          <cell r="I1948">
            <v>0</v>
          </cell>
          <cell r="J1948">
            <v>1554660</v>
          </cell>
          <cell r="K1948">
            <v>540154.09</v>
          </cell>
          <cell r="L1948">
            <v>1440000</v>
          </cell>
          <cell r="M1948">
            <v>1592701.79</v>
          </cell>
        </row>
        <row r="1949">
          <cell r="A1949">
            <v>1744000784</v>
          </cell>
          <cell r="B1949">
            <v>784</v>
          </cell>
          <cell r="C1949">
            <v>744000</v>
          </cell>
          <cell r="D1949">
            <v>1</v>
          </cell>
          <cell r="F1949" t="str">
            <v>תמרור תחנות אוטוב'</v>
          </cell>
          <cell r="G1949" t="str">
            <v>גמיש</v>
          </cell>
          <cell r="I1949">
            <v>0</v>
          </cell>
          <cell r="J1949">
            <v>0</v>
          </cell>
          <cell r="K1949">
            <v>0</v>
          </cell>
          <cell r="L1949">
            <v>27400</v>
          </cell>
          <cell r="M1949">
            <v>0</v>
          </cell>
        </row>
        <row r="1950">
          <cell r="A1950">
            <v>1744000794</v>
          </cell>
          <cell r="B1950">
            <v>794</v>
          </cell>
          <cell r="C1950">
            <v>744000</v>
          </cell>
          <cell r="D1950">
            <v>1</v>
          </cell>
          <cell r="F1950" t="str">
            <v xml:space="preserve">השתתפות בעזר 094  </v>
          </cell>
          <cell r="G1950" t="str">
            <v>קשיח</v>
          </cell>
          <cell r="H1950">
            <v>0</v>
          </cell>
          <cell r="I1950">
            <v>71500</v>
          </cell>
          <cell r="J1950">
            <v>71500</v>
          </cell>
          <cell r="K1950">
            <v>33778</v>
          </cell>
          <cell r="L1950">
            <v>71500</v>
          </cell>
          <cell r="M1950">
            <v>85279</v>
          </cell>
        </row>
        <row r="1951">
          <cell r="A1951" t="e">
            <v>#VALUE!</v>
          </cell>
          <cell r="B1951" t="str">
            <v>744000  סך הכל</v>
          </cell>
          <cell r="F1951" t="str">
            <v xml:space="preserve">בטיחות בדרכים     </v>
          </cell>
          <cell r="H1951">
            <v>-0.51853615813319087</v>
          </cell>
          <cell r="I1951">
            <v>1354689.9972222222</v>
          </cell>
          <cell r="J1951">
            <v>2813690</v>
          </cell>
          <cell r="K1951">
            <v>1122168.67</v>
          </cell>
          <cell r="L1951">
            <v>2854100</v>
          </cell>
          <cell r="M1951">
            <v>2549081.4699999997</v>
          </cell>
        </row>
        <row r="1952">
          <cell r="A1952">
            <v>17450000</v>
          </cell>
          <cell r="B1952">
            <v>0</v>
          </cell>
          <cell r="C1952">
            <v>745000</v>
          </cell>
          <cell r="D1952">
            <v>1</v>
          </cell>
          <cell r="F1952" t="str">
            <v xml:space="preserve">תיעול ונקוז       </v>
          </cell>
          <cell r="G1952" t="str">
            <v xml:space="preserve"> </v>
          </cell>
        </row>
        <row r="1953">
          <cell r="A1953">
            <v>1745000119</v>
          </cell>
          <cell r="B1953">
            <v>119</v>
          </cell>
          <cell r="C1953">
            <v>745000</v>
          </cell>
          <cell r="D1953">
            <v>1</v>
          </cell>
          <cell r="F1953" t="str">
            <v>השכר הקובע-צוברת</v>
          </cell>
          <cell r="G1953" t="str">
            <v>שכר</v>
          </cell>
          <cell r="H1953">
            <v>2.5004640801930655E-2</v>
          </cell>
          <cell r="I1953">
            <v>552170</v>
          </cell>
          <cell r="J1953">
            <v>538700</v>
          </cell>
          <cell r="K1953">
            <v>90165.06</v>
          </cell>
          <cell r="L1953">
            <v>528100</v>
          </cell>
          <cell r="M1953">
            <v>349013.68</v>
          </cell>
        </row>
        <row r="1954">
          <cell r="A1954">
            <v>1745000122</v>
          </cell>
          <cell r="B1954">
            <v>122</v>
          </cell>
          <cell r="C1954">
            <v>745000</v>
          </cell>
          <cell r="D1954">
            <v>1</v>
          </cell>
          <cell r="F1954" t="str">
            <v>ביגוד</v>
          </cell>
          <cell r="G1954" t="str">
            <v>שכר</v>
          </cell>
          <cell r="H1954">
            <v>0</v>
          </cell>
          <cell r="I1954">
            <v>2800</v>
          </cell>
          <cell r="J1954">
            <v>2800</v>
          </cell>
          <cell r="K1954">
            <v>0</v>
          </cell>
          <cell r="L1954">
            <v>2800</v>
          </cell>
          <cell r="M1954">
            <v>2405</v>
          </cell>
        </row>
        <row r="1955">
          <cell r="A1955">
            <v>1745000126</v>
          </cell>
          <cell r="B1955">
            <v>126</v>
          </cell>
          <cell r="C1955">
            <v>745000</v>
          </cell>
          <cell r="D1955">
            <v>1</v>
          </cell>
          <cell r="F1955" t="str">
            <v>דמי הבראה</v>
          </cell>
          <cell r="G1955" t="str">
            <v>שכר</v>
          </cell>
          <cell r="H1955">
            <v>0</v>
          </cell>
          <cell r="I1955">
            <v>6500</v>
          </cell>
          <cell r="J1955">
            <v>6500</v>
          </cell>
          <cell r="K1955">
            <v>0</v>
          </cell>
          <cell r="L1955">
            <v>8000</v>
          </cell>
          <cell r="M1955">
            <v>6128.2</v>
          </cell>
        </row>
        <row r="1956">
          <cell r="A1956">
            <v>1745000140</v>
          </cell>
          <cell r="B1956">
            <v>140</v>
          </cell>
          <cell r="C1956">
            <v>745000</v>
          </cell>
          <cell r="D1956">
            <v>1</v>
          </cell>
          <cell r="F1956" t="str">
            <v>השתתפות באחזקת רכב</v>
          </cell>
          <cell r="G1956" t="str">
            <v>שכר</v>
          </cell>
          <cell r="H1956">
            <v>0</v>
          </cell>
          <cell r="I1956">
            <v>51600</v>
          </cell>
          <cell r="J1956">
            <v>51600</v>
          </cell>
          <cell r="K1956">
            <v>0</v>
          </cell>
          <cell r="L1956">
            <v>51600</v>
          </cell>
          <cell r="M1956">
            <v>0</v>
          </cell>
        </row>
        <row r="1957">
          <cell r="A1957">
            <v>1745000431</v>
          </cell>
          <cell r="B1957">
            <v>431</v>
          </cell>
          <cell r="C1957">
            <v>745000</v>
          </cell>
          <cell r="D1957">
            <v>1</v>
          </cell>
          <cell r="F1957" t="str">
            <v xml:space="preserve">חשמל              </v>
          </cell>
          <cell r="G1957" t="str">
            <v>קשיח</v>
          </cell>
          <cell r="H1957">
            <v>-0.25</v>
          </cell>
          <cell r="I1957">
            <v>15000</v>
          </cell>
          <cell r="J1957">
            <v>20000</v>
          </cell>
          <cell r="K1957">
            <v>4419.84</v>
          </cell>
          <cell r="L1957">
            <v>19800</v>
          </cell>
          <cell r="M1957">
            <v>14910.64</v>
          </cell>
        </row>
        <row r="1958">
          <cell r="A1958">
            <v>1745000580</v>
          </cell>
          <cell r="B1958">
            <v>580</v>
          </cell>
          <cell r="C1958">
            <v>745000</v>
          </cell>
          <cell r="D1958">
            <v>1</v>
          </cell>
          <cell r="F1958" t="str">
            <v>אחזקת תחנות מטאורולוגיות</v>
          </cell>
          <cell r="G1958" t="str">
            <v>קשיח</v>
          </cell>
          <cell r="H1958">
            <v>0.11583924349881802</v>
          </cell>
          <cell r="I1958">
            <v>4720</v>
          </cell>
          <cell r="J1958">
            <v>4230</v>
          </cell>
          <cell r="K1958">
            <v>4230</v>
          </cell>
          <cell r="L1958">
            <v>4200</v>
          </cell>
          <cell r="M1958">
            <v>4680</v>
          </cell>
        </row>
        <row r="1959">
          <cell r="A1959">
            <v>1745000581</v>
          </cell>
          <cell r="B1959">
            <v>581</v>
          </cell>
          <cell r="C1959">
            <v>745000</v>
          </cell>
          <cell r="D1959">
            <v>1</v>
          </cell>
          <cell r="F1959" t="str">
            <v>תחז' תחנת שאיבה אילת 36</v>
          </cell>
          <cell r="G1959" t="str">
            <v>גמיש</v>
          </cell>
          <cell r="H1959">
            <v>1.0451127819548871</v>
          </cell>
          <cell r="I1959">
            <v>122400</v>
          </cell>
          <cell r="J1959">
            <v>59850</v>
          </cell>
          <cell r="K1959">
            <v>24806.5</v>
          </cell>
          <cell r="L1959">
            <v>59900</v>
          </cell>
          <cell r="M1959">
            <v>57112.7</v>
          </cell>
        </row>
        <row r="1960">
          <cell r="A1960">
            <v>1745000582</v>
          </cell>
          <cell r="B1960">
            <v>582</v>
          </cell>
          <cell r="C1960">
            <v>745000</v>
          </cell>
          <cell r="D1960">
            <v>1</v>
          </cell>
          <cell r="F1960" t="str">
            <v>אחזקת בקרת ניקוז</v>
          </cell>
          <cell r="G1960" t="str">
            <v>קשיח</v>
          </cell>
          <cell r="H1960">
            <v>-0.11499999999999999</v>
          </cell>
          <cell r="I1960">
            <v>35400</v>
          </cell>
          <cell r="J1960">
            <v>40000</v>
          </cell>
          <cell r="K1960">
            <v>1246</v>
          </cell>
          <cell r="L1960">
            <v>33900</v>
          </cell>
          <cell r="M1960">
            <v>37767.660000000003</v>
          </cell>
        </row>
        <row r="1961">
          <cell r="A1961">
            <v>1745000583</v>
          </cell>
          <cell r="B1961">
            <v>583</v>
          </cell>
          <cell r="C1961">
            <v>745000</v>
          </cell>
          <cell r="D1961">
            <v>1</v>
          </cell>
          <cell r="F1961" t="str">
            <v>אחזקת מאגר מים מכון טכנולוגי</v>
          </cell>
          <cell r="G1961" t="str">
            <v>קשיח</v>
          </cell>
          <cell r="H1961">
            <v>2.0408163265306145E-2</v>
          </cell>
          <cell r="I1961">
            <v>120000</v>
          </cell>
          <cell r="J1961">
            <v>117600</v>
          </cell>
          <cell r="K1961">
            <v>0</v>
          </cell>
          <cell r="L1961">
            <v>112000</v>
          </cell>
          <cell r="M1961">
            <v>111647.14</v>
          </cell>
        </row>
        <row r="1962">
          <cell r="A1962">
            <v>1745000584</v>
          </cell>
          <cell r="B1962">
            <v>584</v>
          </cell>
          <cell r="C1962">
            <v>745000</v>
          </cell>
          <cell r="D1962">
            <v>1</v>
          </cell>
          <cell r="F1962" t="str">
            <v>ייעוץ לממ"ש</v>
          </cell>
          <cell r="G1962" t="str">
            <v>גמיש</v>
          </cell>
          <cell r="I1962">
            <v>150000</v>
          </cell>
          <cell r="J1962">
            <v>0</v>
          </cell>
          <cell r="K1962">
            <v>0</v>
          </cell>
          <cell r="L1962">
            <v>0</v>
          </cell>
          <cell r="M1962">
            <v>0</v>
          </cell>
        </row>
        <row r="1963">
          <cell r="A1963">
            <v>1745000722</v>
          </cell>
          <cell r="B1963">
            <v>722</v>
          </cell>
          <cell r="C1963">
            <v>745000</v>
          </cell>
          <cell r="D1963">
            <v>1</v>
          </cell>
          <cell r="F1963" t="str">
            <v>חמרים-תחזוקה עצמית</v>
          </cell>
          <cell r="G1963" t="str">
            <v>גמיש</v>
          </cell>
          <cell r="H1963">
            <v>0</v>
          </cell>
          <cell r="I1963">
            <v>6120</v>
          </cell>
          <cell r="J1963">
            <v>6120</v>
          </cell>
          <cell r="K1963">
            <v>0</v>
          </cell>
          <cell r="L1963">
            <v>6840</v>
          </cell>
          <cell r="M1963">
            <v>3083.39</v>
          </cell>
        </row>
        <row r="1964">
          <cell r="A1964">
            <v>1745000742</v>
          </cell>
          <cell r="B1964">
            <v>742</v>
          </cell>
          <cell r="C1964">
            <v>745000</v>
          </cell>
          <cell r="D1964">
            <v>1</v>
          </cell>
          <cell r="F1964" t="str">
            <v xml:space="preserve">כלים וציוד        </v>
          </cell>
          <cell r="G1964" t="str">
            <v>גמיש</v>
          </cell>
          <cell r="H1964">
            <v>-1</v>
          </cell>
          <cell r="I1964">
            <v>0</v>
          </cell>
          <cell r="J1964">
            <v>6120</v>
          </cell>
          <cell r="K1964">
            <v>0</v>
          </cell>
          <cell r="L1964">
            <v>6840</v>
          </cell>
          <cell r="M1964">
            <v>6738.8</v>
          </cell>
        </row>
        <row r="1965">
          <cell r="A1965">
            <v>1745000754</v>
          </cell>
          <cell r="B1965">
            <v>754</v>
          </cell>
          <cell r="C1965">
            <v>745000</v>
          </cell>
          <cell r="D1965">
            <v>1</v>
          </cell>
          <cell r="F1965" t="str">
            <v xml:space="preserve">עבודות קבלניות    </v>
          </cell>
          <cell r="G1965" t="str">
            <v>גמיש</v>
          </cell>
          <cell r="I1965">
            <v>0</v>
          </cell>
          <cell r="J1965">
            <v>0</v>
          </cell>
          <cell r="K1965">
            <v>0</v>
          </cell>
          <cell r="L1965">
            <v>522000</v>
          </cell>
          <cell r="M1965">
            <v>561226.67000000004</v>
          </cell>
        </row>
        <row r="1966">
          <cell r="A1966">
            <v>1745000757</v>
          </cell>
          <cell r="B1966">
            <v>757</v>
          </cell>
          <cell r="C1966">
            <v>745000</v>
          </cell>
          <cell r="D1966">
            <v>1</v>
          </cell>
          <cell r="F1966" t="str">
            <v>הערכות לחורף</v>
          </cell>
          <cell r="G1966" t="str">
            <v>גמיש</v>
          </cell>
          <cell r="H1966">
            <v>0</v>
          </cell>
          <cell r="I1966">
            <v>332100</v>
          </cell>
          <cell r="J1966">
            <v>332100</v>
          </cell>
          <cell r="K1966">
            <v>490</v>
          </cell>
          <cell r="L1966">
            <v>332100</v>
          </cell>
          <cell r="M1966">
            <v>331933.07</v>
          </cell>
        </row>
        <row r="1967">
          <cell r="A1967">
            <v>1745000758</v>
          </cell>
          <cell r="B1967">
            <v>758</v>
          </cell>
          <cell r="C1967">
            <v>745000</v>
          </cell>
          <cell r="D1967">
            <v>1</v>
          </cell>
          <cell r="F1967" t="str">
            <v xml:space="preserve">אחזקת תעלות       </v>
          </cell>
          <cell r="G1967" t="str">
            <v>גמיש</v>
          </cell>
          <cell r="H1967">
            <v>0</v>
          </cell>
          <cell r="I1967">
            <v>85500</v>
          </cell>
          <cell r="J1967">
            <v>85500</v>
          </cell>
          <cell r="K1967">
            <v>38388</v>
          </cell>
          <cell r="L1967">
            <v>85500</v>
          </cell>
          <cell r="M1967">
            <v>16742</v>
          </cell>
        </row>
        <row r="1968">
          <cell r="A1968">
            <v>1745000759</v>
          </cell>
          <cell r="B1968">
            <v>759</v>
          </cell>
          <cell r="C1968">
            <v>745000</v>
          </cell>
          <cell r="D1968">
            <v>1</v>
          </cell>
          <cell r="F1968" t="str">
            <v>ניקוי מובלים</v>
          </cell>
          <cell r="G1968" t="str">
            <v>גמיש</v>
          </cell>
          <cell r="H1968">
            <v>0.12060778727445398</v>
          </cell>
          <cell r="I1968">
            <v>118000</v>
          </cell>
          <cell r="J1968">
            <v>105300</v>
          </cell>
          <cell r="K1968">
            <v>0</v>
          </cell>
          <cell r="L1968">
            <v>117000</v>
          </cell>
          <cell r="M1968">
            <v>617</v>
          </cell>
        </row>
        <row r="1969">
          <cell r="A1969">
            <v>1745000761</v>
          </cell>
          <cell r="B1969">
            <v>761</v>
          </cell>
          <cell r="C1969">
            <v>745000</v>
          </cell>
          <cell r="D1969">
            <v>1</v>
          </cell>
          <cell r="F1969" t="str">
            <v>אחזקה שוטפת חדר משאבות</v>
          </cell>
          <cell r="G1969" t="str">
            <v>גמיש</v>
          </cell>
          <cell r="H1969">
            <v>-1</v>
          </cell>
          <cell r="I1969">
            <v>0</v>
          </cell>
          <cell r="J1969">
            <v>90000</v>
          </cell>
          <cell r="K1969">
            <v>0</v>
          </cell>
          <cell r="L1969">
            <v>100000</v>
          </cell>
          <cell r="M1969">
            <v>0</v>
          </cell>
        </row>
        <row r="1970">
          <cell r="A1970">
            <v>1745000832</v>
          </cell>
          <cell r="B1970">
            <v>832</v>
          </cell>
          <cell r="C1970">
            <v>745000</v>
          </cell>
          <cell r="D1970">
            <v>1</v>
          </cell>
          <cell r="F1970" t="str">
            <v xml:space="preserve">רשות הניקוז-ירקון </v>
          </cell>
          <cell r="G1970" t="str">
            <v>קשיח</v>
          </cell>
          <cell r="H1970">
            <v>0.10438427250349269</v>
          </cell>
          <cell r="I1970">
            <v>1660000</v>
          </cell>
          <cell r="J1970">
            <v>1503100</v>
          </cell>
          <cell r="K1970">
            <v>747934</v>
          </cell>
          <cell r="L1970">
            <v>1366500</v>
          </cell>
          <cell r="M1970">
            <v>1366432</v>
          </cell>
        </row>
        <row r="1971">
          <cell r="A1971" t="e">
            <v>#VALUE!</v>
          </cell>
          <cell r="B1971" t="str">
            <v>745000  סך הכל</v>
          </cell>
          <cell r="F1971" t="str">
            <v xml:space="preserve">תיעול ונקוז       </v>
          </cell>
          <cell r="H1971">
            <v>9.8598426681753226E-2</v>
          </cell>
          <cell r="I1971">
            <v>3262310</v>
          </cell>
          <cell r="J1971">
            <v>2969520</v>
          </cell>
          <cell r="K1971">
            <v>911679.4</v>
          </cell>
          <cell r="L1971">
            <v>3357080</v>
          </cell>
          <cell r="M1971">
            <v>2870437.95</v>
          </cell>
        </row>
        <row r="1972">
          <cell r="A1972">
            <v>17460000</v>
          </cell>
          <cell r="B1972">
            <v>0</v>
          </cell>
          <cell r="C1972">
            <v>746000</v>
          </cell>
          <cell r="D1972">
            <v>1</v>
          </cell>
          <cell r="F1972" t="str">
            <v xml:space="preserve">גנים ונטיעות      </v>
          </cell>
          <cell r="G1972" t="str">
            <v xml:space="preserve"> </v>
          </cell>
        </row>
        <row r="1973">
          <cell r="A1973">
            <v>1746100110</v>
          </cell>
          <cell r="B1973">
            <v>110</v>
          </cell>
          <cell r="C1973">
            <v>746100</v>
          </cell>
          <cell r="D1973">
            <v>1</v>
          </cell>
          <cell r="F1973" t="str">
            <v>השכר הקובע-תקציבית</v>
          </cell>
          <cell r="G1973" t="str">
            <v>שכר</v>
          </cell>
          <cell r="H1973">
            <v>2.4997729130711299E-2</v>
          </cell>
          <cell r="I1973">
            <v>1128420</v>
          </cell>
          <cell r="J1973">
            <v>1100900</v>
          </cell>
          <cell r="K1973">
            <v>242763.62</v>
          </cell>
          <cell r="L1973">
            <v>1079300</v>
          </cell>
          <cell r="M1973">
            <v>926426</v>
          </cell>
        </row>
        <row r="1974">
          <cell r="A1974">
            <v>1746100119</v>
          </cell>
          <cell r="B1974">
            <v>119</v>
          </cell>
          <cell r="C1974">
            <v>746100</v>
          </cell>
          <cell r="D1974">
            <v>1</v>
          </cell>
          <cell r="F1974" t="str">
            <v xml:space="preserve">השכר הקובע-צוברת  </v>
          </cell>
          <cell r="G1974" t="str">
            <v>שכר</v>
          </cell>
          <cell r="H1974">
            <v>0.14547443373777136</v>
          </cell>
          <cell r="I1974">
            <v>3899080.4249999998</v>
          </cell>
          <cell r="J1974">
            <v>3403900</v>
          </cell>
          <cell r="K1974">
            <v>2055635.07</v>
          </cell>
          <cell r="L1974">
            <v>3229300</v>
          </cell>
          <cell r="M1974">
            <v>4221388.5999999996</v>
          </cell>
        </row>
        <row r="1975">
          <cell r="A1975">
            <v>1746100122</v>
          </cell>
          <cell r="B1975">
            <v>122</v>
          </cell>
          <cell r="C1975">
            <v>746100</v>
          </cell>
          <cell r="D1975">
            <v>1</v>
          </cell>
          <cell r="F1975" t="str">
            <v xml:space="preserve">ביגוד             </v>
          </cell>
          <cell r="G1975" t="str">
            <v>שכר</v>
          </cell>
          <cell r="H1975">
            <v>0.10859381924330203</v>
          </cell>
          <cell r="I1975">
            <v>70950.004431571331</v>
          </cell>
          <cell r="J1975">
            <v>64000</v>
          </cell>
          <cell r="K1975">
            <v>17822.990000000002</v>
          </cell>
          <cell r="L1975">
            <v>54000</v>
          </cell>
          <cell r="M1975">
            <v>64549.79</v>
          </cell>
        </row>
        <row r="1976">
          <cell r="A1976">
            <v>1746100126</v>
          </cell>
          <cell r="B1976">
            <v>126</v>
          </cell>
          <cell r="C1976">
            <v>746100</v>
          </cell>
          <cell r="D1976">
            <v>1</v>
          </cell>
          <cell r="F1976" t="str">
            <v xml:space="preserve">דמי הבראה         </v>
          </cell>
          <cell r="G1976" t="str">
            <v>שכר</v>
          </cell>
          <cell r="H1976">
            <v>0.10871796988432769</v>
          </cell>
          <cell r="I1976">
            <v>43240.00082548878</v>
          </cell>
          <cell r="J1976">
            <v>39000</v>
          </cell>
          <cell r="K1976">
            <v>0</v>
          </cell>
          <cell r="L1976">
            <v>58000</v>
          </cell>
          <cell r="M1976">
            <v>39653.15</v>
          </cell>
        </row>
        <row r="1977">
          <cell r="A1977">
            <v>1746100130</v>
          </cell>
          <cell r="B1977">
            <v>130</v>
          </cell>
          <cell r="C1977">
            <v>746100</v>
          </cell>
          <cell r="D1977">
            <v>1</v>
          </cell>
          <cell r="F1977" t="str">
            <v xml:space="preserve">שעות נוספות       </v>
          </cell>
          <cell r="G1977" t="str">
            <v>שכר</v>
          </cell>
          <cell r="H1977">
            <v>0</v>
          </cell>
          <cell r="I1977">
            <v>142500</v>
          </cell>
          <cell r="J1977">
            <v>142500</v>
          </cell>
          <cell r="K1977">
            <v>48570.46</v>
          </cell>
          <cell r="L1977">
            <v>165700</v>
          </cell>
          <cell r="M1977">
            <v>109311.93</v>
          </cell>
        </row>
        <row r="1978">
          <cell r="A1978">
            <v>1746100140</v>
          </cell>
          <cell r="B1978">
            <v>140</v>
          </cell>
          <cell r="C1978">
            <v>746100</v>
          </cell>
          <cell r="D1978">
            <v>1</v>
          </cell>
          <cell r="F1978" t="str">
            <v>השתתפות באחזקת רכב</v>
          </cell>
          <cell r="G1978" t="str">
            <v>שכר</v>
          </cell>
          <cell r="H1978">
            <v>0</v>
          </cell>
          <cell r="I1978">
            <v>480600</v>
          </cell>
          <cell r="J1978">
            <v>480600</v>
          </cell>
          <cell r="K1978">
            <v>183073.15</v>
          </cell>
          <cell r="L1978">
            <v>480600</v>
          </cell>
          <cell r="M1978">
            <v>464994.51</v>
          </cell>
        </row>
        <row r="1979">
          <cell r="A1979">
            <v>1746100210</v>
          </cell>
          <cell r="B1979">
            <v>210</v>
          </cell>
          <cell r="C1979">
            <v>746100</v>
          </cell>
          <cell r="D1979">
            <v>1</v>
          </cell>
          <cell r="F1979" t="str">
            <v>שכר שעתיים</v>
          </cell>
          <cell r="G1979" t="str">
            <v>שכר</v>
          </cell>
          <cell r="I1979">
            <v>0</v>
          </cell>
          <cell r="J1979">
            <v>0</v>
          </cell>
          <cell r="K1979">
            <v>0</v>
          </cell>
          <cell r="L1979">
            <v>0</v>
          </cell>
          <cell r="M1979">
            <v>731.69</v>
          </cell>
        </row>
        <row r="1980">
          <cell r="A1980">
            <v>1746100253</v>
          </cell>
          <cell r="B1980">
            <v>253</v>
          </cell>
          <cell r="C1980">
            <v>746100</v>
          </cell>
          <cell r="D1980">
            <v>1</v>
          </cell>
          <cell r="F1980" t="str">
            <v xml:space="preserve">עובדים חיצוניים   </v>
          </cell>
          <cell r="G1980" t="str">
            <v>שכר</v>
          </cell>
          <cell r="I1980">
            <v>30000</v>
          </cell>
          <cell r="J1980">
            <v>0</v>
          </cell>
          <cell r="K1980">
            <v>42448.79</v>
          </cell>
          <cell r="L1980">
            <v>0</v>
          </cell>
          <cell r="M1980">
            <v>20367.75</v>
          </cell>
        </row>
        <row r="1981">
          <cell r="A1981">
            <v>1746100350</v>
          </cell>
          <cell r="B1981">
            <v>350</v>
          </cell>
          <cell r="C1981">
            <v>746100</v>
          </cell>
          <cell r="D1981">
            <v>1</v>
          </cell>
          <cell r="F1981" t="str">
            <v>ליסינג 880-47-303</v>
          </cell>
          <cell r="G1981" t="str">
            <v>שכר</v>
          </cell>
          <cell r="I1981">
            <v>55830</v>
          </cell>
          <cell r="J1981">
            <v>0</v>
          </cell>
          <cell r="K1981">
            <v>775.44</v>
          </cell>
          <cell r="L1981">
            <v>0</v>
          </cell>
          <cell r="M1981">
            <v>0</v>
          </cell>
        </row>
        <row r="1982">
          <cell r="A1982">
            <v>1746100351</v>
          </cell>
          <cell r="B1982">
            <v>351</v>
          </cell>
          <cell r="C1982">
            <v>746100</v>
          </cell>
          <cell r="D1982">
            <v>1</v>
          </cell>
          <cell r="F1982" t="str">
            <v xml:space="preserve">הוצאות  </v>
          </cell>
          <cell r="G1982" t="str">
            <v>שכר</v>
          </cell>
          <cell r="I1982">
            <v>0</v>
          </cell>
          <cell r="J1982">
            <v>0</v>
          </cell>
          <cell r="K1982">
            <v>2854.13</v>
          </cell>
          <cell r="L1982">
            <v>0</v>
          </cell>
          <cell r="M1982">
            <v>0</v>
          </cell>
        </row>
        <row r="1983">
          <cell r="A1983">
            <v>1746100431</v>
          </cell>
          <cell r="B1983">
            <v>431</v>
          </cell>
          <cell r="C1983">
            <v>746100</v>
          </cell>
          <cell r="D1983">
            <v>1</v>
          </cell>
          <cell r="F1983" t="str">
            <v xml:space="preserve">חשמל              </v>
          </cell>
          <cell r="G1983" t="str">
            <v>קשיח</v>
          </cell>
          <cell r="H1983">
            <v>3.4992607195662995E-2</v>
          </cell>
          <cell r="I1983">
            <v>210000</v>
          </cell>
          <cell r="J1983">
            <v>202900</v>
          </cell>
          <cell r="K1983">
            <v>130162.74</v>
          </cell>
          <cell r="L1983">
            <v>75000</v>
          </cell>
          <cell r="M1983">
            <v>206111.57</v>
          </cell>
        </row>
        <row r="1984">
          <cell r="A1984">
            <v>1746100432</v>
          </cell>
          <cell r="B1984">
            <v>432</v>
          </cell>
          <cell r="C1984">
            <v>746100</v>
          </cell>
          <cell r="D1984">
            <v>1</v>
          </cell>
          <cell r="F1984" t="str">
            <v xml:space="preserve">מים               </v>
          </cell>
          <cell r="G1984" t="str">
            <v>קשיח</v>
          </cell>
          <cell r="H1984">
            <v>0.14754098360655732</v>
          </cell>
          <cell r="I1984">
            <v>7000000</v>
          </cell>
          <cell r="J1984">
            <v>6100000</v>
          </cell>
          <cell r="K1984">
            <v>2089080.87</v>
          </cell>
          <cell r="L1984">
            <v>5250000</v>
          </cell>
          <cell r="M1984">
            <v>6358990.4100000001</v>
          </cell>
        </row>
        <row r="1985">
          <cell r="A1985">
            <v>1746100437</v>
          </cell>
          <cell r="B1985">
            <v>437</v>
          </cell>
          <cell r="C1985">
            <v>746100</v>
          </cell>
          <cell r="D1985">
            <v>1</v>
          </cell>
          <cell r="F1985" t="str">
            <v xml:space="preserve">אחזקת אזעקה       </v>
          </cell>
          <cell r="G1985" t="str">
            <v>קשיח</v>
          </cell>
          <cell r="H1985">
            <v>0</v>
          </cell>
          <cell r="I1985">
            <v>1300</v>
          </cell>
          <cell r="J1985">
            <v>1300</v>
          </cell>
          <cell r="K1985">
            <v>0</v>
          </cell>
          <cell r="L1985">
            <v>1300</v>
          </cell>
          <cell r="M1985">
            <v>1221.48</v>
          </cell>
        </row>
        <row r="1986">
          <cell r="A1986">
            <v>1746100470</v>
          </cell>
          <cell r="B1986">
            <v>470</v>
          </cell>
          <cell r="C1986">
            <v>746100</v>
          </cell>
          <cell r="D1986">
            <v>1</v>
          </cell>
          <cell r="F1986" t="str">
            <v xml:space="preserve">אחזקת מכונות משרד </v>
          </cell>
          <cell r="G1986" t="str">
            <v>גמיש</v>
          </cell>
          <cell r="H1986">
            <v>-0.55555555555555558</v>
          </cell>
          <cell r="I1986">
            <v>240</v>
          </cell>
          <cell r="J1986">
            <v>540</v>
          </cell>
          <cell r="K1986">
            <v>55.23</v>
          </cell>
          <cell r="L1986">
            <v>2600</v>
          </cell>
          <cell r="M1986">
            <v>581.01</v>
          </cell>
        </row>
        <row r="1987">
          <cell r="A1987">
            <v>1746100471</v>
          </cell>
          <cell r="B1987">
            <v>471</v>
          </cell>
          <cell r="C1987">
            <v>746100</v>
          </cell>
          <cell r="D1987">
            <v>1</v>
          </cell>
          <cell r="F1987" t="str">
            <v xml:space="preserve">מכשירי כתיבה      </v>
          </cell>
          <cell r="G1987" t="str">
            <v>גמיש</v>
          </cell>
          <cell r="H1987">
            <v>-0.55555555555555558</v>
          </cell>
          <cell r="I1987">
            <v>4000</v>
          </cell>
          <cell r="J1987">
            <v>9000</v>
          </cell>
          <cell r="K1987">
            <v>4506.79</v>
          </cell>
          <cell r="L1987">
            <v>13700</v>
          </cell>
          <cell r="M1987">
            <v>7062.01</v>
          </cell>
        </row>
        <row r="1988">
          <cell r="A1988">
            <v>1746100492</v>
          </cell>
          <cell r="B1988">
            <v>492</v>
          </cell>
          <cell r="C1988">
            <v>746100</v>
          </cell>
          <cell r="D1988">
            <v>1</v>
          </cell>
          <cell r="F1988" t="str">
            <v xml:space="preserve">השתתפות בעזר 092  </v>
          </cell>
          <cell r="G1988" t="str">
            <v>קשיח</v>
          </cell>
          <cell r="H1988">
            <v>4.0000000000000036E-2</v>
          </cell>
          <cell r="I1988">
            <v>702000</v>
          </cell>
          <cell r="J1988">
            <v>675000</v>
          </cell>
          <cell r="K1988">
            <v>266711</v>
          </cell>
          <cell r="L1988">
            <v>552000</v>
          </cell>
          <cell r="M1988">
            <v>604427</v>
          </cell>
        </row>
        <row r="1989">
          <cell r="A1989">
            <v>1746100511</v>
          </cell>
          <cell r="B1989">
            <v>511</v>
          </cell>
          <cell r="C1989">
            <v>746100</v>
          </cell>
          <cell r="D1989">
            <v>1</v>
          </cell>
          <cell r="F1989" t="str">
            <v xml:space="preserve">אירוח וכיבוד      </v>
          </cell>
          <cell r="G1989" t="str">
            <v>גמיש</v>
          </cell>
          <cell r="H1989">
            <v>0.44032921810699599</v>
          </cell>
          <cell r="I1989">
            <v>3500</v>
          </cell>
          <cell r="J1989">
            <v>2430</v>
          </cell>
          <cell r="K1989">
            <v>1225.07</v>
          </cell>
          <cell r="L1989">
            <v>2700</v>
          </cell>
          <cell r="M1989">
            <v>2648.88</v>
          </cell>
        </row>
        <row r="1990">
          <cell r="A1990">
            <v>1746100512</v>
          </cell>
          <cell r="B1990">
            <v>512</v>
          </cell>
          <cell r="C1990">
            <v>746100</v>
          </cell>
          <cell r="D1990">
            <v>1</v>
          </cell>
          <cell r="F1990" t="str">
            <v xml:space="preserve">נסיעות ואש"ל      </v>
          </cell>
          <cell r="G1990" t="str">
            <v>גמיש</v>
          </cell>
          <cell r="H1990">
            <v>0</v>
          </cell>
          <cell r="I1990">
            <v>450</v>
          </cell>
          <cell r="J1990">
            <v>450</v>
          </cell>
          <cell r="K1990">
            <v>0</v>
          </cell>
          <cell r="L1990">
            <v>900</v>
          </cell>
          <cell r="M1990">
            <v>54</v>
          </cell>
        </row>
        <row r="1991">
          <cell r="A1991">
            <v>1746100522</v>
          </cell>
          <cell r="B1991">
            <v>522</v>
          </cell>
          <cell r="C1991">
            <v>746100</v>
          </cell>
          <cell r="D1991">
            <v>1</v>
          </cell>
          <cell r="F1991" t="str">
            <v xml:space="preserve">ספרים ועיתונים    </v>
          </cell>
          <cell r="G1991" t="str">
            <v>גמיש</v>
          </cell>
          <cell r="H1991">
            <v>0</v>
          </cell>
          <cell r="I1991">
            <v>900</v>
          </cell>
          <cell r="J1991">
            <v>900</v>
          </cell>
          <cell r="K1991">
            <v>0</v>
          </cell>
          <cell r="L1991">
            <v>4300</v>
          </cell>
          <cell r="M1991">
            <v>0</v>
          </cell>
        </row>
        <row r="1992">
          <cell r="A1992">
            <v>1746100544</v>
          </cell>
          <cell r="B1992">
            <v>544</v>
          </cell>
          <cell r="C1992">
            <v>746100</v>
          </cell>
          <cell r="D1992">
            <v>1</v>
          </cell>
          <cell r="F1992" t="str">
            <v xml:space="preserve">הוצאות דאר        </v>
          </cell>
          <cell r="G1992" t="str">
            <v>קשיח</v>
          </cell>
          <cell r="H1992">
            <v>0</v>
          </cell>
          <cell r="I1992">
            <v>500</v>
          </cell>
          <cell r="J1992">
            <v>500</v>
          </cell>
          <cell r="K1992">
            <v>0</v>
          </cell>
          <cell r="L1992">
            <v>500</v>
          </cell>
          <cell r="M1992">
            <v>15</v>
          </cell>
        </row>
        <row r="1993">
          <cell r="A1993">
            <v>1746100550</v>
          </cell>
          <cell r="B1993">
            <v>550</v>
          </cell>
          <cell r="C1993">
            <v>746100</v>
          </cell>
          <cell r="D1993">
            <v>1</v>
          </cell>
          <cell r="F1993" t="str">
            <v xml:space="preserve">פירסומים    </v>
          </cell>
          <cell r="G1993" t="str">
            <v>גמיש</v>
          </cell>
          <cell r="H1993">
            <v>0.29198966408268734</v>
          </cell>
          <cell r="I1993">
            <v>5000</v>
          </cell>
          <cell r="J1993">
            <v>3870</v>
          </cell>
          <cell r="K1993">
            <v>2492</v>
          </cell>
          <cell r="L1993">
            <v>4300</v>
          </cell>
          <cell r="M1993">
            <v>2468</v>
          </cell>
        </row>
        <row r="1994">
          <cell r="A1994">
            <v>1746100562</v>
          </cell>
          <cell r="B1994">
            <v>562</v>
          </cell>
          <cell r="C1994">
            <v>746100</v>
          </cell>
          <cell r="D1994">
            <v>1</v>
          </cell>
          <cell r="F1994" t="str">
            <v xml:space="preserve">הדפסות            </v>
          </cell>
          <cell r="G1994" t="str">
            <v>גמיש</v>
          </cell>
          <cell r="I1994">
            <v>0</v>
          </cell>
          <cell r="J1994">
            <v>0</v>
          </cell>
          <cell r="K1994">
            <v>0</v>
          </cell>
          <cell r="L1994">
            <v>2100</v>
          </cell>
          <cell r="M1994">
            <v>269</v>
          </cell>
        </row>
        <row r="1995">
          <cell r="A1995">
            <v>1746100565</v>
          </cell>
          <cell r="B1995">
            <v>565</v>
          </cell>
          <cell r="C1995">
            <v>746100</v>
          </cell>
          <cell r="D1995">
            <v>1</v>
          </cell>
          <cell r="F1995" t="str">
            <v xml:space="preserve">צילומים והעתקות   </v>
          </cell>
          <cell r="G1995" t="str">
            <v>גמיש</v>
          </cell>
          <cell r="H1995">
            <v>0</v>
          </cell>
          <cell r="I1995">
            <v>4500</v>
          </cell>
          <cell r="J1995">
            <v>4500</v>
          </cell>
          <cell r="K1995">
            <v>172</v>
          </cell>
          <cell r="L1995">
            <v>6400</v>
          </cell>
          <cell r="M1995">
            <v>0</v>
          </cell>
        </row>
        <row r="1996">
          <cell r="A1996">
            <v>1746100571</v>
          </cell>
          <cell r="B1996">
            <v>571</v>
          </cell>
          <cell r="C1996">
            <v>746100</v>
          </cell>
          <cell r="D1996">
            <v>1</v>
          </cell>
          <cell r="F1996" t="str">
            <v xml:space="preserve">מיכון וענ"א       </v>
          </cell>
          <cell r="G1996" t="str">
            <v>קשיח</v>
          </cell>
          <cell r="H1996">
            <v>0</v>
          </cell>
          <cell r="I1996">
            <v>374000</v>
          </cell>
          <cell r="J1996">
            <v>374000</v>
          </cell>
          <cell r="K1996">
            <v>187000</v>
          </cell>
          <cell r="L1996">
            <v>293000</v>
          </cell>
          <cell r="M1996">
            <v>293000</v>
          </cell>
        </row>
        <row r="1997">
          <cell r="A1997">
            <v>1746100580</v>
          </cell>
          <cell r="B1997">
            <v>580</v>
          </cell>
          <cell r="C1997">
            <v>746100</v>
          </cell>
          <cell r="D1997">
            <v>1</v>
          </cell>
          <cell r="F1997" t="str">
            <v xml:space="preserve">יועצים-חיצוניים   </v>
          </cell>
          <cell r="G1997" t="str">
            <v>קשיח</v>
          </cell>
          <cell r="H1997">
            <v>-0.47157390783961695</v>
          </cell>
          <cell r="I1997">
            <v>883000</v>
          </cell>
          <cell r="J1997">
            <v>1671000</v>
          </cell>
          <cell r="K1997">
            <v>621248.77</v>
          </cell>
          <cell r="L1997">
            <v>1550000</v>
          </cell>
          <cell r="M1997">
            <v>1490378</v>
          </cell>
        </row>
        <row r="1998">
          <cell r="A1998">
            <v>1746100581</v>
          </cell>
          <cell r="B1998">
            <v>581</v>
          </cell>
          <cell r="C1998">
            <v>746100</v>
          </cell>
          <cell r="D1998">
            <v>1</v>
          </cell>
          <cell r="F1998" t="str">
            <v>סקר מדי מים</v>
          </cell>
          <cell r="G1998" t="str">
            <v>גמיש</v>
          </cell>
          <cell r="I1998">
            <v>0</v>
          </cell>
          <cell r="J1998">
            <v>0</v>
          </cell>
          <cell r="K1998">
            <v>0</v>
          </cell>
          <cell r="L1998">
            <v>35100</v>
          </cell>
          <cell r="M1998">
            <v>2293</v>
          </cell>
        </row>
        <row r="1999">
          <cell r="A1999">
            <v>1746100596</v>
          </cell>
          <cell r="B1999">
            <v>596</v>
          </cell>
          <cell r="C1999">
            <v>746100</v>
          </cell>
          <cell r="D1999">
            <v>1</v>
          </cell>
          <cell r="F1999" t="str">
            <v xml:space="preserve">השתתפות בעזר 096  </v>
          </cell>
          <cell r="G1999" t="str">
            <v>קשיח</v>
          </cell>
          <cell r="H1999">
            <v>6.514657980456029E-2</v>
          </cell>
          <cell r="I1999">
            <v>327000</v>
          </cell>
          <cell r="J1999">
            <v>307000</v>
          </cell>
          <cell r="K1999">
            <v>124733</v>
          </cell>
          <cell r="L1999">
            <v>301000</v>
          </cell>
          <cell r="M1999">
            <v>281343</v>
          </cell>
        </row>
        <row r="2000">
          <cell r="A2000">
            <v>1746100715</v>
          </cell>
          <cell r="B2000">
            <v>715</v>
          </cell>
          <cell r="C2000">
            <v>746100</v>
          </cell>
          <cell r="D2000">
            <v>1</v>
          </cell>
          <cell r="F2000" t="str">
            <v>עבודות קבלניות-רכב</v>
          </cell>
          <cell r="G2000" t="str">
            <v>גמיש</v>
          </cell>
          <cell r="H2000">
            <v>0</v>
          </cell>
          <cell r="I2000">
            <v>40500</v>
          </cell>
          <cell r="J2000">
            <v>40500</v>
          </cell>
          <cell r="K2000">
            <v>11887.65</v>
          </cell>
          <cell r="L2000">
            <v>45000</v>
          </cell>
          <cell r="M2000">
            <v>15096.66</v>
          </cell>
        </row>
        <row r="2001">
          <cell r="A2001">
            <v>1746100722</v>
          </cell>
          <cell r="B2001">
            <v>722</v>
          </cell>
          <cell r="C2001">
            <v>746100</v>
          </cell>
          <cell r="D2001">
            <v>1</v>
          </cell>
          <cell r="F2001" t="str">
            <v>חמרים-תחזוקה עצמית</v>
          </cell>
          <cell r="G2001" t="str">
            <v>גמיש</v>
          </cell>
          <cell r="H2001">
            <v>0</v>
          </cell>
          <cell r="I2001">
            <v>45000</v>
          </cell>
          <cell r="J2001">
            <v>45000</v>
          </cell>
          <cell r="K2001">
            <v>21204.25</v>
          </cell>
          <cell r="L2001">
            <v>103500</v>
          </cell>
          <cell r="M2001">
            <v>23484.12</v>
          </cell>
        </row>
        <row r="2002">
          <cell r="A2002">
            <v>1746100728</v>
          </cell>
          <cell r="B2002">
            <v>728</v>
          </cell>
          <cell r="C2002">
            <v>746100</v>
          </cell>
          <cell r="D2002">
            <v>1</v>
          </cell>
          <cell r="F2002" t="str">
            <v>רכישת צמחים ושתילים</v>
          </cell>
          <cell r="G2002" t="str">
            <v>גמיש</v>
          </cell>
          <cell r="H2002">
            <v>0.31172839506172845</v>
          </cell>
          <cell r="I2002">
            <v>850000</v>
          </cell>
          <cell r="J2002">
            <v>648000</v>
          </cell>
          <cell r="K2002">
            <v>321955</v>
          </cell>
          <cell r="L2002">
            <v>699300</v>
          </cell>
          <cell r="M2002">
            <v>693746</v>
          </cell>
        </row>
        <row r="2003">
          <cell r="A2003">
            <v>1746100742</v>
          </cell>
          <cell r="B2003">
            <v>742</v>
          </cell>
          <cell r="C2003">
            <v>746100</v>
          </cell>
          <cell r="D2003">
            <v>1</v>
          </cell>
          <cell r="F2003" t="str">
            <v xml:space="preserve">כלים וציוד        </v>
          </cell>
          <cell r="G2003" t="str">
            <v>גמיש</v>
          </cell>
          <cell r="H2003">
            <v>0.3550135501355014</v>
          </cell>
          <cell r="I2003">
            <v>50000</v>
          </cell>
          <cell r="J2003">
            <v>36900</v>
          </cell>
          <cell r="K2003">
            <v>6200.73</v>
          </cell>
          <cell r="L2003">
            <v>41000</v>
          </cell>
          <cell r="M2003">
            <v>29536.34</v>
          </cell>
        </row>
        <row r="2004">
          <cell r="A2004">
            <v>1746100754</v>
          </cell>
          <cell r="B2004">
            <v>754</v>
          </cell>
          <cell r="C2004">
            <v>746100</v>
          </cell>
          <cell r="D2004">
            <v>1</v>
          </cell>
          <cell r="F2004" t="str">
            <v>עבודות מסגרות</v>
          </cell>
          <cell r="G2004" t="str">
            <v>גמיש</v>
          </cell>
          <cell r="H2004">
            <v>5.0921945160982141E-2</v>
          </cell>
          <cell r="I2004">
            <v>110000</v>
          </cell>
          <cell r="J2004">
            <v>104670</v>
          </cell>
          <cell r="K2004">
            <v>26015</v>
          </cell>
          <cell r="L2004">
            <v>116300</v>
          </cell>
          <cell r="M2004">
            <v>104674.02</v>
          </cell>
        </row>
        <row r="2005">
          <cell r="A2005">
            <v>1746100755</v>
          </cell>
          <cell r="B2005">
            <v>755</v>
          </cell>
          <cell r="C2005">
            <v>746100</v>
          </cell>
          <cell r="D2005">
            <v>1</v>
          </cell>
          <cell r="F2005" t="str">
            <v>אחז' גינון-שצ"פ עזריאלי</v>
          </cell>
          <cell r="G2005" t="str">
            <v>גמיש</v>
          </cell>
          <cell r="H2005">
            <v>2.5319104415149507E-2</v>
          </cell>
          <cell r="I2005">
            <v>98000</v>
          </cell>
          <cell r="J2005">
            <v>95580</v>
          </cell>
          <cell r="K2005">
            <v>53239.46</v>
          </cell>
          <cell r="L2005">
            <v>90000</v>
          </cell>
          <cell r="M2005">
            <v>89125.98</v>
          </cell>
        </row>
        <row r="2006">
          <cell r="A2006">
            <v>1746100756</v>
          </cell>
          <cell r="B2006">
            <v>756</v>
          </cell>
          <cell r="C2006">
            <v>746100</v>
          </cell>
          <cell r="D2006">
            <v>1</v>
          </cell>
          <cell r="F2006" t="str">
            <v xml:space="preserve">שמירה בקבלנות     </v>
          </cell>
          <cell r="G2006" t="str">
            <v>קשיח</v>
          </cell>
          <cell r="H2006">
            <v>1.75</v>
          </cell>
          <cell r="I2006">
            <v>110000</v>
          </cell>
          <cell r="J2006">
            <v>40000</v>
          </cell>
          <cell r="K2006">
            <v>12159.54</v>
          </cell>
          <cell r="L2006">
            <v>35000</v>
          </cell>
          <cell r="M2006">
            <v>39272.61</v>
          </cell>
        </row>
        <row r="2007">
          <cell r="A2007">
            <v>1746100757</v>
          </cell>
          <cell r="B2007">
            <v>757</v>
          </cell>
          <cell r="C2007">
            <v>746100</v>
          </cell>
          <cell r="D2007">
            <v>1</v>
          </cell>
          <cell r="F2007" t="str">
            <v>גיזום עצים בקבלנות</v>
          </cell>
          <cell r="G2007" t="str">
            <v>גמיש</v>
          </cell>
          <cell r="H2007">
            <v>0.4704530833563092</v>
          </cell>
          <cell r="I2007">
            <v>1600000</v>
          </cell>
          <cell r="J2007">
            <v>1088100</v>
          </cell>
          <cell r="K2007">
            <v>354508.2</v>
          </cell>
          <cell r="L2007">
            <v>1400000</v>
          </cell>
          <cell r="M2007">
            <v>1140293.92</v>
          </cell>
        </row>
        <row r="2008">
          <cell r="A2008">
            <v>1746100758</v>
          </cell>
          <cell r="B2008">
            <v>758</v>
          </cell>
          <cell r="C2008">
            <v>746100</v>
          </cell>
          <cell r="D2008">
            <v>1</v>
          </cell>
          <cell r="F2008" t="str">
            <v xml:space="preserve">קבלני גינון גנים  </v>
          </cell>
          <cell r="G2008" t="str">
            <v>קשיח</v>
          </cell>
          <cell r="H2008">
            <v>0.52719731012161009</v>
          </cell>
          <cell r="I2008">
            <v>24300000</v>
          </cell>
          <cell r="J2008">
            <v>15911500</v>
          </cell>
          <cell r="K2008">
            <v>7148545.8300000001</v>
          </cell>
          <cell r="L2008">
            <v>14714000</v>
          </cell>
          <cell r="M2008">
            <v>14006418.369999999</v>
          </cell>
        </row>
        <row r="2009">
          <cell r="A2009">
            <v>1746100759</v>
          </cell>
          <cell r="B2009">
            <v>759</v>
          </cell>
          <cell r="C2009">
            <v>746100</v>
          </cell>
          <cell r="D2009">
            <v>1</v>
          </cell>
          <cell r="F2009" t="str">
            <v xml:space="preserve">עב" קבלניות שונות </v>
          </cell>
          <cell r="G2009" t="str">
            <v>גמיש</v>
          </cell>
          <cell r="H2009">
            <v>0.18753674309229873</v>
          </cell>
          <cell r="I2009">
            <v>505000</v>
          </cell>
          <cell r="J2009">
            <v>425250</v>
          </cell>
          <cell r="K2009">
            <v>184003.21</v>
          </cell>
          <cell r="L2009">
            <v>450000</v>
          </cell>
          <cell r="M2009">
            <v>430867.09</v>
          </cell>
        </row>
        <row r="2010">
          <cell r="A2010">
            <v>1746100760</v>
          </cell>
          <cell r="B2010">
            <v>760</v>
          </cell>
          <cell r="C2010">
            <v>746100</v>
          </cell>
          <cell r="D2010">
            <v>1</v>
          </cell>
          <cell r="F2010" t="str">
            <v>פינוי גזם</v>
          </cell>
          <cell r="G2010" t="str">
            <v>קשיח</v>
          </cell>
          <cell r="H2010">
            <v>0.2944983818770226</v>
          </cell>
          <cell r="I2010">
            <v>1000000</v>
          </cell>
          <cell r="J2010">
            <v>772500</v>
          </cell>
          <cell r="K2010">
            <v>387042</v>
          </cell>
          <cell r="L2010">
            <v>570000</v>
          </cell>
          <cell r="M2010">
            <v>840693.09</v>
          </cell>
        </row>
        <row r="2011">
          <cell r="A2011">
            <v>1746100780</v>
          </cell>
          <cell r="B2011">
            <v>780</v>
          </cell>
          <cell r="C2011">
            <v>746100</v>
          </cell>
          <cell r="D2011">
            <v>1</v>
          </cell>
          <cell r="F2011" t="str">
            <v xml:space="preserve">אחזקת אדניות      </v>
          </cell>
          <cell r="G2011" t="str">
            <v>גמיש</v>
          </cell>
          <cell r="I2011">
            <v>0</v>
          </cell>
          <cell r="J2011">
            <v>0</v>
          </cell>
          <cell r="K2011">
            <v>0</v>
          </cell>
          <cell r="L2011">
            <v>2300</v>
          </cell>
          <cell r="M2011">
            <v>0</v>
          </cell>
        </row>
        <row r="2012">
          <cell r="A2012">
            <v>1746100781</v>
          </cell>
          <cell r="B2012">
            <v>781</v>
          </cell>
          <cell r="C2012">
            <v>746100</v>
          </cell>
          <cell r="D2012">
            <v>1</v>
          </cell>
          <cell r="F2012" t="str">
            <v xml:space="preserve">תחרות קירייה יפה  </v>
          </cell>
          <cell r="G2012" t="str">
            <v>גמיש</v>
          </cell>
          <cell r="H2012">
            <v>0.38888888888888884</v>
          </cell>
          <cell r="I2012">
            <v>10000</v>
          </cell>
          <cell r="J2012">
            <v>7200</v>
          </cell>
          <cell r="K2012">
            <v>3970</v>
          </cell>
          <cell r="L2012">
            <v>5400</v>
          </cell>
          <cell r="M2012">
            <v>6285.07</v>
          </cell>
        </row>
        <row r="2013">
          <cell r="A2013">
            <v>1746100782</v>
          </cell>
          <cell r="B2013">
            <v>782</v>
          </cell>
          <cell r="C2013">
            <v>746100</v>
          </cell>
          <cell r="D2013">
            <v>1</v>
          </cell>
          <cell r="F2013" t="str">
            <v xml:space="preserve">אחזקת פינת ליטוף  </v>
          </cell>
          <cell r="G2013" t="str">
            <v>גמיש</v>
          </cell>
          <cell r="I2013">
            <v>400000</v>
          </cell>
          <cell r="J2013">
            <v>0</v>
          </cell>
          <cell r="K2013">
            <v>195278.14</v>
          </cell>
          <cell r="L2013">
            <v>330000</v>
          </cell>
          <cell r="M2013">
            <v>373622.34</v>
          </cell>
        </row>
        <row r="2014">
          <cell r="A2014">
            <v>1746100783</v>
          </cell>
          <cell r="B2014">
            <v>783</v>
          </cell>
          <cell r="C2014">
            <v>746100</v>
          </cell>
          <cell r="D2014">
            <v>1</v>
          </cell>
          <cell r="F2014" t="str">
            <v>עבודות הדברת מזיקים</v>
          </cell>
          <cell r="G2014" t="str">
            <v>גמיש</v>
          </cell>
          <cell r="H2014">
            <v>0</v>
          </cell>
          <cell r="I2014">
            <v>367200</v>
          </cell>
          <cell r="J2014">
            <v>367200</v>
          </cell>
          <cell r="K2014">
            <v>77383.33</v>
          </cell>
          <cell r="L2014">
            <v>600000</v>
          </cell>
          <cell r="M2014">
            <v>151497</v>
          </cell>
        </row>
        <row r="2015">
          <cell r="A2015">
            <v>1746100784</v>
          </cell>
          <cell r="B2015">
            <v>784</v>
          </cell>
          <cell r="C2015">
            <v>746100</v>
          </cell>
          <cell r="D2015">
            <v>1</v>
          </cell>
          <cell r="F2015" t="str">
            <v>גן הקקטוסים</v>
          </cell>
          <cell r="G2015" t="str">
            <v>גמיש</v>
          </cell>
          <cell r="H2015">
            <v>0.11111111111111116</v>
          </cell>
          <cell r="I2015">
            <v>3000</v>
          </cell>
          <cell r="J2015">
            <v>2700</v>
          </cell>
          <cell r="K2015">
            <v>0</v>
          </cell>
          <cell r="L2015">
            <v>6300</v>
          </cell>
          <cell r="M2015">
            <v>1802.84</v>
          </cell>
        </row>
        <row r="2016">
          <cell r="A2016">
            <v>1746100794</v>
          </cell>
          <cell r="B2016">
            <v>794</v>
          </cell>
          <cell r="C2016">
            <v>746100</v>
          </cell>
          <cell r="D2016">
            <v>1</v>
          </cell>
          <cell r="F2016" t="str">
            <v xml:space="preserve">השתתפות בעזר 094  </v>
          </cell>
          <cell r="G2016" t="str">
            <v>קשיח</v>
          </cell>
          <cell r="H2016">
            <v>0</v>
          </cell>
          <cell r="I2016">
            <v>143000</v>
          </cell>
          <cell r="J2016">
            <v>143000</v>
          </cell>
          <cell r="K2016">
            <v>67555</v>
          </cell>
          <cell r="L2016">
            <v>128000</v>
          </cell>
          <cell r="M2016">
            <v>152668</v>
          </cell>
        </row>
        <row r="2017">
          <cell r="A2017">
            <v>1746100923</v>
          </cell>
          <cell r="B2017">
            <v>923</v>
          </cell>
          <cell r="C2017">
            <v>746100</v>
          </cell>
          <cell r="D2017">
            <v>1</v>
          </cell>
          <cell r="F2017" t="str">
            <v>תחז' אנדרטאות ופסלי משחק</v>
          </cell>
          <cell r="G2017" t="str">
            <v>גמיש</v>
          </cell>
          <cell r="H2017">
            <v>0</v>
          </cell>
          <cell r="I2017">
            <v>585000</v>
          </cell>
          <cell r="J2017">
            <v>585000</v>
          </cell>
          <cell r="K2017">
            <v>0</v>
          </cell>
          <cell r="L2017">
            <v>674000</v>
          </cell>
          <cell r="M2017">
            <v>320675.98</v>
          </cell>
        </row>
        <row r="2018">
          <cell r="A2018">
            <v>1746100932</v>
          </cell>
          <cell r="B2018">
            <v>932</v>
          </cell>
          <cell r="C2018">
            <v>746100</v>
          </cell>
          <cell r="D2018">
            <v>1</v>
          </cell>
          <cell r="F2018" t="str">
            <v>אחזקת מזרקות</v>
          </cell>
          <cell r="G2018" t="str">
            <v>קשיח</v>
          </cell>
          <cell r="H2018">
            <v>1.6816581931951458E-2</v>
          </cell>
          <cell r="I2018">
            <v>1300000</v>
          </cell>
          <cell r="J2018">
            <v>1278500</v>
          </cell>
          <cell r="K2018">
            <v>532042</v>
          </cell>
          <cell r="L2018">
            <v>1271000</v>
          </cell>
          <cell r="M2018">
            <v>1161451</v>
          </cell>
        </row>
        <row r="2019">
          <cell r="A2019">
            <v>1746100933</v>
          </cell>
          <cell r="B2019">
            <v>933</v>
          </cell>
          <cell r="C2019">
            <v>746100</v>
          </cell>
          <cell r="D2019">
            <v>1</v>
          </cell>
          <cell r="F2019" t="str">
            <v>אחזקת מתקני משחק</v>
          </cell>
          <cell r="G2019" t="str">
            <v>קשיח</v>
          </cell>
          <cell r="H2019">
            <v>6.8169900367067715E-3</v>
          </cell>
          <cell r="I2019">
            <v>960000</v>
          </cell>
          <cell r="J2019">
            <v>953500</v>
          </cell>
          <cell r="K2019">
            <v>448871.7</v>
          </cell>
          <cell r="L2019">
            <v>950000</v>
          </cell>
          <cell r="M2019">
            <v>828704</v>
          </cell>
        </row>
        <row r="2020">
          <cell r="A2020">
            <v>1746100934</v>
          </cell>
          <cell r="B2020">
            <v>934</v>
          </cell>
          <cell r="C2020">
            <v>746100</v>
          </cell>
          <cell r="D2020">
            <v>1</v>
          </cell>
          <cell r="F2020" t="str">
            <v>עבודות טכניות</v>
          </cell>
          <cell r="G2020" t="str">
            <v>קשיח</v>
          </cell>
          <cell r="H2020">
            <v>2.0408163265306145E-2</v>
          </cell>
          <cell r="I2020">
            <v>970000</v>
          </cell>
          <cell r="J2020">
            <v>950600</v>
          </cell>
          <cell r="K2020">
            <v>458680.95</v>
          </cell>
          <cell r="L2020">
            <v>862600</v>
          </cell>
          <cell r="M2020">
            <v>874504.68</v>
          </cell>
        </row>
        <row r="2021">
          <cell r="A2021">
            <v>1746100936</v>
          </cell>
          <cell r="B2021">
            <v>936</v>
          </cell>
          <cell r="C2021">
            <v>746100</v>
          </cell>
          <cell r="D2021">
            <v>1</v>
          </cell>
          <cell r="F2021" t="str">
            <v>אחזקת ספסלים</v>
          </cell>
          <cell r="G2021" t="str">
            <v>גמיש</v>
          </cell>
          <cell r="H2021">
            <v>4.0853499869893284E-2</v>
          </cell>
          <cell r="I2021">
            <v>400000</v>
          </cell>
          <cell r="J2021">
            <v>384300</v>
          </cell>
          <cell r="K2021">
            <v>173523.20000000001</v>
          </cell>
          <cell r="L2021">
            <v>350000</v>
          </cell>
          <cell r="M2021">
            <v>332688.84000000003</v>
          </cell>
        </row>
        <row r="2022">
          <cell r="A2022">
            <v>1746100937</v>
          </cell>
          <cell r="B2022">
            <v>937</v>
          </cell>
          <cell r="C2022">
            <v>746100</v>
          </cell>
          <cell r="D2022">
            <v>1</v>
          </cell>
          <cell r="F2022" t="str">
            <v>אחזקת מתקני כושר</v>
          </cell>
          <cell r="G2022" t="str">
            <v>גמיש</v>
          </cell>
          <cell r="H2022">
            <v>0.23456790123456783</v>
          </cell>
          <cell r="I2022">
            <v>250000</v>
          </cell>
          <cell r="J2022">
            <v>202500</v>
          </cell>
          <cell r="K2022">
            <v>66280</v>
          </cell>
          <cell r="L2022">
            <v>225000</v>
          </cell>
          <cell r="M2022">
            <v>225000</v>
          </cell>
        </row>
        <row r="2023">
          <cell r="A2023" t="e">
            <v>#VALUE!</v>
          </cell>
          <cell r="B2023" t="str">
            <v>746100  סך הכל</v>
          </cell>
          <cell r="F2023" t="str">
            <v>גינות צבוריות ונוף</v>
          </cell>
          <cell r="H2023">
            <v>0.27922981013570203</v>
          </cell>
          <cell r="I2023">
            <v>49463710.43025706</v>
          </cell>
          <cell r="J2023">
            <v>38666790</v>
          </cell>
          <cell r="K2023">
            <v>16571676.310000001</v>
          </cell>
          <cell r="L2023">
            <v>36830500</v>
          </cell>
          <cell r="M2023">
            <v>36940393.729999997</v>
          </cell>
        </row>
        <row r="2024">
          <cell r="A2024">
            <v>17467000</v>
          </cell>
          <cell r="B2024">
            <v>0</v>
          </cell>
          <cell r="C2024">
            <v>746700</v>
          </cell>
          <cell r="D2024">
            <v>1</v>
          </cell>
          <cell r="F2024" t="str">
            <v>פארק פרס</v>
          </cell>
          <cell r="G2024" t="str">
            <v xml:space="preserve"> </v>
          </cell>
        </row>
        <row r="2025">
          <cell r="A2025">
            <v>1746700870</v>
          </cell>
          <cell r="B2025">
            <v>870</v>
          </cell>
          <cell r="C2025">
            <v>746700</v>
          </cell>
          <cell r="D2025">
            <v>1</v>
          </cell>
          <cell r="F2025" t="str">
            <v>אחזקת פארק פרס</v>
          </cell>
          <cell r="G2025" t="str">
            <v>גמיש</v>
          </cell>
          <cell r="H2025">
            <v>0.13255894615390051</v>
          </cell>
          <cell r="I2025">
            <v>3200000</v>
          </cell>
          <cell r="J2025">
            <v>2825460</v>
          </cell>
          <cell r="K2025">
            <v>2119095</v>
          </cell>
          <cell r="L2025">
            <v>3139400</v>
          </cell>
          <cell r="M2025">
            <v>3139389.35</v>
          </cell>
        </row>
        <row r="2026">
          <cell r="A2026">
            <v>1746700871</v>
          </cell>
          <cell r="B2026">
            <v>871</v>
          </cell>
          <cell r="C2026">
            <v>746700</v>
          </cell>
          <cell r="D2026">
            <v>1</v>
          </cell>
          <cell r="F2026" t="str">
            <v>אחזקת מגדל המים</v>
          </cell>
          <cell r="G2026" t="str">
            <v>גמיש</v>
          </cell>
          <cell r="H2026">
            <v>26.100271002710027</v>
          </cell>
          <cell r="I2026">
            <v>100000</v>
          </cell>
          <cell r="J2026">
            <v>3690</v>
          </cell>
          <cell r="K2026">
            <v>2769</v>
          </cell>
          <cell r="L2026">
            <v>4100</v>
          </cell>
          <cell r="M2026">
            <v>4100.6899999999996</v>
          </cell>
        </row>
        <row r="2027">
          <cell r="A2027" t="e">
            <v>#VALUE!</v>
          </cell>
          <cell r="B2027" t="str">
            <v>746700  סך הכל</v>
          </cell>
          <cell r="F2027" t="str">
            <v>פארק פרס</v>
          </cell>
          <cell r="G2027" t="str">
            <v xml:space="preserve"> </v>
          </cell>
          <cell r="H2027">
            <v>0.16642807910503166</v>
          </cell>
          <cell r="I2027">
            <v>3300000</v>
          </cell>
          <cell r="J2027">
            <v>2829150</v>
          </cell>
          <cell r="K2027">
            <v>2121864</v>
          </cell>
          <cell r="L2027">
            <v>3143500</v>
          </cell>
          <cell r="M2027">
            <v>3143490.04</v>
          </cell>
        </row>
        <row r="2028">
          <cell r="A2028">
            <v>17500000</v>
          </cell>
          <cell r="B2028">
            <v>0</v>
          </cell>
          <cell r="C2028">
            <v>750000</v>
          </cell>
          <cell r="D2028">
            <v>1</v>
          </cell>
          <cell r="F2028" t="str">
            <v xml:space="preserve">חגיגות מבצעים     </v>
          </cell>
          <cell r="G2028" t="str">
            <v xml:space="preserve"> </v>
          </cell>
        </row>
        <row r="2029">
          <cell r="A2029">
            <v>1751000782</v>
          </cell>
          <cell r="B2029">
            <v>782</v>
          </cell>
          <cell r="C2029">
            <v>751000</v>
          </cell>
          <cell r="D2029">
            <v>1</v>
          </cell>
          <cell r="F2029" t="str">
            <v xml:space="preserve">הפקת ארועים       </v>
          </cell>
          <cell r="G2029" t="str">
            <v>גמיש</v>
          </cell>
          <cell r="H2029">
            <v>0</v>
          </cell>
          <cell r="I2029">
            <v>1800000</v>
          </cell>
          <cell r="J2029">
            <v>1800000</v>
          </cell>
          <cell r="K2029">
            <v>1268230.75</v>
          </cell>
          <cell r="L2029">
            <v>701100</v>
          </cell>
          <cell r="M2029">
            <v>696384</v>
          </cell>
        </row>
        <row r="2030">
          <cell r="A2030" t="e">
            <v>#VALUE!</v>
          </cell>
          <cell r="B2030" t="str">
            <v>751000  סך הכל</v>
          </cell>
          <cell r="F2030" t="str">
            <v>חגיגות יום העצמאות</v>
          </cell>
          <cell r="H2030">
            <v>0</v>
          </cell>
          <cell r="I2030">
            <v>1800000</v>
          </cell>
          <cell r="J2030">
            <v>1800000</v>
          </cell>
          <cell r="K2030">
            <v>1268230.75</v>
          </cell>
          <cell r="L2030">
            <v>701100</v>
          </cell>
          <cell r="M2030">
            <v>696384</v>
          </cell>
        </row>
        <row r="2031">
          <cell r="A2031">
            <v>17520000</v>
          </cell>
          <cell r="B2031">
            <v>0</v>
          </cell>
          <cell r="C2031">
            <v>752000</v>
          </cell>
          <cell r="D2031">
            <v>1</v>
          </cell>
          <cell r="F2031" t="str">
            <v>חגיגות+טכסים אחרים</v>
          </cell>
          <cell r="G2031" t="str">
            <v xml:space="preserve"> </v>
          </cell>
        </row>
        <row r="2032">
          <cell r="A2032">
            <v>1752000511</v>
          </cell>
          <cell r="B2032">
            <v>511</v>
          </cell>
          <cell r="C2032">
            <v>752000</v>
          </cell>
          <cell r="D2032">
            <v>1</v>
          </cell>
          <cell r="F2032" t="str">
            <v>וועדות כיבוד</v>
          </cell>
          <cell r="G2032" t="str">
            <v>גמיש</v>
          </cell>
          <cell r="H2032">
            <v>9.6491228070175517E-2</v>
          </cell>
          <cell r="I2032">
            <v>15000</v>
          </cell>
          <cell r="J2032">
            <v>13680</v>
          </cell>
          <cell r="K2032">
            <v>0</v>
          </cell>
          <cell r="L2032">
            <v>15000</v>
          </cell>
          <cell r="M2032">
            <v>11943.55</v>
          </cell>
        </row>
        <row r="2033">
          <cell r="A2033">
            <v>1752000514</v>
          </cell>
          <cell r="B2033">
            <v>514</v>
          </cell>
          <cell r="C2033">
            <v>752000</v>
          </cell>
          <cell r="D2033">
            <v>1</v>
          </cell>
          <cell r="F2033" t="str">
            <v xml:space="preserve">מתנות עירייה      </v>
          </cell>
          <cell r="G2033" t="str">
            <v>גמיש</v>
          </cell>
          <cell r="H2033">
            <v>0</v>
          </cell>
          <cell r="I2033">
            <v>54000</v>
          </cell>
          <cell r="J2033">
            <v>54000</v>
          </cell>
          <cell r="K2033">
            <v>27673</v>
          </cell>
          <cell r="L2033">
            <v>42800</v>
          </cell>
          <cell r="M2033">
            <v>23200</v>
          </cell>
        </row>
        <row r="2034">
          <cell r="A2034">
            <v>1752000781</v>
          </cell>
          <cell r="B2034">
            <v>781</v>
          </cell>
          <cell r="C2034">
            <v>752000</v>
          </cell>
          <cell r="D2034">
            <v>1</v>
          </cell>
          <cell r="F2034" t="str">
            <v xml:space="preserve">ארועים            </v>
          </cell>
          <cell r="G2034" t="str">
            <v>גמיש</v>
          </cell>
          <cell r="H2034">
            <v>1.7720306513409945E-2</v>
          </cell>
          <cell r="I2034">
            <v>85000</v>
          </cell>
          <cell r="J2034">
            <v>83520</v>
          </cell>
          <cell r="K2034">
            <v>9511.2199999999993</v>
          </cell>
          <cell r="L2034">
            <v>92800</v>
          </cell>
          <cell r="M2034">
            <v>83481.16</v>
          </cell>
        </row>
        <row r="2035">
          <cell r="A2035">
            <v>1752000783</v>
          </cell>
          <cell r="B2035">
            <v>783</v>
          </cell>
          <cell r="C2035">
            <v>752000</v>
          </cell>
          <cell r="D2035">
            <v>1</v>
          </cell>
          <cell r="F2035" t="str">
            <v>רכישות שונות</v>
          </cell>
          <cell r="G2035" t="str">
            <v>גמיש</v>
          </cell>
          <cell r="H2035">
            <v>7.4841681059296672E-3</v>
          </cell>
          <cell r="I2035">
            <v>35000</v>
          </cell>
          <cell r="J2035">
            <v>34740</v>
          </cell>
          <cell r="K2035">
            <v>0</v>
          </cell>
          <cell r="L2035">
            <v>38600</v>
          </cell>
          <cell r="M2035">
            <v>9372</v>
          </cell>
        </row>
        <row r="2036">
          <cell r="A2036" t="e">
            <v>#VALUE!</v>
          </cell>
          <cell r="B2036" t="str">
            <v>752000  סך הכל</v>
          </cell>
          <cell r="F2036" t="str">
            <v>חגיגות+טכסים אחרים</v>
          </cell>
          <cell r="H2036">
            <v>1.6456921587608919E-2</v>
          </cell>
          <cell r="I2036">
            <v>189000</v>
          </cell>
          <cell r="J2036">
            <v>185940</v>
          </cell>
          <cell r="K2036">
            <v>37184.22</v>
          </cell>
          <cell r="L2036">
            <v>189200</v>
          </cell>
          <cell r="M2036">
            <v>127996.71</v>
          </cell>
        </row>
        <row r="2037">
          <cell r="A2037">
            <v>17540000</v>
          </cell>
          <cell r="B2037">
            <v>0</v>
          </cell>
          <cell r="C2037">
            <v>754000</v>
          </cell>
          <cell r="D2037">
            <v>1</v>
          </cell>
          <cell r="F2037" t="str">
            <v xml:space="preserve">קשרים בינלאומיים  </v>
          </cell>
          <cell r="G2037" t="str">
            <v xml:space="preserve"> </v>
          </cell>
        </row>
        <row r="2038">
          <cell r="A2038">
            <v>1754000513</v>
          </cell>
          <cell r="B2038">
            <v>513</v>
          </cell>
          <cell r="C2038">
            <v>754000</v>
          </cell>
          <cell r="D2038">
            <v>1</v>
          </cell>
          <cell r="F2038" t="str">
            <v>משלח' נכנסות/יוצאות</v>
          </cell>
          <cell r="G2038" t="str">
            <v>גמיש</v>
          </cell>
          <cell r="H2038">
            <v>0.10461338531513964</v>
          </cell>
          <cell r="I2038">
            <v>85000</v>
          </cell>
          <cell r="J2038">
            <v>76950</v>
          </cell>
          <cell r="K2038">
            <v>25518.639999999999</v>
          </cell>
          <cell r="L2038">
            <v>85500</v>
          </cell>
          <cell r="M2038">
            <v>20504.11</v>
          </cell>
        </row>
        <row r="2039">
          <cell r="A2039">
            <v>1754000515</v>
          </cell>
          <cell r="B2039">
            <v>515</v>
          </cell>
          <cell r="C2039">
            <v>754000</v>
          </cell>
          <cell r="D2039">
            <v>1</v>
          </cell>
          <cell r="F2039" t="str">
            <v>משלחות נוער</v>
          </cell>
          <cell r="G2039" t="str">
            <v>גמיש</v>
          </cell>
          <cell r="H2039">
            <v>8.2954299328568348E-2</v>
          </cell>
          <cell r="I2039">
            <v>200000</v>
          </cell>
          <cell r="J2039">
            <v>184680</v>
          </cell>
          <cell r="K2039">
            <v>2010.71</v>
          </cell>
          <cell r="L2039">
            <v>205200</v>
          </cell>
          <cell r="M2039">
            <v>6326.5</v>
          </cell>
        </row>
        <row r="2040">
          <cell r="A2040">
            <v>1754000781</v>
          </cell>
          <cell r="B2040">
            <v>781</v>
          </cell>
          <cell r="C2040">
            <v>754000</v>
          </cell>
          <cell r="D2040">
            <v>1</v>
          </cell>
          <cell r="F2040" t="str">
            <v xml:space="preserve">טקס יקיר העיר </v>
          </cell>
          <cell r="G2040" t="str">
            <v>גמיש</v>
          </cell>
          <cell r="I2040">
            <v>140800</v>
          </cell>
          <cell r="J2040">
            <v>0</v>
          </cell>
          <cell r="K2040">
            <v>0</v>
          </cell>
          <cell r="L2040">
            <v>0</v>
          </cell>
          <cell r="M2040">
            <v>0</v>
          </cell>
        </row>
        <row r="2041">
          <cell r="A2041" t="e">
            <v>#VALUE!</v>
          </cell>
          <cell r="B2041" t="str">
            <v>754000  סך הכל</v>
          </cell>
          <cell r="F2041" t="str">
            <v xml:space="preserve">קשרים בינלאומיים  </v>
          </cell>
          <cell r="H2041">
            <v>0.62748920230860383</v>
          </cell>
          <cell r="I2041">
            <v>425800</v>
          </cell>
          <cell r="J2041">
            <v>261630</v>
          </cell>
          <cell r="K2041">
            <v>27529.35</v>
          </cell>
          <cell r="L2041">
            <v>290700</v>
          </cell>
          <cell r="M2041">
            <v>26830.61</v>
          </cell>
        </row>
        <row r="2042">
          <cell r="A2042">
            <v>17600000</v>
          </cell>
          <cell r="B2042">
            <v>0</v>
          </cell>
          <cell r="C2042">
            <v>760000</v>
          </cell>
          <cell r="D2042">
            <v>1</v>
          </cell>
          <cell r="F2042" t="str">
            <v>מוקד ויעוץ לאזרחים</v>
          </cell>
          <cell r="G2042" t="str">
            <v xml:space="preserve"> </v>
          </cell>
        </row>
        <row r="2043">
          <cell r="A2043">
            <v>1761000110</v>
          </cell>
          <cell r="B2043">
            <v>110</v>
          </cell>
          <cell r="C2043">
            <v>761000</v>
          </cell>
          <cell r="D2043">
            <v>1</v>
          </cell>
          <cell r="F2043" t="str">
            <v>השכר הקובע-תקציבית</v>
          </cell>
          <cell r="G2043" t="str">
            <v>שכר</v>
          </cell>
          <cell r="H2043">
            <v>2.5012666244458526E-2</v>
          </cell>
          <cell r="I2043">
            <v>161849.5</v>
          </cell>
          <cell r="J2043">
            <v>157900</v>
          </cell>
          <cell r="K2043">
            <v>9913.44</v>
          </cell>
          <cell r="L2043">
            <v>154800</v>
          </cell>
          <cell r="M2043">
            <v>181300.26</v>
          </cell>
        </row>
        <row r="2044">
          <cell r="A2044">
            <v>1761000119</v>
          </cell>
          <cell r="B2044">
            <v>119</v>
          </cell>
          <cell r="C2044">
            <v>761000</v>
          </cell>
          <cell r="D2044">
            <v>1</v>
          </cell>
          <cell r="F2044" t="str">
            <v xml:space="preserve">השכר הקובע-צוברת  </v>
          </cell>
          <cell r="G2044" t="str">
            <v>שכר</v>
          </cell>
          <cell r="H2044">
            <v>0.2192954448701574</v>
          </cell>
          <cell r="I2044">
            <v>3436949.9999999995</v>
          </cell>
          <cell r="J2044">
            <v>2818800</v>
          </cell>
          <cell r="K2044">
            <v>1970293.54</v>
          </cell>
          <cell r="L2044">
            <v>2528200</v>
          </cell>
          <cell r="M2044">
            <v>2733155.95</v>
          </cell>
        </row>
        <row r="2045">
          <cell r="A2045">
            <v>1761000122</v>
          </cell>
          <cell r="B2045">
            <v>122</v>
          </cell>
          <cell r="C2045">
            <v>761000</v>
          </cell>
          <cell r="D2045">
            <v>1</v>
          </cell>
          <cell r="F2045" t="str">
            <v xml:space="preserve">ביגוד             </v>
          </cell>
          <cell r="G2045" t="str">
            <v>שכר</v>
          </cell>
          <cell r="H2045">
            <v>0.18822313988305917</v>
          </cell>
          <cell r="I2045">
            <v>47410.103281334057</v>
          </cell>
          <cell r="J2045">
            <v>39900</v>
          </cell>
          <cell r="K2045">
            <v>38861.97</v>
          </cell>
          <cell r="L2045">
            <v>37500</v>
          </cell>
          <cell r="M2045">
            <v>40176.69</v>
          </cell>
        </row>
        <row r="2046">
          <cell r="A2046">
            <v>1761000126</v>
          </cell>
          <cell r="B2046">
            <v>126</v>
          </cell>
          <cell r="C2046">
            <v>761000</v>
          </cell>
          <cell r="D2046">
            <v>1</v>
          </cell>
          <cell r="F2046" t="str">
            <v xml:space="preserve">דמי הבראה         </v>
          </cell>
          <cell r="G2046" t="str">
            <v>שכר</v>
          </cell>
          <cell r="H2046">
            <v>0.18829599246906925</v>
          </cell>
          <cell r="I2046">
            <v>104570.0473372781</v>
          </cell>
          <cell r="J2046">
            <v>88000</v>
          </cell>
          <cell r="K2046">
            <v>95496.56</v>
          </cell>
          <cell r="L2046">
            <v>72000</v>
          </cell>
          <cell r="M2046">
            <v>93285.759999999995</v>
          </cell>
        </row>
        <row r="2047">
          <cell r="A2047">
            <v>1761000130</v>
          </cell>
          <cell r="B2047">
            <v>130</v>
          </cell>
          <cell r="C2047">
            <v>761000</v>
          </cell>
          <cell r="D2047">
            <v>1</v>
          </cell>
          <cell r="F2047" t="str">
            <v xml:space="preserve">שעות נוספות       </v>
          </cell>
          <cell r="G2047" t="str">
            <v>שכר</v>
          </cell>
          <cell r="H2047">
            <v>0</v>
          </cell>
          <cell r="I2047">
            <v>292570</v>
          </cell>
          <cell r="J2047">
            <v>292570</v>
          </cell>
          <cell r="K2047">
            <v>291871.8</v>
          </cell>
          <cell r="L2047">
            <v>340200</v>
          </cell>
          <cell r="M2047">
            <v>416359.86</v>
          </cell>
        </row>
        <row r="2048">
          <cell r="A2048">
            <v>1761000140</v>
          </cell>
          <cell r="B2048">
            <v>140</v>
          </cell>
          <cell r="C2048">
            <v>761000</v>
          </cell>
          <cell r="D2048">
            <v>1</v>
          </cell>
          <cell r="F2048" t="str">
            <v>השתתפות באחזקת רכב</v>
          </cell>
          <cell r="G2048" t="str">
            <v>שכר</v>
          </cell>
          <cell r="H2048">
            <v>0</v>
          </cell>
          <cell r="I2048">
            <v>171000</v>
          </cell>
          <cell r="J2048">
            <v>171000</v>
          </cell>
          <cell r="K2048">
            <v>169436.36</v>
          </cell>
          <cell r="L2048">
            <v>101000</v>
          </cell>
          <cell r="M2048">
            <v>246568.31</v>
          </cell>
        </row>
        <row r="2049">
          <cell r="A2049">
            <v>1761000210</v>
          </cell>
          <cell r="B2049">
            <v>210</v>
          </cell>
          <cell r="C2049">
            <v>761000</v>
          </cell>
          <cell r="D2049">
            <v>1</v>
          </cell>
          <cell r="F2049" t="str">
            <v>השכר הקובע - שעתיים</v>
          </cell>
          <cell r="G2049" t="str">
            <v>שכר</v>
          </cell>
          <cell r="H2049">
            <v>-0.38853948287910556</v>
          </cell>
          <cell r="I2049">
            <v>700000</v>
          </cell>
          <cell r="J2049">
            <v>1144800</v>
          </cell>
          <cell r="K2049">
            <v>287587.06</v>
          </cell>
          <cell r="L2049">
            <v>1264800</v>
          </cell>
          <cell r="M2049">
            <v>1007196.69</v>
          </cell>
        </row>
        <row r="2050">
          <cell r="A2050">
            <v>1761000350</v>
          </cell>
          <cell r="B2050">
            <v>350</v>
          </cell>
          <cell r="C2050">
            <v>761000</v>
          </cell>
          <cell r="D2050">
            <v>1</v>
          </cell>
          <cell r="F2050" t="str">
            <v>ליסינג 345-76-204</v>
          </cell>
          <cell r="G2050" t="str">
            <v>שכר</v>
          </cell>
          <cell r="I2050">
            <v>55940</v>
          </cell>
          <cell r="J2050">
            <v>0</v>
          </cell>
          <cell r="K2050">
            <v>0</v>
          </cell>
          <cell r="L2050">
            <v>0</v>
          </cell>
          <cell r="M2050">
            <v>0</v>
          </cell>
        </row>
        <row r="2051">
          <cell r="A2051">
            <v>1761000351</v>
          </cell>
          <cell r="B2051">
            <v>351</v>
          </cell>
          <cell r="C2051">
            <v>761000</v>
          </cell>
          <cell r="D2051">
            <v>1</v>
          </cell>
          <cell r="F2051" t="str">
            <v>הוצאות</v>
          </cell>
          <cell r="G2051" t="str">
            <v>שכר</v>
          </cell>
          <cell r="I2051">
            <v>33750</v>
          </cell>
          <cell r="J2051">
            <v>0</v>
          </cell>
          <cell r="K2051">
            <v>536.71</v>
          </cell>
          <cell r="L2051">
            <v>0</v>
          </cell>
          <cell r="M2051">
            <v>0</v>
          </cell>
        </row>
        <row r="2052">
          <cell r="A2052">
            <v>1761000410</v>
          </cell>
          <cell r="B2052">
            <v>410</v>
          </cell>
          <cell r="C2052">
            <v>761000</v>
          </cell>
          <cell r="D2052">
            <v>1</v>
          </cell>
          <cell r="F2052" t="str">
            <v>שכ"ד מנהלי רובע</v>
          </cell>
          <cell r="G2052" t="str">
            <v>קשיח</v>
          </cell>
          <cell r="I2052">
            <v>0</v>
          </cell>
          <cell r="J2052">
            <v>0</v>
          </cell>
          <cell r="K2052">
            <v>0</v>
          </cell>
          <cell r="L2052">
            <v>45600</v>
          </cell>
          <cell r="M2052">
            <v>0</v>
          </cell>
        </row>
        <row r="2053">
          <cell r="A2053">
            <v>1761000433</v>
          </cell>
          <cell r="B2053">
            <v>433</v>
          </cell>
          <cell r="C2053">
            <v>761000</v>
          </cell>
          <cell r="D2053">
            <v>1</v>
          </cell>
          <cell r="F2053" t="str">
            <v xml:space="preserve">חומרי נקיון       </v>
          </cell>
          <cell r="G2053" t="str">
            <v>גמיש</v>
          </cell>
          <cell r="H2053">
            <v>2.7037037037037037</v>
          </cell>
          <cell r="I2053">
            <v>3000</v>
          </cell>
          <cell r="J2053">
            <v>810</v>
          </cell>
          <cell r="K2053">
            <v>734.1</v>
          </cell>
          <cell r="L2053">
            <v>900</v>
          </cell>
          <cell r="M2053">
            <v>839.22</v>
          </cell>
        </row>
        <row r="2054">
          <cell r="A2054">
            <v>1761000450</v>
          </cell>
          <cell r="B2054">
            <v>450</v>
          </cell>
          <cell r="C2054">
            <v>761000</v>
          </cell>
          <cell r="D2054">
            <v>1</v>
          </cell>
          <cell r="F2054" t="str">
            <v>אחזקת תמי 4</v>
          </cell>
          <cell r="G2054" t="str">
            <v>קשיח</v>
          </cell>
          <cell r="H2054">
            <v>0</v>
          </cell>
          <cell r="I2054">
            <v>1500</v>
          </cell>
          <cell r="J2054">
            <v>1500</v>
          </cell>
          <cell r="K2054">
            <v>1068.97</v>
          </cell>
          <cell r="L2054">
            <v>1500</v>
          </cell>
          <cell r="M2054">
            <v>0</v>
          </cell>
        </row>
        <row r="2055">
          <cell r="A2055">
            <v>1761000471</v>
          </cell>
          <cell r="B2055">
            <v>471</v>
          </cell>
          <cell r="C2055">
            <v>761000</v>
          </cell>
          <cell r="D2055">
            <v>1</v>
          </cell>
          <cell r="F2055" t="str">
            <v xml:space="preserve">מכשירי כתיבה      </v>
          </cell>
          <cell r="G2055" t="str">
            <v>גמיש</v>
          </cell>
          <cell r="H2055">
            <v>2.8806584362139898E-2</v>
          </cell>
          <cell r="I2055">
            <v>5000</v>
          </cell>
          <cell r="J2055">
            <v>4860</v>
          </cell>
          <cell r="K2055">
            <v>2552.9899999999998</v>
          </cell>
          <cell r="L2055">
            <v>5400</v>
          </cell>
          <cell r="M2055">
            <v>4277.82</v>
          </cell>
        </row>
        <row r="2056">
          <cell r="A2056">
            <v>1761000492</v>
          </cell>
          <cell r="B2056">
            <v>492</v>
          </cell>
          <cell r="C2056">
            <v>761000</v>
          </cell>
          <cell r="D2056">
            <v>1</v>
          </cell>
          <cell r="F2056" t="str">
            <v xml:space="preserve">השתתפות בעזר 092  </v>
          </cell>
          <cell r="G2056" t="str">
            <v>קשיח</v>
          </cell>
          <cell r="H2056">
            <v>5.5865921787709549E-2</v>
          </cell>
          <cell r="I2056">
            <v>132300</v>
          </cell>
          <cell r="J2056">
            <v>125300</v>
          </cell>
          <cell r="K2056">
            <v>49509</v>
          </cell>
          <cell r="L2056">
            <v>102000</v>
          </cell>
          <cell r="M2056">
            <v>111687</v>
          </cell>
        </row>
        <row r="2057">
          <cell r="A2057">
            <v>1761000511</v>
          </cell>
          <cell r="B2057">
            <v>511</v>
          </cell>
          <cell r="C2057">
            <v>761000</v>
          </cell>
          <cell r="D2057">
            <v>1</v>
          </cell>
          <cell r="F2057" t="str">
            <v xml:space="preserve">אירוח וכיבוד      </v>
          </cell>
          <cell r="G2057" t="str">
            <v>גמיש</v>
          </cell>
          <cell r="H2057">
            <v>2.7735849056603774</v>
          </cell>
          <cell r="I2057">
            <v>18000</v>
          </cell>
          <cell r="J2057">
            <v>4770</v>
          </cell>
          <cell r="K2057">
            <v>279.61</v>
          </cell>
          <cell r="L2057">
            <v>5200</v>
          </cell>
          <cell r="M2057">
            <v>4789.97</v>
          </cell>
        </row>
        <row r="2058">
          <cell r="A2058">
            <v>1761000563</v>
          </cell>
          <cell r="B2058">
            <v>563</v>
          </cell>
          <cell r="C2058">
            <v>761000</v>
          </cell>
          <cell r="D2058">
            <v>1</v>
          </cell>
          <cell r="F2058" t="str">
            <v>פעילות שיל"תים</v>
          </cell>
          <cell r="G2058" t="str">
            <v>גמיש</v>
          </cell>
          <cell r="I2058">
            <v>300000</v>
          </cell>
          <cell r="J2058">
            <v>0</v>
          </cell>
          <cell r="K2058">
            <v>0</v>
          </cell>
          <cell r="L2058">
            <v>0</v>
          </cell>
          <cell r="M2058">
            <v>0</v>
          </cell>
        </row>
        <row r="2059">
          <cell r="A2059">
            <v>1761000564</v>
          </cell>
          <cell r="B2059">
            <v>564</v>
          </cell>
          <cell r="C2059">
            <v>761000</v>
          </cell>
          <cell r="D2059">
            <v>1</v>
          </cell>
          <cell r="F2059" t="str">
            <v>בנק מסרונים</v>
          </cell>
          <cell r="G2059" t="str">
            <v>גמיש</v>
          </cell>
          <cell r="H2059">
            <v>-1</v>
          </cell>
          <cell r="I2059">
            <v>0</v>
          </cell>
          <cell r="J2059">
            <v>8460</v>
          </cell>
          <cell r="K2059">
            <v>0</v>
          </cell>
          <cell r="L2059">
            <v>9400</v>
          </cell>
          <cell r="M2059">
            <v>0</v>
          </cell>
        </row>
        <row r="2060">
          <cell r="A2060">
            <v>1761000565</v>
          </cell>
          <cell r="B2060">
            <v>565</v>
          </cell>
          <cell r="C2060">
            <v>761000</v>
          </cell>
          <cell r="D2060">
            <v>1</v>
          </cell>
          <cell r="F2060" t="str">
            <v>דמי שימוש חודשיים במע' מוקד</v>
          </cell>
          <cell r="G2060" t="str">
            <v>גמיש</v>
          </cell>
          <cell r="H2060">
            <v>1.8268942797244669E-2</v>
          </cell>
          <cell r="I2060">
            <v>340000</v>
          </cell>
          <cell r="J2060">
            <v>333900</v>
          </cell>
          <cell r="K2060">
            <v>174048</v>
          </cell>
          <cell r="L2060">
            <v>351000</v>
          </cell>
          <cell r="M2060">
            <v>283409</v>
          </cell>
        </row>
        <row r="2061">
          <cell r="A2061">
            <v>1761000571</v>
          </cell>
          <cell r="B2061">
            <v>571</v>
          </cell>
          <cell r="C2061">
            <v>761000</v>
          </cell>
          <cell r="D2061">
            <v>1</v>
          </cell>
          <cell r="F2061" t="str">
            <v xml:space="preserve">מיכון וענ"א       </v>
          </cell>
          <cell r="G2061" t="str">
            <v>קשיח</v>
          </cell>
          <cell r="H2061">
            <v>0</v>
          </cell>
          <cell r="I2061">
            <v>189000</v>
          </cell>
          <cell r="J2061">
            <v>189000</v>
          </cell>
          <cell r="K2061">
            <v>94500</v>
          </cell>
          <cell r="L2061">
            <v>152100</v>
          </cell>
          <cell r="M2061">
            <v>152100</v>
          </cell>
        </row>
        <row r="2062">
          <cell r="A2062">
            <v>1761000596</v>
          </cell>
          <cell r="B2062">
            <v>596</v>
          </cell>
          <cell r="C2062">
            <v>761000</v>
          </cell>
          <cell r="D2062">
            <v>1</v>
          </cell>
          <cell r="F2062" t="str">
            <v xml:space="preserve">השתתפות בעזר 096  </v>
          </cell>
          <cell r="G2062" t="str">
            <v>קשיח</v>
          </cell>
          <cell r="H2062">
            <v>5.2173913043478182E-2</v>
          </cell>
          <cell r="I2062">
            <v>121000</v>
          </cell>
          <cell r="J2062">
            <v>115000</v>
          </cell>
          <cell r="K2062">
            <v>46724</v>
          </cell>
          <cell r="L2062">
            <v>102000</v>
          </cell>
          <cell r="M2062">
            <v>95339</v>
          </cell>
        </row>
        <row r="2063">
          <cell r="A2063">
            <v>1761000757</v>
          </cell>
          <cell r="B2063">
            <v>757</v>
          </cell>
          <cell r="C2063">
            <v>761000</v>
          </cell>
          <cell r="D2063">
            <v>1</v>
          </cell>
          <cell r="F2063" t="str">
            <v>תשאולים והודעות</v>
          </cell>
          <cell r="G2063" t="str">
            <v>גמיש</v>
          </cell>
          <cell r="H2063">
            <v>-1</v>
          </cell>
          <cell r="I2063">
            <v>0</v>
          </cell>
          <cell r="J2063">
            <v>4050</v>
          </cell>
          <cell r="K2063">
            <v>0</v>
          </cell>
          <cell r="L2063">
            <v>4500</v>
          </cell>
          <cell r="M2063">
            <v>0</v>
          </cell>
        </row>
        <row r="2064">
          <cell r="A2064">
            <v>1761000785</v>
          </cell>
          <cell r="B2064">
            <v>785</v>
          </cell>
          <cell r="C2064">
            <v>761000</v>
          </cell>
          <cell r="D2064">
            <v>1</v>
          </cell>
          <cell r="F2064" t="str">
            <v>העשרת צוות</v>
          </cell>
          <cell r="G2064" t="str">
            <v>גמיש</v>
          </cell>
          <cell r="I2064">
            <v>15000</v>
          </cell>
          <cell r="J2064">
            <v>0</v>
          </cell>
          <cell r="K2064">
            <v>0</v>
          </cell>
          <cell r="L2064">
            <v>0</v>
          </cell>
          <cell r="M2064">
            <v>0</v>
          </cell>
        </row>
        <row r="2065">
          <cell r="A2065" t="e">
            <v>#VALUE!</v>
          </cell>
          <cell r="B2065" t="str">
            <v>761000  סך הכל</v>
          </cell>
          <cell r="F2065" t="str">
            <v>מוקד ויעוץ לאזרחים</v>
          </cell>
          <cell r="H2065">
            <v>0.11420888020234288</v>
          </cell>
          <cell r="I2065">
            <v>6128839.6506186118</v>
          </cell>
          <cell r="J2065">
            <v>5500620</v>
          </cell>
          <cell r="K2065">
            <v>3233414.11</v>
          </cell>
          <cell r="L2065">
            <v>5278100</v>
          </cell>
          <cell r="M2065">
            <v>5370485.5299999993</v>
          </cell>
        </row>
        <row r="2066">
          <cell r="A2066">
            <v>17620000</v>
          </cell>
          <cell r="B2066">
            <v>0</v>
          </cell>
          <cell r="C2066">
            <v>762000</v>
          </cell>
          <cell r="D2066">
            <v>1</v>
          </cell>
          <cell r="F2066" t="str">
            <v>אגף שירות</v>
          </cell>
          <cell r="G2066" t="str">
            <v xml:space="preserve"> </v>
          </cell>
        </row>
        <row r="2067">
          <cell r="A2067">
            <v>1762000119</v>
          </cell>
          <cell r="B2067">
            <v>119</v>
          </cell>
          <cell r="C2067">
            <v>762000</v>
          </cell>
          <cell r="D2067">
            <v>1</v>
          </cell>
          <cell r="F2067" t="str">
            <v xml:space="preserve">השכר הקובע-צוברת  </v>
          </cell>
          <cell r="G2067" t="str">
            <v>שכר</v>
          </cell>
          <cell r="I2067">
            <v>659099.625</v>
          </cell>
          <cell r="K2067">
            <v>0</v>
          </cell>
        </row>
        <row r="2068">
          <cell r="A2068">
            <v>1762000122</v>
          </cell>
          <cell r="B2068">
            <v>122</v>
          </cell>
          <cell r="C2068">
            <v>762000</v>
          </cell>
          <cell r="D2068">
            <v>1</v>
          </cell>
          <cell r="F2068" t="str">
            <v xml:space="preserve">ביגוד             </v>
          </cell>
          <cell r="G2068" t="str">
            <v>שכר</v>
          </cell>
          <cell r="I2068">
            <v>2540</v>
          </cell>
          <cell r="K2068">
            <v>0</v>
          </cell>
        </row>
        <row r="2069">
          <cell r="A2069">
            <v>1762000126</v>
          </cell>
          <cell r="B2069">
            <v>126</v>
          </cell>
          <cell r="C2069">
            <v>762000</v>
          </cell>
          <cell r="D2069">
            <v>1</v>
          </cell>
          <cell r="F2069" t="str">
            <v xml:space="preserve">דמי הבראה         </v>
          </cell>
          <cell r="G2069" t="str">
            <v>שכר</v>
          </cell>
          <cell r="I2069">
            <v>5790</v>
          </cell>
          <cell r="K2069">
            <v>0</v>
          </cell>
        </row>
        <row r="2070">
          <cell r="A2070">
            <v>1762000140</v>
          </cell>
          <cell r="B2070">
            <v>140</v>
          </cell>
          <cell r="C2070">
            <v>762000</v>
          </cell>
          <cell r="D2070">
            <v>1</v>
          </cell>
          <cell r="F2070" t="str">
            <v>השתתפות באחזקת רכב</v>
          </cell>
          <cell r="G2070" t="str">
            <v>שכר</v>
          </cell>
          <cell r="I2070">
            <v>24350</v>
          </cell>
          <cell r="K2070">
            <v>0</v>
          </cell>
        </row>
        <row r="2071">
          <cell r="A2071">
            <v>1762000350</v>
          </cell>
          <cell r="B2071">
            <v>350</v>
          </cell>
          <cell r="C2071">
            <v>762000</v>
          </cell>
          <cell r="D2071">
            <v>1</v>
          </cell>
          <cell r="F2071" t="str">
            <v>ליסינג</v>
          </cell>
          <cell r="G2071" t="str">
            <v>שכר</v>
          </cell>
          <cell r="I2071">
            <v>0</v>
          </cell>
          <cell r="K2071">
            <v>0</v>
          </cell>
        </row>
        <row r="2072">
          <cell r="A2072">
            <v>1762000351</v>
          </cell>
          <cell r="B2072">
            <v>351</v>
          </cell>
          <cell r="C2072">
            <v>762000</v>
          </cell>
          <cell r="D2072">
            <v>1</v>
          </cell>
          <cell r="F2072" t="str">
            <v>הוצאות</v>
          </cell>
          <cell r="G2072" t="str">
            <v>שכר</v>
          </cell>
          <cell r="I2072">
            <v>0</v>
          </cell>
          <cell r="K2072">
            <v>0</v>
          </cell>
        </row>
        <row r="2073">
          <cell r="A2073">
            <v>1762000511</v>
          </cell>
          <cell r="B2073">
            <v>511</v>
          </cell>
          <cell r="C2073">
            <v>762000</v>
          </cell>
          <cell r="D2073">
            <v>1</v>
          </cell>
          <cell r="F2073" t="str">
            <v xml:space="preserve">אירוח וכיבוד      </v>
          </cell>
          <cell r="G2073" t="str">
            <v>גמיש</v>
          </cell>
          <cell r="I2073">
            <v>2200</v>
          </cell>
          <cell r="K2073">
            <v>0</v>
          </cell>
        </row>
        <row r="2074">
          <cell r="A2074">
            <v>1762000570</v>
          </cell>
          <cell r="B2074">
            <v>570</v>
          </cell>
          <cell r="C2074">
            <v>762000</v>
          </cell>
          <cell r="D2074">
            <v>1</v>
          </cell>
          <cell r="F2074" t="str">
            <v>מע' שרות וניתוח נתונים</v>
          </cell>
          <cell r="G2074" t="str">
            <v>קשיח</v>
          </cell>
          <cell r="I2074">
            <v>70000</v>
          </cell>
          <cell r="K2074">
            <v>0</v>
          </cell>
        </row>
        <row r="2075">
          <cell r="A2075">
            <v>1762000580</v>
          </cell>
          <cell r="B2075">
            <v>580</v>
          </cell>
          <cell r="C2075">
            <v>762000</v>
          </cell>
          <cell r="D2075">
            <v>1</v>
          </cell>
          <cell r="F2075" t="str">
            <v>יועצים</v>
          </cell>
          <cell r="G2075" t="str">
            <v>גמיש</v>
          </cell>
          <cell r="I2075">
            <v>70000</v>
          </cell>
          <cell r="K2075">
            <v>0</v>
          </cell>
        </row>
        <row r="2076">
          <cell r="A2076">
            <v>1762000782</v>
          </cell>
          <cell r="B2076">
            <v>782</v>
          </cell>
          <cell r="C2076">
            <v>762000</v>
          </cell>
          <cell r="D2076">
            <v>1</v>
          </cell>
          <cell r="F2076" t="str">
            <v>עיצוב תהליכי שרות</v>
          </cell>
          <cell r="G2076" t="str">
            <v>גמיש</v>
          </cell>
          <cell r="I2076">
            <v>50000</v>
          </cell>
          <cell r="K2076">
            <v>0</v>
          </cell>
        </row>
        <row r="2077">
          <cell r="A2077">
            <v>1762000784</v>
          </cell>
          <cell r="B2077">
            <v>784</v>
          </cell>
          <cell r="C2077">
            <v>762000</v>
          </cell>
          <cell r="D2077">
            <v>1</v>
          </cell>
          <cell r="F2077" t="str">
            <v>תוכנית הכשרה למוקד + אחמ"שים</v>
          </cell>
          <cell r="G2077" t="str">
            <v>גמיש</v>
          </cell>
          <cell r="I2077">
            <v>60000</v>
          </cell>
          <cell r="K2077">
            <v>0</v>
          </cell>
        </row>
        <row r="2078">
          <cell r="A2078">
            <v>1762000785</v>
          </cell>
          <cell r="B2078">
            <v>785</v>
          </cell>
          <cell r="C2078">
            <v>762000</v>
          </cell>
          <cell r="D2078">
            <v>1</v>
          </cell>
          <cell r="F2078" t="str">
            <v xml:space="preserve">סדנאות שרות </v>
          </cell>
          <cell r="G2078" t="str">
            <v>גמיש</v>
          </cell>
          <cell r="I2078">
            <v>100000</v>
          </cell>
          <cell r="K2078">
            <v>0</v>
          </cell>
        </row>
        <row r="2079">
          <cell r="A2079" t="e">
            <v>#VALUE!</v>
          </cell>
          <cell r="B2079" t="str">
            <v>סך הכל 762000</v>
          </cell>
          <cell r="F2079" t="str">
            <v>אגף שירות</v>
          </cell>
          <cell r="H2079" t="e">
            <v>#DIV/0!</v>
          </cell>
          <cell r="I2079">
            <v>1043979.625</v>
          </cell>
          <cell r="J2079">
            <v>0</v>
          </cell>
          <cell r="K2079">
            <v>0</v>
          </cell>
          <cell r="L2079">
            <v>0</v>
          </cell>
          <cell r="M2079">
            <v>0</v>
          </cell>
        </row>
        <row r="2080">
          <cell r="A2080">
            <v>17640000</v>
          </cell>
          <cell r="B2080">
            <v>0</v>
          </cell>
          <cell r="C2080">
            <v>764000</v>
          </cell>
          <cell r="D2080">
            <v>1</v>
          </cell>
          <cell r="F2080" t="str">
            <v xml:space="preserve">תרבות הדיור       </v>
          </cell>
          <cell r="G2080" t="str">
            <v xml:space="preserve"> </v>
          </cell>
        </row>
        <row r="2081">
          <cell r="A2081">
            <v>1764000119</v>
          </cell>
          <cell r="B2081">
            <v>119</v>
          </cell>
          <cell r="C2081">
            <v>764000</v>
          </cell>
          <cell r="D2081">
            <v>1</v>
          </cell>
          <cell r="F2081" t="str">
            <v xml:space="preserve">השכר הקובע-צוברת  </v>
          </cell>
          <cell r="G2081" t="str">
            <v>שכר</v>
          </cell>
          <cell r="H2081">
            <v>2.4990250243744017E-2</v>
          </cell>
          <cell r="I2081">
            <v>315389.5</v>
          </cell>
          <cell r="J2081">
            <v>307700</v>
          </cell>
          <cell r="K2081">
            <v>182576.4</v>
          </cell>
          <cell r="L2081">
            <v>301700</v>
          </cell>
          <cell r="M2081">
            <v>280904.28999999998</v>
          </cell>
        </row>
        <row r="2082">
          <cell r="A2082">
            <v>1764000122</v>
          </cell>
          <cell r="B2082">
            <v>122</v>
          </cell>
          <cell r="C2082">
            <v>764000</v>
          </cell>
          <cell r="D2082">
            <v>1</v>
          </cell>
          <cell r="F2082" t="str">
            <v xml:space="preserve">ביגוד             </v>
          </cell>
          <cell r="G2082" t="str">
            <v>שכר</v>
          </cell>
          <cell r="H2082">
            <v>0</v>
          </cell>
          <cell r="I2082">
            <v>5600</v>
          </cell>
          <cell r="J2082">
            <v>5600</v>
          </cell>
          <cell r="K2082">
            <v>4958</v>
          </cell>
          <cell r="L2082">
            <v>5600</v>
          </cell>
          <cell r="M2082">
            <v>4810</v>
          </cell>
        </row>
        <row r="2083">
          <cell r="A2083">
            <v>1764000126</v>
          </cell>
          <cell r="B2083">
            <v>126</v>
          </cell>
          <cell r="C2083">
            <v>764000</v>
          </cell>
          <cell r="D2083">
            <v>1</v>
          </cell>
          <cell r="F2083" t="str">
            <v xml:space="preserve">דמי הבראה         </v>
          </cell>
          <cell r="G2083" t="str">
            <v>שכר</v>
          </cell>
          <cell r="H2083">
            <v>0</v>
          </cell>
          <cell r="I2083">
            <v>12200</v>
          </cell>
          <cell r="J2083">
            <v>12200</v>
          </cell>
          <cell r="K2083">
            <v>11785</v>
          </cell>
          <cell r="L2083">
            <v>15000</v>
          </cell>
          <cell r="M2083">
            <v>11785</v>
          </cell>
        </row>
        <row r="2084">
          <cell r="A2084">
            <v>1764000140</v>
          </cell>
          <cell r="B2084">
            <v>140</v>
          </cell>
          <cell r="C2084">
            <v>764000</v>
          </cell>
          <cell r="D2084">
            <v>1</v>
          </cell>
          <cell r="F2084" t="str">
            <v>השתתפות באחזקת רכב</v>
          </cell>
          <cell r="G2084" t="str">
            <v>שכר</v>
          </cell>
          <cell r="H2084">
            <v>0</v>
          </cell>
          <cell r="I2084">
            <v>42400</v>
          </cell>
          <cell r="J2084">
            <v>42400</v>
          </cell>
          <cell r="K2084">
            <v>30457.99</v>
          </cell>
          <cell r="L2084">
            <v>40200</v>
          </cell>
          <cell r="M2084">
            <v>41609.599999999999</v>
          </cell>
        </row>
        <row r="2085">
          <cell r="A2085">
            <v>1764000544</v>
          </cell>
          <cell r="B2085">
            <v>544</v>
          </cell>
          <cell r="C2085">
            <v>764000</v>
          </cell>
          <cell r="D2085">
            <v>1</v>
          </cell>
          <cell r="F2085" t="str">
            <v xml:space="preserve">הוצאות דאר        </v>
          </cell>
          <cell r="G2085" t="str">
            <v>קשיח</v>
          </cell>
          <cell r="H2085">
            <v>0</v>
          </cell>
          <cell r="I2085">
            <v>5400</v>
          </cell>
          <cell r="J2085">
            <v>5400</v>
          </cell>
          <cell r="K2085">
            <v>3311.96</v>
          </cell>
          <cell r="L2085">
            <v>5400</v>
          </cell>
          <cell r="M2085">
            <v>5388.88</v>
          </cell>
        </row>
        <row r="2086">
          <cell r="A2086">
            <v>1764000571</v>
          </cell>
          <cell r="B2086">
            <v>571</v>
          </cell>
          <cell r="C2086">
            <v>764000</v>
          </cell>
          <cell r="D2086">
            <v>1</v>
          </cell>
          <cell r="F2086" t="str">
            <v xml:space="preserve">מיכון וענ"א       </v>
          </cell>
          <cell r="G2086" t="str">
            <v>קשיח</v>
          </cell>
          <cell r="H2086">
            <v>0</v>
          </cell>
          <cell r="I2086">
            <v>46100</v>
          </cell>
          <cell r="J2086">
            <v>46100</v>
          </cell>
          <cell r="K2086">
            <v>23050</v>
          </cell>
          <cell r="L2086">
            <v>39600</v>
          </cell>
          <cell r="M2086">
            <v>39600</v>
          </cell>
        </row>
        <row r="2087">
          <cell r="A2087" t="e">
            <v>#VALUE!</v>
          </cell>
          <cell r="B2087" t="str">
            <v>764000  סך הכל</v>
          </cell>
          <cell r="F2087" t="str">
            <v xml:space="preserve">תרבות הדיור       </v>
          </cell>
          <cell r="H2087">
            <v>1.8334525512637034E-2</v>
          </cell>
          <cell r="I2087">
            <v>427089.5</v>
          </cell>
          <cell r="J2087">
            <v>419400</v>
          </cell>
          <cell r="K2087">
            <v>256139.34999999998</v>
          </cell>
          <cell r="L2087">
            <v>407500</v>
          </cell>
          <cell r="M2087">
            <v>384097.76999999996</v>
          </cell>
        </row>
        <row r="2088">
          <cell r="A2088">
            <v>17650000</v>
          </cell>
          <cell r="B2088">
            <v>0</v>
          </cell>
          <cell r="C2088">
            <v>765000</v>
          </cell>
          <cell r="D2088">
            <v>1</v>
          </cell>
          <cell r="F2088" t="str">
            <v>השת' במוסדות+שונות</v>
          </cell>
          <cell r="G2088" t="str">
            <v xml:space="preserve"> </v>
          </cell>
        </row>
        <row r="2089">
          <cell r="A2089">
            <v>1765000811</v>
          </cell>
          <cell r="B2089">
            <v>811</v>
          </cell>
          <cell r="C2089">
            <v>765000</v>
          </cell>
          <cell r="D2089">
            <v>1</v>
          </cell>
          <cell r="F2089" t="str">
            <v>הקצבה למרכז השלטון</v>
          </cell>
          <cell r="G2089" t="str">
            <v>קשיח</v>
          </cell>
          <cell r="H2089">
            <v>0</v>
          </cell>
          <cell r="I2089">
            <v>525000</v>
          </cell>
          <cell r="J2089">
            <v>525000</v>
          </cell>
          <cell r="K2089">
            <v>276992.75</v>
          </cell>
          <cell r="L2089">
            <v>510000</v>
          </cell>
          <cell r="M2089">
            <v>525400</v>
          </cell>
        </row>
        <row r="2090">
          <cell r="A2090" t="e">
            <v>#VALUE!</v>
          </cell>
          <cell r="B2090" t="str">
            <v>765000  סך הכל</v>
          </cell>
          <cell r="F2090" t="str">
            <v>השת' במוסדות+שונות</v>
          </cell>
          <cell r="H2090">
            <v>0</v>
          </cell>
          <cell r="I2090">
            <v>525000</v>
          </cell>
          <cell r="J2090">
            <v>525000</v>
          </cell>
          <cell r="K2090">
            <v>276992.75</v>
          </cell>
          <cell r="L2090">
            <v>510000</v>
          </cell>
          <cell r="M2090">
            <v>525400</v>
          </cell>
        </row>
        <row r="2091">
          <cell r="A2091">
            <v>17670000</v>
          </cell>
          <cell r="B2091">
            <v>0</v>
          </cell>
          <cell r="C2091">
            <v>767000</v>
          </cell>
          <cell r="D2091">
            <v>1</v>
          </cell>
          <cell r="F2091" t="str">
            <v>בטוח אלמנטרי לרשות</v>
          </cell>
          <cell r="G2091" t="str">
            <v xml:space="preserve"> </v>
          </cell>
        </row>
        <row r="2092">
          <cell r="A2092">
            <v>1767000119</v>
          </cell>
          <cell r="B2092">
            <v>119</v>
          </cell>
          <cell r="C2092">
            <v>767000</v>
          </cell>
          <cell r="D2092">
            <v>1</v>
          </cell>
          <cell r="F2092" t="str">
            <v xml:space="preserve">השכר הקובע-צוברת  </v>
          </cell>
          <cell r="G2092" t="str">
            <v>שכר</v>
          </cell>
          <cell r="H2092">
            <v>2.5008957362952389E-2</v>
          </cell>
          <cell r="I2092">
            <v>572160</v>
          </cell>
          <cell r="J2092">
            <v>558200</v>
          </cell>
          <cell r="K2092">
            <v>309013.37</v>
          </cell>
          <cell r="L2092">
            <v>370800</v>
          </cell>
          <cell r="M2092">
            <v>421257.32</v>
          </cell>
        </row>
        <row r="2093">
          <cell r="A2093">
            <v>1767000122</v>
          </cell>
          <cell r="B2093">
            <v>122</v>
          </cell>
          <cell r="C2093">
            <v>767000</v>
          </cell>
          <cell r="D2093">
            <v>1</v>
          </cell>
          <cell r="F2093" t="str">
            <v xml:space="preserve">ביגוד             </v>
          </cell>
          <cell r="G2093" t="str">
            <v>שכר</v>
          </cell>
          <cell r="H2093">
            <v>0</v>
          </cell>
          <cell r="I2093">
            <v>10000</v>
          </cell>
          <cell r="J2093">
            <v>10000</v>
          </cell>
          <cell r="K2093">
            <v>4958</v>
          </cell>
          <cell r="L2093">
            <v>2300</v>
          </cell>
          <cell r="M2093">
            <v>4810</v>
          </cell>
        </row>
        <row r="2094">
          <cell r="A2094">
            <v>1767000126</v>
          </cell>
          <cell r="B2094">
            <v>126</v>
          </cell>
          <cell r="C2094">
            <v>767000</v>
          </cell>
          <cell r="D2094">
            <v>1</v>
          </cell>
          <cell r="F2094" t="str">
            <v xml:space="preserve">דמי הבראה         </v>
          </cell>
          <cell r="G2094" t="str">
            <v>שכר</v>
          </cell>
          <cell r="H2094">
            <v>0</v>
          </cell>
          <cell r="I2094">
            <v>20000</v>
          </cell>
          <cell r="J2094">
            <v>20000</v>
          </cell>
          <cell r="K2094">
            <v>10842.2</v>
          </cell>
          <cell r="L2094">
            <v>20000</v>
          </cell>
          <cell r="M2094">
            <v>10842.2</v>
          </cell>
        </row>
        <row r="2095">
          <cell r="A2095">
            <v>1767000140</v>
          </cell>
          <cell r="B2095">
            <v>140</v>
          </cell>
          <cell r="C2095">
            <v>767000</v>
          </cell>
          <cell r="D2095">
            <v>1</v>
          </cell>
          <cell r="F2095" t="str">
            <v>השתתפות באחזקת רכב</v>
          </cell>
          <cell r="G2095" t="str">
            <v>שכר</v>
          </cell>
          <cell r="H2095">
            <v>0</v>
          </cell>
          <cell r="I2095">
            <v>65500</v>
          </cell>
          <cell r="J2095">
            <v>65500</v>
          </cell>
          <cell r="K2095">
            <v>43839.18</v>
          </cell>
          <cell r="L2095">
            <v>65500</v>
          </cell>
          <cell r="M2095">
            <v>62469.13</v>
          </cell>
        </row>
        <row r="2096">
          <cell r="A2096">
            <v>1767000440</v>
          </cell>
          <cell r="B2096">
            <v>440</v>
          </cell>
          <cell r="C2096">
            <v>767000</v>
          </cell>
          <cell r="D2096">
            <v>1</v>
          </cell>
          <cell r="F2096" t="str">
            <v xml:space="preserve">קופת ביטוח        </v>
          </cell>
          <cell r="G2096" t="str">
            <v>קשיח</v>
          </cell>
          <cell r="H2096">
            <v>0</v>
          </cell>
          <cell r="I2096">
            <v>200000</v>
          </cell>
          <cell r="J2096">
            <v>200000</v>
          </cell>
          <cell r="K2096">
            <v>0</v>
          </cell>
          <cell r="L2096">
            <v>200000</v>
          </cell>
          <cell r="M2096">
            <v>53826.46</v>
          </cell>
        </row>
        <row r="2097">
          <cell r="A2097">
            <v>1767000441</v>
          </cell>
          <cell r="B2097">
            <v>441</v>
          </cell>
          <cell r="C2097">
            <v>767000</v>
          </cell>
          <cell r="D2097">
            <v>1</v>
          </cell>
          <cell r="F2097" t="str">
            <v xml:space="preserve">בטוח תושבים צד ג' </v>
          </cell>
          <cell r="G2097" t="str">
            <v>קשיח</v>
          </cell>
          <cell r="H2097">
            <v>0</v>
          </cell>
          <cell r="I2097">
            <v>250000</v>
          </cell>
          <cell r="J2097">
            <v>250000</v>
          </cell>
          <cell r="K2097">
            <v>0</v>
          </cell>
          <cell r="L2097">
            <v>250000</v>
          </cell>
          <cell r="M2097">
            <v>0</v>
          </cell>
        </row>
        <row r="2098">
          <cell r="A2098">
            <v>1767000442</v>
          </cell>
          <cell r="B2098">
            <v>442</v>
          </cell>
          <cell r="C2098">
            <v>767000</v>
          </cell>
          <cell r="D2098">
            <v>1</v>
          </cell>
          <cell r="F2098" t="str">
            <v>השת' עצמית - גוף</v>
          </cell>
          <cell r="G2098" t="str">
            <v>קשיח</v>
          </cell>
          <cell r="H2098">
            <v>0</v>
          </cell>
          <cell r="I2098">
            <v>4800000</v>
          </cell>
          <cell r="J2098">
            <v>4800000</v>
          </cell>
          <cell r="K2098">
            <v>2891012.72</v>
          </cell>
          <cell r="L2098">
            <v>5800000</v>
          </cell>
          <cell r="M2098">
            <v>4663047</v>
          </cell>
        </row>
        <row r="2099">
          <cell r="A2099">
            <v>1767000443</v>
          </cell>
          <cell r="B2099">
            <v>443</v>
          </cell>
          <cell r="C2099">
            <v>767000</v>
          </cell>
          <cell r="D2099">
            <v>1</v>
          </cell>
          <cell r="F2099" t="str">
            <v>השת' עצמית - רכוש</v>
          </cell>
          <cell r="G2099" t="str">
            <v>קשיח</v>
          </cell>
          <cell r="H2099">
            <v>0</v>
          </cell>
          <cell r="I2099">
            <v>1800000</v>
          </cell>
          <cell r="J2099">
            <v>1800000</v>
          </cell>
          <cell r="K2099">
            <v>425403.98</v>
          </cell>
          <cell r="L2099">
            <v>1800000</v>
          </cell>
          <cell r="M2099">
            <v>1197808.71</v>
          </cell>
        </row>
        <row r="2100">
          <cell r="A2100">
            <v>1767000444</v>
          </cell>
          <cell r="B2100">
            <v>444</v>
          </cell>
          <cell r="C2100">
            <v>767000</v>
          </cell>
          <cell r="D2100">
            <v>1</v>
          </cell>
          <cell r="F2100" t="str">
            <v xml:space="preserve">ביטוח חבות מעביד  </v>
          </cell>
          <cell r="G2100" t="str">
            <v>קשיח</v>
          </cell>
          <cell r="H2100">
            <v>-0.11111111111111116</v>
          </cell>
          <cell r="I2100">
            <v>200000</v>
          </cell>
          <cell r="J2100">
            <v>225000</v>
          </cell>
          <cell r="K2100">
            <v>30396</v>
          </cell>
          <cell r="L2100">
            <v>40000</v>
          </cell>
          <cell r="M2100">
            <v>18579</v>
          </cell>
        </row>
        <row r="2101">
          <cell r="A2101">
            <v>1767000445</v>
          </cell>
          <cell r="B2101">
            <v>445</v>
          </cell>
          <cell r="C2101">
            <v>767000</v>
          </cell>
          <cell r="D2101">
            <v>1</v>
          </cell>
          <cell r="F2101" t="str">
            <v>ביטוח חבות מקצועית</v>
          </cell>
          <cell r="G2101" t="str">
            <v>קשיח</v>
          </cell>
          <cell r="H2101">
            <v>-0.19999999999999996</v>
          </cell>
          <cell r="I2101">
            <v>200000</v>
          </cell>
          <cell r="J2101">
            <v>250000</v>
          </cell>
          <cell r="K2101">
            <v>0</v>
          </cell>
          <cell r="L2101">
            <v>26200</v>
          </cell>
          <cell r="M2101">
            <v>0</v>
          </cell>
        </row>
        <row r="2102">
          <cell r="A2102">
            <v>1767000447</v>
          </cell>
          <cell r="B2102">
            <v>447</v>
          </cell>
          <cell r="C2102">
            <v>767000</v>
          </cell>
          <cell r="D2102">
            <v>1</v>
          </cell>
          <cell r="F2102" t="str">
            <v>נאמנות עובדים</v>
          </cell>
          <cell r="G2102" t="str">
            <v>קשיח</v>
          </cell>
          <cell r="H2102">
            <v>0</v>
          </cell>
          <cell r="I2102">
            <v>17000</v>
          </cell>
          <cell r="J2102">
            <v>17000</v>
          </cell>
          <cell r="K2102">
            <v>16690</v>
          </cell>
          <cell r="L2102">
            <v>17000</v>
          </cell>
          <cell r="M2102">
            <v>16690</v>
          </cell>
        </row>
        <row r="2103">
          <cell r="A2103">
            <v>1767000448</v>
          </cell>
          <cell r="B2103">
            <v>448</v>
          </cell>
          <cell r="C2103">
            <v>767000</v>
          </cell>
          <cell r="D2103">
            <v>1</v>
          </cell>
          <cell r="F2103" t="str">
            <v>ביטוח אש צד ג' ותאונות אישיות</v>
          </cell>
          <cell r="G2103" t="str">
            <v>קשיח</v>
          </cell>
          <cell r="H2103">
            <v>-0.22948124695567462</v>
          </cell>
          <cell r="I2103">
            <v>2531000</v>
          </cell>
          <cell r="J2103">
            <v>3284800</v>
          </cell>
          <cell r="K2103">
            <v>1253401.3999999999</v>
          </cell>
          <cell r="L2103">
            <v>3439400</v>
          </cell>
          <cell r="M2103">
            <v>3439399.6</v>
          </cell>
        </row>
        <row r="2104">
          <cell r="A2104">
            <v>1767000449</v>
          </cell>
          <cell r="B2104">
            <v>449</v>
          </cell>
          <cell r="C2104">
            <v>767000</v>
          </cell>
          <cell r="D2104">
            <v>1</v>
          </cell>
          <cell r="F2104" t="str">
            <v>ביטוח סייבר</v>
          </cell>
          <cell r="G2104" t="str">
            <v>קשיח</v>
          </cell>
          <cell r="I2104">
            <v>0</v>
          </cell>
          <cell r="J2104">
            <v>0</v>
          </cell>
          <cell r="K2104">
            <v>0</v>
          </cell>
          <cell r="L2104">
            <v>800000</v>
          </cell>
          <cell r="M2104">
            <v>0</v>
          </cell>
        </row>
        <row r="2105">
          <cell r="A2105">
            <v>1767000580</v>
          </cell>
          <cell r="B2105">
            <v>580</v>
          </cell>
          <cell r="C2105">
            <v>767000</v>
          </cell>
          <cell r="D2105">
            <v>1</v>
          </cell>
          <cell r="F2105" t="str">
            <v xml:space="preserve">יעוץ לביטוח       </v>
          </cell>
          <cell r="G2105" t="str">
            <v>קשיח</v>
          </cell>
          <cell r="H2105">
            <v>-2.8490028490028019E-3</v>
          </cell>
          <cell r="I2105">
            <v>210000</v>
          </cell>
          <cell r="J2105">
            <v>210600</v>
          </cell>
          <cell r="K2105">
            <v>103840</v>
          </cell>
          <cell r="L2105">
            <v>150000</v>
          </cell>
          <cell r="M2105">
            <v>121680</v>
          </cell>
        </row>
        <row r="2106">
          <cell r="A2106">
            <v>1767000581</v>
          </cell>
          <cell r="B2106">
            <v>581</v>
          </cell>
          <cell r="C2106">
            <v>767000</v>
          </cell>
          <cell r="D2106">
            <v>1</v>
          </cell>
          <cell r="F2106" t="str">
            <v>טיפול משפטי</v>
          </cell>
          <cell r="G2106" t="str">
            <v>קשיח</v>
          </cell>
          <cell r="H2106">
            <v>8.3333333333333259E-2</v>
          </cell>
          <cell r="I2106">
            <v>1300000</v>
          </cell>
          <cell r="J2106">
            <v>1200000</v>
          </cell>
          <cell r="K2106">
            <v>811464.05</v>
          </cell>
          <cell r="L2106">
            <v>900000</v>
          </cell>
          <cell r="M2106">
            <v>1284167.55</v>
          </cell>
        </row>
        <row r="2107">
          <cell r="A2107" t="e">
            <v>#VALUE!</v>
          </cell>
          <cell r="B2107" t="str">
            <v>767000  סך הכל</v>
          </cell>
          <cell r="F2107" t="str">
            <v>בטוח אלמנטרי לרשות</v>
          </cell>
          <cell r="H2107">
            <v>-5.5498754954968921E-2</v>
          </cell>
          <cell r="I2107">
            <v>12175660</v>
          </cell>
          <cell r="J2107">
            <v>12891100</v>
          </cell>
          <cell r="K2107">
            <v>5900860.8999999994</v>
          </cell>
          <cell r="L2107">
            <v>13881200</v>
          </cell>
          <cell r="M2107">
            <v>11294576.970000001</v>
          </cell>
        </row>
        <row r="2108">
          <cell r="A2108">
            <v>17690000</v>
          </cell>
          <cell r="B2108">
            <v>0</v>
          </cell>
          <cell r="C2108">
            <v>769000</v>
          </cell>
          <cell r="D2108">
            <v>1</v>
          </cell>
          <cell r="F2108" t="str">
            <v xml:space="preserve">שרותים שונים      </v>
          </cell>
          <cell r="G2108" t="str">
            <v xml:space="preserve"> </v>
          </cell>
        </row>
        <row r="2109">
          <cell r="A2109">
            <v>1769000119</v>
          </cell>
          <cell r="B2109">
            <v>119</v>
          </cell>
          <cell r="C2109">
            <v>769000</v>
          </cell>
          <cell r="D2109">
            <v>1</v>
          </cell>
          <cell r="F2109" t="str">
            <v xml:space="preserve">השכר הקובע-צוברת  </v>
          </cell>
          <cell r="G2109" t="str">
            <v>שכר</v>
          </cell>
          <cell r="H2109">
            <v>2.4980732177263931E-2</v>
          </cell>
          <cell r="I2109">
            <v>159589.5</v>
          </cell>
          <cell r="J2109">
            <v>155700</v>
          </cell>
          <cell r="K2109">
            <v>100244.41</v>
          </cell>
          <cell r="L2109">
            <v>152600</v>
          </cell>
          <cell r="M2109">
            <v>160854.46</v>
          </cell>
        </row>
        <row r="2110">
          <cell r="A2110">
            <v>1769000122</v>
          </cell>
          <cell r="B2110">
            <v>122</v>
          </cell>
          <cell r="C2110">
            <v>769000</v>
          </cell>
          <cell r="D2110">
            <v>1</v>
          </cell>
          <cell r="F2110" t="str">
            <v xml:space="preserve">ביגוד             </v>
          </cell>
          <cell r="G2110" t="str">
            <v>שכר</v>
          </cell>
          <cell r="H2110">
            <v>0</v>
          </cell>
          <cell r="I2110">
            <v>2700</v>
          </cell>
          <cell r="J2110">
            <v>2700</v>
          </cell>
          <cell r="K2110">
            <v>2479</v>
          </cell>
          <cell r="L2110">
            <v>5300</v>
          </cell>
          <cell r="M2110">
            <v>2405</v>
          </cell>
        </row>
        <row r="2111">
          <cell r="A2111">
            <v>1769000126</v>
          </cell>
          <cell r="B2111">
            <v>126</v>
          </cell>
          <cell r="C2111">
            <v>769000</v>
          </cell>
          <cell r="D2111">
            <v>1</v>
          </cell>
          <cell r="F2111" t="str">
            <v xml:space="preserve">דמי הבראה         </v>
          </cell>
          <cell r="G2111" t="str">
            <v>שכר</v>
          </cell>
          <cell r="H2111">
            <v>0</v>
          </cell>
          <cell r="I2111">
            <v>7000</v>
          </cell>
          <cell r="J2111">
            <v>7000</v>
          </cell>
          <cell r="K2111">
            <v>6128.2</v>
          </cell>
          <cell r="L2111">
            <v>12000</v>
          </cell>
          <cell r="M2111">
            <v>6128.2</v>
          </cell>
        </row>
        <row r="2112">
          <cell r="A2112">
            <v>1769000140</v>
          </cell>
          <cell r="B2112">
            <v>140</v>
          </cell>
          <cell r="C2112">
            <v>769000</v>
          </cell>
          <cell r="D2112">
            <v>1</v>
          </cell>
          <cell r="F2112" t="str">
            <v>השתתפות באחזקת רכב</v>
          </cell>
          <cell r="G2112" t="str">
            <v>שכר</v>
          </cell>
          <cell r="H2112">
            <v>0</v>
          </cell>
          <cell r="I2112">
            <v>32500</v>
          </cell>
          <cell r="J2112">
            <v>32500</v>
          </cell>
          <cell r="K2112">
            <v>17174.38</v>
          </cell>
          <cell r="L2112">
            <v>32500</v>
          </cell>
          <cell r="M2112">
            <v>27382.47</v>
          </cell>
        </row>
        <row r="2113">
          <cell r="A2113">
            <v>1769000471</v>
          </cell>
          <cell r="B2113">
            <v>471</v>
          </cell>
          <cell r="C2113">
            <v>769000</v>
          </cell>
          <cell r="D2113">
            <v>1</v>
          </cell>
          <cell r="F2113" t="str">
            <v xml:space="preserve">מכשירי כתיבה      </v>
          </cell>
          <cell r="G2113" t="str">
            <v>גמיש</v>
          </cell>
          <cell r="H2113">
            <v>-0.65277777777777779</v>
          </cell>
          <cell r="I2113">
            <v>1000</v>
          </cell>
          <cell r="J2113">
            <v>2880</v>
          </cell>
          <cell r="K2113">
            <v>389</v>
          </cell>
          <cell r="L2113">
            <v>3200</v>
          </cell>
          <cell r="M2113">
            <v>0</v>
          </cell>
        </row>
        <row r="2114">
          <cell r="A2114">
            <v>1769000511</v>
          </cell>
          <cell r="B2114">
            <v>511</v>
          </cell>
          <cell r="C2114">
            <v>769000</v>
          </cell>
          <cell r="D2114">
            <v>1</v>
          </cell>
          <cell r="F2114" t="str">
            <v>כיבוד מועצת עיר וועדות</v>
          </cell>
          <cell r="G2114" t="str">
            <v>גמיש</v>
          </cell>
          <cell r="H2114">
            <v>0.22549019607843146</v>
          </cell>
          <cell r="I2114">
            <v>15000</v>
          </cell>
          <cell r="J2114">
            <v>12240</v>
          </cell>
          <cell r="K2114">
            <v>5550.34</v>
          </cell>
          <cell r="L2114">
            <v>13500</v>
          </cell>
          <cell r="M2114">
            <v>62.49</v>
          </cell>
        </row>
        <row r="2115">
          <cell r="A2115">
            <v>1769000562</v>
          </cell>
          <cell r="B2115">
            <v>562</v>
          </cell>
          <cell r="C2115">
            <v>769000</v>
          </cell>
          <cell r="D2115">
            <v>1</v>
          </cell>
          <cell r="F2115" t="str">
            <v xml:space="preserve">הדפסות            </v>
          </cell>
          <cell r="G2115" t="str">
            <v>גמיש</v>
          </cell>
          <cell r="H2115">
            <v>-4.0404040404040442E-2</v>
          </cell>
          <cell r="I2115">
            <v>1900</v>
          </cell>
          <cell r="J2115">
            <v>1980</v>
          </cell>
          <cell r="K2115">
            <v>0</v>
          </cell>
          <cell r="L2115">
            <v>2200</v>
          </cell>
          <cell r="M2115">
            <v>0</v>
          </cell>
        </row>
        <row r="2116">
          <cell r="A2116">
            <v>1769000580</v>
          </cell>
          <cell r="B2116">
            <v>580</v>
          </cell>
          <cell r="C2116">
            <v>769000</v>
          </cell>
          <cell r="D2116">
            <v>1</v>
          </cell>
          <cell r="F2116" t="str">
            <v>בקרה - ועדת תמיכות</v>
          </cell>
          <cell r="G2116" t="str">
            <v>גמיש</v>
          </cell>
          <cell r="H2116">
            <v>0.11111111111111116</v>
          </cell>
          <cell r="I2116">
            <v>52700</v>
          </cell>
          <cell r="J2116">
            <v>47430</v>
          </cell>
          <cell r="K2116">
            <v>0</v>
          </cell>
          <cell r="L2116">
            <v>52700</v>
          </cell>
          <cell r="M2116">
            <v>52700</v>
          </cell>
        </row>
        <row r="2117">
          <cell r="A2117">
            <v>1769000721</v>
          </cell>
          <cell r="B2117">
            <v>721</v>
          </cell>
          <cell r="C2117">
            <v>769000</v>
          </cell>
          <cell r="D2117">
            <v>1</v>
          </cell>
          <cell r="F2117" t="str">
            <v>חמרים לתחזוקת "נקודת חן"</v>
          </cell>
          <cell r="G2117" t="str">
            <v>גמיש</v>
          </cell>
          <cell r="I2117">
            <v>0</v>
          </cell>
          <cell r="J2117">
            <v>0</v>
          </cell>
          <cell r="K2117">
            <v>0</v>
          </cell>
          <cell r="L2117">
            <v>700</v>
          </cell>
          <cell r="M2117">
            <v>0</v>
          </cell>
        </row>
        <row r="2118">
          <cell r="A2118">
            <v>1769000751</v>
          </cell>
          <cell r="B2118">
            <v>751</v>
          </cell>
          <cell r="C2118">
            <v>769000</v>
          </cell>
          <cell r="D2118">
            <v>1</v>
          </cell>
          <cell r="F2118" t="str">
            <v>עבודות קבלניות "נקודת חן"</v>
          </cell>
          <cell r="G2118" t="str">
            <v>גמיש</v>
          </cell>
          <cell r="H2118">
            <v>-1.7094017094017144E-2</v>
          </cell>
          <cell r="I2118">
            <v>4600</v>
          </cell>
          <cell r="J2118">
            <v>4680</v>
          </cell>
          <cell r="K2118">
            <v>0</v>
          </cell>
          <cell r="L2118">
            <v>5200</v>
          </cell>
          <cell r="M2118">
            <v>3536</v>
          </cell>
        </row>
        <row r="2119">
          <cell r="A2119">
            <v>1769000752</v>
          </cell>
          <cell r="B2119">
            <v>752</v>
          </cell>
          <cell r="C2119">
            <v>769000</v>
          </cell>
          <cell r="D2119">
            <v>1</v>
          </cell>
          <cell r="F2119" t="str">
            <v>נקיון בית הוועד</v>
          </cell>
          <cell r="G2119" t="str">
            <v>קשיח</v>
          </cell>
          <cell r="H2119">
            <v>-0.4</v>
          </cell>
          <cell r="I2119">
            <v>9000</v>
          </cell>
          <cell r="J2119">
            <v>15000</v>
          </cell>
          <cell r="K2119">
            <v>2716.9</v>
          </cell>
          <cell r="L2119">
            <v>15000</v>
          </cell>
          <cell r="M2119">
            <v>3661.05</v>
          </cell>
        </row>
        <row r="2120">
          <cell r="A2120">
            <v>1769000780</v>
          </cell>
          <cell r="B2120">
            <v>780</v>
          </cell>
          <cell r="C2120">
            <v>769000</v>
          </cell>
          <cell r="D2120">
            <v>1</v>
          </cell>
          <cell r="F2120" t="str">
            <v xml:space="preserve">השתתפויות         </v>
          </cell>
          <cell r="G2120" t="str">
            <v>גמיש</v>
          </cell>
          <cell r="H2120">
            <v>8.9968511021143449E-4</v>
          </cell>
          <cell r="I2120">
            <v>890000</v>
          </cell>
          <cell r="J2120">
            <v>889200</v>
          </cell>
          <cell r="K2120">
            <v>185915.46</v>
          </cell>
          <cell r="L2120">
            <v>1954900</v>
          </cell>
          <cell r="M2120">
            <v>1556845.21</v>
          </cell>
        </row>
        <row r="2121">
          <cell r="A2121">
            <v>1769000781</v>
          </cell>
          <cell r="B2121">
            <v>781</v>
          </cell>
          <cell r="C2121">
            <v>769000</v>
          </cell>
          <cell r="D2121">
            <v>1</v>
          </cell>
          <cell r="F2121" t="str">
            <v>מצגת יד לבנים</v>
          </cell>
          <cell r="G2121" t="str">
            <v>גמיש</v>
          </cell>
          <cell r="H2121">
            <v>0.11111111111111116</v>
          </cell>
          <cell r="I2121">
            <v>15400</v>
          </cell>
          <cell r="J2121">
            <v>13860</v>
          </cell>
          <cell r="K2121">
            <v>0</v>
          </cell>
          <cell r="L2121">
            <v>15400</v>
          </cell>
          <cell r="M2121">
            <v>0</v>
          </cell>
        </row>
        <row r="2122">
          <cell r="A2122">
            <v>1769000782</v>
          </cell>
          <cell r="B2122">
            <v>782</v>
          </cell>
          <cell r="C2122">
            <v>769000</v>
          </cell>
          <cell r="D2122">
            <v>1</v>
          </cell>
          <cell r="F2122" t="str">
            <v xml:space="preserve">תמלוגים-על מוסיקה </v>
          </cell>
          <cell r="G2122" t="str">
            <v>גמיש</v>
          </cell>
          <cell r="H2122">
            <v>0.24545200111950738</v>
          </cell>
          <cell r="I2122">
            <v>445000</v>
          </cell>
          <cell r="J2122">
            <v>357300</v>
          </cell>
          <cell r="K2122">
            <v>440121.5</v>
          </cell>
          <cell r="L2122">
            <v>397000</v>
          </cell>
          <cell r="M2122">
            <v>443199.74</v>
          </cell>
        </row>
        <row r="2123">
          <cell r="A2123">
            <v>1769000784</v>
          </cell>
          <cell r="B2123">
            <v>784</v>
          </cell>
          <cell r="C2123">
            <v>769000</v>
          </cell>
          <cell r="D2123">
            <v>1</v>
          </cell>
          <cell r="F2123" t="str">
            <v xml:space="preserve">קשר עם חיילים     </v>
          </cell>
          <cell r="G2123" t="str">
            <v>גמיש</v>
          </cell>
          <cell r="I2123">
            <v>0</v>
          </cell>
          <cell r="J2123">
            <v>0</v>
          </cell>
          <cell r="K2123">
            <v>0</v>
          </cell>
          <cell r="L2123">
            <v>1456200</v>
          </cell>
          <cell r="M2123">
            <v>1501136</v>
          </cell>
        </row>
        <row r="2124">
          <cell r="A2124">
            <v>1769000786</v>
          </cell>
          <cell r="B2124">
            <v>786</v>
          </cell>
          <cell r="C2124">
            <v>769000</v>
          </cell>
          <cell r="D2124">
            <v>1</v>
          </cell>
          <cell r="F2124" t="str">
            <v>מעמד האישה</v>
          </cell>
          <cell r="G2124" t="str">
            <v>גמיש</v>
          </cell>
          <cell r="I2124">
            <v>0</v>
          </cell>
          <cell r="J2124">
            <v>180000</v>
          </cell>
          <cell r="K2124">
            <v>107622</v>
          </cell>
          <cell r="L2124">
            <v>105600</v>
          </cell>
          <cell r="M2124">
            <v>103261</v>
          </cell>
        </row>
        <row r="2125">
          <cell r="A2125">
            <v>1769000810</v>
          </cell>
          <cell r="B2125">
            <v>810</v>
          </cell>
          <cell r="C2125">
            <v>769000</v>
          </cell>
          <cell r="D2125">
            <v>1</v>
          </cell>
          <cell r="F2125" t="str">
            <v>השת' עדה אתיופית</v>
          </cell>
          <cell r="G2125" t="str">
            <v>גמיש</v>
          </cell>
          <cell r="H2125">
            <v>0</v>
          </cell>
          <cell r="I2125">
            <v>168840</v>
          </cell>
          <cell r="J2125">
            <v>168840</v>
          </cell>
          <cell r="K2125">
            <v>0</v>
          </cell>
          <cell r="L2125">
            <v>187600</v>
          </cell>
          <cell r="M2125">
            <v>187600</v>
          </cell>
        </row>
        <row r="2126">
          <cell r="A2126">
            <v>1769000811</v>
          </cell>
          <cell r="B2126">
            <v>811</v>
          </cell>
          <cell r="C2126">
            <v>769000</v>
          </cell>
          <cell r="D2126">
            <v>1</v>
          </cell>
          <cell r="F2126" t="str">
            <v>קמחא דפסחא</v>
          </cell>
          <cell r="G2126" t="str">
            <v>גמיש</v>
          </cell>
          <cell r="H2126">
            <v>0</v>
          </cell>
          <cell r="I2126">
            <v>87750</v>
          </cell>
          <cell r="J2126">
            <v>87750</v>
          </cell>
          <cell r="K2126">
            <v>87749.6</v>
          </cell>
          <cell r="L2126">
            <v>97500</v>
          </cell>
          <cell r="M2126">
            <v>90241</v>
          </cell>
        </row>
        <row r="2127">
          <cell r="A2127">
            <v>1769000813</v>
          </cell>
          <cell r="B2127">
            <v>813</v>
          </cell>
          <cell r="C2127">
            <v>769000</v>
          </cell>
          <cell r="D2127">
            <v>1</v>
          </cell>
          <cell r="F2127" t="str">
            <v>תמיכה לראש השנה</v>
          </cell>
          <cell r="G2127" t="str">
            <v>גמיש</v>
          </cell>
          <cell r="H2127">
            <v>0</v>
          </cell>
          <cell r="I2127">
            <v>27000</v>
          </cell>
          <cell r="J2127">
            <v>27000</v>
          </cell>
          <cell r="K2127">
            <v>0</v>
          </cell>
          <cell r="L2127">
            <v>30000</v>
          </cell>
          <cell r="M2127">
            <v>29978.2</v>
          </cell>
        </row>
        <row r="2128">
          <cell r="A2128">
            <v>1769000815</v>
          </cell>
          <cell r="B2128">
            <v>815</v>
          </cell>
          <cell r="C2128">
            <v>769000</v>
          </cell>
          <cell r="D2128">
            <v>1</v>
          </cell>
          <cell r="F2128" t="str">
            <v>טקס יצחק רבין</v>
          </cell>
          <cell r="G2128" t="str">
            <v>גמיש</v>
          </cell>
          <cell r="H2128">
            <v>0</v>
          </cell>
          <cell r="I2128">
            <v>20250</v>
          </cell>
          <cell r="J2128">
            <v>20250</v>
          </cell>
          <cell r="K2128">
            <v>0</v>
          </cell>
          <cell r="L2128">
            <v>22500</v>
          </cell>
          <cell r="M2128">
            <v>0</v>
          </cell>
        </row>
        <row r="2129">
          <cell r="A2129">
            <v>1769000816</v>
          </cell>
          <cell r="B2129">
            <v>816</v>
          </cell>
          <cell r="C2129">
            <v>769000</v>
          </cell>
          <cell r="D2129">
            <v>1</v>
          </cell>
          <cell r="F2129" t="str">
            <v>הקצבה לועד הורים שכולים</v>
          </cell>
          <cell r="G2129" t="str">
            <v>גמיש</v>
          </cell>
          <cell r="H2129">
            <v>0</v>
          </cell>
          <cell r="I2129">
            <v>27900</v>
          </cell>
          <cell r="J2129">
            <v>27900</v>
          </cell>
          <cell r="K2129">
            <v>0</v>
          </cell>
          <cell r="L2129">
            <v>31000</v>
          </cell>
          <cell r="M2129">
            <v>31000</v>
          </cell>
        </row>
        <row r="2130">
          <cell r="A2130">
            <v>1769000820</v>
          </cell>
          <cell r="B2130">
            <v>820</v>
          </cell>
          <cell r="C2130">
            <v>769000</v>
          </cell>
          <cell r="D2130">
            <v>1</v>
          </cell>
          <cell r="F2130" t="str">
            <v xml:space="preserve">תמיכה במוסדות דת  </v>
          </cell>
          <cell r="G2130" t="str">
            <v>גמיש</v>
          </cell>
          <cell r="H2130">
            <v>0</v>
          </cell>
          <cell r="I2130">
            <v>694000</v>
          </cell>
          <cell r="J2130">
            <v>694000</v>
          </cell>
          <cell r="K2130">
            <v>0</v>
          </cell>
          <cell r="L2130">
            <v>494000</v>
          </cell>
          <cell r="M2130">
            <v>594000</v>
          </cell>
        </row>
        <row r="2131">
          <cell r="A2131">
            <v>1769000821</v>
          </cell>
          <cell r="B2131">
            <v>821</v>
          </cell>
          <cell r="C2131">
            <v>769000</v>
          </cell>
          <cell r="D2131">
            <v>1</v>
          </cell>
          <cell r="F2131" t="str">
            <v xml:space="preserve">ועדת תמיכות       </v>
          </cell>
          <cell r="G2131" t="str">
            <v>גמיש</v>
          </cell>
          <cell r="H2131">
            <v>0</v>
          </cell>
          <cell r="I2131">
            <v>113220</v>
          </cell>
          <cell r="J2131">
            <v>113220</v>
          </cell>
          <cell r="K2131">
            <v>0</v>
          </cell>
          <cell r="L2131">
            <v>125800</v>
          </cell>
          <cell r="M2131">
            <v>125803</v>
          </cell>
        </row>
        <row r="2132">
          <cell r="A2132">
            <v>1769000884</v>
          </cell>
          <cell r="B2132">
            <v>884</v>
          </cell>
          <cell r="C2132">
            <v>769000</v>
          </cell>
          <cell r="D2132">
            <v>1</v>
          </cell>
          <cell r="F2132" t="str">
            <v xml:space="preserve">שמות לאנדרטה      </v>
          </cell>
          <cell r="G2132" t="str">
            <v>גמיש</v>
          </cell>
          <cell r="H2132">
            <v>0.71821305841924388</v>
          </cell>
          <cell r="I2132">
            <v>15000</v>
          </cell>
          <cell r="J2132">
            <v>8730</v>
          </cell>
          <cell r="K2132">
            <v>8729.64</v>
          </cell>
          <cell r="L2132">
            <v>9700</v>
          </cell>
          <cell r="M2132">
            <v>410</v>
          </cell>
        </row>
        <row r="2133">
          <cell r="A2133">
            <v>1769000885</v>
          </cell>
          <cell r="B2133">
            <v>885</v>
          </cell>
          <cell r="C2133">
            <v>769000</v>
          </cell>
          <cell r="D2133">
            <v>1</v>
          </cell>
          <cell r="F2133" t="str">
            <v>טקס למשפחות שכולות וכוחות הביטחון</v>
          </cell>
          <cell r="G2133" t="str">
            <v>גמיש</v>
          </cell>
          <cell r="H2133">
            <v>1.1052631578947367</v>
          </cell>
          <cell r="I2133">
            <v>90000</v>
          </cell>
          <cell r="J2133">
            <v>42750</v>
          </cell>
          <cell r="K2133">
            <v>0</v>
          </cell>
          <cell r="L2133">
            <v>47500</v>
          </cell>
          <cell r="M2133">
            <v>47500</v>
          </cell>
        </row>
        <row r="2134">
          <cell r="A2134" t="e">
            <v>#VALUE!</v>
          </cell>
          <cell r="B2134" t="str">
            <v>769000  סך הכל</v>
          </cell>
          <cell r="F2134" t="str">
            <v xml:space="preserve">שרותים שונים      </v>
          </cell>
          <cell r="H2134">
            <v>-1.1177997260471528E-2</v>
          </cell>
          <cell r="I2134">
            <v>2880349.5</v>
          </cell>
          <cell r="J2134">
            <v>2912910</v>
          </cell>
          <cell r="K2134">
            <v>964820.42999999993</v>
          </cell>
          <cell r="L2134">
            <v>5269600</v>
          </cell>
          <cell r="M2134">
            <v>4967703.82</v>
          </cell>
        </row>
        <row r="2135">
          <cell r="A2135">
            <v>17691000</v>
          </cell>
          <cell r="B2135">
            <v>0</v>
          </cell>
          <cell r="C2135">
            <v>769100</v>
          </cell>
          <cell r="D2135">
            <v>1</v>
          </cell>
          <cell r="F2135" t="str">
            <v xml:space="preserve">בית  הגימלאי        </v>
          </cell>
          <cell r="G2135" t="str">
            <v xml:space="preserve"> </v>
          </cell>
        </row>
        <row r="2136">
          <cell r="A2136">
            <v>1769100450</v>
          </cell>
          <cell r="B2136">
            <v>450</v>
          </cell>
          <cell r="C2136">
            <v>769100</v>
          </cell>
          <cell r="D2136">
            <v>1</v>
          </cell>
          <cell r="F2136" t="str">
            <v>אחזקת תמי 4</v>
          </cell>
          <cell r="G2136" t="str">
            <v>קשיח</v>
          </cell>
          <cell r="H2136">
            <v>0</v>
          </cell>
          <cell r="I2136">
            <v>1500</v>
          </cell>
          <cell r="J2136">
            <v>1500</v>
          </cell>
          <cell r="K2136">
            <v>0</v>
          </cell>
          <cell r="L2136">
            <v>1500</v>
          </cell>
          <cell r="M2136">
            <v>0</v>
          </cell>
        </row>
        <row r="2137">
          <cell r="A2137">
            <v>1769100471</v>
          </cell>
          <cell r="B2137">
            <v>471</v>
          </cell>
          <cell r="C2137">
            <v>769100</v>
          </cell>
          <cell r="D2137">
            <v>1</v>
          </cell>
          <cell r="F2137" t="str">
            <v xml:space="preserve">מכשירי כתיבה      </v>
          </cell>
          <cell r="G2137" t="str">
            <v>גמיש</v>
          </cell>
          <cell r="H2137">
            <v>0.85185185185185186</v>
          </cell>
          <cell r="I2137">
            <v>4000</v>
          </cell>
          <cell r="J2137">
            <v>2160</v>
          </cell>
          <cell r="K2137">
            <v>187.43</v>
          </cell>
          <cell r="L2137">
            <v>2400</v>
          </cell>
          <cell r="M2137">
            <v>1469.21</v>
          </cell>
        </row>
        <row r="2138">
          <cell r="A2138">
            <v>1769100511</v>
          </cell>
          <cell r="B2138">
            <v>511</v>
          </cell>
          <cell r="C2138">
            <v>769100</v>
          </cell>
          <cell r="D2138">
            <v>1</v>
          </cell>
          <cell r="F2138" t="str">
            <v xml:space="preserve">אירוח וכיבוד      </v>
          </cell>
          <cell r="G2138" t="str">
            <v>גמיש</v>
          </cell>
          <cell r="H2138">
            <v>3.2735042735042734</v>
          </cell>
          <cell r="I2138">
            <v>5000</v>
          </cell>
          <cell r="J2138">
            <v>1170</v>
          </cell>
          <cell r="K2138">
            <v>935.58</v>
          </cell>
          <cell r="L2138">
            <v>1300</v>
          </cell>
          <cell r="M2138">
            <v>960.82</v>
          </cell>
        </row>
        <row r="2139">
          <cell r="A2139">
            <v>1769100544</v>
          </cell>
          <cell r="B2139">
            <v>544</v>
          </cell>
          <cell r="C2139">
            <v>769100</v>
          </cell>
          <cell r="D2139">
            <v>1</v>
          </cell>
          <cell r="F2139" t="str">
            <v xml:space="preserve">הוצאות דאר        </v>
          </cell>
          <cell r="G2139" t="str">
            <v>קשיח</v>
          </cell>
          <cell r="H2139">
            <v>0</v>
          </cell>
          <cell r="I2139">
            <v>5000</v>
          </cell>
          <cell r="J2139">
            <v>5000</v>
          </cell>
          <cell r="K2139">
            <v>0</v>
          </cell>
          <cell r="L2139">
            <v>24400</v>
          </cell>
          <cell r="M2139">
            <v>0</v>
          </cell>
        </row>
        <row r="2140">
          <cell r="A2140">
            <v>1769100561</v>
          </cell>
          <cell r="B2140">
            <v>561</v>
          </cell>
          <cell r="C2140">
            <v>769100</v>
          </cell>
          <cell r="D2140">
            <v>1</v>
          </cell>
          <cell r="F2140" t="str">
            <v xml:space="preserve">שיכפולים          </v>
          </cell>
          <cell r="G2140" t="str">
            <v>גמיש</v>
          </cell>
          <cell r="H2140">
            <v>-1</v>
          </cell>
          <cell r="I2140">
            <v>0</v>
          </cell>
          <cell r="J2140">
            <v>3690</v>
          </cell>
          <cell r="K2140">
            <v>0</v>
          </cell>
          <cell r="L2140">
            <v>4100</v>
          </cell>
          <cell r="M2140">
            <v>0</v>
          </cell>
        </row>
        <row r="2141">
          <cell r="A2141">
            <v>1769100723</v>
          </cell>
          <cell r="B2141">
            <v>723</v>
          </cell>
          <cell r="C2141">
            <v>769100</v>
          </cell>
          <cell r="D2141">
            <v>1</v>
          </cell>
          <cell r="F2141" t="str">
            <v xml:space="preserve">חומרים            </v>
          </cell>
          <cell r="G2141" t="str">
            <v>גמיש</v>
          </cell>
          <cell r="H2141">
            <v>-1.2345679012345734E-2</v>
          </cell>
          <cell r="I2141">
            <v>800</v>
          </cell>
          <cell r="J2141">
            <v>810</v>
          </cell>
          <cell r="K2141">
            <v>0</v>
          </cell>
          <cell r="L2141">
            <v>900</v>
          </cell>
          <cell r="M2141">
            <v>0</v>
          </cell>
        </row>
        <row r="2142">
          <cell r="A2142">
            <v>1769100752</v>
          </cell>
          <cell r="B2142">
            <v>752</v>
          </cell>
          <cell r="C2142">
            <v>769100</v>
          </cell>
          <cell r="D2142">
            <v>1</v>
          </cell>
          <cell r="F2142" t="str">
            <v>נקיון בית העובד</v>
          </cell>
          <cell r="G2142" t="str">
            <v>קשיח</v>
          </cell>
          <cell r="H2142">
            <v>0.38461538461538458</v>
          </cell>
          <cell r="I2142">
            <v>18000</v>
          </cell>
          <cell r="J2142">
            <v>13000</v>
          </cell>
          <cell r="K2142">
            <v>5020.5</v>
          </cell>
          <cell r="L2142">
            <v>13000</v>
          </cell>
          <cell r="M2142">
            <v>12877.2</v>
          </cell>
        </row>
        <row r="2143">
          <cell r="A2143">
            <v>1769100781</v>
          </cell>
          <cell r="B2143">
            <v>781</v>
          </cell>
          <cell r="C2143">
            <v>769100</v>
          </cell>
          <cell r="D2143">
            <v>1</v>
          </cell>
          <cell r="F2143" t="str">
            <v xml:space="preserve">פעולות תרבות      </v>
          </cell>
          <cell r="G2143" t="str">
            <v>גמיש</v>
          </cell>
          <cell r="H2143">
            <v>1.5531660692950977E-2</v>
          </cell>
          <cell r="I2143">
            <v>17000</v>
          </cell>
          <cell r="J2143">
            <v>16740</v>
          </cell>
          <cell r="K2143">
            <v>9128.41</v>
          </cell>
          <cell r="L2143">
            <v>18600</v>
          </cell>
          <cell r="M2143">
            <v>18317.669999999998</v>
          </cell>
        </row>
        <row r="2144">
          <cell r="A2144">
            <v>1769100931</v>
          </cell>
          <cell r="B2144">
            <v>931</v>
          </cell>
          <cell r="C2144">
            <v>769100</v>
          </cell>
          <cell r="D2144">
            <v>1</v>
          </cell>
          <cell r="F2144" t="str">
            <v xml:space="preserve">ציוד חד פעמי      </v>
          </cell>
          <cell r="G2144" t="str">
            <v>גמיש</v>
          </cell>
          <cell r="H2144">
            <v>0</v>
          </cell>
          <cell r="I2144">
            <v>1440</v>
          </cell>
          <cell r="J2144">
            <v>1440</v>
          </cell>
          <cell r="K2144">
            <v>778.8</v>
          </cell>
          <cell r="L2144">
            <v>1600</v>
          </cell>
          <cell r="M2144">
            <v>1030.83</v>
          </cell>
        </row>
        <row r="2145">
          <cell r="A2145" t="e">
            <v>#VALUE!</v>
          </cell>
          <cell r="B2145" t="str">
            <v>769100  סך הכל</v>
          </cell>
          <cell r="F2145" t="str">
            <v xml:space="preserve">בית  הגימלאי        </v>
          </cell>
          <cell r="H2145">
            <v>0.1588661832564271</v>
          </cell>
          <cell r="I2145">
            <v>52740</v>
          </cell>
          <cell r="J2145">
            <v>45510</v>
          </cell>
          <cell r="K2145">
            <v>16050.72</v>
          </cell>
          <cell r="L2145">
            <v>67800</v>
          </cell>
          <cell r="M2145">
            <v>34655.730000000003</v>
          </cell>
        </row>
        <row r="2146">
          <cell r="A2146">
            <v>17700000</v>
          </cell>
          <cell r="B2146">
            <v>0</v>
          </cell>
          <cell r="C2146">
            <v>770000</v>
          </cell>
          <cell r="D2146">
            <v>1</v>
          </cell>
          <cell r="F2146" t="str">
            <v xml:space="preserve">פיתוח כלכלי       </v>
          </cell>
          <cell r="G2146" t="str">
            <v xml:space="preserve"> </v>
          </cell>
        </row>
        <row r="2147">
          <cell r="A2147">
            <v>1772100119</v>
          </cell>
          <cell r="B2147">
            <v>119</v>
          </cell>
          <cell r="C2147">
            <v>772100</v>
          </cell>
          <cell r="D2147">
            <v>1</v>
          </cell>
          <cell r="F2147" t="str">
            <v xml:space="preserve">השכר הקובע-צוברת  </v>
          </cell>
          <cell r="G2147" t="str">
            <v>שכר</v>
          </cell>
          <cell r="I2147">
            <v>0</v>
          </cell>
          <cell r="J2147">
            <v>0</v>
          </cell>
          <cell r="K2147">
            <v>0</v>
          </cell>
          <cell r="L2147">
            <v>1116600</v>
          </cell>
          <cell r="M2147">
            <v>667673.99</v>
          </cell>
        </row>
        <row r="2148">
          <cell r="A2148">
            <v>1772100122</v>
          </cell>
          <cell r="B2148">
            <v>122</v>
          </cell>
          <cell r="C2148">
            <v>772100</v>
          </cell>
          <cell r="D2148">
            <v>1</v>
          </cell>
          <cell r="F2148" t="str">
            <v xml:space="preserve">ביגוד             </v>
          </cell>
          <cell r="G2148" t="str">
            <v>שכר</v>
          </cell>
          <cell r="I2148">
            <v>0</v>
          </cell>
          <cell r="J2148">
            <v>0</v>
          </cell>
          <cell r="K2148">
            <v>0</v>
          </cell>
          <cell r="L2148">
            <v>9600</v>
          </cell>
          <cell r="M2148">
            <v>9403</v>
          </cell>
        </row>
        <row r="2149">
          <cell r="A2149">
            <v>1772100126</v>
          </cell>
          <cell r="B2149">
            <v>126</v>
          </cell>
          <cell r="C2149">
            <v>772100</v>
          </cell>
          <cell r="D2149">
            <v>1</v>
          </cell>
          <cell r="F2149" t="str">
            <v xml:space="preserve">דמי הבראה         </v>
          </cell>
          <cell r="G2149" t="str">
            <v>שכר</v>
          </cell>
          <cell r="I2149">
            <v>0</v>
          </cell>
          <cell r="J2149">
            <v>0</v>
          </cell>
          <cell r="K2149">
            <v>0</v>
          </cell>
          <cell r="L2149">
            <v>34000</v>
          </cell>
          <cell r="M2149">
            <v>29042.11</v>
          </cell>
        </row>
        <row r="2150">
          <cell r="A2150">
            <v>1772100130</v>
          </cell>
          <cell r="B2150">
            <v>130</v>
          </cell>
          <cell r="C2150">
            <v>772100</v>
          </cell>
          <cell r="D2150">
            <v>1</v>
          </cell>
          <cell r="F2150" t="str">
            <v xml:space="preserve">שעות נוספות       </v>
          </cell>
          <cell r="G2150" t="str">
            <v>שכר</v>
          </cell>
          <cell r="I2150">
            <v>0</v>
          </cell>
          <cell r="J2150">
            <v>0</v>
          </cell>
          <cell r="K2150">
            <v>0</v>
          </cell>
          <cell r="L2150">
            <v>54300</v>
          </cell>
          <cell r="M2150">
            <v>0</v>
          </cell>
        </row>
        <row r="2151">
          <cell r="A2151">
            <v>1772100140</v>
          </cell>
          <cell r="B2151">
            <v>140</v>
          </cell>
          <cell r="C2151">
            <v>772100</v>
          </cell>
          <cell r="D2151">
            <v>1</v>
          </cell>
          <cell r="F2151" t="str">
            <v>השתתפות באחזקת רכב</v>
          </cell>
          <cell r="G2151" t="str">
            <v>שכר</v>
          </cell>
          <cell r="I2151">
            <v>0</v>
          </cell>
          <cell r="J2151">
            <v>0</v>
          </cell>
          <cell r="K2151">
            <v>0</v>
          </cell>
          <cell r="L2151">
            <v>101000</v>
          </cell>
          <cell r="M2151">
            <v>69616.509999999995</v>
          </cell>
        </row>
        <row r="2152">
          <cell r="A2152">
            <v>1772100433</v>
          </cell>
          <cell r="B2152">
            <v>433</v>
          </cell>
          <cell r="C2152">
            <v>772100</v>
          </cell>
          <cell r="D2152">
            <v>1</v>
          </cell>
          <cell r="F2152" t="str">
            <v xml:space="preserve">חומרי נקיון       </v>
          </cell>
          <cell r="G2152" t="str">
            <v>גמיש</v>
          </cell>
          <cell r="I2152">
            <v>0</v>
          </cell>
          <cell r="J2152">
            <v>0</v>
          </cell>
          <cell r="K2152">
            <v>0</v>
          </cell>
          <cell r="L2152">
            <v>2400</v>
          </cell>
          <cell r="M2152">
            <v>1230.53</v>
          </cell>
        </row>
        <row r="2153">
          <cell r="A2153">
            <v>1772100450</v>
          </cell>
          <cell r="B2153">
            <v>450</v>
          </cell>
          <cell r="C2153">
            <v>772100</v>
          </cell>
          <cell r="D2153">
            <v>1</v>
          </cell>
          <cell r="F2153" t="str">
            <v>אחזקת תמי 4</v>
          </cell>
          <cell r="G2153" t="str">
            <v>קשיח</v>
          </cell>
          <cell r="I2153">
            <v>0</v>
          </cell>
          <cell r="J2153">
            <v>0</v>
          </cell>
          <cell r="K2153">
            <v>0</v>
          </cell>
          <cell r="L2153">
            <v>1500</v>
          </cell>
          <cell r="M2153">
            <v>0</v>
          </cell>
        </row>
        <row r="2154">
          <cell r="A2154">
            <v>1772100470</v>
          </cell>
          <cell r="B2154">
            <v>470</v>
          </cell>
          <cell r="C2154">
            <v>772100</v>
          </cell>
          <cell r="D2154">
            <v>1</v>
          </cell>
          <cell r="F2154" t="str">
            <v xml:space="preserve">אחזקת מכונות משרד </v>
          </cell>
          <cell r="G2154" t="str">
            <v>גמיש</v>
          </cell>
          <cell r="I2154">
            <v>0</v>
          </cell>
          <cell r="J2154">
            <v>0</v>
          </cell>
          <cell r="K2154">
            <v>0</v>
          </cell>
          <cell r="L2154">
            <v>2100</v>
          </cell>
          <cell r="M2154">
            <v>0</v>
          </cell>
        </row>
        <row r="2155">
          <cell r="A2155">
            <v>1772100471</v>
          </cell>
          <cell r="B2155">
            <v>471</v>
          </cell>
          <cell r="C2155">
            <v>772100</v>
          </cell>
          <cell r="D2155">
            <v>1</v>
          </cell>
          <cell r="F2155" t="str">
            <v xml:space="preserve">מכשירי כתיבה      </v>
          </cell>
          <cell r="G2155" t="str">
            <v>גמיש</v>
          </cell>
          <cell r="I2155">
            <v>0</v>
          </cell>
          <cell r="J2155">
            <v>0</v>
          </cell>
          <cell r="K2155">
            <v>0</v>
          </cell>
          <cell r="L2155">
            <v>11600</v>
          </cell>
          <cell r="M2155">
            <v>7184.33</v>
          </cell>
        </row>
        <row r="2156">
          <cell r="A2156">
            <v>1772100492</v>
          </cell>
          <cell r="B2156">
            <v>492</v>
          </cell>
          <cell r="C2156">
            <v>772100</v>
          </cell>
          <cell r="D2156">
            <v>1</v>
          </cell>
          <cell r="F2156" t="str">
            <v xml:space="preserve">השתתפות בעזר 092  </v>
          </cell>
          <cell r="G2156" t="str">
            <v>קשיח</v>
          </cell>
          <cell r="I2156">
            <v>0</v>
          </cell>
          <cell r="J2156">
            <v>0</v>
          </cell>
          <cell r="K2156">
            <v>0</v>
          </cell>
          <cell r="L2156">
            <v>83500</v>
          </cell>
          <cell r="M2156">
            <v>91430</v>
          </cell>
        </row>
        <row r="2157">
          <cell r="A2157">
            <v>1772100511</v>
          </cell>
          <cell r="B2157">
            <v>511</v>
          </cell>
          <cell r="C2157">
            <v>772100</v>
          </cell>
          <cell r="D2157">
            <v>1</v>
          </cell>
          <cell r="F2157" t="str">
            <v xml:space="preserve">אירוח וכיבוד      </v>
          </cell>
          <cell r="G2157" t="str">
            <v>גמיש</v>
          </cell>
          <cell r="I2157">
            <v>0</v>
          </cell>
          <cell r="J2157">
            <v>0</v>
          </cell>
          <cell r="K2157">
            <v>0</v>
          </cell>
          <cell r="L2157">
            <v>7300</v>
          </cell>
          <cell r="M2157">
            <v>4849.76</v>
          </cell>
        </row>
        <row r="2158">
          <cell r="A2158">
            <v>1772100512</v>
          </cell>
          <cell r="B2158">
            <v>512</v>
          </cell>
          <cell r="C2158">
            <v>772100</v>
          </cell>
          <cell r="D2158">
            <v>1</v>
          </cell>
          <cell r="F2158" t="str">
            <v xml:space="preserve">נסיעות ואש"ל      </v>
          </cell>
          <cell r="G2158" t="str">
            <v>גמיש</v>
          </cell>
          <cell r="I2158">
            <v>0</v>
          </cell>
          <cell r="J2158">
            <v>0</v>
          </cell>
          <cell r="K2158">
            <v>0</v>
          </cell>
          <cell r="L2158">
            <v>1200</v>
          </cell>
          <cell r="M2158">
            <v>391</v>
          </cell>
        </row>
        <row r="2159">
          <cell r="A2159">
            <v>1772100522</v>
          </cell>
          <cell r="B2159">
            <v>522</v>
          </cell>
          <cell r="C2159">
            <v>772100</v>
          </cell>
          <cell r="D2159">
            <v>1</v>
          </cell>
          <cell r="F2159" t="str">
            <v xml:space="preserve">ספרים ועיתונים    </v>
          </cell>
          <cell r="G2159" t="str">
            <v>גמיש</v>
          </cell>
          <cell r="I2159">
            <v>0</v>
          </cell>
          <cell r="J2159">
            <v>0</v>
          </cell>
          <cell r="K2159">
            <v>0</v>
          </cell>
          <cell r="L2159">
            <v>2300</v>
          </cell>
          <cell r="M2159">
            <v>912.1</v>
          </cell>
        </row>
        <row r="2160">
          <cell r="A2160">
            <v>1772100544</v>
          </cell>
          <cell r="B2160">
            <v>544</v>
          </cell>
          <cell r="C2160">
            <v>772100</v>
          </cell>
          <cell r="D2160">
            <v>1</v>
          </cell>
          <cell r="F2160" t="str">
            <v xml:space="preserve">הוצאות דאר        </v>
          </cell>
          <cell r="G2160" t="str">
            <v>קשיח</v>
          </cell>
          <cell r="I2160">
            <v>0</v>
          </cell>
          <cell r="J2160">
            <v>0</v>
          </cell>
          <cell r="K2160">
            <v>0</v>
          </cell>
          <cell r="L2160">
            <v>200</v>
          </cell>
          <cell r="M2160">
            <v>217</v>
          </cell>
        </row>
        <row r="2161">
          <cell r="A2161">
            <v>1772100550</v>
          </cell>
          <cell r="B2161">
            <v>550</v>
          </cell>
          <cell r="C2161">
            <v>772100</v>
          </cell>
          <cell r="D2161">
            <v>1</v>
          </cell>
          <cell r="F2161" t="str">
            <v xml:space="preserve">פירסומים          </v>
          </cell>
          <cell r="G2161" t="str">
            <v>גמיש</v>
          </cell>
          <cell r="I2161">
            <v>0</v>
          </cell>
          <cell r="J2161">
            <v>0</v>
          </cell>
          <cell r="K2161">
            <v>0</v>
          </cell>
          <cell r="L2161">
            <v>2300</v>
          </cell>
          <cell r="M2161">
            <v>0</v>
          </cell>
        </row>
        <row r="2162">
          <cell r="A2162">
            <v>1772100561</v>
          </cell>
          <cell r="B2162">
            <v>561</v>
          </cell>
          <cell r="C2162">
            <v>772100</v>
          </cell>
          <cell r="D2162">
            <v>1</v>
          </cell>
          <cell r="F2162" t="str">
            <v xml:space="preserve">שיכפולים          </v>
          </cell>
          <cell r="G2162" t="str">
            <v>גמיש</v>
          </cell>
          <cell r="I2162">
            <v>0</v>
          </cell>
          <cell r="J2162">
            <v>0</v>
          </cell>
          <cell r="K2162">
            <v>0</v>
          </cell>
          <cell r="L2162">
            <v>300</v>
          </cell>
          <cell r="M2162">
            <v>0</v>
          </cell>
        </row>
        <row r="2163">
          <cell r="A2163">
            <v>1772100565</v>
          </cell>
          <cell r="B2163">
            <v>565</v>
          </cell>
          <cell r="C2163">
            <v>772100</v>
          </cell>
          <cell r="D2163">
            <v>1</v>
          </cell>
          <cell r="F2163" t="str">
            <v xml:space="preserve">תצאו"ת            </v>
          </cell>
          <cell r="G2163" t="str">
            <v>גמיש</v>
          </cell>
          <cell r="I2163">
            <v>0</v>
          </cell>
          <cell r="J2163">
            <v>0</v>
          </cell>
          <cell r="K2163">
            <v>0</v>
          </cell>
          <cell r="L2163">
            <v>4900</v>
          </cell>
          <cell r="M2163">
            <v>0</v>
          </cell>
        </row>
        <row r="2164">
          <cell r="A2164">
            <v>1772100571</v>
          </cell>
          <cell r="B2164">
            <v>571</v>
          </cell>
          <cell r="C2164">
            <v>772100</v>
          </cell>
          <cell r="D2164">
            <v>1</v>
          </cell>
          <cell r="F2164" t="str">
            <v xml:space="preserve">מיכון וענ"א       </v>
          </cell>
          <cell r="G2164" t="str">
            <v>קשיח</v>
          </cell>
          <cell r="I2164">
            <v>0</v>
          </cell>
          <cell r="J2164">
            <v>0</v>
          </cell>
          <cell r="K2164">
            <v>0</v>
          </cell>
          <cell r="L2164">
            <v>95000</v>
          </cell>
          <cell r="M2164">
            <v>95000</v>
          </cell>
        </row>
        <row r="2165">
          <cell r="A2165">
            <v>1772100596</v>
          </cell>
          <cell r="B2165">
            <v>596</v>
          </cell>
          <cell r="C2165">
            <v>772100</v>
          </cell>
          <cell r="D2165">
            <v>1</v>
          </cell>
          <cell r="F2165" t="str">
            <v xml:space="preserve">השתתפות בעזר 096  </v>
          </cell>
          <cell r="G2165" t="str">
            <v>קשיח</v>
          </cell>
          <cell r="I2165">
            <v>0</v>
          </cell>
          <cell r="J2165">
            <v>0</v>
          </cell>
          <cell r="K2165">
            <v>0</v>
          </cell>
          <cell r="L2165">
            <v>13300</v>
          </cell>
          <cell r="M2165">
            <v>12432</v>
          </cell>
        </row>
        <row r="2166">
          <cell r="A2166">
            <v>1772100722</v>
          </cell>
          <cell r="B2166">
            <v>722</v>
          </cell>
          <cell r="C2166">
            <v>772100</v>
          </cell>
          <cell r="D2166">
            <v>1</v>
          </cell>
          <cell r="F2166" t="str">
            <v>חמרים-תחזוקה עצמית</v>
          </cell>
          <cell r="G2166" t="str">
            <v>גמיש</v>
          </cell>
          <cell r="I2166">
            <v>0</v>
          </cell>
          <cell r="J2166">
            <v>0</v>
          </cell>
          <cell r="K2166">
            <v>0</v>
          </cell>
          <cell r="L2166">
            <v>500</v>
          </cell>
          <cell r="M2166">
            <v>0</v>
          </cell>
        </row>
        <row r="2167">
          <cell r="A2167">
            <v>1772100752</v>
          </cell>
          <cell r="B2167">
            <v>752</v>
          </cell>
          <cell r="C2167">
            <v>772100</v>
          </cell>
          <cell r="D2167">
            <v>1</v>
          </cell>
          <cell r="F2167" t="str">
            <v xml:space="preserve">נקיון בקבלנות     </v>
          </cell>
          <cell r="G2167" t="str">
            <v>קשיח</v>
          </cell>
          <cell r="I2167">
            <v>0</v>
          </cell>
          <cell r="J2167">
            <v>0</v>
          </cell>
          <cell r="K2167">
            <v>0</v>
          </cell>
          <cell r="L2167">
            <v>31000</v>
          </cell>
          <cell r="M2167">
            <v>28944.53</v>
          </cell>
        </row>
        <row r="2168">
          <cell r="A2168">
            <v>1772100754</v>
          </cell>
          <cell r="B2168">
            <v>754</v>
          </cell>
          <cell r="C2168">
            <v>772100</v>
          </cell>
          <cell r="D2168">
            <v>1</v>
          </cell>
          <cell r="F2168" t="str">
            <v xml:space="preserve">פינויים           </v>
          </cell>
          <cell r="G2168" t="str">
            <v>גמיש</v>
          </cell>
          <cell r="I2168">
            <v>0</v>
          </cell>
          <cell r="J2168">
            <v>0</v>
          </cell>
          <cell r="K2168">
            <v>0</v>
          </cell>
          <cell r="L2168">
            <v>400</v>
          </cell>
          <cell r="M2168">
            <v>0</v>
          </cell>
        </row>
        <row r="2169">
          <cell r="A2169">
            <v>1772100759</v>
          </cell>
          <cell r="B2169">
            <v>759</v>
          </cell>
          <cell r="C2169">
            <v>772100</v>
          </cell>
          <cell r="D2169">
            <v>1</v>
          </cell>
          <cell r="F2169" t="str">
            <v>עבודות אחזקה</v>
          </cell>
          <cell r="G2169" t="str">
            <v>גמיש</v>
          </cell>
          <cell r="I2169">
            <v>0</v>
          </cell>
          <cell r="J2169">
            <v>0</v>
          </cell>
          <cell r="K2169">
            <v>0</v>
          </cell>
          <cell r="L2169">
            <v>81300</v>
          </cell>
          <cell r="M2169">
            <v>293</v>
          </cell>
        </row>
        <row r="2170">
          <cell r="A2170">
            <v>1772100781</v>
          </cell>
          <cell r="B2170">
            <v>781</v>
          </cell>
          <cell r="C2170">
            <v>772100</v>
          </cell>
          <cell r="D2170">
            <v>1</v>
          </cell>
          <cell r="F2170" t="str">
            <v>פעולות סמנכ"ל</v>
          </cell>
          <cell r="G2170" t="str">
            <v>גמיש</v>
          </cell>
          <cell r="I2170">
            <v>0</v>
          </cell>
          <cell r="J2170">
            <v>0</v>
          </cell>
          <cell r="K2170">
            <v>0</v>
          </cell>
          <cell r="L2170">
            <v>10000</v>
          </cell>
          <cell r="M2170">
            <v>3160.82</v>
          </cell>
        </row>
        <row r="2171">
          <cell r="A2171">
            <v>1772100794</v>
          </cell>
          <cell r="B2171">
            <v>794</v>
          </cell>
          <cell r="C2171">
            <v>772100</v>
          </cell>
          <cell r="D2171">
            <v>1</v>
          </cell>
          <cell r="F2171" t="str">
            <v xml:space="preserve">השתתפות בעזר 094  </v>
          </cell>
          <cell r="G2171" t="str">
            <v>קשיח</v>
          </cell>
          <cell r="I2171">
            <v>0</v>
          </cell>
          <cell r="J2171">
            <v>0</v>
          </cell>
          <cell r="K2171">
            <v>0</v>
          </cell>
          <cell r="L2171">
            <v>9200</v>
          </cell>
          <cell r="M2171">
            <v>10972</v>
          </cell>
        </row>
        <row r="2172">
          <cell r="A2172">
            <v>1772100870</v>
          </cell>
          <cell r="B2172">
            <v>870</v>
          </cell>
          <cell r="C2172">
            <v>772100</v>
          </cell>
          <cell r="D2172">
            <v>1</v>
          </cell>
          <cell r="F2172" t="str">
            <v>קידום עסקים בחולון</v>
          </cell>
          <cell r="G2172" t="str">
            <v>גמיש</v>
          </cell>
          <cell r="I2172">
            <v>0</v>
          </cell>
          <cell r="J2172">
            <v>0</v>
          </cell>
          <cell r="K2172">
            <v>0</v>
          </cell>
          <cell r="L2172">
            <v>162500</v>
          </cell>
          <cell r="M2172">
            <v>6318</v>
          </cell>
        </row>
        <row r="2173">
          <cell r="A2173">
            <v>1772100931</v>
          </cell>
          <cell r="B2173">
            <v>931</v>
          </cell>
          <cell r="C2173">
            <v>772100</v>
          </cell>
          <cell r="D2173">
            <v>1</v>
          </cell>
          <cell r="F2173" t="str">
            <v xml:space="preserve">רכישות            </v>
          </cell>
          <cell r="G2173" t="str">
            <v>גמיש</v>
          </cell>
          <cell r="I2173">
            <v>0</v>
          </cell>
          <cell r="J2173">
            <v>0</v>
          </cell>
          <cell r="K2173">
            <v>0</v>
          </cell>
          <cell r="L2173">
            <v>1600</v>
          </cell>
          <cell r="M2173">
            <v>0</v>
          </cell>
        </row>
        <row r="2174">
          <cell r="A2174">
            <v>1772100960</v>
          </cell>
          <cell r="B2174">
            <v>960</v>
          </cell>
          <cell r="C2174">
            <v>772100</v>
          </cell>
          <cell r="D2174">
            <v>1</v>
          </cell>
          <cell r="F2174" t="str">
            <v>פעולות לעידוד א.ת.</v>
          </cell>
          <cell r="G2174" t="str">
            <v>גמיש</v>
          </cell>
          <cell r="I2174">
            <v>0</v>
          </cell>
          <cell r="J2174">
            <v>0</v>
          </cell>
          <cell r="K2174">
            <v>0</v>
          </cell>
          <cell r="L2174">
            <v>39000</v>
          </cell>
          <cell r="M2174">
            <v>90.87</v>
          </cell>
        </row>
        <row r="2175">
          <cell r="A2175" t="e">
            <v>#VALUE!</v>
          </cell>
          <cell r="B2175" t="str">
            <v>772100  סך הכל</v>
          </cell>
          <cell r="F2175" t="str">
            <v>מינהלת תעשיה ומסחר</v>
          </cell>
          <cell r="I2175">
            <v>0</v>
          </cell>
          <cell r="J2175">
            <v>0</v>
          </cell>
          <cell r="K2175">
            <v>0</v>
          </cell>
          <cell r="L2175">
            <v>1878900</v>
          </cell>
          <cell r="M2175">
            <v>1039161.5499999999</v>
          </cell>
        </row>
        <row r="2176">
          <cell r="A2176">
            <v>17800000</v>
          </cell>
          <cell r="B2176">
            <v>0</v>
          </cell>
          <cell r="C2176">
            <v>780000</v>
          </cell>
          <cell r="D2176">
            <v>1</v>
          </cell>
          <cell r="F2176" t="str">
            <v xml:space="preserve">פיקוח עירוני      </v>
          </cell>
          <cell r="G2176" t="str">
            <v xml:space="preserve"> </v>
          </cell>
        </row>
        <row r="2177">
          <cell r="A2177">
            <v>1781100110</v>
          </cell>
          <cell r="B2177">
            <v>110</v>
          </cell>
          <cell r="C2177">
            <v>781100</v>
          </cell>
          <cell r="D2177">
            <v>1</v>
          </cell>
          <cell r="F2177" t="str">
            <v>השכר הקובע-תקציבית</v>
          </cell>
          <cell r="G2177" t="str">
            <v>שכר</v>
          </cell>
          <cell r="H2177">
            <v>2.5006535947712294E-2</v>
          </cell>
          <cell r="I2177">
            <v>784129.99999999988</v>
          </cell>
          <cell r="J2177">
            <v>765000</v>
          </cell>
          <cell r="K2177">
            <v>212032.04</v>
          </cell>
          <cell r="L2177">
            <v>750000</v>
          </cell>
          <cell r="M2177">
            <v>681685.03</v>
          </cell>
        </row>
        <row r="2178">
          <cell r="A2178">
            <v>1781100119</v>
          </cell>
          <cell r="B2178">
            <v>119</v>
          </cell>
          <cell r="C2178">
            <v>781100</v>
          </cell>
          <cell r="D2178">
            <v>1</v>
          </cell>
          <cell r="F2178" t="str">
            <v xml:space="preserve">השכר הקובע-צוברת  </v>
          </cell>
          <cell r="G2178" t="str">
            <v>שכר</v>
          </cell>
          <cell r="H2178">
            <v>0.10459303153019106</v>
          </cell>
          <cell r="I2178">
            <v>8537510</v>
          </cell>
          <cell r="J2178">
            <v>7729100</v>
          </cell>
          <cell r="K2178">
            <v>6927884.3300000001</v>
          </cell>
          <cell r="L2178">
            <v>6730500</v>
          </cell>
          <cell r="M2178">
            <v>9713230.8499999996</v>
          </cell>
        </row>
        <row r="2179">
          <cell r="A2179">
            <v>1781100122</v>
          </cell>
          <cell r="B2179">
            <v>122</v>
          </cell>
          <cell r="C2179">
            <v>781100</v>
          </cell>
          <cell r="D2179">
            <v>1</v>
          </cell>
          <cell r="F2179" t="str">
            <v xml:space="preserve">ביגוד             </v>
          </cell>
          <cell r="G2179" t="str">
            <v>שכר</v>
          </cell>
          <cell r="H2179">
            <v>0</v>
          </cell>
          <cell r="I2179">
            <v>29000</v>
          </cell>
          <cell r="J2179">
            <v>29000</v>
          </cell>
          <cell r="K2179">
            <v>31927.41</v>
          </cell>
          <cell r="L2179">
            <v>25800</v>
          </cell>
          <cell r="M2179">
            <v>27641.69</v>
          </cell>
        </row>
        <row r="2180">
          <cell r="A2180">
            <v>1781100126</v>
          </cell>
          <cell r="B2180">
            <v>126</v>
          </cell>
          <cell r="C2180">
            <v>781100</v>
          </cell>
          <cell r="D2180">
            <v>1</v>
          </cell>
          <cell r="F2180" t="str">
            <v xml:space="preserve">דמי הבראה         </v>
          </cell>
          <cell r="G2180" t="str">
            <v>שכר</v>
          </cell>
          <cell r="H2180">
            <v>0</v>
          </cell>
          <cell r="I2180">
            <v>245000</v>
          </cell>
          <cell r="J2180">
            <v>245000</v>
          </cell>
          <cell r="K2180">
            <v>276266.7</v>
          </cell>
          <cell r="L2180">
            <v>261500</v>
          </cell>
          <cell r="M2180">
            <v>253159.61</v>
          </cell>
        </row>
        <row r="2181">
          <cell r="A2181">
            <v>1781100130</v>
          </cell>
          <cell r="B2181">
            <v>130</v>
          </cell>
          <cell r="C2181">
            <v>781100</v>
          </cell>
          <cell r="D2181">
            <v>1</v>
          </cell>
          <cell r="F2181" t="str">
            <v xml:space="preserve">שעות נוספות       </v>
          </cell>
          <cell r="G2181" t="str">
            <v>שכר</v>
          </cell>
          <cell r="H2181">
            <v>0</v>
          </cell>
          <cell r="I2181">
            <v>1032000</v>
          </cell>
          <cell r="J2181">
            <v>1032000</v>
          </cell>
          <cell r="K2181">
            <v>577217.56999999995</v>
          </cell>
          <cell r="L2181">
            <v>1200000</v>
          </cell>
          <cell r="M2181">
            <v>349023.62</v>
          </cell>
        </row>
        <row r="2182">
          <cell r="A2182">
            <v>1781100140</v>
          </cell>
          <cell r="B2182">
            <v>140</v>
          </cell>
          <cell r="C2182">
            <v>781100</v>
          </cell>
          <cell r="D2182">
            <v>1</v>
          </cell>
          <cell r="F2182" t="str">
            <v>השתתפות באחזקת רכב</v>
          </cell>
          <cell r="G2182" t="str">
            <v>שכר</v>
          </cell>
          <cell r="H2182">
            <v>0</v>
          </cell>
          <cell r="I2182">
            <v>737400</v>
          </cell>
          <cell r="J2182">
            <v>737400</v>
          </cell>
          <cell r="K2182">
            <v>797727.75</v>
          </cell>
          <cell r="L2182">
            <v>737400</v>
          </cell>
          <cell r="M2182">
            <v>1135407.17</v>
          </cell>
        </row>
        <row r="2183">
          <cell r="A2183">
            <v>1781100253</v>
          </cell>
          <cell r="B2183">
            <v>253</v>
          </cell>
          <cell r="C2183">
            <v>781100</v>
          </cell>
          <cell r="D2183">
            <v>1</v>
          </cell>
          <cell r="F2183" t="str">
            <v xml:space="preserve">חברה קבלנית       </v>
          </cell>
          <cell r="G2183" t="str">
            <v>שכר</v>
          </cell>
          <cell r="I2183">
            <v>0</v>
          </cell>
          <cell r="J2183">
            <v>0</v>
          </cell>
          <cell r="K2183">
            <v>0</v>
          </cell>
          <cell r="L2183">
            <v>0</v>
          </cell>
          <cell r="M2183">
            <v>1250.7</v>
          </cell>
        </row>
        <row r="2184">
          <cell r="A2184">
            <v>1781100350</v>
          </cell>
          <cell r="B2184">
            <v>350</v>
          </cell>
          <cell r="C2184">
            <v>781100</v>
          </cell>
          <cell r="D2184">
            <v>1</v>
          </cell>
          <cell r="F2184" t="str">
            <v xml:space="preserve">ליסינג </v>
          </cell>
          <cell r="G2184" t="str">
            <v>שכר</v>
          </cell>
          <cell r="H2184">
            <v>-1</v>
          </cell>
          <cell r="I2184">
            <v>0</v>
          </cell>
          <cell r="J2184">
            <v>60000</v>
          </cell>
          <cell r="K2184">
            <v>18558.54</v>
          </cell>
          <cell r="L2184">
            <v>50000</v>
          </cell>
          <cell r="M2184">
            <v>31412.79</v>
          </cell>
        </row>
        <row r="2185">
          <cell r="A2185">
            <v>1781100351</v>
          </cell>
          <cell r="B2185">
            <v>351</v>
          </cell>
          <cell r="C2185">
            <v>781100</v>
          </cell>
          <cell r="D2185">
            <v>1</v>
          </cell>
          <cell r="F2185" t="str">
            <v xml:space="preserve">הוצאות </v>
          </cell>
          <cell r="G2185" t="str">
            <v>שכר</v>
          </cell>
          <cell r="H2185">
            <v>-1</v>
          </cell>
          <cell r="I2185">
            <v>0</v>
          </cell>
          <cell r="J2185">
            <v>10000</v>
          </cell>
          <cell r="K2185">
            <v>394.09</v>
          </cell>
          <cell r="L2185">
            <v>55000</v>
          </cell>
          <cell r="M2185">
            <v>26019.98</v>
          </cell>
        </row>
        <row r="2186">
          <cell r="A2186">
            <v>1781100410</v>
          </cell>
          <cell r="B2186">
            <v>410</v>
          </cell>
          <cell r="C2186">
            <v>781100</v>
          </cell>
          <cell r="D2186">
            <v>1</v>
          </cell>
          <cell r="F2186" t="str">
            <v>דמי שכירות</v>
          </cell>
          <cell r="G2186" t="str">
            <v>קשיח</v>
          </cell>
          <cell r="H2186">
            <v>0.52112676056338025</v>
          </cell>
          <cell r="I2186">
            <v>540000</v>
          </cell>
          <cell r="J2186">
            <v>355000</v>
          </cell>
          <cell r="K2186">
            <v>238557.48</v>
          </cell>
          <cell r="L2186">
            <v>370000</v>
          </cell>
          <cell r="M2186">
            <v>369999.8</v>
          </cell>
        </row>
        <row r="2187">
          <cell r="A2187">
            <v>1781100420</v>
          </cell>
          <cell r="B2187">
            <v>420</v>
          </cell>
          <cell r="C2187">
            <v>781100</v>
          </cell>
          <cell r="D2187">
            <v>1</v>
          </cell>
          <cell r="F2187" t="str">
            <v xml:space="preserve">כיבוי אש          </v>
          </cell>
          <cell r="G2187" t="str">
            <v>קשיח</v>
          </cell>
          <cell r="H2187">
            <v>0</v>
          </cell>
          <cell r="I2187">
            <v>1170</v>
          </cell>
          <cell r="J2187">
            <v>1170</v>
          </cell>
          <cell r="K2187">
            <v>1151.67</v>
          </cell>
          <cell r="L2187">
            <v>1300</v>
          </cell>
          <cell r="M2187">
            <v>977.64</v>
          </cell>
        </row>
        <row r="2188">
          <cell r="A2188">
            <v>1781100431</v>
          </cell>
          <cell r="B2188">
            <v>431</v>
          </cell>
          <cell r="C2188">
            <v>781100</v>
          </cell>
          <cell r="D2188">
            <v>1</v>
          </cell>
          <cell r="F2188" t="str">
            <v xml:space="preserve">חשמל              </v>
          </cell>
          <cell r="G2188" t="str">
            <v>קשיח</v>
          </cell>
          <cell r="H2188">
            <v>0</v>
          </cell>
          <cell r="I2188">
            <v>140000</v>
          </cell>
          <cell r="J2188">
            <v>140000</v>
          </cell>
          <cell r="K2188">
            <v>36947.35</v>
          </cell>
          <cell r="L2188">
            <v>161000</v>
          </cell>
          <cell r="M2188">
            <v>111824.36</v>
          </cell>
        </row>
        <row r="2189">
          <cell r="A2189">
            <v>1781100432</v>
          </cell>
          <cell r="B2189">
            <v>432</v>
          </cell>
          <cell r="C2189">
            <v>781100</v>
          </cell>
          <cell r="D2189">
            <v>1</v>
          </cell>
          <cell r="F2189" t="str">
            <v xml:space="preserve">מים               </v>
          </cell>
          <cell r="G2189" t="str">
            <v>קשיח</v>
          </cell>
          <cell r="H2189">
            <v>9.7560975609756184E-2</v>
          </cell>
          <cell r="I2189">
            <v>4500</v>
          </cell>
          <cell r="J2189">
            <v>4100</v>
          </cell>
          <cell r="K2189">
            <v>2421</v>
          </cell>
          <cell r="L2189">
            <v>4100</v>
          </cell>
          <cell r="M2189">
            <v>4500</v>
          </cell>
        </row>
        <row r="2190">
          <cell r="A2190">
            <v>1781100433</v>
          </cell>
          <cell r="B2190">
            <v>433</v>
          </cell>
          <cell r="C2190">
            <v>781100</v>
          </cell>
          <cell r="D2190">
            <v>1</v>
          </cell>
          <cell r="F2190" t="str">
            <v xml:space="preserve">חומרי נקיון       </v>
          </cell>
          <cell r="G2190" t="str">
            <v>גמיש</v>
          </cell>
          <cell r="H2190">
            <v>0.11111111111111116</v>
          </cell>
          <cell r="I2190">
            <v>8200</v>
          </cell>
          <cell r="J2190">
            <v>7380</v>
          </cell>
          <cell r="K2190">
            <v>5536</v>
          </cell>
          <cell r="L2190">
            <v>8200</v>
          </cell>
          <cell r="M2190">
            <v>7502.99</v>
          </cell>
        </row>
        <row r="2191">
          <cell r="A2191">
            <v>1781100437</v>
          </cell>
          <cell r="B2191">
            <v>437</v>
          </cell>
          <cell r="C2191">
            <v>781100</v>
          </cell>
          <cell r="D2191">
            <v>1</v>
          </cell>
          <cell r="F2191" t="str">
            <v xml:space="preserve">אחזקת אזעקה       </v>
          </cell>
          <cell r="G2191" t="str">
            <v>קשיח</v>
          </cell>
          <cell r="H2191">
            <v>0</v>
          </cell>
          <cell r="I2191">
            <v>5400</v>
          </cell>
          <cell r="J2191">
            <v>5400</v>
          </cell>
          <cell r="K2191">
            <v>1231.92</v>
          </cell>
          <cell r="L2191">
            <v>5400</v>
          </cell>
          <cell r="M2191">
            <v>2442.96</v>
          </cell>
        </row>
        <row r="2192">
          <cell r="A2192">
            <v>1781100441</v>
          </cell>
          <cell r="B2192">
            <v>441</v>
          </cell>
          <cell r="C2192">
            <v>781100</v>
          </cell>
          <cell r="D2192">
            <v>1</v>
          </cell>
          <cell r="F2192" t="str">
            <v>בטוח תאונות אישיות</v>
          </cell>
          <cell r="G2192" t="str">
            <v>קשיח</v>
          </cell>
          <cell r="I2192">
            <v>25200</v>
          </cell>
          <cell r="J2192">
            <v>0</v>
          </cell>
          <cell r="K2192">
            <v>0</v>
          </cell>
          <cell r="L2192">
            <v>4200</v>
          </cell>
          <cell r="M2192">
            <v>0</v>
          </cell>
        </row>
        <row r="2193">
          <cell r="A2193">
            <v>1781100450</v>
          </cell>
          <cell r="B2193">
            <v>450</v>
          </cell>
          <cell r="C2193">
            <v>781100</v>
          </cell>
          <cell r="D2193">
            <v>1</v>
          </cell>
          <cell r="F2193" t="str">
            <v>אחזקת תמי 4</v>
          </cell>
          <cell r="G2193" t="str">
            <v>קשיח</v>
          </cell>
          <cell r="H2193">
            <v>0</v>
          </cell>
          <cell r="I2193">
            <v>1100</v>
          </cell>
          <cell r="J2193">
            <v>1100</v>
          </cell>
          <cell r="K2193">
            <v>0</v>
          </cell>
          <cell r="L2193">
            <v>3400</v>
          </cell>
          <cell r="M2193">
            <v>0</v>
          </cell>
        </row>
        <row r="2194">
          <cell r="A2194">
            <v>1781100470</v>
          </cell>
          <cell r="B2194">
            <v>470</v>
          </cell>
          <cell r="C2194">
            <v>781100</v>
          </cell>
          <cell r="D2194">
            <v>1</v>
          </cell>
          <cell r="F2194" t="str">
            <v xml:space="preserve">אחזקת מכונות משרד </v>
          </cell>
          <cell r="G2194" t="str">
            <v>גמיש</v>
          </cell>
          <cell r="H2194">
            <v>-1</v>
          </cell>
          <cell r="I2194">
            <v>0</v>
          </cell>
          <cell r="J2194">
            <v>2160</v>
          </cell>
          <cell r="K2194">
            <v>0</v>
          </cell>
          <cell r="L2194">
            <v>2400</v>
          </cell>
          <cell r="M2194">
            <v>0</v>
          </cell>
        </row>
        <row r="2195">
          <cell r="A2195">
            <v>1781100471</v>
          </cell>
          <cell r="B2195">
            <v>471</v>
          </cell>
          <cell r="C2195">
            <v>781100</v>
          </cell>
          <cell r="D2195">
            <v>1</v>
          </cell>
          <cell r="F2195" t="str">
            <v xml:space="preserve">מכשירי כתיבה      </v>
          </cell>
          <cell r="G2195" t="str">
            <v>גמיש</v>
          </cell>
          <cell r="H2195">
            <v>0.3346680013346679</v>
          </cell>
          <cell r="I2195">
            <v>40000</v>
          </cell>
          <cell r="J2195">
            <v>29970</v>
          </cell>
          <cell r="K2195">
            <v>5877.12</v>
          </cell>
          <cell r="L2195">
            <v>33300</v>
          </cell>
          <cell r="M2195">
            <v>31824.62</v>
          </cell>
        </row>
        <row r="2196">
          <cell r="A2196">
            <v>1781100472</v>
          </cell>
          <cell r="B2196">
            <v>472</v>
          </cell>
          <cell r="C2196">
            <v>781100</v>
          </cell>
          <cell r="D2196">
            <v>1</v>
          </cell>
          <cell r="F2196" t="str">
            <v>מכשירי קשר</v>
          </cell>
          <cell r="G2196" t="str">
            <v>גמיש</v>
          </cell>
          <cell r="I2196">
            <v>26000</v>
          </cell>
          <cell r="J2196">
            <v>0</v>
          </cell>
          <cell r="K2196">
            <v>0</v>
          </cell>
          <cell r="L2196">
            <v>0</v>
          </cell>
          <cell r="M2196">
            <v>0</v>
          </cell>
        </row>
        <row r="2197">
          <cell r="A2197">
            <v>1781100473</v>
          </cell>
          <cell r="B2197">
            <v>473</v>
          </cell>
          <cell r="C2197">
            <v>781100</v>
          </cell>
          <cell r="D2197">
            <v>1</v>
          </cell>
          <cell r="F2197" t="str">
            <v>אגרות רחפנים</v>
          </cell>
          <cell r="G2197" t="str">
            <v>גמיש</v>
          </cell>
          <cell r="I2197">
            <v>14000</v>
          </cell>
          <cell r="J2197">
            <v>0</v>
          </cell>
          <cell r="K2197">
            <v>0</v>
          </cell>
          <cell r="L2197">
            <v>0</v>
          </cell>
          <cell r="M2197">
            <v>0</v>
          </cell>
        </row>
        <row r="2198">
          <cell r="A2198">
            <v>1781100474</v>
          </cell>
          <cell r="B2198">
            <v>474</v>
          </cell>
          <cell r="C2198">
            <v>781100</v>
          </cell>
          <cell r="D2198">
            <v>1</v>
          </cell>
          <cell r="F2198" t="str">
            <v>תחזוקת רחפנים</v>
          </cell>
          <cell r="G2198" t="str">
            <v>גמיש</v>
          </cell>
          <cell r="I2198">
            <v>5000</v>
          </cell>
          <cell r="J2198">
            <v>0</v>
          </cell>
          <cell r="K2198">
            <v>0</v>
          </cell>
          <cell r="L2198">
            <v>0</v>
          </cell>
          <cell r="M2198">
            <v>0</v>
          </cell>
        </row>
        <row r="2199">
          <cell r="A2199">
            <v>1781100492</v>
          </cell>
          <cell r="B2199">
            <v>492</v>
          </cell>
          <cell r="C2199">
            <v>781100</v>
          </cell>
          <cell r="D2199">
            <v>1</v>
          </cell>
          <cell r="F2199" t="str">
            <v xml:space="preserve">השתתפות בעזר 092  </v>
          </cell>
          <cell r="G2199" t="str">
            <v>קשיח</v>
          </cell>
          <cell r="H2199">
            <v>3.8363171355498826E-2</v>
          </cell>
          <cell r="I2199">
            <v>324800</v>
          </cell>
          <cell r="J2199">
            <v>312800</v>
          </cell>
          <cell r="K2199">
            <v>123596</v>
          </cell>
          <cell r="L2199">
            <v>312800</v>
          </cell>
          <cell r="M2199">
            <v>342509</v>
          </cell>
        </row>
        <row r="2200">
          <cell r="A2200">
            <v>1781100511</v>
          </cell>
          <cell r="B2200">
            <v>511</v>
          </cell>
          <cell r="C2200">
            <v>781100</v>
          </cell>
          <cell r="D2200">
            <v>1</v>
          </cell>
          <cell r="F2200" t="str">
            <v xml:space="preserve">אירוח וכיבוד      </v>
          </cell>
          <cell r="G2200" t="str">
            <v>גמיש</v>
          </cell>
          <cell r="H2200">
            <v>3.0864197530864335E-3</v>
          </cell>
          <cell r="I2200">
            <v>26000</v>
          </cell>
          <cell r="J2200">
            <v>25920</v>
          </cell>
          <cell r="K2200">
            <v>15055.96</v>
          </cell>
          <cell r="L2200">
            <v>28500</v>
          </cell>
          <cell r="M2200">
            <v>23023.75</v>
          </cell>
        </row>
        <row r="2201">
          <cell r="A2201">
            <v>1781100516</v>
          </cell>
          <cell r="B2201">
            <v>516</v>
          </cell>
          <cell r="C2201">
            <v>781100</v>
          </cell>
          <cell r="D2201">
            <v>1</v>
          </cell>
          <cell r="F2201" t="str">
            <v>כיבוד-ארוע'עירונים</v>
          </cell>
          <cell r="G2201" t="str">
            <v>גמיש</v>
          </cell>
          <cell r="H2201">
            <v>0.11111111111111116</v>
          </cell>
          <cell r="I2201">
            <v>8100</v>
          </cell>
          <cell r="J2201">
            <v>7290</v>
          </cell>
          <cell r="K2201">
            <v>7557.04</v>
          </cell>
          <cell r="L2201">
            <v>8100</v>
          </cell>
          <cell r="M2201">
            <v>500</v>
          </cell>
        </row>
        <row r="2202">
          <cell r="A2202">
            <v>1781100544</v>
          </cell>
          <cell r="B2202">
            <v>544</v>
          </cell>
          <cell r="C2202">
            <v>781100</v>
          </cell>
          <cell r="D2202">
            <v>1</v>
          </cell>
          <cell r="F2202" t="str">
            <v xml:space="preserve">הוצאות דאר        </v>
          </cell>
          <cell r="G2202" t="str">
            <v>קשיח</v>
          </cell>
          <cell r="H2202">
            <v>0</v>
          </cell>
          <cell r="I2202">
            <v>15000</v>
          </cell>
          <cell r="J2202">
            <v>15000</v>
          </cell>
          <cell r="K2202">
            <v>0</v>
          </cell>
          <cell r="L2202">
            <v>55600</v>
          </cell>
          <cell r="M2202">
            <v>24289.15</v>
          </cell>
        </row>
        <row r="2203">
          <cell r="A2203">
            <v>1781100550</v>
          </cell>
          <cell r="B2203">
            <v>550</v>
          </cell>
          <cell r="C2203">
            <v>781100</v>
          </cell>
          <cell r="D2203">
            <v>1</v>
          </cell>
          <cell r="F2203" t="str">
            <v xml:space="preserve">פירסומים          </v>
          </cell>
          <cell r="G2203" t="str">
            <v>גמיש</v>
          </cell>
          <cell r="H2203">
            <v>0.11111111111111116</v>
          </cell>
          <cell r="I2203">
            <v>800</v>
          </cell>
          <cell r="J2203">
            <v>720</v>
          </cell>
          <cell r="K2203">
            <v>0</v>
          </cell>
          <cell r="L2203">
            <v>800</v>
          </cell>
          <cell r="M2203">
            <v>0</v>
          </cell>
        </row>
        <row r="2204">
          <cell r="A2204">
            <v>1781100561</v>
          </cell>
          <cell r="B2204">
            <v>561</v>
          </cell>
          <cell r="C2204">
            <v>781100</v>
          </cell>
          <cell r="D2204">
            <v>1</v>
          </cell>
          <cell r="F2204" t="str">
            <v xml:space="preserve">שיכפולים          </v>
          </cell>
          <cell r="G2204" t="str">
            <v>גמיש</v>
          </cell>
          <cell r="H2204">
            <v>-1</v>
          </cell>
          <cell r="I2204">
            <v>0</v>
          </cell>
          <cell r="J2204">
            <v>10980</v>
          </cell>
          <cell r="K2204">
            <v>4117.0600000000004</v>
          </cell>
          <cell r="L2204">
            <v>12200</v>
          </cell>
          <cell r="M2204">
            <v>11221</v>
          </cell>
        </row>
        <row r="2205">
          <cell r="A2205">
            <v>1781100562</v>
          </cell>
          <cell r="B2205">
            <v>562</v>
          </cell>
          <cell r="C2205">
            <v>781100</v>
          </cell>
          <cell r="D2205">
            <v>1</v>
          </cell>
          <cell r="F2205" t="str">
            <v xml:space="preserve">הדפסות            </v>
          </cell>
          <cell r="G2205" t="str">
            <v>גמיש</v>
          </cell>
          <cell r="H2205">
            <v>0.8193632228719947</v>
          </cell>
          <cell r="I2205">
            <v>28000</v>
          </cell>
          <cell r="J2205">
            <v>15390</v>
          </cell>
          <cell r="K2205">
            <v>9407.65</v>
          </cell>
          <cell r="L2205">
            <v>17100</v>
          </cell>
          <cell r="M2205">
            <v>17099.580000000002</v>
          </cell>
        </row>
        <row r="2206">
          <cell r="A2206">
            <v>1781100565</v>
          </cell>
          <cell r="B2206">
            <v>565</v>
          </cell>
          <cell r="C2206">
            <v>781100</v>
          </cell>
          <cell r="D2206">
            <v>1</v>
          </cell>
          <cell r="F2206" t="str">
            <v>ציוד לעררי חניה</v>
          </cell>
          <cell r="G2206" t="str">
            <v>גמיש</v>
          </cell>
          <cell r="H2206">
            <v>0.17370892018779349</v>
          </cell>
          <cell r="I2206">
            <v>30000</v>
          </cell>
          <cell r="J2206">
            <v>25560</v>
          </cell>
          <cell r="K2206">
            <v>18484.400000000001</v>
          </cell>
          <cell r="L2206">
            <v>28400</v>
          </cell>
          <cell r="M2206">
            <v>25948.37</v>
          </cell>
        </row>
        <row r="2207">
          <cell r="A2207">
            <v>1781100570</v>
          </cell>
          <cell r="B2207">
            <v>570</v>
          </cell>
          <cell r="C2207">
            <v>781100</v>
          </cell>
          <cell r="D2207">
            <v>1</v>
          </cell>
          <cell r="F2207" t="str">
            <v xml:space="preserve">עיבוד נתונים      </v>
          </cell>
          <cell r="G2207" t="str">
            <v>גמיש</v>
          </cell>
          <cell r="I2207">
            <v>0</v>
          </cell>
          <cell r="J2207">
            <v>0</v>
          </cell>
          <cell r="K2207">
            <v>0</v>
          </cell>
          <cell r="L2207">
            <v>1600</v>
          </cell>
          <cell r="M2207">
            <v>0</v>
          </cell>
        </row>
        <row r="2208">
          <cell r="A2208">
            <v>1781100571</v>
          </cell>
          <cell r="B2208">
            <v>571</v>
          </cell>
          <cell r="C2208">
            <v>781100</v>
          </cell>
          <cell r="D2208">
            <v>1</v>
          </cell>
          <cell r="F2208" t="str">
            <v xml:space="preserve">מיכון וענ"א       </v>
          </cell>
          <cell r="G2208" t="str">
            <v>קשיח</v>
          </cell>
          <cell r="H2208">
            <v>0</v>
          </cell>
          <cell r="I2208">
            <v>354100</v>
          </cell>
          <cell r="J2208">
            <v>354100</v>
          </cell>
          <cell r="K2208">
            <v>177050</v>
          </cell>
          <cell r="L2208">
            <v>344100</v>
          </cell>
          <cell r="M2208">
            <v>344100</v>
          </cell>
        </row>
        <row r="2209">
          <cell r="A2209">
            <v>1781100572</v>
          </cell>
          <cell r="B2209">
            <v>572</v>
          </cell>
          <cell r="C2209">
            <v>781100</v>
          </cell>
          <cell r="D2209">
            <v>1</v>
          </cell>
          <cell r="F2209" t="str">
            <v>דמי מנוי לעמדת טעינה</v>
          </cell>
          <cell r="G2209" t="str">
            <v>קשיח</v>
          </cell>
          <cell r="H2209">
            <v>-1</v>
          </cell>
          <cell r="I2209">
            <v>0</v>
          </cell>
          <cell r="J2209">
            <v>400</v>
          </cell>
          <cell r="K2209">
            <v>0</v>
          </cell>
          <cell r="L2209">
            <v>0</v>
          </cell>
          <cell r="M2209">
            <v>0</v>
          </cell>
        </row>
        <row r="2210">
          <cell r="A2210">
            <v>1781100580</v>
          </cell>
          <cell r="B2210">
            <v>580</v>
          </cell>
          <cell r="C2210">
            <v>781100</v>
          </cell>
          <cell r="D2210">
            <v>1</v>
          </cell>
          <cell r="F2210" t="str">
            <v xml:space="preserve">שמאות ומדידות     </v>
          </cell>
          <cell r="G2210" t="str">
            <v>גמיש</v>
          </cell>
          <cell r="H2210">
            <v>0</v>
          </cell>
          <cell r="I2210">
            <v>2700</v>
          </cell>
          <cell r="J2210">
            <v>2700</v>
          </cell>
          <cell r="K2210">
            <v>0</v>
          </cell>
          <cell r="L2210">
            <v>8600</v>
          </cell>
          <cell r="M2210">
            <v>2246</v>
          </cell>
        </row>
        <row r="2211">
          <cell r="A2211">
            <v>1781100596</v>
          </cell>
          <cell r="B2211">
            <v>596</v>
          </cell>
          <cell r="C2211">
            <v>781100</v>
          </cell>
          <cell r="D2211">
            <v>1</v>
          </cell>
          <cell r="F2211" t="str">
            <v xml:space="preserve">השתתפות בעזר 096  </v>
          </cell>
          <cell r="G2211" t="str">
            <v>קשיח</v>
          </cell>
          <cell r="H2211">
            <v>0</v>
          </cell>
          <cell r="I2211">
            <v>952000</v>
          </cell>
          <cell r="J2211">
            <v>952000</v>
          </cell>
          <cell r="K2211">
            <v>386795</v>
          </cell>
          <cell r="L2211">
            <v>925000</v>
          </cell>
          <cell r="M2211">
            <v>864593</v>
          </cell>
        </row>
        <row r="2212">
          <cell r="A2212">
            <v>1781100722</v>
          </cell>
          <cell r="B2212">
            <v>722</v>
          </cell>
          <cell r="C2212">
            <v>781100</v>
          </cell>
          <cell r="D2212">
            <v>1</v>
          </cell>
          <cell r="F2212" t="str">
            <v>חמרים-תחזוקה עצמית</v>
          </cell>
          <cell r="G2212" t="str">
            <v>גמיש</v>
          </cell>
          <cell r="H2212">
            <v>0.38888888888888884</v>
          </cell>
          <cell r="I2212">
            <v>4000</v>
          </cell>
          <cell r="J2212">
            <v>2880</v>
          </cell>
          <cell r="K2212">
            <v>3597.5</v>
          </cell>
          <cell r="L2212">
            <v>3200</v>
          </cell>
          <cell r="M2212">
            <v>2896</v>
          </cell>
        </row>
        <row r="2213">
          <cell r="A2213">
            <v>1781100735</v>
          </cell>
          <cell r="B2213">
            <v>735</v>
          </cell>
          <cell r="C2213">
            <v>781100</v>
          </cell>
          <cell r="D2213">
            <v>1</v>
          </cell>
          <cell r="F2213" t="str">
            <v>ליסינג</v>
          </cell>
          <cell r="G2213" t="str">
            <v>קשיח</v>
          </cell>
          <cell r="H2213">
            <v>1.1351714285714287</v>
          </cell>
          <cell r="I2213">
            <v>747310</v>
          </cell>
          <cell r="J2213">
            <v>350000</v>
          </cell>
          <cell r="K2213">
            <v>230144.77</v>
          </cell>
          <cell r="L2213">
            <v>400000</v>
          </cell>
          <cell r="M2213">
            <v>400152.69</v>
          </cell>
        </row>
        <row r="2214">
          <cell r="A2214">
            <v>1781100744</v>
          </cell>
          <cell r="B2214">
            <v>744</v>
          </cell>
          <cell r="C2214">
            <v>781100</v>
          </cell>
          <cell r="D2214">
            <v>1</v>
          </cell>
          <cell r="F2214" t="str">
            <v xml:space="preserve">מדים וציוד אישי   </v>
          </cell>
          <cell r="G2214" t="str">
            <v>גמיש</v>
          </cell>
          <cell r="H2214">
            <v>0.19540229885057481</v>
          </cell>
          <cell r="I2214">
            <v>140400</v>
          </cell>
          <cell r="J2214">
            <v>117450</v>
          </cell>
          <cell r="K2214">
            <v>93365</v>
          </cell>
          <cell r="L2214">
            <v>130500</v>
          </cell>
          <cell r="M2214">
            <v>127439.73</v>
          </cell>
        </row>
        <row r="2215">
          <cell r="A2215">
            <v>1781100751</v>
          </cell>
          <cell r="B2215">
            <v>751</v>
          </cell>
          <cell r="C2215">
            <v>781100</v>
          </cell>
          <cell r="D2215">
            <v>1</v>
          </cell>
          <cell r="F2215" t="str">
            <v xml:space="preserve">עבודות קבלניות    </v>
          </cell>
          <cell r="G2215" t="str">
            <v>גמיש</v>
          </cell>
          <cell r="H2215">
            <v>0.11111111111111116</v>
          </cell>
          <cell r="I2215">
            <v>3500</v>
          </cell>
          <cell r="J2215">
            <v>3150</v>
          </cell>
          <cell r="K2215">
            <v>1400</v>
          </cell>
          <cell r="L2215">
            <v>3500</v>
          </cell>
          <cell r="M2215">
            <v>3500</v>
          </cell>
        </row>
        <row r="2216">
          <cell r="A2216">
            <v>1781100752</v>
          </cell>
          <cell r="B2216">
            <v>752</v>
          </cell>
          <cell r="C2216">
            <v>781100</v>
          </cell>
          <cell r="D2216">
            <v>1</v>
          </cell>
          <cell r="F2216" t="str">
            <v xml:space="preserve">נקיון בקבלנות     </v>
          </cell>
          <cell r="G2216" t="str">
            <v>קשיח</v>
          </cell>
          <cell r="H2216">
            <v>-4.7619047619047672E-2</v>
          </cell>
          <cell r="I2216">
            <v>160000</v>
          </cell>
          <cell r="J2216">
            <v>168000</v>
          </cell>
          <cell r="K2216">
            <v>35081.49</v>
          </cell>
          <cell r="L2216">
            <v>168000</v>
          </cell>
          <cell r="M2216">
            <v>158531.44</v>
          </cell>
        </row>
        <row r="2217">
          <cell r="A2217">
            <v>1781100757</v>
          </cell>
          <cell r="B2217">
            <v>757</v>
          </cell>
          <cell r="C2217">
            <v>781100</v>
          </cell>
          <cell r="D2217">
            <v>1</v>
          </cell>
          <cell r="F2217" t="str">
            <v>אכיפת גביה/דוחות שונים</v>
          </cell>
          <cell r="G2217" t="str">
            <v>גמיש</v>
          </cell>
          <cell r="I2217">
            <v>0</v>
          </cell>
          <cell r="J2217">
            <v>0</v>
          </cell>
          <cell r="K2217">
            <v>0</v>
          </cell>
          <cell r="L2217">
            <v>5000</v>
          </cell>
          <cell r="M2217">
            <v>0</v>
          </cell>
        </row>
        <row r="2218">
          <cell r="A2218">
            <v>1781100759</v>
          </cell>
          <cell r="B2218">
            <v>759</v>
          </cell>
          <cell r="C2218">
            <v>781100</v>
          </cell>
          <cell r="D2218">
            <v>1</v>
          </cell>
          <cell r="F2218" t="str">
            <v xml:space="preserve">גרירות            </v>
          </cell>
          <cell r="G2218" t="str">
            <v>גמיש</v>
          </cell>
          <cell r="H2218">
            <v>1.3174603174603177</v>
          </cell>
          <cell r="I2218">
            <v>146000</v>
          </cell>
          <cell r="J2218">
            <v>63000</v>
          </cell>
          <cell r="K2218">
            <v>193016</v>
          </cell>
          <cell r="L2218">
            <v>77000</v>
          </cell>
          <cell r="M2218">
            <v>75241.8</v>
          </cell>
        </row>
        <row r="2219">
          <cell r="A2219">
            <v>1781100780</v>
          </cell>
          <cell r="B2219">
            <v>780</v>
          </cell>
          <cell r="C2219">
            <v>781100</v>
          </cell>
          <cell r="D2219">
            <v>1</v>
          </cell>
          <cell r="F2219" t="str">
            <v>פעולות מיוחדות</v>
          </cell>
          <cell r="G2219" t="str">
            <v>גמיש</v>
          </cell>
          <cell r="H2219">
            <v>0</v>
          </cell>
          <cell r="I2219">
            <v>18270</v>
          </cell>
          <cell r="J2219">
            <v>18270</v>
          </cell>
          <cell r="K2219">
            <v>0</v>
          </cell>
          <cell r="L2219">
            <v>20300</v>
          </cell>
          <cell r="M2219">
            <v>19289.400000000001</v>
          </cell>
        </row>
        <row r="2220">
          <cell r="A2220">
            <v>1781100789</v>
          </cell>
          <cell r="B2220">
            <v>789</v>
          </cell>
          <cell r="C2220">
            <v>781100</v>
          </cell>
          <cell r="D2220">
            <v>1</v>
          </cell>
          <cell r="F2220" t="str">
            <v xml:space="preserve">כביסה             </v>
          </cell>
          <cell r="G2220" t="str">
            <v>גמיש</v>
          </cell>
          <cell r="H2220">
            <v>-1</v>
          </cell>
          <cell r="I2220">
            <v>0</v>
          </cell>
          <cell r="J2220">
            <v>1260</v>
          </cell>
          <cell r="K2220">
            <v>0</v>
          </cell>
          <cell r="L2220">
            <v>1400</v>
          </cell>
          <cell r="M2220">
            <v>0</v>
          </cell>
        </row>
        <row r="2221">
          <cell r="A2221">
            <v>1781100794</v>
          </cell>
          <cell r="B2221">
            <v>794</v>
          </cell>
          <cell r="C2221">
            <v>781100</v>
          </cell>
          <cell r="D2221">
            <v>1</v>
          </cell>
          <cell r="F2221" t="str">
            <v xml:space="preserve">השתתפות בעזר 094  </v>
          </cell>
          <cell r="G2221" t="str">
            <v>קשיח</v>
          </cell>
          <cell r="H2221">
            <v>0</v>
          </cell>
          <cell r="I2221">
            <v>32400</v>
          </cell>
          <cell r="J2221">
            <v>32400</v>
          </cell>
          <cell r="K2221">
            <v>15306</v>
          </cell>
          <cell r="L2221">
            <v>32400</v>
          </cell>
          <cell r="M2221">
            <v>38644</v>
          </cell>
        </row>
        <row r="2222">
          <cell r="A2222">
            <v>1781100932</v>
          </cell>
          <cell r="B2222">
            <v>932</v>
          </cell>
          <cell r="C2222">
            <v>781100</v>
          </cell>
          <cell r="D2222">
            <v>1</v>
          </cell>
          <cell r="F2222" t="str">
            <v xml:space="preserve">רכישות חד-פעמיות  </v>
          </cell>
          <cell r="G2222" t="str">
            <v>גמיש</v>
          </cell>
          <cell r="H2222">
            <v>0.11111111111111116</v>
          </cell>
          <cell r="I2222">
            <v>17600</v>
          </cell>
          <cell r="J2222">
            <v>15840</v>
          </cell>
          <cell r="K2222">
            <v>11039.6</v>
          </cell>
          <cell r="L2222">
            <v>17600</v>
          </cell>
          <cell r="M2222">
            <v>17048</v>
          </cell>
        </row>
        <row r="2223">
          <cell r="A2223" t="e">
            <v>#VALUE!</v>
          </cell>
          <cell r="B2223" t="str">
            <v>781100  סך הכל</v>
          </cell>
          <cell r="F2223" t="str">
            <v xml:space="preserve">פיקוח  עירוני     </v>
          </cell>
          <cell r="H2223">
            <v>0.11266117611029181</v>
          </cell>
          <cell r="I2223">
            <v>15186590</v>
          </cell>
          <cell r="J2223">
            <v>13648890</v>
          </cell>
          <cell r="K2223">
            <v>10458744.439999999</v>
          </cell>
          <cell r="L2223">
            <v>13005200</v>
          </cell>
          <cell r="M2223">
            <v>15246176.719999997</v>
          </cell>
        </row>
        <row r="2224">
          <cell r="A2224">
            <v>17812000</v>
          </cell>
          <cell r="B2224">
            <v>0</v>
          </cell>
          <cell r="C2224">
            <v>781200</v>
          </cell>
          <cell r="D2224">
            <v>1</v>
          </cell>
          <cell r="F2224" t="str">
            <v xml:space="preserve">רשות חניה         </v>
          </cell>
          <cell r="G2224" t="str">
            <v xml:space="preserve"> </v>
          </cell>
        </row>
        <row r="2225">
          <cell r="A2225">
            <v>1781200439</v>
          </cell>
          <cell r="B2225">
            <v>439</v>
          </cell>
          <cell r="C2225">
            <v>781200</v>
          </cell>
          <cell r="D2225">
            <v>1</v>
          </cell>
          <cell r="F2225" t="str">
            <v>שאילתות משרד התחבורה</v>
          </cell>
          <cell r="G2225" t="str">
            <v>קשיח</v>
          </cell>
          <cell r="H2225">
            <v>0</v>
          </cell>
          <cell r="I2225">
            <v>696000</v>
          </cell>
          <cell r="J2225">
            <v>696000</v>
          </cell>
          <cell r="K2225">
            <v>134712.20000000001</v>
          </cell>
          <cell r="L2225">
            <v>180000</v>
          </cell>
          <cell r="M2225">
            <v>320322.14</v>
          </cell>
        </row>
        <row r="2226">
          <cell r="A2226">
            <v>1781200541</v>
          </cell>
          <cell r="B2226">
            <v>541</v>
          </cell>
          <cell r="C2226">
            <v>781200</v>
          </cell>
          <cell r="D2226">
            <v>1</v>
          </cell>
          <cell r="F2226" t="str">
            <v xml:space="preserve">משלוחים           </v>
          </cell>
          <cell r="G2226" t="str">
            <v>קשיח</v>
          </cell>
          <cell r="H2226">
            <v>-0.39098660170523747</v>
          </cell>
          <cell r="I2226">
            <v>1200000</v>
          </cell>
          <cell r="J2226">
            <v>1970400</v>
          </cell>
          <cell r="K2226">
            <v>513953.04</v>
          </cell>
          <cell r="L2226">
            <v>470300</v>
          </cell>
          <cell r="M2226">
            <v>566748.41</v>
          </cell>
        </row>
        <row r="2227">
          <cell r="A2227">
            <v>1781200542</v>
          </cell>
          <cell r="B2227">
            <v>542</v>
          </cell>
          <cell r="C2227">
            <v>781200</v>
          </cell>
          <cell r="D2227">
            <v>1</v>
          </cell>
          <cell r="F2227" t="str">
            <v>עררים תשובה שלילית</v>
          </cell>
          <cell r="G2227" t="str">
            <v>גמיש</v>
          </cell>
          <cell r="I2227">
            <v>120000</v>
          </cell>
          <cell r="J2227">
            <v>0</v>
          </cell>
          <cell r="K2227">
            <v>0</v>
          </cell>
          <cell r="L2227">
            <v>111200</v>
          </cell>
          <cell r="M2227">
            <v>0</v>
          </cell>
        </row>
        <row r="2228">
          <cell r="A2228">
            <v>1781200544</v>
          </cell>
          <cell r="B2228">
            <v>544</v>
          </cell>
          <cell r="C2228">
            <v>781200</v>
          </cell>
          <cell r="D2228">
            <v>1</v>
          </cell>
          <cell r="F2228" t="str">
            <v xml:space="preserve">הוצאות דאר        </v>
          </cell>
          <cell r="G2228" t="str">
            <v>קשיח</v>
          </cell>
          <cell r="H2228">
            <v>0</v>
          </cell>
          <cell r="I2228">
            <v>34200</v>
          </cell>
          <cell r="J2228">
            <v>34200</v>
          </cell>
          <cell r="K2228">
            <v>33496.65</v>
          </cell>
          <cell r="L2228">
            <v>34200</v>
          </cell>
          <cell r="M2228">
            <v>426149.38</v>
          </cell>
        </row>
        <row r="2229">
          <cell r="A2229">
            <v>1781200561</v>
          </cell>
          <cell r="B2229">
            <v>561</v>
          </cell>
          <cell r="C2229">
            <v>781200</v>
          </cell>
          <cell r="D2229">
            <v>1</v>
          </cell>
          <cell r="F2229" t="str">
            <v xml:space="preserve">שיכפולים          </v>
          </cell>
          <cell r="G2229" t="str">
            <v>גמיש</v>
          </cell>
          <cell r="H2229">
            <v>-1</v>
          </cell>
          <cell r="I2229">
            <v>0</v>
          </cell>
          <cell r="J2229">
            <v>360</v>
          </cell>
          <cell r="K2229">
            <v>0</v>
          </cell>
          <cell r="L2229">
            <v>400</v>
          </cell>
          <cell r="M2229">
            <v>0</v>
          </cell>
        </row>
        <row r="2230">
          <cell r="A2230">
            <v>1781200562</v>
          </cell>
          <cell r="B2230">
            <v>562</v>
          </cell>
          <cell r="C2230">
            <v>781200</v>
          </cell>
          <cell r="D2230">
            <v>1</v>
          </cell>
          <cell r="F2230" t="str">
            <v xml:space="preserve">הדפסות            </v>
          </cell>
          <cell r="G2230" t="str">
            <v>גמיש</v>
          </cell>
          <cell r="H2230">
            <v>0</v>
          </cell>
          <cell r="I2230">
            <v>21600</v>
          </cell>
          <cell r="J2230">
            <v>21600</v>
          </cell>
          <cell r="K2230">
            <v>6031.38</v>
          </cell>
          <cell r="L2230">
            <v>24000</v>
          </cell>
          <cell r="M2230">
            <v>50455.17</v>
          </cell>
        </row>
        <row r="2231">
          <cell r="A2231">
            <v>1781200570</v>
          </cell>
          <cell r="B2231">
            <v>570</v>
          </cell>
          <cell r="C2231">
            <v>781200</v>
          </cell>
          <cell r="D2231">
            <v>1</v>
          </cell>
          <cell r="F2231" t="str">
            <v xml:space="preserve">עיבוד נתונים      </v>
          </cell>
          <cell r="G2231" t="str">
            <v>קשיח</v>
          </cell>
          <cell r="H2231">
            <v>-1</v>
          </cell>
          <cell r="I2231">
            <v>0</v>
          </cell>
          <cell r="J2231">
            <v>270000</v>
          </cell>
          <cell r="K2231">
            <v>110522.56</v>
          </cell>
          <cell r="L2231">
            <v>270000</v>
          </cell>
          <cell r="M2231">
            <v>298341.56</v>
          </cell>
        </row>
        <row r="2232">
          <cell r="A2232">
            <v>1781200758</v>
          </cell>
          <cell r="B2232">
            <v>758</v>
          </cell>
          <cell r="C2232">
            <v>781200</v>
          </cell>
          <cell r="D2232">
            <v>1</v>
          </cell>
          <cell r="F2232" t="str">
            <v>מסופוני חניה</v>
          </cell>
          <cell r="G2232" t="str">
            <v>קשיח</v>
          </cell>
          <cell r="H2232">
            <v>0.61746575342465748</v>
          </cell>
          <cell r="I2232">
            <v>472300</v>
          </cell>
          <cell r="J2232">
            <v>292000</v>
          </cell>
          <cell r="K2232">
            <v>72742.92</v>
          </cell>
          <cell r="L2232">
            <v>682000</v>
          </cell>
          <cell r="M2232">
            <v>224122.3</v>
          </cell>
        </row>
        <row r="2233">
          <cell r="A2233">
            <v>1781200780</v>
          </cell>
          <cell r="B2233">
            <v>780</v>
          </cell>
          <cell r="C2233">
            <v>781200</v>
          </cell>
          <cell r="D2233">
            <v>1</v>
          </cell>
          <cell r="F2233" t="str">
            <v>ניהול עררי חניה</v>
          </cell>
          <cell r="G2233" t="str">
            <v>גמיש</v>
          </cell>
          <cell r="H2233">
            <v>-1</v>
          </cell>
          <cell r="I2233">
            <v>0</v>
          </cell>
          <cell r="J2233">
            <v>21960</v>
          </cell>
          <cell r="K2233">
            <v>0</v>
          </cell>
          <cell r="L2233">
            <v>24400</v>
          </cell>
          <cell r="M2233">
            <v>0</v>
          </cell>
        </row>
        <row r="2234">
          <cell r="A2234">
            <v>1781200781</v>
          </cell>
          <cell r="B2234">
            <v>781</v>
          </cell>
          <cell r="C2234">
            <v>781200</v>
          </cell>
          <cell r="D2234">
            <v>1</v>
          </cell>
          <cell r="F2234" t="str">
            <v>ניהול חיי דוח</v>
          </cell>
          <cell r="G2234" t="str">
            <v>גמיש</v>
          </cell>
          <cell r="I2234">
            <v>368160</v>
          </cell>
          <cell r="J2234">
            <v>0</v>
          </cell>
          <cell r="K2234">
            <v>0</v>
          </cell>
          <cell r="L2234">
            <v>0</v>
          </cell>
          <cell r="M2234">
            <v>0</v>
          </cell>
        </row>
        <row r="2235">
          <cell r="A2235" t="e">
            <v>#VALUE!</v>
          </cell>
          <cell r="B2235" t="str">
            <v>781200  סך הכל</v>
          </cell>
          <cell r="F2235" t="str">
            <v xml:space="preserve">רשות חניה         </v>
          </cell>
          <cell r="H2235">
            <v>-0.11923714358298154</v>
          </cell>
          <cell r="I2235">
            <v>2912260</v>
          </cell>
          <cell r="J2235">
            <v>3306520</v>
          </cell>
          <cell r="K2235">
            <v>871458.75000000012</v>
          </cell>
          <cell r="L2235">
            <v>1796500</v>
          </cell>
          <cell r="M2235">
            <v>1886138.9600000002</v>
          </cell>
        </row>
        <row r="2236">
          <cell r="A2236">
            <v>17813000</v>
          </cell>
          <cell r="B2236">
            <v>0</v>
          </cell>
          <cell r="C2236">
            <v>781300</v>
          </cell>
          <cell r="D2236">
            <v>1</v>
          </cell>
          <cell r="F2236" t="str">
            <v>השיטור העירוני</v>
          </cell>
          <cell r="G2236" t="str">
            <v xml:space="preserve"> </v>
          </cell>
        </row>
        <row r="2237">
          <cell r="A2237">
            <v>1781300119</v>
          </cell>
          <cell r="B2237">
            <v>119</v>
          </cell>
          <cell r="C2237">
            <v>781300</v>
          </cell>
          <cell r="D2237">
            <v>1</v>
          </cell>
          <cell r="F2237" t="str">
            <v xml:space="preserve">השכר הקובע-צוברת  </v>
          </cell>
          <cell r="G2237" t="str">
            <v>שכר</v>
          </cell>
          <cell r="H2237">
            <v>0.98067399210709594</v>
          </cell>
          <cell r="I2237">
            <v>10238500</v>
          </cell>
          <cell r="J2237">
            <v>5169200</v>
          </cell>
          <cell r="K2237">
            <v>2954378.6</v>
          </cell>
          <cell r="L2237">
            <v>4644300</v>
          </cell>
          <cell r="M2237">
            <v>4384047.41</v>
          </cell>
        </row>
        <row r="2238">
          <cell r="A2238">
            <v>1781300122</v>
          </cell>
          <cell r="B2238">
            <v>122</v>
          </cell>
          <cell r="C2238">
            <v>781300</v>
          </cell>
          <cell r="D2238">
            <v>1</v>
          </cell>
          <cell r="F2238" t="str">
            <v xml:space="preserve">ביגוד             </v>
          </cell>
          <cell r="G2238" t="str">
            <v>שכר</v>
          </cell>
          <cell r="H2238">
            <v>0.21978021978021989</v>
          </cell>
          <cell r="I2238">
            <v>11100</v>
          </cell>
          <cell r="J2238">
            <v>9100</v>
          </cell>
          <cell r="K2238">
            <v>9039.93</v>
          </cell>
          <cell r="L2238">
            <v>8500</v>
          </cell>
          <cell r="M2238">
            <v>8626.5400000000009</v>
          </cell>
        </row>
        <row r="2239">
          <cell r="A2239">
            <v>1781300126</v>
          </cell>
          <cell r="B2239">
            <v>126</v>
          </cell>
          <cell r="C2239">
            <v>781300</v>
          </cell>
          <cell r="D2239">
            <v>1</v>
          </cell>
          <cell r="F2239" t="str">
            <v xml:space="preserve">דמי הבראה         </v>
          </cell>
          <cell r="G2239" t="str">
            <v>שכר</v>
          </cell>
          <cell r="H2239">
            <v>0.219090909090909</v>
          </cell>
          <cell r="I2239">
            <v>134100</v>
          </cell>
          <cell r="J2239">
            <v>110000</v>
          </cell>
          <cell r="K2239">
            <v>99762.3</v>
          </cell>
          <cell r="L2239">
            <v>128500</v>
          </cell>
          <cell r="M2239">
            <v>111588.27</v>
          </cell>
        </row>
        <row r="2240">
          <cell r="A2240">
            <v>1781300130</v>
          </cell>
          <cell r="B2240">
            <v>130</v>
          </cell>
          <cell r="C2240">
            <v>781300</v>
          </cell>
          <cell r="D2240">
            <v>1</v>
          </cell>
          <cell r="F2240" t="str">
            <v xml:space="preserve">שעות נוספות       </v>
          </cell>
          <cell r="G2240" t="str">
            <v>שכר</v>
          </cell>
          <cell r="H2240">
            <v>0.2195146612740142</v>
          </cell>
          <cell r="I2240">
            <v>1206100</v>
          </cell>
          <cell r="J2240">
            <v>989000</v>
          </cell>
          <cell r="K2240">
            <v>1029143.46</v>
          </cell>
          <cell r="L2240">
            <v>1150000</v>
          </cell>
          <cell r="M2240">
            <v>1227881.23</v>
          </cell>
        </row>
        <row r="2241">
          <cell r="A2241">
            <v>1781300140</v>
          </cell>
          <cell r="B2241">
            <v>140</v>
          </cell>
          <cell r="C2241">
            <v>781300</v>
          </cell>
          <cell r="D2241">
            <v>1</v>
          </cell>
          <cell r="F2241" t="str">
            <v>השתתפות באחזקת רכב</v>
          </cell>
          <cell r="G2241" t="str">
            <v>שכר</v>
          </cell>
          <cell r="H2241">
            <v>0</v>
          </cell>
          <cell r="I2241">
            <v>357000</v>
          </cell>
          <cell r="J2241">
            <v>357000</v>
          </cell>
          <cell r="K2241">
            <v>293216.90999999997</v>
          </cell>
          <cell r="L2241">
            <v>357000</v>
          </cell>
          <cell r="M2241">
            <v>394368.12</v>
          </cell>
        </row>
        <row r="2242">
          <cell r="A2242">
            <v>1781300350</v>
          </cell>
          <cell r="B2242">
            <v>350</v>
          </cell>
          <cell r="C2242">
            <v>781300</v>
          </cell>
          <cell r="D2242">
            <v>1</v>
          </cell>
          <cell r="F2242" t="str">
            <v>ליסינג 648-22-302</v>
          </cell>
          <cell r="G2242" t="str">
            <v>שכר</v>
          </cell>
          <cell r="H2242">
            <v>0</v>
          </cell>
          <cell r="I2242">
            <v>58000</v>
          </cell>
          <cell r="J2242">
            <v>58000</v>
          </cell>
          <cell r="K2242">
            <v>557.82000000000005</v>
          </cell>
          <cell r="L2242">
            <v>60000</v>
          </cell>
          <cell r="M2242">
            <v>41182.18</v>
          </cell>
        </row>
        <row r="2243">
          <cell r="A2243">
            <v>1781300351</v>
          </cell>
          <cell r="B2243">
            <v>351</v>
          </cell>
          <cell r="C2243">
            <v>781300</v>
          </cell>
          <cell r="D2243">
            <v>1</v>
          </cell>
          <cell r="F2243" t="str">
            <v xml:space="preserve">הוצאות רכב 648-22-302 </v>
          </cell>
          <cell r="G2243" t="str">
            <v>שכר</v>
          </cell>
          <cell r="H2243">
            <v>0</v>
          </cell>
          <cell r="I2243">
            <v>33800</v>
          </cell>
          <cell r="J2243">
            <v>33800</v>
          </cell>
          <cell r="K2243">
            <v>155.07</v>
          </cell>
          <cell r="L2243">
            <v>33800</v>
          </cell>
          <cell r="M2243">
            <v>19949.45</v>
          </cell>
        </row>
        <row r="2244">
          <cell r="A2244">
            <v>1781300410</v>
          </cell>
          <cell r="B2244">
            <v>410</v>
          </cell>
          <cell r="C2244">
            <v>781300</v>
          </cell>
          <cell r="D2244">
            <v>1</v>
          </cell>
          <cell r="F2244" t="str">
            <v>דמי שכירות</v>
          </cell>
          <cell r="G2244" t="str">
            <v>קשיח</v>
          </cell>
          <cell r="H2244">
            <v>0</v>
          </cell>
          <cell r="I2244">
            <v>210000</v>
          </cell>
          <cell r="J2244">
            <v>210000</v>
          </cell>
          <cell r="K2244">
            <v>99856.56</v>
          </cell>
          <cell r="L2244">
            <v>223000</v>
          </cell>
          <cell r="M2244">
            <v>219078.39999999999</v>
          </cell>
        </row>
        <row r="2245">
          <cell r="A2245">
            <v>1781300431</v>
          </cell>
          <cell r="B2245">
            <v>431</v>
          </cell>
          <cell r="C2245">
            <v>781300</v>
          </cell>
          <cell r="D2245">
            <v>1</v>
          </cell>
          <cell r="F2245" t="str">
            <v xml:space="preserve">חשמל              </v>
          </cell>
          <cell r="G2245" t="str">
            <v>קשיח</v>
          </cell>
          <cell r="H2245">
            <v>0</v>
          </cell>
          <cell r="I2245">
            <v>42400</v>
          </cell>
          <cell r="J2245">
            <v>42400</v>
          </cell>
          <cell r="K2245">
            <v>5592</v>
          </cell>
          <cell r="L2245">
            <v>39600</v>
          </cell>
          <cell r="M2245">
            <v>27341</v>
          </cell>
        </row>
        <row r="2246">
          <cell r="A2246">
            <v>1781300432</v>
          </cell>
          <cell r="B2246">
            <v>432</v>
          </cell>
          <cell r="C2246">
            <v>781300</v>
          </cell>
          <cell r="D2246">
            <v>1</v>
          </cell>
          <cell r="F2246" t="str">
            <v xml:space="preserve">מים               </v>
          </cell>
          <cell r="G2246" t="str">
            <v>קשיח</v>
          </cell>
          <cell r="H2246">
            <v>0</v>
          </cell>
          <cell r="I2246">
            <v>4200</v>
          </cell>
          <cell r="J2246">
            <v>4200</v>
          </cell>
          <cell r="K2246">
            <v>694</v>
          </cell>
          <cell r="L2246">
            <v>2500</v>
          </cell>
          <cell r="M2246">
            <v>4030</v>
          </cell>
        </row>
        <row r="2247">
          <cell r="A2247">
            <v>1781300433</v>
          </cell>
          <cell r="B2247">
            <v>433</v>
          </cell>
          <cell r="C2247">
            <v>781300</v>
          </cell>
          <cell r="D2247">
            <v>1</v>
          </cell>
          <cell r="F2247" t="str">
            <v xml:space="preserve">חומרי נקיון       </v>
          </cell>
          <cell r="G2247" t="str">
            <v>גמיש</v>
          </cell>
          <cell r="H2247">
            <v>0</v>
          </cell>
          <cell r="I2247">
            <v>6030</v>
          </cell>
          <cell r="J2247">
            <v>6030</v>
          </cell>
          <cell r="K2247">
            <v>2655</v>
          </cell>
          <cell r="L2247">
            <v>6700</v>
          </cell>
          <cell r="M2247">
            <v>3947.25</v>
          </cell>
        </row>
        <row r="2248">
          <cell r="A2248">
            <v>1781300437</v>
          </cell>
          <cell r="B2248">
            <v>437</v>
          </cell>
          <cell r="C2248">
            <v>781300</v>
          </cell>
          <cell r="D2248">
            <v>1</v>
          </cell>
          <cell r="F2248" t="str">
            <v>אחזקת אזעקה</v>
          </cell>
          <cell r="G2248" t="str">
            <v>קשיח</v>
          </cell>
          <cell r="H2248">
            <v>0</v>
          </cell>
          <cell r="I2248">
            <v>2800</v>
          </cell>
          <cell r="J2248">
            <v>2800</v>
          </cell>
          <cell r="K2248">
            <v>0</v>
          </cell>
          <cell r="L2248">
            <v>2800</v>
          </cell>
          <cell r="M2248">
            <v>0</v>
          </cell>
        </row>
        <row r="2249">
          <cell r="A2249">
            <v>1781300439</v>
          </cell>
          <cell r="B2249">
            <v>439</v>
          </cell>
          <cell r="C2249">
            <v>781300</v>
          </cell>
          <cell r="D2249">
            <v>1</v>
          </cell>
          <cell r="F2249" t="str">
            <v>אגרת רישיון נשק</v>
          </cell>
          <cell r="G2249" t="str">
            <v>קשיח</v>
          </cell>
          <cell r="I2249">
            <v>0</v>
          </cell>
          <cell r="J2249">
            <v>0</v>
          </cell>
          <cell r="K2249">
            <v>0</v>
          </cell>
          <cell r="L2249">
            <v>5000</v>
          </cell>
          <cell r="M2249">
            <v>0</v>
          </cell>
        </row>
        <row r="2250">
          <cell r="A2250">
            <v>1781300441</v>
          </cell>
          <cell r="B2250">
            <v>441</v>
          </cell>
          <cell r="C2250">
            <v>781300</v>
          </cell>
          <cell r="D2250">
            <v>1</v>
          </cell>
          <cell r="F2250" t="str">
            <v>ביטוח קטנועים</v>
          </cell>
          <cell r="G2250" t="str">
            <v>קשיח</v>
          </cell>
          <cell r="H2250">
            <v>2.25</v>
          </cell>
          <cell r="I2250">
            <v>195000</v>
          </cell>
          <cell r="J2250">
            <v>60000</v>
          </cell>
          <cell r="K2250">
            <v>59987</v>
          </cell>
          <cell r="L2250">
            <v>50000</v>
          </cell>
          <cell r="M2250">
            <v>59351</v>
          </cell>
        </row>
        <row r="2251">
          <cell r="A2251">
            <v>1781300445</v>
          </cell>
          <cell r="B2251">
            <v>445</v>
          </cell>
          <cell r="C2251">
            <v>781300</v>
          </cell>
          <cell r="D2251">
            <v>1</v>
          </cell>
          <cell r="F2251" t="str">
            <v>ביטוח מפקחים</v>
          </cell>
          <cell r="G2251" t="str">
            <v>קשיח</v>
          </cell>
          <cell r="H2251">
            <v>0.8085106382978724</v>
          </cell>
          <cell r="I2251">
            <v>85000</v>
          </cell>
          <cell r="J2251">
            <v>47000</v>
          </cell>
          <cell r="K2251">
            <v>0</v>
          </cell>
          <cell r="L2251">
            <v>47000</v>
          </cell>
          <cell r="M2251">
            <v>0</v>
          </cell>
        </row>
        <row r="2252">
          <cell r="A2252">
            <v>1781300450</v>
          </cell>
          <cell r="B2252">
            <v>450</v>
          </cell>
          <cell r="C2252">
            <v>781300</v>
          </cell>
          <cell r="D2252">
            <v>1</v>
          </cell>
          <cell r="F2252" t="str">
            <v>אחזקת תמי 4</v>
          </cell>
          <cell r="G2252" t="str">
            <v>קשיח</v>
          </cell>
          <cell r="H2252">
            <v>0</v>
          </cell>
          <cell r="I2252">
            <v>2000</v>
          </cell>
          <cell r="J2252">
            <v>2000</v>
          </cell>
          <cell r="K2252">
            <v>0</v>
          </cell>
          <cell r="L2252">
            <v>2000</v>
          </cell>
          <cell r="M2252">
            <v>0</v>
          </cell>
        </row>
        <row r="2253">
          <cell r="A2253">
            <v>1781300470</v>
          </cell>
          <cell r="B2253">
            <v>470</v>
          </cell>
          <cell r="C2253">
            <v>781300</v>
          </cell>
          <cell r="D2253">
            <v>1</v>
          </cell>
          <cell r="F2253" t="str">
            <v xml:space="preserve">אחזקת מכונות משרד </v>
          </cell>
          <cell r="G2253" t="str">
            <v>גמיש</v>
          </cell>
          <cell r="H2253">
            <v>0</v>
          </cell>
          <cell r="I2253">
            <v>1530</v>
          </cell>
          <cell r="J2253">
            <v>1530</v>
          </cell>
          <cell r="K2253">
            <v>0</v>
          </cell>
          <cell r="L2253">
            <v>1700</v>
          </cell>
          <cell r="M2253">
            <v>0</v>
          </cell>
        </row>
        <row r="2254">
          <cell r="A2254">
            <v>1781300471</v>
          </cell>
          <cell r="B2254">
            <v>471</v>
          </cell>
          <cell r="C2254">
            <v>781300</v>
          </cell>
          <cell r="D2254">
            <v>1</v>
          </cell>
          <cell r="F2254" t="str">
            <v xml:space="preserve">מכשירי כתיבה      </v>
          </cell>
          <cell r="G2254" t="str">
            <v>גמיש</v>
          </cell>
          <cell r="H2254">
            <v>0.70175438596491224</v>
          </cell>
          <cell r="I2254">
            <v>29100</v>
          </cell>
          <cell r="J2254">
            <v>17100</v>
          </cell>
          <cell r="K2254">
            <v>14047</v>
          </cell>
          <cell r="L2254">
            <v>19000</v>
          </cell>
          <cell r="M2254">
            <v>12675.13</v>
          </cell>
        </row>
        <row r="2255">
          <cell r="A2255">
            <v>1781300472</v>
          </cell>
          <cell r="B2255">
            <v>472</v>
          </cell>
          <cell r="C2255">
            <v>781300</v>
          </cell>
          <cell r="D2255">
            <v>1</v>
          </cell>
          <cell r="F2255" t="str">
            <v>אחזקת מכשירי קשר</v>
          </cell>
          <cell r="G2255" t="str">
            <v>גמיש</v>
          </cell>
          <cell r="H2255">
            <v>0.63654618473895574</v>
          </cell>
          <cell r="I2255">
            <v>48900</v>
          </cell>
          <cell r="J2255">
            <v>29880</v>
          </cell>
          <cell r="K2255">
            <v>7736.13</v>
          </cell>
          <cell r="L2255">
            <v>33200</v>
          </cell>
          <cell r="M2255">
            <v>25657.8</v>
          </cell>
        </row>
        <row r="2256">
          <cell r="A2256">
            <v>1781300473</v>
          </cell>
          <cell r="B2256">
            <v>473</v>
          </cell>
          <cell r="C2256">
            <v>781300</v>
          </cell>
          <cell r="D2256">
            <v>1</v>
          </cell>
          <cell r="F2256" t="str">
            <v>אחזקת מסופונים</v>
          </cell>
          <cell r="G2256" t="str">
            <v>גמיש</v>
          </cell>
          <cell r="H2256">
            <v>0.80778727445394116</v>
          </cell>
          <cell r="I2256">
            <v>951800</v>
          </cell>
          <cell r="J2256">
            <v>526500</v>
          </cell>
          <cell r="K2256">
            <v>145485.87</v>
          </cell>
          <cell r="L2256">
            <v>195000</v>
          </cell>
          <cell r="M2256">
            <v>320349.42</v>
          </cell>
        </row>
        <row r="2257">
          <cell r="A2257">
            <v>1781300511</v>
          </cell>
          <cell r="B2257">
            <v>511</v>
          </cell>
          <cell r="C2257">
            <v>781300</v>
          </cell>
          <cell r="D2257">
            <v>1</v>
          </cell>
          <cell r="F2257" t="str">
            <v xml:space="preserve">אירוח וכיבוד      </v>
          </cell>
          <cell r="G2257" t="str">
            <v>גמיש</v>
          </cell>
          <cell r="H2257">
            <v>0.85185185185185186</v>
          </cell>
          <cell r="I2257">
            <v>32000</v>
          </cell>
          <cell r="J2257">
            <v>17280</v>
          </cell>
          <cell r="K2257">
            <v>11860.48</v>
          </cell>
          <cell r="L2257">
            <v>19000</v>
          </cell>
          <cell r="M2257">
            <v>17055.27</v>
          </cell>
        </row>
        <row r="2258">
          <cell r="A2258">
            <v>1781300512</v>
          </cell>
          <cell r="B2258">
            <v>512</v>
          </cell>
          <cell r="C2258">
            <v>781300</v>
          </cell>
          <cell r="D2258">
            <v>1</v>
          </cell>
          <cell r="F2258" t="str">
            <v>כלכלה ( ארוחות )</v>
          </cell>
          <cell r="G2258" t="str">
            <v>גמיש</v>
          </cell>
          <cell r="H2258">
            <v>0.80770147830233663</v>
          </cell>
          <cell r="I2258">
            <v>303260</v>
          </cell>
          <cell r="J2258">
            <v>167760</v>
          </cell>
          <cell r="K2258">
            <v>54952.45</v>
          </cell>
          <cell r="L2258">
            <v>186400</v>
          </cell>
          <cell r="M2258">
            <v>143923.06</v>
          </cell>
        </row>
        <row r="2259">
          <cell r="A2259">
            <v>1781300524</v>
          </cell>
          <cell r="B2259">
            <v>524</v>
          </cell>
          <cell r="C2259">
            <v>781300</v>
          </cell>
          <cell r="D2259">
            <v>1</v>
          </cell>
          <cell r="F2259" t="str">
            <v>הכשרת מפקחים (קורסים מקצועיים)</v>
          </cell>
          <cell r="G2259" t="str">
            <v>גמיש</v>
          </cell>
          <cell r="H2259">
            <v>0.80767676767676777</v>
          </cell>
          <cell r="I2259">
            <v>178960</v>
          </cell>
          <cell r="J2259">
            <v>99000</v>
          </cell>
          <cell r="K2259">
            <v>32436</v>
          </cell>
          <cell r="L2259">
            <v>126000</v>
          </cell>
          <cell r="M2259">
            <v>121325.83</v>
          </cell>
        </row>
        <row r="2260">
          <cell r="A2260">
            <v>1781300540</v>
          </cell>
          <cell r="B2260">
            <v>540</v>
          </cell>
          <cell r="C2260">
            <v>781300</v>
          </cell>
          <cell r="D2260">
            <v>1</v>
          </cell>
          <cell r="F2260" t="str">
            <v>הוצאות טלפון / אינטרנט</v>
          </cell>
          <cell r="G2260" t="str">
            <v>קשיח</v>
          </cell>
          <cell r="I2260">
            <v>0</v>
          </cell>
          <cell r="J2260">
            <v>0</v>
          </cell>
          <cell r="K2260">
            <v>0</v>
          </cell>
          <cell r="L2260">
            <v>5000</v>
          </cell>
          <cell r="M2260">
            <v>0</v>
          </cell>
        </row>
        <row r="2261">
          <cell r="A2261">
            <v>1781300544</v>
          </cell>
          <cell r="B2261">
            <v>544</v>
          </cell>
          <cell r="C2261">
            <v>781300</v>
          </cell>
          <cell r="D2261">
            <v>1</v>
          </cell>
          <cell r="F2261" t="str">
            <v xml:space="preserve">הוצאות דאר        </v>
          </cell>
          <cell r="G2261" t="str">
            <v>קשיח</v>
          </cell>
          <cell r="I2261">
            <v>0</v>
          </cell>
          <cell r="J2261">
            <v>0</v>
          </cell>
          <cell r="K2261">
            <v>0</v>
          </cell>
          <cell r="L2261">
            <v>12500</v>
          </cell>
          <cell r="M2261">
            <v>0</v>
          </cell>
        </row>
        <row r="2262">
          <cell r="A2262">
            <v>1781300550</v>
          </cell>
          <cell r="B2262">
            <v>550</v>
          </cell>
          <cell r="C2262">
            <v>781300</v>
          </cell>
          <cell r="D2262">
            <v>1</v>
          </cell>
          <cell r="F2262" t="str">
            <v>פרסומים</v>
          </cell>
          <cell r="G2262" t="str">
            <v>גמיש</v>
          </cell>
          <cell r="H2262">
            <v>0</v>
          </cell>
          <cell r="I2262">
            <v>4230</v>
          </cell>
          <cell r="J2262">
            <v>4230</v>
          </cell>
          <cell r="K2262">
            <v>0</v>
          </cell>
          <cell r="L2262">
            <v>4700</v>
          </cell>
          <cell r="M2262">
            <v>1853</v>
          </cell>
        </row>
        <row r="2263">
          <cell r="A2263">
            <v>1781300561</v>
          </cell>
          <cell r="B2263">
            <v>561</v>
          </cell>
          <cell r="C2263">
            <v>781300</v>
          </cell>
          <cell r="D2263">
            <v>1</v>
          </cell>
          <cell r="F2263" t="str">
            <v xml:space="preserve">שיכפולים          </v>
          </cell>
          <cell r="G2263" t="str">
            <v>גמיש</v>
          </cell>
          <cell r="H2263">
            <v>-1</v>
          </cell>
          <cell r="I2263">
            <v>0</v>
          </cell>
          <cell r="J2263">
            <v>8550</v>
          </cell>
          <cell r="K2263">
            <v>0</v>
          </cell>
          <cell r="L2263">
            <v>9500</v>
          </cell>
          <cell r="M2263">
            <v>1053</v>
          </cell>
        </row>
        <row r="2264">
          <cell r="A2264">
            <v>1781300562</v>
          </cell>
          <cell r="B2264">
            <v>562</v>
          </cell>
          <cell r="C2264">
            <v>781300</v>
          </cell>
          <cell r="D2264">
            <v>1</v>
          </cell>
          <cell r="F2264" t="str">
            <v xml:space="preserve">הדפסות            </v>
          </cell>
          <cell r="G2264" t="str">
            <v>גמיש</v>
          </cell>
          <cell r="H2264">
            <v>1.4242424242424243</v>
          </cell>
          <cell r="I2264">
            <v>14400</v>
          </cell>
          <cell r="J2264">
            <v>5940</v>
          </cell>
          <cell r="K2264">
            <v>216.26</v>
          </cell>
          <cell r="L2264">
            <v>6600</v>
          </cell>
          <cell r="M2264">
            <v>6599.09</v>
          </cell>
        </row>
        <row r="2265">
          <cell r="A2265">
            <v>1781300572</v>
          </cell>
          <cell r="B2265">
            <v>572</v>
          </cell>
          <cell r="C2265">
            <v>781300</v>
          </cell>
          <cell r="D2265">
            <v>1</v>
          </cell>
          <cell r="F2265" t="str">
            <v>דמי מנוי לעמדת טעינה</v>
          </cell>
          <cell r="G2265" t="str">
            <v>קשיח</v>
          </cell>
          <cell r="I2265">
            <v>0</v>
          </cell>
          <cell r="J2265">
            <v>0</v>
          </cell>
          <cell r="K2265">
            <v>0</v>
          </cell>
          <cell r="L2265">
            <v>400</v>
          </cell>
          <cell r="M2265">
            <v>315</v>
          </cell>
        </row>
        <row r="2266">
          <cell r="A2266">
            <v>1781300715</v>
          </cell>
          <cell r="B2266">
            <v>715</v>
          </cell>
          <cell r="C2266">
            <v>781300</v>
          </cell>
          <cell r="D2266">
            <v>1</v>
          </cell>
          <cell r="F2266" t="str">
            <v>עבודות קבלניות - רכב</v>
          </cell>
          <cell r="G2266" t="str">
            <v>קשיח</v>
          </cell>
          <cell r="H2266">
            <v>1.75</v>
          </cell>
          <cell r="I2266">
            <v>55000</v>
          </cell>
          <cell r="J2266">
            <v>20000</v>
          </cell>
          <cell r="K2266">
            <v>0</v>
          </cell>
          <cell r="L2266">
            <v>20000</v>
          </cell>
          <cell r="M2266">
            <v>7002</v>
          </cell>
        </row>
        <row r="2267">
          <cell r="A2267">
            <v>1781300722</v>
          </cell>
          <cell r="B2267">
            <v>722</v>
          </cell>
          <cell r="C2267">
            <v>781300</v>
          </cell>
          <cell r="D2267">
            <v>1</v>
          </cell>
          <cell r="F2267" t="str">
            <v>חמרים-תחזוקה עצמית</v>
          </cell>
          <cell r="G2267" t="str">
            <v>גמיש</v>
          </cell>
          <cell r="H2267">
            <v>0.80952380952380953</v>
          </cell>
          <cell r="I2267">
            <v>2280</v>
          </cell>
          <cell r="J2267">
            <v>1260</v>
          </cell>
          <cell r="K2267">
            <v>0</v>
          </cell>
          <cell r="L2267">
            <v>1400</v>
          </cell>
          <cell r="M2267">
            <v>1339</v>
          </cell>
        </row>
        <row r="2268">
          <cell r="A2268">
            <v>1781300735</v>
          </cell>
          <cell r="B2268">
            <v>735</v>
          </cell>
          <cell r="C2268">
            <v>781300</v>
          </cell>
          <cell r="D2268">
            <v>1</v>
          </cell>
          <cell r="F2268" t="str">
            <v>ליסינג</v>
          </cell>
          <cell r="G2268" t="str">
            <v>שכר</v>
          </cell>
          <cell r="H2268">
            <v>0.4150798941798941</v>
          </cell>
          <cell r="I2268">
            <v>267450.09999999998</v>
          </cell>
          <cell r="J2268">
            <v>189000</v>
          </cell>
          <cell r="K2268">
            <v>119324.51</v>
          </cell>
          <cell r="L2268">
            <v>210000</v>
          </cell>
          <cell r="M2268">
            <v>183302.45</v>
          </cell>
        </row>
        <row r="2269">
          <cell r="A2269">
            <v>1781300736</v>
          </cell>
          <cell r="B2269">
            <v>736</v>
          </cell>
          <cell r="C2269">
            <v>781300</v>
          </cell>
          <cell r="D2269">
            <v>1</v>
          </cell>
          <cell r="F2269" t="str">
            <v>דלק והוצאות</v>
          </cell>
          <cell r="G2269" t="str">
            <v>קשיח</v>
          </cell>
          <cell r="H2269">
            <v>1.75</v>
          </cell>
          <cell r="I2269">
            <v>558250</v>
          </cell>
          <cell r="J2269">
            <v>203000</v>
          </cell>
          <cell r="K2269">
            <v>113667.04</v>
          </cell>
          <cell r="L2269">
            <v>203000</v>
          </cell>
          <cell r="M2269">
            <v>146501.42000000001</v>
          </cell>
        </row>
        <row r="2270">
          <cell r="A2270">
            <v>1781300737</v>
          </cell>
          <cell r="B2270">
            <v>737</v>
          </cell>
          <cell r="C2270">
            <v>781300</v>
          </cell>
          <cell r="D2270">
            <v>1</v>
          </cell>
          <cell r="F2270" t="str">
            <v>שכירות רכב לימים גשומים</v>
          </cell>
          <cell r="G2270" t="str">
            <v>גמיש</v>
          </cell>
          <cell r="H2270">
            <v>0</v>
          </cell>
          <cell r="I2270">
            <v>2700</v>
          </cell>
          <cell r="J2270">
            <v>2700</v>
          </cell>
          <cell r="K2270">
            <v>0</v>
          </cell>
          <cell r="L2270">
            <v>3000</v>
          </cell>
          <cell r="M2270">
            <v>0</v>
          </cell>
        </row>
        <row r="2271">
          <cell r="A2271">
            <v>1781300742</v>
          </cell>
          <cell r="B2271">
            <v>742</v>
          </cell>
          <cell r="C2271">
            <v>781300</v>
          </cell>
          <cell r="D2271">
            <v>1</v>
          </cell>
          <cell r="F2271" t="str">
            <v xml:space="preserve">כלים וציוד        </v>
          </cell>
          <cell r="G2271" t="str">
            <v>גמיש</v>
          </cell>
          <cell r="H2271">
            <v>0.80740740740740735</v>
          </cell>
          <cell r="I2271">
            <v>48800</v>
          </cell>
          <cell r="J2271">
            <v>27000</v>
          </cell>
          <cell r="K2271">
            <v>1525</v>
          </cell>
          <cell r="L2271">
            <v>36200</v>
          </cell>
          <cell r="M2271">
            <v>33122.160000000003</v>
          </cell>
        </row>
        <row r="2272">
          <cell r="A2272">
            <v>1781300744</v>
          </cell>
          <cell r="B2272">
            <v>744</v>
          </cell>
          <cell r="C2272">
            <v>781300</v>
          </cell>
          <cell r="D2272">
            <v>1</v>
          </cell>
          <cell r="F2272" t="str">
            <v>מדים</v>
          </cell>
          <cell r="G2272" t="str">
            <v>גמיש</v>
          </cell>
          <cell r="H2272">
            <v>0.80793650793650795</v>
          </cell>
          <cell r="I2272">
            <v>113900</v>
          </cell>
          <cell r="J2272">
            <v>63000</v>
          </cell>
          <cell r="K2272">
            <v>29127.89</v>
          </cell>
          <cell r="L2272">
            <v>70000</v>
          </cell>
          <cell r="M2272">
            <v>64599.65</v>
          </cell>
        </row>
        <row r="2273">
          <cell r="A2273">
            <v>1781300751</v>
          </cell>
          <cell r="B2273">
            <v>751</v>
          </cell>
          <cell r="C2273">
            <v>781300</v>
          </cell>
          <cell r="D2273">
            <v>1</v>
          </cell>
          <cell r="F2273" t="str">
            <v>עבודות קבלניות</v>
          </cell>
          <cell r="G2273" t="str">
            <v>קשיח</v>
          </cell>
          <cell r="H2273">
            <v>0</v>
          </cell>
          <cell r="I2273">
            <v>3000</v>
          </cell>
          <cell r="J2273">
            <v>3000</v>
          </cell>
          <cell r="K2273">
            <v>0</v>
          </cell>
          <cell r="L2273">
            <v>3000</v>
          </cell>
          <cell r="M2273">
            <v>1303.5</v>
          </cell>
        </row>
        <row r="2274">
          <cell r="A2274">
            <v>1781300752</v>
          </cell>
          <cell r="B2274">
            <v>752</v>
          </cell>
          <cell r="C2274">
            <v>781300</v>
          </cell>
          <cell r="D2274">
            <v>1</v>
          </cell>
          <cell r="F2274" t="str">
            <v xml:space="preserve">נקיון בקבלנות     </v>
          </cell>
          <cell r="G2274" t="str">
            <v>קשיח</v>
          </cell>
          <cell r="H2274">
            <v>0</v>
          </cell>
          <cell r="I2274">
            <v>144000</v>
          </cell>
          <cell r="J2274">
            <v>144000</v>
          </cell>
          <cell r="K2274">
            <v>38091.21</v>
          </cell>
          <cell r="L2274">
            <v>144000</v>
          </cell>
          <cell r="M2274">
            <v>142332.85999999999</v>
          </cell>
        </row>
        <row r="2275">
          <cell r="A2275">
            <v>1781300780</v>
          </cell>
          <cell r="B2275">
            <v>780</v>
          </cell>
          <cell r="C2275">
            <v>781300</v>
          </cell>
          <cell r="D2275">
            <v>1</v>
          </cell>
          <cell r="F2275" t="str">
            <v>הפעלת השיטור העירוני</v>
          </cell>
          <cell r="G2275" t="str">
            <v>גמיש</v>
          </cell>
          <cell r="I2275">
            <v>0</v>
          </cell>
          <cell r="J2275">
            <v>0</v>
          </cell>
          <cell r="K2275">
            <v>0</v>
          </cell>
          <cell r="L2275">
            <v>0</v>
          </cell>
          <cell r="M2275">
            <v>366.44</v>
          </cell>
        </row>
        <row r="2276">
          <cell r="A2276">
            <v>1781300781</v>
          </cell>
          <cell r="B2276">
            <v>781</v>
          </cell>
          <cell r="C2276">
            <v>781300</v>
          </cell>
          <cell r="D2276">
            <v>1</v>
          </cell>
          <cell r="F2276" t="str">
            <v>מטווחים</v>
          </cell>
          <cell r="G2276" t="str">
            <v>קשיח</v>
          </cell>
          <cell r="H2276">
            <v>0.81</v>
          </cell>
          <cell r="I2276">
            <v>18100</v>
          </cell>
          <cell r="J2276">
            <v>10000</v>
          </cell>
          <cell r="K2276">
            <v>3011.7</v>
          </cell>
          <cell r="L2276">
            <v>13300</v>
          </cell>
          <cell r="M2276">
            <v>3924.6</v>
          </cell>
        </row>
        <row r="2277">
          <cell r="A2277">
            <v>1781300782</v>
          </cell>
          <cell r="B2277">
            <v>782</v>
          </cell>
          <cell r="C2277">
            <v>781300</v>
          </cell>
          <cell r="D2277">
            <v>1</v>
          </cell>
          <cell r="F2277" t="str">
            <v>פעולות מיוחדות</v>
          </cell>
          <cell r="G2277" t="str">
            <v>גמיש</v>
          </cell>
          <cell r="H2277">
            <v>0.80701754385964919</v>
          </cell>
          <cell r="I2277">
            <v>30900</v>
          </cell>
          <cell r="J2277">
            <v>17100</v>
          </cell>
          <cell r="K2277">
            <v>0</v>
          </cell>
          <cell r="L2277">
            <v>19000</v>
          </cell>
          <cell r="M2277">
            <v>19000</v>
          </cell>
        </row>
        <row r="2278">
          <cell r="A2278">
            <v>1781300783</v>
          </cell>
          <cell r="B2278">
            <v>783</v>
          </cell>
          <cell r="C2278">
            <v>781300</v>
          </cell>
          <cell r="D2278">
            <v>1</v>
          </cell>
          <cell r="F2278" t="str">
            <v>סיירת שיטור שכונתי</v>
          </cell>
          <cell r="G2278" t="str">
            <v>גמיש</v>
          </cell>
          <cell r="H2278">
            <v>-1</v>
          </cell>
          <cell r="I2278">
            <v>0</v>
          </cell>
          <cell r="J2278">
            <v>5700000</v>
          </cell>
          <cell r="K2278">
            <v>0</v>
          </cell>
          <cell r="L2278">
            <v>3850000</v>
          </cell>
          <cell r="M2278">
            <v>0</v>
          </cell>
        </row>
        <row r="2279">
          <cell r="A2279">
            <v>1781300789</v>
          </cell>
          <cell r="B2279">
            <v>789</v>
          </cell>
          <cell r="C2279">
            <v>781300</v>
          </cell>
          <cell r="D2279">
            <v>1</v>
          </cell>
          <cell r="F2279" t="str">
            <v xml:space="preserve">כביסה             </v>
          </cell>
          <cell r="G2279" t="str">
            <v>גמיש</v>
          </cell>
          <cell r="H2279">
            <v>0</v>
          </cell>
          <cell r="I2279">
            <v>1260</v>
          </cell>
          <cell r="J2279">
            <v>1260</v>
          </cell>
          <cell r="K2279">
            <v>0</v>
          </cell>
          <cell r="L2279">
            <v>1400</v>
          </cell>
          <cell r="M2279">
            <v>0</v>
          </cell>
        </row>
        <row r="2280">
          <cell r="A2280">
            <v>1781300910</v>
          </cell>
          <cell r="B2280">
            <v>910</v>
          </cell>
          <cell r="C2280">
            <v>781300</v>
          </cell>
          <cell r="D2280">
            <v>1</v>
          </cell>
          <cell r="F2280" t="str">
            <v>העברה לתב"ר הצטיידות 3 ש'</v>
          </cell>
          <cell r="G2280" t="str">
            <v>קשיח</v>
          </cell>
          <cell r="H2280">
            <v>0</v>
          </cell>
          <cell r="I2280">
            <v>78000</v>
          </cell>
          <cell r="J2280">
            <v>78000</v>
          </cell>
          <cell r="K2280">
            <v>0</v>
          </cell>
          <cell r="L2280">
            <v>30000</v>
          </cell>
          <cell r="M2280">
            <v>30000</v>
          </cell>
        </row>
        <row r="2281">
          <cell r="A2281">
            <v>1781300911</v>
          </cell>
          <cell r="B2281">
            <v>911</v>
          </cell>
          <cell r="C2281">
            <v>781300</v>
          </cell>
          <cell r="D2281">
            <v>1</v>
          </cell>
          <cell r="F2281" t="str">
            <v>העברה לתב"ר מבנה 5 ש'</v>
          </cell>
          <cell r="G2281" t="str">
            <v>קשיח</v>
          </cell>
          <cell r="I2281">
            <v>0</v>
          </cell>
          <cell r="J2281">
            <v>0</v>
          </cell>
          <cell r="K2281">
            <v>0</v>
          </cell>
          <cell r="L2281">
            <v>72600</v>
          </cell>
          <cell r="M2281">
            <v>72600</v>
          </cell>
        </row>
        <row r="2282">
          <cell r="A2282">
            <v>1781300912</v>
          </cell>
          <cell r="B2282">
            <v>912</v>
          </cell>
          <cell r="C2282">
            <v>781300</v>
          </cell>
          <cell r="D2282">
            <v>1</v>
          </cell>
          <cell r="F2282" t="str">
            <v>העברה לתב"ר הצטיידות 5 ש'</v>
          </cell>
          <cell r="G2282" t="str">
            <v>קשיח</v>
          </cell>
          <cell r="H2282">
            <v>0</v>
          </cell>
          <cell r="I2282">
            <v>150000</v>
          </cell>
          <cell r="J2282">
            <v>150000</v>
          </cell>
          <cell r="K2282">
            <v>0</v>
          </cell>
          <cell r="L2282">
            <v>8000</v>
          </cell>
          <cell r="M2282">
            <v>8000</v>
          </cell>
        </row>
        <row r="2283">
          <cell r="A2283">
            <v>1781300913</v>
          </cell>
          <cell r="B2283">
            <v>913</v>
          </cell>
          <cell r="C2283">
            <v>781300</v>
          </cell>
          <cell r="D2283">
            <v>1</v>
          </cell>
          <cell r="F2283" t="str">
            <v>העברה לתב"ר הצטיידות 10 ש'</v>
          </cell>
          <cell r="G2283" t="str">
            <v>קשיח</v>
          </cell>
          <cell r="H2283">
            <v>0</v>
          </cell>
          <cell r="I2283">
            <v>19000</v>
          </cell>
          <cell r="J2283">
            <v>19000</v>
          </cell>
          <cell r="K2283">
            <v>0</v>
          </cell>
          <cell r="L2283">
            <v>10000</v>
          </cell>
          <cell r="M2283">
            <v>10000</v>
          </cell>
        </row>
        <row r="2284">
          <cell r="A2284">
            <v>1781300914</v>
          </cell>
          <cell r="B2284">
            <v>914</v>
          </cell>
          <cell r="C2284">
            <v>781300</v>
          </cell>
          <cell r="D2284">
            <v>1</v>
          </cell>
          <cell r="F2284" t="str">
            <v>העברה לתב"ר מצלמות 6.7 ש'</v>
          </cell>
          <cell r="G2284" t="str">
            <v>קשיח</v>
          </cell>
          <cell r="H2284">
            <v>0</v>
          </cell>
          <cell r="I2284">
            <v>150000</v>
          </cell>
          <cell r="J2284">
            <v>150000</v>
          </cell>
          <cell r="K2284">
            <v>0</v>
          </cell>
          <cell r="L2284">
            <v>300000</v>
          </cell>
          <cell r="M2284">
            <v>300000</v>
          </cell>
        </row>
        <row r="2285">
          <cell r="A2285">
            <v>1781300920</v>
          </cell>
          <cell r="B2285">
            <v>920</v>
          </cell>
          <cell r="C2285">
            <v>781300</v>
          </cell>
          <cell r="D2285">
            <v>1</v>
          </cell>
          <cell r="F2285" t="str">
            <v>העברה לקרן שיטור עירוני</v>
          </cell>
          <cell r="G2285" t="str">
            <v>גמיש</v>
          </cell>
          <cell r="I2285">
            <v>0</v>
          </cell>
          <cell r="J2285">
            <v>0</v>
          </cell>
          <cell r="K2285">
            <v>0</v>
          </cell>
          <cell r="L2285">
            <v>0</v>
          </cell>
          <cell r="M2285">
            <v>36823.42</v>
          </cell>
        </row>
        <row r="2286">
          <cell r="A2286">
            <v>1781300932</v>
          </cell>
          <cell r="B2286">
            <v>932</v>
          </cell>
          <cell r="C2286">
            <v>781300</v>
          </cell>
          <cell r="D2286">
            <v>1</v>
          </cell>
          <cell r="F2286" t="str">
            <v>אגרת טלוויזיה וכבלים</v>
          </cell>
          <cell r="G2286" t="str">
            <v>קשיח</v>
          </cell>
          <cell r="H2286">
            <v>0</v>
          </cell>
          <cell r="I2286">
            <v>5000</v>
          </cell>
          <cell r="J2286">
            <v>5000</v>
          </cell>
          <cell r="K2286">
            <v>1474.68</v>
          </cell>
          <cell r="L2286">
            <v>5000</v>
          </cell>
          <cell r="M2286">
            <v>2308.91</v>
          </cell>
        </row>
        <row r="2287">
          <cell r="A2287" t="e">
            <v>#VALUE!</v>
          </cell>
          <cell r="B2287" t="str">
            <v>781300  סך הכל</v>
          </cell>
          <cell r="F2287" t="str">
            <v>השיטור העירוני</v>
          </cell>
          <cell r="H2287">
            <v>7.0197586714737303E-2</v>
          </cell>
          <cell r="I2287">
            <v>15797850.1</v>
          </cell>
          <cell r="J2287">
            <v>14761620</v>
          </cell>
          <cell r="K2287">
            <v>5127994.87</v>
          </cell>
          <cell r="L2287">
            <v>12379600</v>
          </cell>
          <cell r="M2287">
            <v>8214723.8599999994</v>
          </cell>
        </row>
        <row r="2288">
          <cell r="A2288">
            <v>17820000</v>
          </cell>
          <cell r="B2288">
            <v>0</v>
          </cell>
          <cell r="C2288">
            <v>782000</v>
          </cell>
          <cell r="D2288">
            <v>1</v>
          </cell>
          <cell r="F2288" t="str">
            <v xml:space="preserve">בית המשפט העירוני </v>
          </cell>
          <cell r="G2288" t="str">
            <v xml:space="preserve"> </v>
          </cell>
        </row>
        <row r="2289">
          <cell r="A2289">
            <v>1782000110</v>
          </cell>
          <cell r="B2289">
            <v>110</v>
          </cell>
          <cell r="C2289">
            <v>782000</v>
          </cell>
          <cell r="D2289">
            <v>1</v>
          </cell>
          <cell r="F2289" t="str">
            <v>השכר הקובע-תקציבית</v>
          </cell>
          <cell r="G2289" t="str">
            <v>שכר</v>
          </cell>
          <cell r="I2289">
            <v>0</v>
          </cell>
          <cell r="J2289">
            <v>0</v>
          </cell>
          <cell r="K2289">
            <v>40538.94</v>
          </cell>
          <cell r="L2289">
            <v>420000</v>
          </cell>
          <cell r="M2289">
            <v>461758.71999999997</v>
          </cell>
        </row>
        <row r="2290">
          <cell r="A2290">
            <v>1782000119</v>
          </cell>
          <cell r="B2290">
            <v>119</v>
          </cell>
          <cell r="C2290">
            <v>782000</v>
          </cell>
          <cell r="D2290">
            <v>1</v>
          </cell>
          <cell r="F2290" t="str">
            <v xml:space="preserve">השכר הקובע-צוברת  </v>
          </cell>
          <cell r="G2290" t="str">
            <v>שכר</v>
          </cell>
          <cell r="I2290">
            <v>0</v>
          </cell>
          <cell r="J2290">
            <v>0</v>
          </cell>
          <cell r="K2290">
            <v>171865.88</v>
          </cell>
          <cell r="L2290">
            <v>971900</v>
          </cell>
          <cell r="M2290">
            <v>597313.99</v>
          </cell>
        </row>
        <row r="2291">
          <cell r="A2291">
            <v>1782000122</v>
          </cell>
          <cell r="B2291">
            <v>122</v>
          </cell>
          <cell r="C2291">
            <v>782000</v>
          </cell>
          <cell r="D2291">
            <v>1</v>
          </cell>
          <cell r="F2291" t="str">
            <v xml:space="preserve">ביגוד             </v>
          </cell>
          <cell r="G2291" t="str">
            <v>שכר</v>
          </cell>
          <cell r="I2291">
            <v>0</v>
          </cell>
          <cell r="J2291">
            <v>0</v>
          </cell>
          <cell r="K2291">
            <v>5665.55</v>
          </cell>
          <cell r="L2291">
            <v>15400</v>
          </cell>
          <cell r="M2291">
            <v>12221.63</v>
          </cell>
        </row>
        <row r="2292">
          <cell r="A2292">
            <v>1782000126</v>
          </cell>
          <cell r="B2292">
            <v>126</v>
          </cell>
          <cell r="C2292">
            <v>782000</v>
          </cell>
          <cell r="D2292">
            <v>1</v>
          </cell>
          <cell r="F2292" t="str">
            <v xml:space="preserve">דמי הבראה         </v>
          </cell>
          <cell r="G2292" t="str">
            <v>שכר</v>
          </cell>
          <cell r="I2292">
            <v>0</v>
          </cell>
          <cell r="J2292">
            <v>0</v>
          </cell>
          <cell r="K2292">
            <v>18949.259999999998</v>
          </cell>
          <cell r="L2292">
            <v>45000</v>
          </cell>
          <cell r="M2292">
            <v>34687.879999999997</v>
          </cell>
        </row>
        <row r="2293">
          <cell r="A2293">
            <v>1782000130</v>
          </cell>
          <cell r="B2293">
            <v>130</v>
          </cell>
          <cell r="C2293">
            <v>782000</v>
          </cell>
          <cell r="D2293">
            <v>1</v>
          </cell>
          <cell r="F2293" t="str">
            <v xml:space="preserve">שעות נוספות       </v>
          </cell>
          <cell r="G2293" t="str">
            <v>שכר</v>
          </cell>
          <cell r="I2293">
            <v>0</v>
          </cell>
          <cell r="J2293">
            <v>0</v>
          </cell>
          <cell r="K2293">
            <v>6885.74</v>
          </cell>
          <cell r="L2293">
            <v>72400</v>
          </cell>
          <cell r="M2293">
            <v>79400.149999999994</v>
          </cell>
        </row>
        <row r="2294">
          <cell r="A2294">
            <v>1782000140</v>
          </cell>
          <cell r="B2294">
            <v>140</v>
          </cell>
          <cell r="C2294">
            <v>782000</v>
          </cell>
          <cell r="D2294">
            <v>1</v>
          </cell>
          <cell r="F2294" t="str">
            <v>השתתפות באחזקת רכב</v>
          </cell>
          <cell r="G2294" t="str">
            <v>שכר</v>
          </cell>
          <cell r="I2294">
            <v>0</v>
          </cell>
          <cell r="J2294">
            <v>0</v>
          </cell>
          <cell r="K2294">
            <v>5277.65</v>
          </cell>
          <cell r="L2294">
            <v>102000</v>
          </cell>
          <cell r="M2294">
            <v>88357.47</v>
          </cell>
        </row>
        <row r="2295">
          <cell r="A2295">
            <v>1782000253</v>
          </cell>
          <cell r="B2295">
            <v>253</v>
          </cell>
          <cell r="C2295">
            <v>782000</v>
          </cell>
          <cell r="D2295">
            <v>1</v>
          </cell>
          <cell r="F2295" t="str">
            <v xml:space="preserve">עובדים חיצוניים   </v>
          </cell>
          <cell r="G2295" t="str">
            <v>שכר</v>
          </cell>
          <cell r="I2295">
            <v>0</v>
          </cell>
          <cell r="J2295">
            <v>0</v>
          </cell>
          <cell r="K2295">
            <v>0</v>
          </cell>
          <cell r="L2295">
            <v>0</v>
          </cell>
          <cell r="M2295">
            <v>27317.97</v>
          </cell>
        </row>
        <row r="2296">
          <cell r="A2296">
            <v>1782000410</v>
          </cell>
          <cell r="B2296">
            <v>410</v>
          </cell>
          <cell r="C2296">
            <v>782000</v>
          </cell>
          <cell r="D2296">
            <v>1</v>
          </cell>
          <cell r="F2296" t="str">
            <v xml:space="preserve">שכר דירה ועד בית  </v>
          </cell>
          <cell r="G2296" t="str">
            <v>קשיח</v>
          </cell>
          <cell r="I2296">
            <v>0</v>
          </cell>
          <cell r="J2296">
            <v>0</v>
          </cell>
          <cell r="K2296">
            <v>0</v>
          </cell>
          <cell r="L2296">
            <v>120000</v>
          </cell>
          <cell r="M2296">
            <v>66502.92</v>
          </cell>
        </row>
        <row r="2297">
          <cell r="A2297">
            <v>1782000420</v>
          </cell>
          <cell r="B2297">
            <v>420</v>
          </cell>
          <cell r="C2297">
            <v>782000</v>
          </cell>
          <cell r="D2297">
            <v>1</v>
          </cell>
          <cell r="F2297" t="str">
            <v xml:space="preserve">כיבוי אש          </v>
          </cell>
          <cell r="G2297" t="str">
            <v>קשיח</v>
          </cell>
          <cell r="I2297">
            <v>0</v>
          </cell>
          <cell r="J2297">
            <v>0</v>
          </cell>
          <cell r="K2297">
            <v>0</v>
          </cell>
          <cell r="L2297">
            <v>700</v>
          </cell>
          <cell r="M2297">
            <v>0</v>
          </cell>
        </row>
        <row r="2298">
          <cell r="A2298">
            <v>1782000431</v>
          </cell>
          <cell r="B2298">
            <v>431</v>
          </cell>
          <cell r="C2298">
            <v>782000</v>
          </cell>
          <cell r="D2298">
            <v>1</v>
          </cell>
          <cell r="F2298" t="str">
            <v xml:space="preserve">חשמל              </v>
          </cell>
          <cell r="G2298" t="str">
            <v>קשיח</v>
          </cell>
          <cell r="I2298">
            <v>0</v>
          </cell>
          <cell r="J2298">
            <v>0</v>
          </cell>
          <cell r="K2298">
            <v>1841.07</v>
          </cell>
          <cell r="L2298">
            <v>18000</v>
          </cell>
          <cell r="M2298">
            <v>6580.33</v>
          </cell>
        </row>
        <row r="2299">
          <cell r="A2299">
            <v>1782000432</v>
          </cell>
          <cell r="B2299">
            <v>432</v>
          </cell>
          <cell r="C2299">
            <v>782000</v>
          </cell>
          <cell r="D2299">
            <v>1</v>
          </cell>
          <cell r="F2299" t="str">
            <v xml:space="preserve">מים               </v>
          </cell>
          <cell r="G2299" t="str">
            <v>קשיח</v>
          </cell>
          <cell r="I2299">
            <v>0</v>
          </cell>
          <cell r="J2299">
            <v>0</v>
          </cell>
          <cell r="K2299">
            <v>0</v>
          </cell>
          <cell r="L2299">
            <v>1700</v>
          </cell>
          <cell r="M2299">
            <v>242.66</v>
          </cell>
        </row>
        <row r="2300">
          <cell r="A2300">
            <v>1782000433</v>
          </cell>
          <cell r="B2300">
            <v>433</v>
          </cell>
          <cell r="C2300">
            <v>782000</v>
          </cell>
          <cell r="D2300">
            <v>1</v>
          </cell>
          <cell r="F2300" t="str">
            <v xml:space="preserve">חומרי נקיון       </v>
          </cell>
          <cell r="G2300" t="str">
            <v>גמיש</v>
          </cell>
          <cell r="I2300">
            <v>0</v>
          </cell>
          <cell r="J2300">
            <v>0</v>
          </cell>
          <cell r="K2300">
            <v>0</v>
          </cell>
          <cell r="L2300">
            <v>2300</v>
          </cell>
          <cell r="M2300">
            <v>1076.9100000000001</v>
          </cell>
        </row>
        <row r="2301">
          <cell r="A2301">
            <v>1782000437</v>
          </cell>
          <cell r="B2301">
            <v>437</v>
          </cell>
          <cell r="C2301">
            <v>782000</v>
          </cell>
          <cell r="D2301">
            <v>1</v>
          </cell>
          <cell r="F2301" t="str">
            <v>מנוי למוקד</v>
          </cell>
          <cell r="G2301" t="str">
            <v>קשיח</v>
          </cell>
          <cell r="I2301">
            <v>0</v>
          </cell>
          <cell r="J2301">
            <v>0</v>
          </cell>
          <cell r="K2301">
            <v>0</v>
          </cell>
          <cell r="L2301">
            <v>1300</v>
          </cell>
          <cell r="M2301">
            <v>1221.48</v>
          </cell>
        </row>
        <row r="2302">
          <cell r="A2302">
            <v>1782000471</v>
          </cell>
          <cell r="B2302">
            <v>471</v>
          </cell>
          <cell r="C2302">
            <v>782000</v>
          </cell>
          <cell r="D2302">
            <v>1</v>
          </cell>
          <cell r="F2302" t="str">
            <v xml:space="preserve">מכשירי כתיבה      </v>
          </cell>
          <cell r="G2302" t="str">
            <v>גמיש</v>
          </cell>
          <cell r="I2302">
            <v>0</v>
          </cell>
          <cell r="J2302">
            <v>0</v>
          </cell>
          <cell r="K2302">
            <v>0</v>
          </cell>
          <cell r="L2302">
            <v>20300</v>
          </cell>
          <cell r="M2302">
            <v>12736.16</v>
          </cell>
        </row>
        <row r="2303">
          <cell r="A2303">
            <v>1782000511</v>
          </cell>
          <cell r="B2303">
            <v>511</v>
          </cell>
          <cell r="C2303">
            <v>782000</v>
          </cell>
          <cell r="D2303">
            <v>1</v>
          </cell>
          <cell r="F2303" t="str">
            <v xml:space="preserve">אירוח וכיבוד      </v>
          </cell>
          <cell r="G2303" t="str">
            <v>גמיש</v>
          </cell>
          <cell r="I2303">
            <v>0</v>
          </cell>
          <cell r="J2303">
            <v>0</v>
          </cell>
          <cell r="K2303">
            <v>0</v>
          </cell>
          <cell r="L2303">
            <v>4900</v>
          </cell>
          <cell r="M2303">
            <v>5005.78</v>
          </cell>
        </row>
        <row r="2304">
          <cell r="A2304">
            <v>1782000522</v>
          </cell>
          <cell r="B2304">
            <v>522</v>
          </cell>
          <cell r="C2304">
            <v>782000</v>
          </cell>
          <cell r="D2304">
            <v>1</v>
          </cell>
          <cell r="F2304" t="str">
            <v xml:space="preserve">ספרים ועיתונים    </v>
          </cell>
          <cell r="G2304" t="str">
            <v>גמיש</v>
          </cell>
          <cell r="I2304">
            <v>0</v>
          </cell>
          <cell r="J2304">
            <v>0</v>
          </cell>
          <cell r="K2304">
            <v>0</v>
          </cell>
          <cell r="L2304">
            <v>600</v>
          </cell>
          <cell r="M2304">
            <v>0</v>
          </cell>
        </row>
        <row r="2305">
          <cell r="A2305">
            <v>1782000540</v>
          </cell>
          <cell r="B2305">
            <v>540</v>
          </cell>
          <cell r="C2305">
            <v>782000</v>
          </cell>
          <cell r="D2305">
            <v>1</v>
          </cell>
          <cell r="F2305" t="str">
            <v xml:space="preserve">הוצאות טלפון      </v>
          </cell>
          <cell r="G2305" t="str">
            <v>קשיח</v>
          </cell>
          <cell r="I2305">
            <v>0</v>
          </cell>
          <cell r="J2305">
            <v>0</v>
          </cell>
          <cell r="K2305">
            <v>126.5</v>
          </cell>
          <cell r="L2305">
            <v>2000</v>
          </cell>
          <cell r="M2305">
            <v>331.07</v>
          </cell>
        </row>
        <row r="2306">
          <cell r="A2306">
            <v>1782000544</v>
          </cell>
          <cell r="B2306">
            <v>544</v>
          </cell>
          <cell r="C2306">
            <v>782000</v>
          </cell>
          <cell r="D2306">
            <v>1</v>
          </cell>
          <cell r="F2306" t="str">
            <v xml:space="preserve">הוצאות דאר        </v>
          </cell>
          <cell r="G2306" t="str">
            <v>קשיח</v>
          </cell>
          <cell r="I2306">
            <v>0</v>
          </cell>
          <cell r="J2306">
            <v>0</v>
          </cell>
          <cell r="K2306">
            <v>0</v>
          </cell>
          <cell r="L2306">
            <v>90000</v>
          </cell>
          <cell r="M2306">
            <v>2660.07</v>
          </cell>
        </row>
        <row r="2307">
          <cell r="A2307">
            <v>1782000562</v>
          </cell>
          <cell r="B2307">
            <v>562</v>
          </cell>
          <cell r="C2307">
            <v>782000</v>
          </cell>
          <cell r="D2307">
            <v>1</v>
          </cell>
          <cell r="F2307" t="str">
            <v xml:space="preserve">הדפסות            </v>
          </cell>
          <cell r="G2307" t="str">
            <v>גמיש</v>
          </cell>
          <cell r="I2307">
            <v>0</v>
          </cell>
          <cell r="J2307">
            <v>0</v>
          </cell>
          <cell r="K2307">
            <v>0</v>
          </cell>
          <cell r="L2307">
            <v>13500</v>
          </cell>
          <cell r="M2307">
            <v>0</v>
          </cell>
        </row>
        <row r="2308">
          <cell r="A2308">
            <v>1782000570</v>
          </cell>
          <cell r="B2308">
            <v>570</v>
          </cell>
          <cell r="C2308">
            <v>782000</v>
          </cell>
          <cell r="D2308">
            <v>1</v>
          </cell>
          <cell r="F2308" t="str">
            <v>תשלום להנהלת בימ"ש</v>
          </cell>
          <cell r="G2308" t="str">
            <v>גמיש</v>
          </cell>
          <cell r="I2308">
            <v>0</v>
          </cell>
          <cell r="J2308">
            <v>0</v>
          </cell>
          <cell r="K2308">
            <v>0</v>
          </cell>
          <cell r="L2308">
            <v>174000</v>
          </cell>
          <cell r="M2308">
            <v>0</v>
          </cell>
        </row>
        <row r="2309">
          <cell r="A2309">
            <v>1782000571</v>
          </cell>
          <cell r="B2309">
            <v>571</v>
          </cell>
          <cell r="C2309">
            <v>782000</v>
          </cell>
          <cell r="D2309">
            <v>1</v>
          </cell>
          <cell r="F2309" t="str">
            <v xml:space="preserve">מיכון וענ"א       </v>
          </cell>
          <cell r="G2309" t="str">
            <v>קשיח</v>
          </cell>
          <cell r="I2309">
            <v>0</v>
          </cell>
          <cell r="J2309">
            <v>0</v>
          </cell>
          <cell r="K2309">
            <v>0</v>
          </cell>
          <cell r="L2309">
            <v>205600</v>
          </cell>
          <cell r="M2309">
            <v>205600</v>
          </cell>
        </row>
        <row r="2310">
          <cell r="A2310">
            <v>1782000721</v>
          </cell>
          <cell r="B2310">
            <v>721</v>
          </cell>
          <cell r="C2310">
            <v>782000</v>
          </cell>
          <cell r="D2310">
            <v>1</v>
          </cell>
          <cell r="F2310" t="str">
            <v>חמרים-תחזוקת מבנים</v>
          </cell>
          <cell r="G2310" t="str">
            <v>גמיש</v>
          </cell>
          <cell r="I2310">
            <v>0</v>
          </cell>
          <cell r="J2310">
            <v>0</v>
          </cell>
          <cell r="K2310">
            <v>0</v>
          </cell>
          <cell r="L2310">
            <v>500</v>
          </cell>
          <cell r="M2310">
            <v>0</v>
          </cell>
        </row>
        <row r="2311">
          <cell r="A2311">
            <v>1782000752</v>
          </cell>
          <cell r="B2311">
            <v>752</v>
          </cell>
          <cell r="C2311">
            <v>782000</v>
          </cell>
          <cell r="D2311">
            <v>1</v>
          </cell>
          <cell r="F2311" t="str">
            <v xml:space="preserve">נקיון בקבלנות     </v>
          </cell>
          <cell r="G2311" t="str">
            <v>קשיח</v>
          </cell>
          <cell r="I2311">
            <v>0</v>
          </cell>
          <cell r="J2311">
            <v>0</v>
          </cell>
          <cell r="K2311">
            <v>0</v>
          </cell>
          <cell r="L2311">
            <v>20000</v>
          </cell>
          <cell r="M2311">
            <v>19794.810000000001</v>
          </cell>
        </row>
        <row r="2312">
          <cell r="A2312">
            <v>1782000753</v>
          </cell>
          <cell r="B2312">
            <v>753</v>
          </cell>
          <cell r="C2312">
            <v>782000</v>
          </cell>
          <cell r="D2312">
            <v>1</v>
          </cell>
          <cell r="F2312" t="str">
            <v xml:space="preserve">קלדנית לשופטים    </v>
          </cell>
          <cell r="G2312" t="str">
            <v>קשיח</v>
          </cell>
          <cell r="I2312">
            <v>0</v>
          </cell>
          <cell r="J2312">
            <v>0</v>
          </cell>
          <cell r="K2312">
            <v>0</v>
          </cell>
          <cell r="L2312">
            <v>47300</v>
          </cell>
          <cell r="M2312">
            <v>18620</v>
          </cell>
        </row>
        <row r="2313">
          <cell r="A2313">
            <v>1782000756</v>
          </cell>
          <cell r="B2313">
            <v>756</v>
          </cell>
          <cell r="C2313">
            <v>782000</v>
          </cell>
          <cell r="D2313">
            <v>1</v>
          </cell>
          <cell r="F2313" t="str">
            <v xml:space="preserve">שמירה בקבלנות     </v>
          </cell>
          <cell r="G2313" t="str">
            <v>קשיח</v>
          </cell>
          <cell r="I2313">
            <v>0</v>
          </cell>
          <cell r="J2313">
            <v>0</v>
          </cell>
          <cell r="K2313">
            <v>0</v>
          </cell>
          <cell r="L2313">
            <v>148000</v>
          </cell>
          <cell r="M2313">
            <v>173353.07</v>
          </cell>
        </row>
        <row r="2314">
          <cell r="A2314">
            <v>1782000780</v>
          </cell>
          <cell r="B2314">
            <v>780</v>
          </cell>
          <cell r="C2314">
            <v>782000</v>
          </cell>
          <cell r="D2314">
            <v>1</v>
          </cell>
          <cell r="F2314" t="str">
            <v xml:space="preserve">השתת' בשכר שופטים </v>
          </cell>
          <cell r="G2314" t="str">
            <v>קשיח</v>
          </cell>
          <cell r="I2314">
            <v>0</v>
          </cell>
          <cell r="J2314">
            <v>0</v>
          </cell>
          <cell r="K2314">
            <v>0</v>
          </cell>
          <cell r="L2314">
            <v>480000</v>
          </cell>
          <cell r="M2314">
            <v>266198</v>
          </cell>
        </row>
        <row r="2315">
          <cell r="A2315">
            <v>1782000794</v>
          </cell>
          <cell r="B2315">
            <v>794</v>
          </cell>
          <cell r="C2315">
            <v>782000</v>
          </cell>
          <cell r="D2315">
            <v>1</v>
          </cell>
          <cell r="F2315" t="str">
            <v xml:space="preserve">השתתפות בעזר 094  </v>
          </cell>
          <cell r="G2315" t="str">
            <v>קשיח</v>
          </cell>
          <cell r="I2315">
            <v>0</v>
          </cell>
          <cell r="J2315">
            <v>0</v>
          </cell>
          <cell r="K2315">
            <v>0</v>
          </cell>
          <cell r="L2315">
            <v>3300</v>
          </cell>
          <cell r="M2315">
            <v>3937</v>
          </cell>
        </row>
        <row r="2316">
          <cell r="A2316">
            <v>1782000871</v>
          </cell>
          <cell r="B2316">
            <v>871</v>
          </cell>
          <cell r="C2316">
            <v>782000</v>
          </cell>
          <cell r="D2316">
            <v>1</v>
          </cell>
          <cell r="F2316" t="str">
            <v xml:space="preserve">השתתפות בשכר עדים </v>
          </cell>
          <cell r="G2316" t="str">
            <v>גמיש</v>
          </cell>
          <cell r="I2316">
            <v>0</v>
          </cell>
          <cell r="J2316">
            <v>0</v>
          </cell>
          <cell r="K2316">
            <v>0</v>
          </cell>
          <cell r="L2316">
            <v>3600</v>
          </cell>
          <cell r="M2316">
            <v>0</v>
          </cell>
        </row>
        <row r="2317">
          <cell r="A2317">
            <v>1782000931</v>
          </cell>
          <cell r="B2317">
            <v>931</v>
          </cell>
          <cell r="C2317">
            <v>782000</v>
          </cell>
          <cell r="D2317">
            <v>1</v>
          </cell>
          <cell r="F2317" t="str">
            <v xml:space="preserve">רכישות            </v>
          </cell>
          <cell r="G2317" t="str">
            <v>גמיש</v>
          </cell>
          <cell r="I2317">
            <v>0</v>
          </cell>
          <cell r="J2317">
            <v>0</v>
          </cell>
          <cell r="K2317">
            <v>0</v>
          </cell>
          <cell r="L2317">
            <v>1600</v>
          </cell>
          <cell r="M2317">
            <v>0</v>
          </cell>
        </row>
        <row r="2318">
          <cell r="A2318" t="e">
            <v>#VALUE!</v>
          </cell>
          <cell r="B2318" t="str">
            <v>782000  סך הכל</v>
          </cell>
          <cell r="F2318" t="str">
            <v xml:space="preserve">בית המשפט העירוני </v>
          </cell>
          <cell r="I2318">
            <v>0</v>
          </cell>
          <cell r="J2318">
            <v>0</v>
          </cell>
          <cell r="K2318">
            <v>251150.59</v>
          </cell>
          <cell r="L2318">
            <v>2985900</v>
          </cell>
          <cell r="M2318">
            <v>2084918.0699999996</v>
          </cell>
        </row>
        <row r="2319">
          <cell r="A2319">
            <v>18000000</v>
          </cell>
          <cell r="B2319">
            <v>0</v>
          </cell>
          <cell r="C2319">
            <v>800000</v>
          </cell>
          <cell r="D2319">
            <v>1</v>
          </cell>
          <cell r="F2319" t="str">
            <v xml:space="preserve">שרותים ממלכתיים   </v>
          </cell>
          <cell r="G2319" t="str">
            <v xml:space="preserve"> </v>
          </cell>
        </row>
        <row r="2320">
          <cell r="A2320">
            <v>1811100110</v>
          </cell>
          <cell r="B2320">
            <v>110</v>
          </cell>
          <cell r="C2320">
            <v>811100</v>
          </cell>
          <cell r="D2320">
            <v>1</v>
          </cell>
          <cell r="F2320" t="str">
            <v>השכר הקובע-תקציבית</v>
          </cell>
          <cell r="G2320" t="str">
            <v>שכר</v>
          </cell>
          <cell r="H2320">
            <v>2.4999999999999911E-2</v>
          </cell>
          <cell r="I2320">
            <v>364899.99999999994</v>
          </cell>
          <cell r="J2320">
            <v>356000</v>
          </cell>
          <cell r="K2320">
            <v>224723.71</v>
          </cell>
          <cell r="L2320">
            <v>320000</v>
          </cell>
          <cell r="M2320">
            <v>368427.29</v>
          </cell>
        </row>
        <row r="2321">
          <cell r="A2321">
            <v>1811100119</v>
          </cell>
          <cell r="B2321">
            <v>119</v>
          </cell>
          <cell r="C2321">
            <v>811100</v>
          </cell>
          <cell r="D2321">
            <v>1</v>
          </cell>
          <cell r="F2321" t="str">
            <v xml:space="preserve">השכר הקובע-צוברת  </v>
          </cell>
          <cell r="G2321" t="str">
            <v>שכר</v>
          </cell>
          <cell r="H2321">
            <v>4.9202403917494975E-2</v>
          </cell>
          <cell r="I2321">
            <v>14141149.999999998</v>
          </cell>
          <cell r="J2321">
            <v>13478000</v>
          </cell>
          <cell r="K2321">
            <v>9426316.2899999991</v>
          </cell>
          <cell r="L2321">
            <v>12988200</v>
          </cell>
          <cell r="M2321">
            <v>14313782.300000001</v>
          </cell>
        </row>
        <row r="2322">
          <cell r="A2322">
            <v>1811100122</v>
          </cell>
          <cell r="B2322">
            <v>122</v>
          </cell>
          <cell r="C2322">
            <v>811100</v>
          </cell>
          <cell r="D2322">
            <v>1</v>
          </cell>
          <cell r="F2322" t="str">
            <v xml:space="preserve">ביגוד             </v>
          </cell>
          <cell r="G2322" t="str">
            <v>שכר</v>
          </cell>
          <cell r="H2322">
            <v>1.5620417158837441E-2</v>
          </cell>
          <cell r="I2322">
            <v>139139.99715076073</v>
          </cell>
          <cell r="J2322">
            <v>137000</v>
          </cell>
          <cell r="K2322">
            <v>168747.41</v>
          </cell>
          <cell r="L2322">
            <v>125200</v>
          </cell>
          <cell r="M2322">
            <v>135413.54</v>
          </cell>
        </row>
        <row r="2323">
          <cell r="A2323">
            <v>1811100126</v>
          </cell>
          <cell r="B2323">
            <v>126</v>
          </cell>
          <cell r="C2323">
            <v>811100</v>
          </cell>
          <cell r="D2323">
            <v>1</v>
          </cell>
          <cell r="F2323" t="str">
            <v xml:space="preserve">דמי הבראה         </v>
          </cell>
          <cell r="G2323" t="str">
            <v>שכר</v>
          </cell>
          <cell r="H2323">
            <v>1.5619798458802681E-2</v>
          </cell>
          <cell r="I2323">
            <v>319920.23651452287</v>
          </cell>
          <cell r="J2323">
            <v>315000</v>
          </cell>
          <cell r="K2323">
            <v>389671.94</v>
          </cell>
          <cell r="L2323">
            <v>299000</v>
          </cell>
          <cell r="M2323">
            <v>315659.32</v>
          </cell>
        </row>
        <row r="2324">
          <cell r="A2324">
            <v>1811100130</v>
          </cell>
          <cell r="B2324">
            <v>130</v>
          </cell>
          <cell r="C2324">
            <v>811100</v>
          </cell>
          <cell r="D2324">
            <v>1</v>
          </cell>
          <cell r="F2324" t="str">
            <v xml:space="preserve">שעות נוספות       </v>
          </cell>
          <cell r="G2324" t="str">
            <v>שכר</v>
          </cell>
          <cell r="H2324">
            <v>1.0480532411046481</v>
          </cell>
          <cell r="I2324">
            <v>390830</v>
          </cell>
          <cell r="J2324">
            <v>190830</v>
          </cell>
          <cell r="K2324">
            <v>350793.05</v>
          </cell>
          <cell r="L2324">
            <v>221900</v>
          </cell>
          <cell r="M2324">
            <v>364046.35</v>
          </cell>
        </row>
        <row r="2325">
          <cell r="A2325">
            <v>1811100140</v>
          </cell>
          <cell r="B2325">
            <v>140</v>
          </cell>
          <cell r="C2325">
            <v>811100</v>
          </cell>
          <cell r="D2325">
            <v>1</v>
          </cell>
          <cell r="F2325" t="str">
            <v>השתתפות באחזקת רכב</v>
          </cell>
          <cell r="G2325" t="str">
            <v>שכר</v>
          </cell>
          <cell r="H2325">
            <v>0</v>
          </cell>
          <cell r="I2325">
            <v>1385000</v>
          </cell>
          <cell r="J2325">
            <v>1385000</v>
          </cell>
          <cell r="K2325">
            <v>1061403.3799999999</v>
          </cell>
          <cell r="L2325">
            <v>1385000</v>
          </cell>
          <cell r="M2325">
            <v>1661577.1</v>
          </cell>
        </row>
        <row r="2326">
          <cell r="A2326">
            <v>1811100210</v>
          </cell>
          <cell r="B2326">
            <v>210</v>
          </cell>
          <cell r="C2326">
            <v>811100</v>
          </cell>
          <cell r="D2326">
            <v>1</v>
          </cell>
          <cell r="F2326" t="str">
            <v xml:space="preserve">השכר הקובע        </v>
          </cell>
          <cell r="G2326" t="str">
            <v>שכר</v>
          </cell>
          <cell r="I2326">
            <v>0</v>
          </cell>
          <cell r="J2326">
            <v>0</v>
          </cell>
          <cell r="K2326">
            <v>191326.13</v>
          </cell>
          <cell r="L2326">
            <v>0</v>
          </cell>
          <cell r="M2326">
            <v>218910.62</v>
          </cell>
        </row>
        <row r="2327">
          <cell r="A2327">
            <v>1811100263</v>
          </cell>
          <cell r="B2327">
            <v>263</v>
          </cell>
          <cell r="C2327">
            <v>811100</v>
          </cell>
          <cell r="D2327">
            <v>1</v>
          </cell>
          <cell r="F2327" t="str">
            <v>עובדי חברה</v>
          </cell>
          <cell r="G2327" t="str">
            <v>שכר</v>
          </cell>
          <cell r="H2327">
            <v>0.72</v>
          </cell>
          <cell r="I2327">
            <v>430000</v>
          </cell>
          <cell r="J2327">
            <v>250000</v>
          </cell>
          <cell r="K2327">
            <v>372652.5</v>
          </cell>
          <cell r="L2327">
            <v>200000</v>
          </cell>
          <cell r="M2327">
            <v>339342.41</v>
          </cell>
        </row>
        <row r="2328">
          <cell r="A2328">
            <v>1811100264</v>
          </cell>
          <cell r="B2328">
            <v>264</v>
          </cell>
          <cell r="C2328">
            <v>811100</v>
          </cell>
          <cell r="D2328">
            <v>1</v>
          </cell>
          <cell r="F2328" t="str">
            <v>אגף פרט</v>
          </cell>
          <cell r="G2328" t="str">
            <v>שכר</v>
          </cell>
          <cell r="H2328">
            <v>0</v>
          </cell>
          <cell r="I2328">
            <v>46000</v>
          </cell>
          <cell r="J2328">
            <v>46000</v>
          </cell>
          <cell r="K2328">
            <v>0</v>
          </cell>
          <cell r="L2328">
            <v>46000</v>
          </cell>
          <cell r="M2328">
            <v>58335.1</v>
          </cell>
        </row>
        <row r="2329">
          <cell r="A2329">
            <v>1811100350</v>
          </cell>
          <cell r="B2329">
            <v>350</v>
          </cell>
          <cell r="C2329">
            <v>811100</v>
          </cell>
          <cell r="D2329">
            <v>1</v>
          </cell>
          <cell r="F2329" t="str">
            <v>ליסינג לשני רכבים</v>
          </cell>
          <cell r="G2329" t="str">
            <v>שכר</v>
          </cell>
          <cell r="H2329">
            <v>6.1251136363636327E-2</v>
          </cell>
          <cell r="I2329">
            <v>93390.1</v>
          </cell>
          <cell r="J2329">
            <v>88000</v>
          </cell>
          <cell r="K2329">
            <v>46136.05</v>
          </cell>
          <cell r="L2329">
            <v>88000</v>
          </cell>
          <cell r="M2329">
            <v>89791.38</v>
          </cell>
        </row>
        <row r="2330">
          <cell r="A2330">
            <v>1811100351</v>
          </cell>
          <cell r="B2330">
            <v>351</v>
          </cell>
          <cell r="C2330">
            <v>811100</v>
          </cell>
          <cell r="D2330">
            <v>1</v>
          </cell>
          <cell r="F2330" t="str">
            <v>הוצאות לשני רכבים</v>
          </cell>
          <cell r="G2330" t="str">
            <v>שכר</v>
          </cell>
          <cell r="H2330">
            <v>-0.4285714285714286</v>
          </cell>
          <cell r="I2330">
            <v>48000</v>
          </cell>
          <cell r="J2330">
            <v>84000</v>
          </cell>
          <cell r="K2330">
            <v>22727.81</v>
          </cell>
          <cell r="L2330">
            <v>84000</v>
          </cell>
          <cell r="M2330">
            <v>39507.660000000003</v>
          </cell>
        </row>
        <row r="2331">
          <cell r="A2331">
            <v>1811100431</v>
          </cell>
          <cell r="B2331">
            <v>431</v>
          </cell>
          <cell r="C2331">
            <v>811100</v>
          </cell>
          <cell r="D2331">
            <v>1</v>
          </cell>
          <cell r="F2331" t="str">
            <v xml:space="preserve">חשמל              </v>
          </cell>
          <cell r="G2331" t="str">
            <v>קשיח</v>
          </cell>
          <cell r="H2331">
            <v>-0.8</v>
          </cell>
          <cell r="I2331">
            <v>20000</v>
          </cell>
          <cell r="J2331">
            <v>100000</v>
          </cell>
          <cell r="K2331">
            <v>0</v>
          </cell>
          <cell r="L2331">
            <v>143000</v>
          </cell>
          <cell r="M2331">
            <v>-10000</v>
          </cell>
        </row>
        <row r="2332">
          <cell r="A2332">
            <v>1811100435</v>
          </cell>
          <cell r="B2332">
            <v>435</v>
          </cell>
          <cell r="C2332">
            <v>811100</v>
          </cell>
          <cell r="D2332">
            <v>1</v>
          </cell>
          <cell r="F2332" t="str">
            <v>השת' באחזקת מחשבים</v>
          </cell>
          <cell r="G2332" t="str">
            <v>קשיח</v>
          </cell>
          <cell r="H2332">
            <v>0.20233918128654982</v>
          </cell>
          <cell r="I2332">
            <v>1028000</v>
          </cell>
          <cell r="J2332">
            <v>855000</v>
          </cell>
          <cell r="K2332">
            <v>69874</v>
          </cell>
          <cell r="L2332">
            <v>855000</v>
          </cell>
          <cell r="M2332">
            <v>809201.78</v>
          </cell>
        </row>
        <row r="2333">
          <cell r="A2333">
            <v>1811100436</v>
          </cell>
          <cell r="B2333">
            <v>436</v>
          </cell>
          <cell r="C2333">
            <v>811100</v>
          </cell>
          <cell r="D2333">
            <v>1</v>
          </cell>
          <cell r="F2333" t="str">
            <v xml:space="preserve">אחזקת מזגנים      </v>
          </cell>
          <cell r="G2333" t="str">
            <v>גמיש</v>
          </cell>
          <cell r="H2333">
            <v>0</v>
          </cell>
          <cell r="I2333">
            <v>85500</v>
          </cell>
          <cell r="J2333">
            <v>85500</v>
          </cell>
          <cell r="K2333">
            <v>2537</v>
          </cell>
          <cell r="L2333">
            <v>95000</v>
          </cell>
          <cell r="M2333">
            <v>8596</v>
          </cell>
        </row>
        <row r="2334">
          <cell r="A2334">
            <v>1811100437</v>
          </cell>
          <cell r="B2334">
            <v>437</v>
          </cell>
          <cell r="C2334">
            <v>811100</v>
          </cell>
          <cell r="D2334">
            <v>1</v>
          </cell>
          <cell r="F2334" t="str">
            <v>אחזקת אזעקה</v>
          </cell>
          <cell r="G2334" t="str">
            <v>קשיח</v>
          </cell>
          <cell r="H2334">
            <v>0</v>
          </cell>
          <cell r="I2334">
            <v>5000</v>
          </cell>
          <cell r="J2334">
            <v>5000</v>
          </cell>
          <cell r="K2334">
            <v>615.96</v>
          </cell>
          <cell r="L2334">
            <v>1300</v>
          </cell>
          <cell r="M2334">
            <v>3053.7</v>
          </cell>
        </row>
        <row r="2335">
          <cell r="A2335">
            <v>1811100450</v>
          </cell>
          <cell r="B2335">
            <v>450</v>
          </cell>
          <cell r="C2335">
            <v>811100</v>
          </cell>
          <cell r="D2335">
            <v>1</v>
          </cell>
          <cell r="F2335" t="str">
            <v>אחזקת תמי 4</v>
          </cell>
          <cell r="G2335" t="str">
            <v>קשיח</v>
          </cell>
          <cell r="H2335">
            <v>0</v>
          </cell>
          <cell r="I2335">
            <v>4500</v>
          </cell>
          <cell r="J2335">
            <v>4500</v>
          </cell>
          <cell r="K2335">
            <v>0</v>
          </cell>
          <cell r="L2335">
            <v>4500</v>
          </cell>
          <cell r="M2335">
            <v>0</v>
          </cell>
        </row>
        <row r="2336">
          <cell r="A2336">
            <v>1811100451</v>
          </cell>
          <cell r="B2336">
            <v>451</v>
          </cell>
          <cell r="C2336">
            <v>811100</v>
          </cell>
          <cell r="D2336">
            <v>1</v>
          </cell>
          <cell r="F2336" t="str">
            <v>אחזקת דפיברילטור</v>
          </cell>
          <cell r="G2336" t="str">
            <v>גמיש</v>
          </cell>
          <cell r="H2336">
            <v>0</v>
          </cell>
          <cell r="I2336">
            <v>2700</v>
          </cell>
          <cell r="J2336">
            <v>2700</v>
          </cell>
          <cell r="K2336">
            <v>0</v>
          </cell>
          <cell r="L2336">
            <v>3000</v>
          </cell>
          <cell r="M2336">
            <v>0</v>
          </cell>
        </row>
        <row r="2337">
          <cell r="A2337">
            <v>1811100470</v>
          </cell>
          <cell r="B2337">
            <v>470</v>
          </cell>
          <cell r="C2337">
            <v>811100</v>
          </cell>
          <cell r="D2337">
            <v>1</v>
          </cell>
          <cell r="F2337" t="str">
            <v xml:space="preserve">אחזקת מכונות משרד </v>
          </cell>
          <cell r="G2337" t="str">
            <v>גמיש</v>
          </cell>
          <cell r="H2337">
            <v>-0.1285403050108932</v>
          </cell>
          <cell r="I2337">
            <v>4000</v>
          </cell>
          <cell r="J2337">
            <v>4590</v>
          </cell>
          <cell r="K2337">
            <v>376.5</v>
          </cell>
          <cell r="L2337">
            <v>5100</v>
          </cell>
          <cell r="M2337">
            <v>1352.3</v>
          </cell>
        </row>
        <row r="2338">
          <cell r="A2338">
            <v>1811100471</v>
          </cell>
          <cell r="B2338">
            <v>471</v>
          </cell>
          <cell r="C2338">
            <v>811100</v>
          </cell>
          <cell r="D2338">
            <v>1</v>
          </cell>
          <cell r="F2338" t="str">
            <v xml:space="preserve">מכשירי כתיבה      </v>
          </cell>
          <cell r="G2338" t="str">
            <v>גמיש</v>
          </cell>
          <cell r="H2338">
            <v>0</v>
          </cell>
          <cell r="I2338">
            <v>76950</v>
          </cell>
          <cell r="J2338">
            <v>76950</v>
          </cell>
          <cell r="K2338">
            <v>37001.29</v>
          </cell>
          <cell r="L2338">
            <v>85500</v>
          </cell>
          <cell r="M2338">
            <v>83608.02</v>
          </cell>
        </row>
        <row r="2339">
          <cell r="A2339">
            <v>1811100492</v>
          </cell>
          <cell r="B2339">
            <v>492</v>
          </cell>
          <cell r="C2339">
            <v>811100</v>
          </cell>
          <cell r="D2339">
            <v>1</v>
          </cell>
          <cell r="F2339" t="str">
            <v xml:space="preserve">השתתפות בעזר 092  </v>
          </cell>
          <cell r="G2339" t="str">
            <v>קשיח</v>
          </cell>
          <cell r="H2339">
            <v>9.7406626132274576E-2</v>
          </cell>
          <cell r="I2339">
            <v>1768800</v>
          </cell>
          <cell r="J2339">
            <v>1611800</v>
          </cell>
          <cell r="K2339">
            <v>636865.34</v>
          </cell>
          <cell r="L2339">
            <v>1386200</v>
          </cell>
          <cell r="M2339">
            <v>1607860.76</v>
          </cell>
        </row>
        <row r="2340">
          <cell r="A2340">
            <v>1811100511</v>
          </cell>
          <cell r="B2340">
            <v>511</v>
          </cell>
          <cell r="C2340">
            <v>811100</v>
          </cell>
          <cell r="D2340">
            <v>1</v>
          </cell>
          <cell r="F2340" t="str">
            <v xml:space="preserve">אירוח וכיבוד      </v>
          </cell>
          <cell r="G2340" t="str">
            <v>גמיש</v>
          </cell>
          <cell r="H2340">
            <v>0.1659192825112108</v>
          </cell>
          <cell r="I2340">
            <v>23400</v>
          </cell>
          <cell r="J2340">
            <v>20070</v>
          </cell>
          <cell r="K2340">
            <v>922.9</v>
          </cell>
          <cell r="L2340">
            <v>22100</v>
          </cell>
          <cell r="M2340">
            <v>21833.37</v>
          </cell>
        </row>
        <row r="2341">
          <cell r="A2341">
            <v>1811100512</v>
          </cell>
          <cell r="B2341">
            <v>512</v>
          </cell>
          <cell r="C2341">
            <v>811100</v>
          </cell>
          <cell r="D2341">
            <v>1</v>
          </cell>
          <cell r="F2341" t="str">
            <v xml:space="preserve">נסיעות ואש"ל      </v>
          </cell>
          <cell r="G2341" t="str">
            <v>גמיש</v>
          </cell>
          <cell r="H2341">
            <v>0</v>
          </cell>
          <cell r="I2341">
            <v>1530</v>
          </cell>
          <cell r="J2341">
            <v>1530</v>
          </cell>
          <cell r="K2341">
            <v>60</v>
          </cell>
          <cell r="L2341">
            <v>1700</v>
          </cell>
          <cell r="M2341">
            <v>428</v>
          </cell>
        </row>
        <row r="2342">
          <cell r="A2342">
            <v>1811100522</v>
          </cell>
          <cell r="B2342">
            <v>522</v>
          </cell>
          <cell r="C2342">
            <v>811100</v>
          </cell>
          <cell r="D2342">
            <v>1</v>
          </cell>
          <cell r="F2342" t="str">
            <v xml:space="preserve">ספרים ועיתונים    </v>
          </cell>
          <cell r="G2342" t="str">
            <v>גמיש</v>
          </cell>
          <cell r="H2342">
            <v>0</v>
          </cell>
          <cell r="I2342">
            <v>2340</v>
          </cell>
          <cell r="J2342">
            <v>2340</v>
          </cell>
          <cell r="K2342">
            <v>0</v>
          </cell>
          <cell r="L2342">
            <v>2600</v>
          </cell>
          <cell r="M2342">
            <v>0</v>
          </cell>
        </row>
        <row r="2343">
          <cell r="A2343">
            <v>1811100544</v>
          </cell>
          <cell r="B2343">
            <v>544</v>
          </cell>
          <cell r="C2343">
            <v>811100</v>
          </cell>
          <cell r="D2343">
            <v>1</v>
          </cell>
          <cell r="F2343" t="str">
            <v xml:space="preserve">הוצאות דאר        </v>
          </cell>
          <cell r="G2343" t="str">
            <v>קשיח</v>
          </cell>
          <cell r="H2343">
            <v>0.1686143572621035</v>
          </cell>
          <cell r="I2343">
            <v>70000</v>
          </cell>
          <cell r="J2343">
            <v>59900</v>
          </cell>
          <cell r="K2343">
            <v>55018.82</v>
          </cell>
          <cell r="L2343">
            <v>59900</v>
          </cell>
          <cell r="M2343">
            <v>68641.899999999994</v>
          </cell>
        </row>
        <row r="2344">
          <cell r="A2344">
            <v>1811100550</v>
          </cell>
          <cell r="B2344">
            <v>550</v>
          </cell>
          <cell r="C2344">
            <v>811100</v>
          </cell>
          <cell r="D2344">
            <v>1</v>
          </cell>
          <cell r="F2344" t="str">
            <v xml:space="preserve">פירסומים          </v>
          </cell>
          <cell r="G2344" t="str">
            <v>גמיש</v>
          </cell>
          <cell r="H2344">
            <v>0</v>
          </cell>
          <cell r="I2344">
            <v>4500</v>
          </cell>
          <cell r="J2344">
            <v>4500</v>
          </cell>
          <cell r="K2344">
            <v>1246</v>
          </cell>
          <cell r="L2344">
            <v>5000</v>
          </cell>
          <cell r="M2344">
            <v>2813.5</v>
          </cell>
        </row>
        <row r="2345">
          <cell r="A2345">
            <v>1811100562</v>
          </cell>
          <cell r="B2345">
            <v>562</v>
          </cell>
          <cell r="C2345">
            <v>811100</v>
          </cell>
          <cell r="D2345">
            <v>1</v>
          </cell>
          <cell r="F2345" t="str">
            <v xml:space="preserve">הדפסות            </v>
          </cell>
          <cell r="G2345" t="str">
            <v>גמיש</v>
          </cell>
          <cell r="H2345">
            <v>0</v>
          </cell>
          <cell r="I2345">
            <v>4230</v>
          </cell>
          <cell r="J2345">
            <v>4230</v>
          </cell>
          <cell r="K2345">
            <v>0</v>
          </cell>
          <cell r="L2345">
            <v>4700</v>
          </cell>
          <cell r="M2345">
            <v>2879.2</v>
          </cell>
        </row>
        <row r="2346">
          <cell r="A2346">
            <v>1811100571</v>
          </cell>
          <cell r="B2346">
            <v>571</v>
          </cell>
          <cell r="C2346">
            <v>811100</v>
          </cell>
          <cell r="D2346">
            <v>1</v>
          </cell>
          <cell r="F2346" t="str">
            <v xml:space="preserve">מיכון וענ"א       </v>
          </cell>
          <cell r="G2346" t="str">
            <v>קשיח</v>
          </cell>
          <cell r="H2346">
            <v>0.34516338806698088</v>
          </cell>
          <cell r="I2346">
            <v>827410</v>
          </cell>
          <cell r="J2346">
            <v>615100</v>
          </cell>
          <cell r="K2346">
            <v>307550</v>
          </cell>
          <cell r="L2346">
            <v>525100</v>
          </cell>
          <cell r="M2346">
            <v>525100</v>
          </cell>
        </row>
        <row r="2347">
          <cell r="A2347">
            <v>1811100580</v>
          </cell>
          <cell r="B2347">
            <v>580</v>
          </cell>
          <cell r="C2347">
            <v>811100</v>
          </cell>
          <cell r="D2347">
            <v>1</v>
          </cell>
          <cell r="F2347" t="str">
            <v>ממונה בטיחות מוס"ח</v>
          </cell>
          <cell r="G2347" t="str">
            <v>גמיש</v>
          </cell>
          <cell r="H2347">
            <v>0.11111111111111116</v>
          </cell>
          <cell r="I2347">
            <v>350000</v>
          </cell>
          <cell r="J2347">
            <v>315000</v>
          </cell>
          <cell r="K2347">
            <v>108884</v>
          </cell>
          <cell r="L2347">
            <v>350000</v>
          </cell>
          <cell r="M2347">
            <v>350000</v>
          </cell>
        </row>
        <row r="2348">
          <cell r="A2348">
            <v>1811100583</v>
          </cell>
          <cell r="B2348">
            <v>583</v>
          </cell>
          <cell r="C2348">
            <v>811100</v>
          </cell>
          <cell r="D2348">
            <v>1</v>
          </cell>
          <cell r="F2348" t="str">
            <v>שרותי הקלדה</v>
          </cell>
          <cell r="G2348" t="str">
            <v>גמיש</v>
          </cell>
          <cell r="H2348">
            <v>-1</v>
          </cell>
          <cell r="I2348">
            <v>0</v>
          </cell>
          <cell r="J2348">
            <v>45000</v>
          </cell>
          <cell r="K2348">
            <v>0</v>
          </cell>
          <cell r="L2348">
            <v>45000</v>
          </cell>
          <cell r="M2348">
            <v>0</v>
          </cell>
        </row>
        <row r="2349">
          <cell r="A2349">
            <v>1811100596</v>
          </cell>
          <cell r="B2349">
            <v>596</v>
          </cell>
          <cell r="C2349">
            <v>811100</v>
          </cell>
          <cell r="D2349">
            <v>1</v>
          </cell>
          <cell r="F2349" t="str">
            <v xml:space="preserve">השתתפות בעזר 096  </v>
          </cell>
          <cell r="G2349" t="str">
            <v>קשיח</v>
          </cell>
          <cell r="H2349">
            <v>0.44052863436123357</v>
          </cell>
          <cell r="I2349">
            <v>32700</v>
          </cell>
          <cell r="J2349">
            <v>22700</v>
          </cell>
          <cell r="K2349">
            <v>9223</v>
          </cell>
          <cell r="L2349">
            <v>22700</v>
          </cell>
          <cell r="M2349">
            <v>21217</v>
          </cell>
        </row>
        <row r="2350">
          <cell r="A2350">
            <v>1811100710</v>
          </cell>
          <cell r="B2350">
            <v>710</v>
          </cell>
          <cell r="C2350">
            <v>811100</v>
          </cell>
          <cell r="D2350">
            <v>1</v>
          </cell>
          <cell r="F2350" t="str">
            <v xml:space="preserve">הובלות אינוונטר   </v>
          </cell>
          <cell r="G2350" t="str">
            <v>גמיש</v>
          </cell>
          <cell r="H2350">
            <v>0.22222222222222232</v>
          </cell>
          <cell r="I2350">
            <v>220000</v>
          </cell>
          <cell r="J2350">
            <v>180000</v>
          </cell>
          <cell r="K2350">
            <v>31122.5</v>
          </cell>
          <cell r="L2350">
            <v>85500</v>
          </cell>
          <cell r="M2350">
            <v>150499.5</v>
          </cell>
        </row>
        <row r="2351">
          <cell r="A2351">
            <v>1811100729</v>
          </cell>
          <cell r="B2351">
            <v>729</v>
          </cell>
          <cell r="C2351">
            <v>811100</v>
          </cell>
          <cell r="D2351">
            <v>1</v>
          </cell>
          <cell r="F2351" t="str">
            <v>מרכז טכנולוגי</v>
          </cell>
          <cell r="G2351" t="str">
            <v>גמיש</v>
          </cell>
          <cell r="H2351">
            <v>9.7393689986282617E-2</v>
          </cell>
          <cell r="I2351">
            <v>800000</v>
          </cell>
          <cell r="J2351">
            <v>729000</v>
          </cell>
          <cell r="K2351">
            <v>194062.52</v>
          </cell>
          <cell r="L2351">
            <v>810000</v>
          </cell>
          <cell r="M2351">
            <v>681702.68</v>
          </cell>
        </row>
        <row r="2352">
          <cell r="A2352">
            <v>1811100730</v>
          </cell>
          <cell r="B2352">
            <v>730</v>
          </cell>
          <cell r="C2352">
            <v>811100</v>
          </cell>
          <cell r="D2352">
            <v>1</v>
          </cell>
          <cell r="F2352" t="str">
            <v>פרויקט חלל בית רותר</v>
          </cell>
          <cell r="G2352" t="str">
            <v>גמיש</v>
          </cell>
          <cell r="I2352">
            <v>0</v>
          </cell>
          <cell r="J2352">
            <v>0</v>
          </cell>
          <cell r="K2352">
            <v>0</v>
          </cell>
          <cell r="L2352">
            <v>0</v>
          </cell>
          <cell r="M2352">
            <v>0</v>
          </cell>
        </row>
        <row r="2353">
          <cell r="A2353">
            <v>1811100750</v>
          </cell>
          <cell r="B2353">
            <v>750</v>
          </cell>
          <cell r="C2353">
            <v>811100</v>
          </cell>
          <cell r="D2353">
            <v>1</v>
          </cell>
          <cell r="F2353" t="str">
            <v>אחזקת מוסדות-בית רותר</v>
          </cell>
          <cell r="G2353" t="str">
            <v>קשיח</v>
          </cell>
          <cell r="H2353">
            <v>0.1333333333333333</v>
          </cell>
          <cell r="I2353">
            <v>340000</v>
          </cell>
          <cell r="J2353">
            <v>300000</v>
          </cell>
          <cell r="K2353">
            <v>190480.7</v>
          </cell>
          <cell r="L2353">
            <v>265000</v>
          </cell>
          <cell r="M2353">
            <v>256736.24</v>
          </cell>
        </row>
        <row r="2354">
          <cell r="A2354">
            <v>1811100751</v>
          </cell>
          <cell r="B2354">
            <v>751</v>
          </cell>
          <cell r="C2354">
            <v>811100</v>
          </cell>
          <cell r="D2354">
            <v>1</v>
          </cell>
          <cell r="F2354" t="str">
            <v>עבודות קבלניות</v>
          </cell>
          <cell r="G2354" t="str">
            <v>גמיש</v>
          </cell>
          <cell r="H2354">
            <v>0</v>
          </cell>
          <cell r="I2354">
            <v>155300</v>
          </cell>
          <cell r="J2354">
            <v>155300</v>
          </cell>
          <cell r="K2354">
            <v>76680.44</v>
          </cell>
          <cell r="L2354">
            <v>51300</v>
          </cell>
          <cell r="M2354">
            <v>46231</v>
          </cell>
        </row>
        <row r="2355">
          <cell r="A2355">
            <v>1811100752</v>
          </cell>
          <cell r="B2355">
            <v>752</v>
          </cell>
          <cell r="C2355">
            <v>811100</v>
          </cell>
          <cell r="D2355">
            <v>1</v>
          </cell>
          <cell r="F2355" t="str">
            <v xml:space="preserve">נקיון בקבלנות     </v>
          </cell>
          <cell r="G2355" t="str">
            <v>קשיח</v>
          </cell>
          <cell r="H2355">
            <v>0</v>
          </cell>
          <cell r="I2355">
            <v>300000</v>
          </cell>
          <cell r="J2355">
            <v>300000</v>
          </cell>
          <cell r="K2355">
            <v>45417.04</v>
          </cell>
          <cell r="L2355">
            <v>300000</v>
          </cell>
          <cell r="M2355">
            <v>297027.84000000003</v>
          </cell>
        </row>
        <row r="2356">
          <cell r="A2356">
            <v>1811100756</v>
          </cell>
          <cell r="B2356">
            <v>756</v>
          </cell>
          <cell r="C2356">
            <v>811100</v>
          </cell>
          <cell r="D2356">
            <v>1</v>
          </cell>
          <cell r="F2356" t="str">
            <v xml:space="preserve">שמירה בקבלנות     </v>
          </cell>
          <cell r="G2356" t="str">
            <v>קשיח</v>
          </cell>
          <cell r="H2356">
            <v>0.39999999999999991</v>
          </cell>
          <cell r="I2356">
            <v>350000</v>
          </cell>
          <cell r="J2356">
            <v>250000</v>
          </cell>
          <cell r="K2356">
            <v>168084.6</v>
          </cell>
          <cell r="L2356">
            <v>220000</v>
          </cell>
          <cell r="M2356">
            <v>379247.11</v>
          </cell>
        </row>
        <row r="2357">
          <cell r="A2357">
            <v>1811100759</v>
          </cell>
          <cell r="B2357">
            <v>759</v>
          </cell>
          <cell r="C2357">
            <v>811100</v>
          </cell>
          <cell r="D2357">
            <v>1</v>
          </cell>
          <cell r="F2357" t="str">
            <v>טכנאים למחשבים בגנ"י ובבי"ס</v>
          </cell>
          <cell r="G2357" t="str">
            <v>גמיש</v>
          </cell>
          <cell r="H2357">
            <v>0.50551005965018714</v>
          </cell>
          <cell r="I2357">
            <v>1489100</v>
          </cell>
          <cell r="J2357">
            <v>989100</v>
          </cell>
          <cell r="K2357">
            <v>372112</v>
          </cell>
          <cell r="L2357">
            <v>1099000</v>
          </cell>
          <cell r="M2357">
            <v>993120</v>
          </cell>
        </row>
        <row r="2358">
          <cell r="A2358">
            <v>1811100780</v>
          </cell>
          <cell r="B2358">
            <v>780</v>
          </cell>
          <cell r="C2358">
            <v>811100</v>
          </cell>
          <cell r="D2358">
            <v>1</v>
          </cell>
          <cell r="F2358" t="str">
            <v>ארועים-מינהל חינוך</v>
          </cell>
          <cell r="G2358" t="str">
            <v>גמיש</v>
          </cell>
          <cell r="H2358">
            <v>0</v>
          </cell>
          <cell r="I2358">
            <v>24300</v>
          </cell>
          <cell r="J2358">
            <v>24300</v>
          </cell>
          <cell r="K2358">
            <v>14148.16</v>
          </cell>
          <cell r="L2358">
            <v>25700</v>
          </cell>
          <cell r="M2358">
            <v>25108.13</v>
          </cell>
        </row>
        <row r="2359">
          <cell r="A2359">
            <v>1811100781</v>
          </cell>
          <cell r="B2359">
            <v>781</v>
          </cell>
          <cell r="C2359">
            <v>811100</v>
          </cell>
          <cell r="D2359">
            <v>1</v>
          </cell>
          <cell r="F2359" t="str">
            <v>פעולות סמנכ"ל</v>
          </cell>
          <cell r="G2359" t="str">
            <v>גמיש</v>
          </cell>
          <cell r="H2359">
            <v>0.6333333333333333</v>
          </cell>
          <cell r="I2359">
            <v>58800</v>
          </cell>
          <cell r="J2359">
            <v>36000</v>
          </cell>
          <cell r="K2359">
            <v>19696.34</v>
          </cell>
          <cell r="L2359">
            <v>40000</v>
          </cell>
          <cell r="M2359">
            <v>34829.51</v>
          </cell>
        </row>
        <row r="2360">
          <cell r="A2360">
            <v>1811100782</v>
          </cell>
          <cell r="B2360">
            <v>782</v>
          </cell>
          <cell r="C2360">
            <v>811100</v>
          </cell>
          <cell r="D2360">
            <v>1</v>
          </cell>
          <cell r="F2360" t="str">
            <v>כנס חולון לחינוך</v>
          </cell>
          <cell r="G2360" t="str">
            <v>גמיש</v>
          </cell>
          <cell r="I2360">
            <v>0</v>
          </cell>
          <cell r="J2360">
            <v>0</v>
          </cell>
          <cell r="K2360">
            <v>0</v>
          </cell>
          <cell r="L2360">
            <v>427500</v>
          </cell>
          <cell r="M2360">
            <v>0</v>
          </cell>
        </row>
        <row r="2361">
          <cell r="A2361">
            <v>1811100783</v>
          </cell>
          <cell r="B2361">
            <v>783</v>
          </cell>
          <cell r="C2361">
            <v>811100</v>
          </cell>
          <cell r="D2361">
            <v>1</v>
          </cell>
          <cell r="F2361" t="str">
            <v>פעילות ועד הורים</v>
          </cell>
          <cell r="G2361" t="str">
            <v>גמיש</v>
          </cell>
          <cell r="H2361">
            <v>0</v>
          </cell>
          <cell r="I2361">
            <v>5580</v>
          </cell>
          <cell r="J2361">
            <v>5580</v>
          </cell>
          <cell r="K2361">
            <v>0</v>
          </cell>
          <cell r="L2361">
            <v>6200</v>
          </cell>
          <cell r="M2361">
            <v>0</v>
          </cell>
        </row>
        <row r="2362">
          <cell r="A2362">
            <v>1811100784</v>
          </cell>
          <cell r="B2362">
            <v>784</v>
          </cell>
          <cell r="C2362">
            <v>811100</v>
          </cell>
          <cell r="D2362">
            <v>1</v>
          </cell>
          <cell r="F2362" t="str">
            <v>פעולות שונות</v>
          </cell>
          <cell r="G2362" t="str">
            <v>גמיש</v>
          </cell>
          <cell r="H2362">
            <v>-3.6820446177171506E-3</v>
          </cell>
          <cell r="I2362">
            <v>46000</v>
          </cell>
          <cell r="J2362">
            <v>46170</v>
          </cell>
          <cell r="K2362">
            <v>20874.599999999999</v>
          </cell>
          <cell r="L2362">
            <v>51300</v>
          </cell>
          <cell r="M2362">
            <v>40296.97</v>
          </cell>
        </row>
        <row r="2363">
          <cell r="A2363">
            <v>1811100785</v>
          </cell>
          <cell r="B2363">
            <v>785</v>
          </cell>
          <cell r="C2363">
            <v>811100</v>
          </cell>
          <cell r="D2363">
            <v>1</v>
          </cell>
          <cell r="F2363" t="str">
            <v>דירת חיילים</v>
          </cell>
          <cell r="G2363" t="str">
            <v>גמיש</v>
          </cell>
          <cell r="H2363">
            <v>0</v>
          </cell>
          <cell r="I2363">
            <v>24400</v>
          </cell>
          <cell r="J2363">
            <v>24400</v>
          </cell>
          <cell r="K2363">
            <v>8070</v>
          </cell>
          <cell r="L2363">
            <v>12900</v>
          </cell>
          <cell r="M2363">
            <v>1755</v>
          </cell>
        </row>
        <row r="2364">
          <cell r="A2364">
            <v>1811100786</v>
          </cell>
          <cell r="B2364">
            <v>786</v>
          </cell>
          <cell r="C2364">
            <v>811100</v>
          </cell>
          <cell r="D2364">
            <v>1</v>
          </cell>
          <cell r="F2364" t="str">
            <v>יועץ בטיחות למתקני ספורט</v>
          </cell>
          <cell r="G2364" t="str">
            <v>קשיח</v>
          </cell>
          <cell r="H2364">
            <v>0.22222222222222232</v>
          </cell>
          <cell r="I2364">
            <v>99000</v>
          </cell>
          <cell r="J2364">
            <v>81000</v>
          </cell>
          <cell r="K2364">
            <v>59956</v>
          </cell>
          <cell r="L2364">
            <v>90000</v>
          </cell>
          <cell r="M2364">
            <v>90000</v>
          </cell>
        </row>
        <row r="2365">
          <cell r="A2365">
            <v>1811100787</v>
          </cell>
          <cell r="B2365">
            <v>787</v>
          </cell>
          <cell r="C2365">
            <v>811100</v>
          </cell>
          <cell r="D2365">
            <v>1</v>
          </cell>
          <cell r="F2365" t="str">
            <v>בדיקת ואחז' מתקני ספורט</v>
          </cell>
          <cell r="G2365" t="str">
            <v>גמיש</v>
          </cell>
          <cell r="H2365">
            <v>0.22222222222222232</v>
          </cell>
          <cell r="I2365">
            <v>121000</v>
          </cell>
          <cell r="J2365">
            <v>99000</v>
          </cell>
          <cell r="K2365">
            <v>64456</v>
          </cell>
          <cell r="L2365">
            <v>110000</v>
          </cell>
          <cell r="M2365">
            <v>110000</v>
          </cell>
        </row>
        <row r="2366">
          <cell r="A2366">
            <v>1811100788</v>
          </cell>
          <cell r="B2366">
            <v>788</v>
          </cell>
          <cell r="C2366">
            <v>811100</v>
          </cell>
          <cell r="D2366">
            <v>1</v>
          </cell>
          <cell r="F2366" t="str">
            <v>חדשנות (מרכז אתחלא)</v>
          </cell>
          <cell r="G2366" t="str">
            <v>גמיש</v>
          </cell>
          <cell r="H2366">
            <v>0.13960113960113962</v>
          </cell>
          <cell r="I2366">
            <v>440000</v>
          </cell>
          <cell r="J2366">
            <v>386100</v>
          </cell>
          <cell r="K2366">
            <v>211086.32</v>
          </cell>
          <cell r="L2366">
            <v>386100</v>
          </cell>
          <cell r="M2366">
            <v>324727.94</v>
          </cell>
        </row>
        <row r="2367">
          <cell r="A2367">
            <v>1811100791</v>
          </cell>
          <cell r="B2367">
            <v>791</v>
          </cell>
          <cell r="C2367">
            <v>811100</v>
          </cell>
          <cell r="D2367">
            <v>1</v>
          </cell>
          <cell r="F2367" t="str">
            <v>חדשנות כנגד הכנסות</v>
          </cell>
          <cell r="G2367" t="str">
            <v>קשיח</v>
          </cell>
          <cell r="H2367">
            <v>0</v>
          </cell>
          <cell r="I2367">
            <v>65000</v>
          </cell>
          <cell r="J2367">
            <v>65000</v>
          </cell>
          <cell r="K2367">
            <v>0</v>
          </cell>
          <cell r="L2367">
            <v>65000</v>
          </cell>
          <cell r="M2367">
            <v>22978.59</v>
          </cell>
        </row>
        <row r="2368">
          <cell r="A2368">
            <v>1811100792</v>
          </cell>
          <cell r="B2368">
            <v>792</v>
          </cell>
          <cell r="C2368">
            <v>811100</v>
          </cell>
          <cell r="D2368">
            <v>1</v>
          </cell>
          <cell r="F2368" t="str">
            <v xml:space="preserve">מנהל מגמה מדעית הנסדאית </v>
          </cell>
          <cell r="G2368" t="str">
            <v>קשיח</v>
          </cell>
          <cell r="H2368">
            <v>-1</v>
          </cell>
          <cell r="I2368">
            <v>0</v>
          </cell>
          <cell r="J2368">
            <v>130000</v>
          </cell>
          <cell r="K2368">
            <v>0</v>
          </cell>
          <cell r="L2368">
            <v>0</v>
          </cell>
          <cell r="M2368">
            <v>0</v>
          </cell>
        </row>
        <row r="2369">
          <cell r="A2369">
            <v>1811100793</v>
          </cell>
          <cell r="B2369">
            <v>793</v>
          </cell>
          <cell r="C2369">
            <v>811100</v>
          </cell>
          <cell r="D2369">
            <v>1</v>
          </cell>
          <cell r="F2369" t="str">
            <v>יוזמות חינוך חרדי</v>
          </cell>
          <cell r="G2369" t="str">
            <v>גמיש</v>
          </cell>
          <cell r="I2369">
            <v>100000</v>
          </cell>
          <cell r="J2369">
            <v>0</v>
          </cell>
          <cell r="K2369">
            <v>0</v>
          </cell>
          <cell r="L2369">
            <v>0</v>
          </cell>
          <cell r="M2369">
            <v>0</v>
          </cell>
        </row>
        <row r="2370">
          <cell r="A2370">
            <v>1811100794</v>
          </cell>
          <cell r="B2370">
            <v>794</v>
          </cell>
          <cell r="C2370">
            <v>811100</v>
          </cell>
          <cell r="D2370">
            <v>1</v>
          </cell>
          <cell r="F2370" t="str">
            <v xml:space="preserve">השתתפות בעזר 094  </v>
          </cell>
          <cell r="G2370" t="str">
            <v>קשיח</v>
          </cell>
          <cell r="H2370">
            <v>0.13681818181818173</v>
          </cell>
          <cell r="I2370">
            <v>75030</v>
          </cell>
          <cell r="J2370">
            <v>66000</v>
          </cell>
          <cell r="K2370">
            <v>31179</v>
          </cell>
          <cell r="L2370">
            <v>63000</v>
          </cell>
          <cell r="M2370">
            <v>75141</v>
          </cell>
        </row>
        <row r="2371">
          <cell r="A2371">
            <v>1811100810</v>
          </cell>
          <cell r="B2371">
            <v>810</v>
          </cell>
          <cell r="C2371">
            <v>811100</v>
          </cell>
          <cell r="D2371">
            <v>1</v>
          </cell>
          <cell r="F2371" t="str">
            <v>מלגות לפולין</v>
          </cell>
          <cell r="G2371" t="str">
            <v>גמיש</v>
          </cell>
          <cell r="H2371">
            <v>0</v>
          </cell>
          <cell r="I2371">
            <v>36000</v>
          </cell>
          <cell r="J2371">
            <v>36000</v>
          </cell>
          <cell r="K2371">
            <v>600</v>
          </cell>
          <cell r="L2371">
            <v>40000</v>
          </cell>
          <cell r="M2371">
            <v>0</v>
          </cell>
        </row>
        <row r="2372">
          <cell r="A2372">
            <v>1811100850</v>
          </cell>
          <cell r="B2372">
            <v>850</v>
          </cell>
          <cell r="C2372">
            <v>811100</v>
          </cell>
          <cell r="D2372">
            <v>1</v>
          </cell>
          <cell r="F2372" t="str">
            <v xml:space="preserve">מלגות             </v>
          </cell>
          <cell r="G2372" t="str">
            <v>גמיש</v>
          </cell>
          <cell r="H2372">
            <v>3.9876224200082966E-2</v>
          </cell>
          <cell r="I2372">
            <v>1303880</v>
          </cell>
          <cell r="J2372">
            <v>1253880</v>
          </cell>
          <cell r="K2372">
            <v>590601.5</v>
          </cell>
          <cell r="L2372">
            <v>1243200</v>
          </cell>
          <cell r="M2372">
            <v>1007500</v>
          </cell>
        </row>
        <row r="2373">
          <cell r="A2373">
            <v>1811100852</v>
          </cell>
          <cell r="B2373">
            <v>852</v>
          </cell>
          <cell r="C2373">
            <v>811100</v>
          </cell>
          <cell r="D2373">
            <v>1</v>
          </cell>
          <cell r="F2373" t="str">
            <v xml:space="preserve">מלגות למצטיינים            </v>
          </cell>
          <cell r="G2373" t="str">
            <v>גמיש</v>
          </cell>
          <cell r="H2373">
            <v>0</v>
          </cell>
          <cell r="I2373">
            <v>264600</v>
          </cell>
          <cell r="J2373">
            <v>264600</v>
          </cell>
          <cell r="K2373">
            <v>0</v>
          </cell>
          <cell r="L2373">
            <v>294000</v>
          </cell>
          <cell r="M2373">
            <v>238000</v>
          </cell>
        </row>
        <row r="2374">
          <cell r="A2374">
            <v>1811100930</v>
          </cell>
          <cell r="B2374">
            <v>930</v>
          </cell>
          <cell r="C2374">
            <v>811100</v>
          </cell>
          <cell r="D2374">
            <v>1</v>
          </cell>
          <cell r="F2374" t="str">
            <v>מחשב לכל ילד</v>
          </cell>
          <cell r="G2374" t="str">
            <v>גמיש</v>
          </cell>
          <cell r="H2374">
            <v>0</v>
          </cell>
          <cell r="I2374">
            <v>111960</v>
          </cell>
          <cell r="J2374">
            <v>111960</v>
          </cell>
          <cell r="K2374">
            <v>38274.6</v>
          </cell>
          <cell r="L2374">
            <v>124400</v>
          </cell>
          <cell r="M2374">
            <v>34486</v>
          </cell>
        </row>
        <row r="2375">
          <cell r="A2375">
            <v>1811100931</v>
          </cell>
          <cell r="B2375">
            <v>931</v>
          </cell>
          <cell r="C2375">
            <v>811100</v>
          </cell>
          <cell r="D2375">
            <v>1</v>
          </cell>
          <cell r="F2375" t="str">
            <v>שבוע החינוך</v>
          </cell>
          <cell r="G2375" t="str">
            <v>גמיש</v>
          </cell>
          <cell r="H2375">
            <v>0</v>
          </cell>
          <cell r="I2375">
            <v>46170</v>
          </cell>
          <cell r="J2375">
            <v>46170</v>
          </cell>
          <cell r="K2375">
            <v>46170</v>
          </cell>
          <cell r="L2375">
            <v>51300</v>
          </cell>
          <cell r="M2375">
            <v>23750</v>
          </cell>
        </row>
        <row r="2376">
          <cell r="A2376">
            <v>1811100933</v>
          </cell>
          <cell r="B2376">
            <v>933</v>
          </cell>
          <cell r="C2376">
            <v>811100</v>
          </cell>
          <cell r="D2376">
            <v>1</v>
          </cell>
          <cell r="F2376" t="str">
            <v>שמ"ש כללי</v>
          </cell>
          <cell r="G2376" t="str">
            <v>גמיש</v>
          </cell>
          <cell r="H2376">
            <v>-1</v>
          </cell>
          <cell r="I2376">
            <v>0</v>
          </cell>
          <cell r="J2376">
            <v>342000</v>
          </cell>
          <cell r="K2376">
            <v>42113.7</v>
          </cell>
          <cell r="L2376">
            <v>342000</v>
          </cell>
          <cell r="M2376">
            <v>247573.81</v>
          </cell>
        </row>
        <row r="2377">
          <cell r="A2377">
            <v>1811100934</v>
          </cell>
          <cell r="B2377">
            <v>934</v>
          </cell>
          <cell r="C2377">
            <v>811100</v>
          </cell>
          <cell r="D2377">
            <v>1</v>
          </cell>
          <cell r="F2377" t="str">
            <v>מזנונים ( מהכנסות )</v>
          </cell>
          <cell r="G2377" t="str">
            <v>גמיש</v>
          </cell>
          <cell r="H2377">
            <v>0.33333333333333326</v>
          </cell>
          <cell r="I2377">
            <v>60000</v>
          </cell>
          <cell r="J2377">
            <v>45000</v>
          </cell>
          <cell r="K2377">
            <v>0</v>
          </cell>
          <cell r="L2377">
            <v>45000</v>
          </cell>
          <cell r="M2377">
            <v>17166.59</v>
          </cell>
        </row>
        <row r="2378">
          <cell r="A2378">
            <v>1811100935</v>
          </cell>
          <cell r="B2378">
            <v>935</v>
          </cell>
          <cell r="C2378">
            <v>811100</v>
          </cell>
          <cell r="D2378">
            <v>1</v>
          </cell>
          <cell r="F2378" t="str">
            <v>העברה לבי"ס-ממזנונים</v>
          </cell>
          <cell r="G2378" t="str">
            <v>גמיש</v>
          </cell>
          <cell r="H2378">
            <v>0.23456790123456783</v>
          </cell>
          <cell r="I2378">
            <v>500000</v>
          </cell>
          <cell r="J2378">
            <v>405000</v>
          </cell>
          <cell r="K2378">
            <v>299568</v>
          </cell>
          <cell r="L2378">
            <v>450000</v>
          </cell>
          <cell r="M2378">
            <v>436798.1</v>
          </cell>
        </row>
        <row r="2379">
          <cell r="A2379">
            <v>1811100936</v>
          </cell>
          <cell r="B2379">
            <v>936</v>
          </cell>
          <cell r="C2379">
            <v>811100</v>
          </cell>
          <cell r="D2379">
            <v>1</v>
          </cell>
          <cell r="F2379" t="str">
            <v>מעליות</v>
          </cell>
          <cell r="G2379" t="str">
            <v>גמיש</v>
          </cell>
          <cell r="H2379">
            <v>0.53846153846153855</v>
          </cell>
          <cell r="I2379">
            <v>450000</v>
          </cell>
          <cell r="J2379">
            <v>292500</v>
          </cell>
          <cell r="K2379">
            <v>48313.1</v>
          </cell>
          <cell r="L2379">
            <v>315000</v>
          </cell>
          <cell r="M2379">
            <v>283888.24</v>
          </cell>
        </row>
        <row r="2380">
          <cell r="A2380">
            <v>1811100937</v>
          </cell>
          <cell r="B2380">
            <v>937</v>
          </cell>
          <cell r="C2380">
            <v>811100</v>
          </cell>
          <cell r="D2380">
            <v>1</v>
          </cell>
          <cell r="F2380" t="str">
            <v>חינוך - הוצאות משנים קודמות</v>
          </cell>
          <cell r="G2380" t="str">
            <v>גמיש</v>
          </cell>
          <cell r="H2380">
            <v>0</v>
          </cell>
          <cell r="I2380">
            <v>900000</v>
          </cell>
          <cell r="J2380">
            <v>900000</v>
          </cell>
          <cell r="K2380">
            <v>330371.8</v>
          </cell>
          <cell r="L2380">
            <v>500000</v>
          </cell>
          <cell r="M2380">
            <v>1537993.92</v>
          </cell>
        </row>
        <row r="2381">
          <cell r="A2381">
            <v>1811100938</v>
          </cell>
          <cell r="B2381">
            <v>938</v>
          </cell>
          <cell r="C2381">
            <v>811100</v>
          </cell>
          <cell r="D2381">
            <v>1</v>
          </cell>
          <cell r="F2381" t="str">
            <v>שמ"ש-ניהול עצמי</v>
          </cell>
          <cell r="G2381" t="str">
            <v>קשיח</v>
          </cell>
          <cell r="H2381">
            <v>0</v>
          </cell>
          <cell r="I2381">
            <v>80000</v>
          </cell>
          <cell r="J2381">
            <v>80000</v>
          </cell>
          <cell r="K2381">
            <v>41891</v>
          </cell>
          <cell r="L2381">
            <v>72000</v>
          </cell>
          <cell r="M2381">
            <v>74094</v>
          </cell>
        </row>
        <row r="2382">
          <cell r="A2382">
            <v>1811100940</v>
          </cell>
          <cell r="B2382">
            <v>940</v>
          </cell>
          <cell r="C2382">
            <v>811100</v>
          </cell>
          <cell r="D2382">
            <v>1</v>
          </cell>
          <cell r="F2382" t="str">
            <v>מנב"סים</v>
          </cell>
          <cell r="G2382" t="str">
            <v>גמיש</v>
          </cell>
          <cell r="H2382">
            <v>0</v>
          </cell>
          <cell r="I2382">
            <v>20250</v>
          </cell>
          <cell r="J2382">
            <v>20250</v>
          </cell>
          <cell r="K2382">
            <v>0</v>
          </cell>
          <cell r="L2382">
            <v>22500</v>
          </cell>
          <cell r="M2382">
            <v>5512.76</v>
          </cell>
        </row>
        <row r="2383">
          <cell r="A2383">
            <v>1811100941</v>
          </cell>
          <cell r="B2383">
            <v>941</v>
          </cell>
          <cell r="C2383">
            <v>811100</v>
          </cell>
          <cell r="D2383">
            <v>1</v>
          </cell>
          <cell r="F2383" t="str">
            <v>הוצאות כנגד הכנסות</v>
          </cell>
          <cell r="G2383" t="str">
            <v>קשיח</v>
          </cell>
          <cell r="H2383">
            <v>-1</v>
          </cell>
          <cell r="I2383">
            <v>0</v>
          </cell>
          <cell r="J2383">
            <v>900000</v>
          </cell>
          <cell r="K2383">
            <v>63836</v>
          </cell>
          <cell r="L2383">
            <v>1000000</v>
          </cell>
          <cell r="M2383">
            <v>1171359.6000000001</v>
          </cell>
        </row>
        <row r="2384">
          <cell r="A2384">
            <v>1811100953</v>
          </cell>
          <cell r="B2384">
            <v>953</v>
          </cell>
          <cell r="C2384">
            <v>811100</v>
          </cell>
          <cell r="D2384">
            <v>1</v>
          </cell>
          <cell r="F2384" t="str">
            <v>מערכת גפ"ן</v>
          </cell>
          <cell r="G2384" t="str">
            <v>קשיח</v>
          </cell>
          <cell r="I2384">
            <v>0</v>
          </cell>
          <cell r="J2384">
            <v>0</v>
          </cell>
          <cell r="K2384">
            <v>13050.1</v>
          </cell>
          <cell r="L2384">
            <v>0</v>
          </cell>
          <cell r="M2384">
            <v>0</v>
          </cell>
        </row>
        <row r="2385">
          <cell r="A2385">
            <v>1811100961</v>
          </cell>
          <cell r="B2385">
            <v>961</v>
          </cell>
          <cell r="C2385">
            <v>811100</v>
          </cell>
          <cell r="D2385">
            <v>1</v>
          </cell>
          <cell r="F2385" t="str">
            <v>רז' פעולות ורכישות</v>
          </cell>
          <cell r="G2385" t="str">
            <v>גמיש</v>
          </cell>
          <cell r="H2385">
            <v>0</v>
          </cell>
          <cell r="I2385">
            <v>23130</v>
          </cell>
          <cell r="J2385">
            <v>23130</v>
          </cell>
          <cell r="K2385">
            <v>19453</v>
          </cell>
          <cell r="L2385">
            <v>25700</v>
          </cell>
          <cell r="M2385">
            <v>5402.14</v>
          </cell>
        </row>
        <row r="2386">
          <cell r="A2386" t="e">
            <v>#VALUE!</v>
          </cell>
          <cell r="B2386" t="str">
            <v>811100  סך הכל</v>
          </cell>
          <cell r="F2386" t="str">
            <v>מינהלת-חינוך פורמלי</v>
          </cell>
          <cell r="H2386">
            <v>4.9583577951249458E-2</v>
          </cell>
          <cell r="I2386">
            <v>30179390.333665282</v>
          </cell>
          <cell r="J2386">
            <v>28753680</v>
          </cell>
          <cell r="K2386">
            <v>16526342.1</v>
          </cell>
          <cell r="L2386">
            <v>28008300</v>
          </cell>
          <cell r="M2386">
            <v>30014305.27</v>
          </cell>
        </row>
        <row r="2387">
          <cell r="A2387">
            <v>18112000</v>
          </cell>
          <cell r="B2387">
            <v>0</v>
          </cell>
          <cell r="C2387">
            <v>811200</v>
          </cell>
          <cell r="D2387">
            <v>1</v>
          </cell>
          <cell r="F2387" t="str">
            <v xml:space="preserve">יוזמות חינוכיות   </v>
          </cell>
          <cell r="G2387" t="str">
            <v xml:space="preserve"> </v>
          </cell>
        </row>
        <row r="2388">
          <cell r="A2388">
            <v>1811200780</v>
          </cell>
          <cell r="B2388">
            <v>780</v>
          </cell>
          <cell r="C2388">
            <v>811200</v>
          </cell>
          <cell r="D2388">
            <v>1</v>
          </cell>
          <cell r="F2388" t="str">
            <v>עיר פעילה ובריאה</v>
          </cell>
          <cell r="G2388" t="str">
            <v>גמיש</v>
          </cell>
          <cell r="H2388">
            <v>-1</v>
          </cell>
          <cell r="I2388">
            <v>0</v>
          </cell>
          <cell r="J2388">
            <v>140670</v>
          </cell>
          <cell r="K2388">
            <v>0</v>
          </cell>
          <cell r="L2388">
            <v>159300</v>
          </cell>
          <cell r="M2388">
            <v>0</v>
          </cell>
        </row>
        <row r="2389">
          <cell r="A2389">
            <v>1811200814</v>
          </cell>
          <cell r="B2389">
            <v>814</v>
          </cell>
          <cell r="C2389">
            <v>811200</v>
          </cell>
          <cell r="D2389">
            <v>1</v>
          </cell>
          <cell r="F2389" t="str">
            <v>השתתפות בפרויקט תל''ן</v>
          </cell>
          <cell r="G2389" t="str">
            <v>קשיח</v>
          </cell>
          <cell r="H2389">
            <v>0</v>
          </cell>
          <cell r="I2389">
            <v>1260000</v>
          </cell>
          <cell r="J2389">
            <v>1260000</v>
          </cell>
          <cell r="K2389">
            <v>691759.6</v>
          </cell>
          <cell r="L2389">
            <v>1260000</v>
          </cell>
          <cell r="M2389">
            <v>794762.5</v>
          </cell>
        </row>
        <row r="2390">
          <cell r="A2390">
            <v>1811200815</v>
          </cell>
          <cell r="B2390">
            <v>815</v>
          </cell>
          <cell r="C2390">
            <v>811200</v>
          </cell>
          <cell r="D2390">
            <v>1</v>
          </cell>
          <cell r="F2390" t="str">
            <v>חוג לכל ילד</v>
          </cell>
          <cell r="G2390" t="str">
            <v>גמיש</v>
          </cell>
          <cell r="I2390">
            <v>0</v>
          </cell>
          <cell r="J2390">
            <v>0</v>
          </cell>
          <cell r="K2390">
            <v>0</v>
          </cell>
          <cell r="L2390">
            <v>0</v>
          </cell>
          <cell r="M2390">
            <v>0</v>
          </cell>
        </row>
        <row r="2391">
          <cell r="A2391" t="e">
            <v>#VALUE!</v>
          </cell>
          <cell r="B2391" t="str">
            <v>811200  סך הכל</v>
          </cell>
          <cell r="F2391" t="str">
            <v xml:space="preserve">יוזמות חינוכיות   </v>
          </cell>
          <cell r="H2391">
            <v>-0.10043050825676281</v>
          </cell>
          <cell r="I2391">
            <v>1260000</v>
          </cell>
          <cell r="J2391">
            <v>1400670</v>
          </cell>
          <cell r="K2391">
            <v>691759.6</v>
          </cell>
          <cell r="L2391">
            <v>1419300</v>
          </cell>
          <cell r="M2391">
            <v>794762.5</v>
          </cell>
        </row>
        <row r="2392">
          <cell r="A2392">
            <v>18113000</v>
          </cell>
          <cell r="B2392">
            <v>0</v>
          </cell>
          <cell r="C2392">
            <v>811300</v>
          </cell>
          <cell r="D2392">
            <v>1</v>
          </cell>
          <cell r="F2392" t="str">
            <v>יוזמות ראש מינהל</v>
          </cell>
          <cell r="G2392" t="str">
            <v xml:space="preserve"> </v>
          </cell>
        </row>
        <row r="2393">
          <cell r="A2393">
            <v>1811300210</v>
          </cell>
          <cell r="B2393">
            <v>210</v>
          </cell>
          <cell r="C2393">
            <v>811300</v>
          </cell>
          <cell r="D2393">
            <v>1</v>
          </cell>
          <cell r="F2393" t="str">
            <v>השכר הקובע</v>
          </cell>
          <cell r="G2393" t="str">
            <v>שכר</v>
          </cell>
          <cell r="I2393">
            <v>0</v>
          </cell>
          <cell r="J2393">
            <v>0</v>
          </cell>
          <cell r="K2393">
            <v>0</v>
          </cell>
          <cell r="L2393">
            <v>0</v>
          </cell>
          <cell r="M2393">
            <v>0</v>
          </cell>
        </row>
        <row r="2394">
          <cell r="A2394">
            <v>1811300780</v>
          </cell>
          <cell r="B2394">
            <v>780</v>
          </cell>
          <cell r="C2394">
            <v>811300</v>
          </cell>
          <cell r="D2394">
            <v>1</v>
          </cell>
          <cell r="F2394" t="str">
            <v>פעולות</v>
          </cell>
          <cell r="G2394" t="str">
            <v>גמיש</v>
          </cell>
          <cell r="H2394">
            <v>0.10582396730404331</v>
          </cell>
          <cell r="I2394">
            <v>757600</v>
          </cell>
          <cell r="J2394">
            <v>685100</v>
          </cell>
          <cell r="K2394">
            <v>386481.37</v>
          </cell>
          <cell r="L2394">
            <v>985100</v>
          </cell>
          <cell r="M2394">
            <v>1030145.16</v>
          </cell>
        </row>
        <row r="2395">
          <cell r="A2395">
            <v>1811300781</v>
          </cell>
          <cell r="B2395">
            <v>781</v>
          </cell>
          <cell r="C2395">
            <v>811300</v>
          </cell>
          <cell r="D2395">
            <v>1</v>
          </cell>
          <cell r="F2395" t="str">
            <v>יוזמות מהכ' תלמדי חוץ</v>
          </cell>
          <cell r="G2395" t="str">
            <v>גמיש</v>
          </cell>
          <cell r="H2395">
            <v>0</v>
          </cell>
          <cell r="I2395">
            <v>97200</v>
          </cell>
          <cell r="J2395">
            <v>97200</v>
          </cell>
          <cell r="K2395">
            <v>0</v>
          </cell>
          <cell r="L2395">
            <v>108000</v>
          </cell>
          <cell r="M2395">
            <v>13000000.01</v>
          </cell>
        </row>
        <row r="2396">
          <cell r="A2396">
            <v>1811300782</v>
          </cell>
          <cell r="B2396">
            <v>782</v>
          </cell>
          <cell r="C2396">
            <v>811300</v>
          </cell>
          <cell r="D2396">
            <v>1</v>
          </cell>
          <cell r="F2396" t="str">
            <v>הערכה ותהליכי למידה</v>
          </cell>
          <cell r="G2396" t="str">
            <v>גמיש</v>
          </cell>
          <cell r="H2396">
            <v>-9.3449210354146217E-5</v>
          </cell>
          <cell r="I2396">
            <v>107000</v>
          </cell>
          <cell r="J2396">
            <v>107010</v>
          </cell>
          <cell r="K2396">
            <v>51406.7</v>
          </cell>
          <cell r="L2396">
            <v>118900</v>
          </cell>
          <cell r="M2396">
            <v>35100</v>
          </cell>
        </row>
        <row r="2397">
          <cell r="A2397">
            <v>1811300784</v>
          </cell>
          <cell r="B2397">
            <v>784</v>
          </cell>
          <cell r="C2397">
            <v>811300</v>
          </cell>
          <cell r="D2397">
            <v>1</v>
          </cell>
          <cell r="F2397" t="str">
            <v>הכשרת מוסדות חינוך למ"פ</v>
          </cell>
          <cell r="G2397" t="str">
            <v>גמיש</v>
          </cell>
          <cell r="H2397">
            <v>0</v>
          </cell>
          <cell r="I2397">
            <v>446310</v>
          </cell>
          <cell r="J2397">
            <v>446310</v>
          </cell>
          <cell r="K2397">
            <v>0</v>
          </cell>
          <cell r="L2397">
            <v>495900</v>
          </cell>
          <cell r="M2397">
            <v>476154.5</v>
          </cell>
        </row>
        <row r="2398">
          <cell r="A2398">
            <v>1811300952</v>
          </cell>
          <cell r="B2398">
            <v>952</v>
          </cell>
          <cell r="C2398">
            <v>811300</v>
          </cell>
          <cell r="D2398">
            <v>1</v>
          </cell>
          <cell r="F2398" t="str">
            <v>יוזמות תשפ"ב</v>
          </cell>
          <cell r="G2398" t="str">
            <v>גמיש</v>
          </cell>
          <cell r="H2398">
            <v>0</v>
          </cell>
          <cell r="I2398">
            <v>117000</v>
          </cell>
          <cell r="J2398">
            <v>117000</v>
          </cell>
          <cell r="K2398">
            <v>86730</v>
          </cell>
          <cell r="L2398">
            <v>130000</v>
          </cell>
          <cell r="M2398">
            <v>123447.65</v>
          </cell>
        </row>
        <row r="2399">
          <cell r="A2399">
            <v>1811300981</v>
          </cell>
          <cell r="B2399">
            <v>981</v>
          </cell>
          <cell r="C2399">
            <v>811300</v>
          </cell>
          <cell r="D2399">
            <v>1</v>
          </cell>
          <cell r="F2399" t="str">
            <v>מרכז איבחון בוקר-טיפולים</v>
          </cell>
          <cell r="G2399" t="str">
            <v>גמיש</v>
          </cell>
          <cell r="H2399">
            <v>0</v>
          </cell>
          <cell r="I2399">
            <v>1701540</v>
          </cell>
          <cell r="J2399">
            <v>1701540</v>
          </cell>
          <cell r="K2399">
            <v>1111297</v>
          </cell>
          <cell r="L2399">
            <v>1890600</v>
          </cell>
          <cell r="M2399">
            <v>1945609</v>
          </cell>
        </row>
        <row r="2400">
          <cell r="A2400">
            <v>1811300982</v>
          </cell>
          <cell r="B2400">
            <v>982</v>
          </cell>
          <cell r="C2400">
            <v>811300</v>
          </cell>
          <cell r="D2400">
            <v>1</v>
          </cell>
          <cell r="F2400" t="str">
            <v>מרכז איבחון</v>
          </cell>
          <cell r="G2400" t="str">
            <v>גמיש</v>
          </cell>
          <cell r="H2400">
            <v>0</v>
          </cell>
          <cell r="I2400">
            <v>1408680</v>
          </cell>
          <cell r="J2400">
            <v>1408680</v>
          </cell>
          <cell r="K2400">
            <v>710708</v>
          </cell>
          <cell r="L2400">
            <v>1565200</v>
          </cell>
          <cell r="M2400">
            <v>1510200</v>
          </cell>
        </row>
        <row r="2401">
          <cell r="A2401" t="e">
            <v>#VALUE!</v>
          </cell>
          <cell r="B2401" t="str">
            <v>811300  סך הכל</v>
          </cell>
          <cell r="F2401" t="str">
            <v>יוזמות ראש מינהל</v>
          </cell>
          <cell r="H2401">
            <v>1.5887035267508898E-2</v>
          </cell>
          <cell r="I2401">
            <v>4635330</v>
          </cell>
          <cell r="J2401">
            <v>4562840</v>
          </cell>
          <cell r="K2401">
            <v>2346623.0700000003</v>
          </cell>
          <cell r="L2401">
            <v>5293700</v>
          </cell>
          <cell r="M2401">
            <v>18120656.32</v>
          </cell>
        </row>
        <row r="2402">
          <cell r="A2402">
            <v>18113010</v>
          </cell>
          <cell r="B2402">
            <v>0</v>
          </cell>
          <cell r="C2402">
            <v>811301</v>
          </cell>
          <cell r="D2402">
            <v>1</v>
          </cell>
          <cell r="F2402" t="str">
            <v>יוזמות אגף אירגון</v>
          </cell>
          <cell r="G2402" t="str">
            <v xml:space="preserve"> </v>
          </cell>
        </row>
        <row r="2403">
          <cell r="A2403">
            <v>1811301780</v>
          </cell>
          <cell r="B2403">
            <v>780</v>
          </cell>
          <cell r="C2403">
            <v>811301</v>
          </cell>
          <cell r="D2403">
            <v>1</v>
          </cell>
          <cell r="F2403" t="str">
            <v>פעולות</v>
          </cell>
          <cell r="G2403" t="str">
            <v>גמיש</v>
          </cell>
          <cell r="H2403">
            <v>0</v>
          </cell>
          <cell r="I2403">
            <v>200000</v>
          </cell>
          <cell r="J2403">
            <v>200000</v>
          </cell>
          <cell r="K2403">
            <v>13702.3</v>
          </cell>
          <cell r="L2403">
            <v>198000</v>
          </cell>
          <cell r="M2403">
            <v>691689.83</v>
          </cell>
        </row>
        <row r="2404">
          <cell r="A2404">
            <v>1811301781</v>
          </cell>
          <cell r="B2404">
            <v>781</v>
          </cell>
          <cell r="C2404">
            <v>811301</v>
          </cell>
          <cell r="D2404">
            <v>1</v>
          </cell>
          <cell r="F2404" t="str">
            <v>דוחות חשמל במוסדות חינוך</v>
          </cell>
          <cell r="G2404" t="str">
            <v>גמיש</v>
          </cell>
          <cell r="I2404">
            <v>500000</v>
          </cell>
          <cell r="J2404">
            <v>0</v>
          </cell>
          <cell r="K2404">
            <v>0</v>
          </cell>
          <cell r="L2404">
            <v>0</v>
          </cell>
          <cell r="M2404">
            <v>0</v>
          </cell>
        </row>
        <row r="2405">
          <cell r="A2405" t="e">
            <v>#VALUE!</v>
          </cell>
          <cell r="B2405" t="str">
            <v>811301  סך הכל</v>
          </cell>
          <cell r="F2405" t="str">
            <v>יוזמות אגף אירגון</v>
          </cell>
          <cell r="H2405">
            <v>2.5</v>
          </cell>
          <cell r="I2405">
            <v>700000</v>
          </cell>
          <cell r="J2405">
            <v>200000</v>
          </cell>
          <cell r="K2405">
            <v>13702.3</v>
          </cell>
          <cell r="L2405">
            <v>198000</v>
          </cell>
          <cell r="M2405">
            <v>691689.83</v>
          </cell>
        </row>
        <row r="2406">
          <cell r="A2406">
            <v>18113040</v>
          </cell>
          <cell r="B2406">
            <v>0</v>
          </cell>
          <cell r="C2406">
            <v>811304</v>
          </cell>
          <cell r="D2406">
            <v>1</v>
          </cell>
          <cell r="F2406" t="str">
            <v>יוזמות גני ילדים</v>
          </cell>
          <cell r="G2406" t="str">
            <v xml:space="preserve"> </v>
          </cell>
        </row>
        <row r="2407">
          <cell r="A2407">
            <v>1811304780</v>
          </cell>
          <cell r="B2407">
            <v>780</v>
          </cell>
          <cell r="C2407">
            <v>811304</v>
          </cell>
          <cell r="D2407">
            <v>1</v>
          </cell>
          <cell r="F2407" t="str">
            <v>פעולות</v>
          </cell>
          <cell r="G2407" t="str">
            <v>גמיש</v>
          </cell>
          <cell r="H2407">
            <v>0.2603347449082476</v>
          </cell>
          <cell r="I2407">
            <v>500000</v>
          </cell>
          <cell r="J2407">
            <v>396720</v>
          </cell>
          <cell r="K2407">
            <v>246039.97</v>
          </cell>
          <cell r="L2407">
            <v>440800</v>
          </cell>
          <cell r="M2407">
            <v>433876.78</v>
          </cell>
        </row>
        <row r="2408">
          <cell r="A2408">
            <v>1811304781</v>
          </cell>
          <cell r="B2408">
            <v>781</v>
          </cell>
          <cell r="C2408">
            <v>811304</v>
          </cell>
          <cell r="D2408">
            <v>1</v>
          </cell>
          <cell r="F2408" t="str">
            <v>פעולות כנגד הכנסות</v>
          </cell>
          <cell r="G2408" t="str">
            <v>קשיח</v>
          </cell>
          <cell r="I2408">
            <v>0</v>
          </cell>
          <cell r="J2408">
            <v>0</v>
          </cell>
          <cell r="K2408">
            <v>0</v>
          </cell>
          <cell r="L2408">
            <v>100000</v>
          </cell>
          <cell r="M2408">
            <v>296430.87</v>
          </cell>
        </row>
        <row r="2409">
          <cell r="A2409">
            <v>1811304782</v>
          </cell>
          <cell r="B2409">
            <v>782</v>
          </cell>
          <cell r="C2409">
            <v>811304</v>
          </cell>
          <cell r="D2409">
            <v>1</v>
          </cell>
          <cell r="F2409" t="str">
            <v>יוזמות - מובילות  גנ"י</v>
          </cell>
          <cell r="G2409" t="str">
            <v>גמיש</v>
          </cell>
          <cell r="H2409">
            <v>0.3168724279835391</v>
          </cell>
          <cell r="I2409">
            <v>48000</v>
          </cell>
          <cell r="J2409">
            <v>36450</v>
          </cell>
          <cell r="K2409">
            <v>0</v>
          </cell>
          <cell r="L2409">
            <v>40500</v>
          </cell>
          <cell r="M2409">
            <v>40500</v>
          </cell>
        </row>
        <row r="2410">
          <cell r="A2410" t="e">
            <v>#VALUE!</v>
          </cell>
          <cell r="B2410" t="str">
            <v>811304  סך הכל</v>
          </cell>
          <cell r="F2410" t="str">
            <v>יוזמות גני ילדים</v>
          </cell>
          <cell r="H2410">
            <v>0.26509222707020341</v>
          </cell>
          <cell r="I2410">
            <v>548000</v>
          </cell>
          <cell r="J2410">
            <v>433170</v>
          </cell>
          <cell r="K2410">
            <v>246039.97</v>
          </cell>
          <cell r="L2410">
            <v>581300</v>
          </cell>
          <cell r="M2410">
            <v>770807.65</v>
          </cell>
        </row>
        <row r="2411">
          <cell r="A2411">
            <v>18113050</v>
          </cell>
          <cell r="B2411">
            <v>0</v>
          </cell>
          <cell r="C2411">
            <v>811305</v>
          </cell>
          <cell r="D2411">
            <v>1</v>
          </cell>
          <cell r="F2411" t="str">
            <v>יוזמות יסודי</v>
          </cell>
          <cell r="G2411" t="str">
            <v xml:space="preserve"> </v>
          </cell>
        </row>
        <row r="2412">
          <cell r="A2412">
            <v>1811305118</v>
          </cell>
          <cell r="B2412">
            <v>118</v>
          </cell>
          <cell r="C2412">
            <v>811305</v>
          </cell>
          <cell r="D2412">
            <v>1</v>
          </cell>
          <cell r="F2412" t="str">
            <v>שכר עובדי הוראה</v>
          </cell>
          <cell r="G2412" t="str">
            <v>שכר</v>
          </cell>
          <cell r="H2412">
            <v>-0.25</v>
          </cell>
          <cell r="I2412">
            <v>300000</v>
          </cell>
          <cell r="J2412">
            <v>400000</v>
          </cell>
          <cell r="K2412">
            <v>86262.73</v>
          </cell>
          <cell r="L2412">
            <v>400000</v>
          </cell>
          <cell r="M2412">
            <v>51200.81</v>
          </cell>
        </row>
        <row r="2413">
          <cell r="A2413">
            <v>1811305119</v>
          </cell>
          <cell r="B2413">
            <v>119</v>
          </cell>
          <cell r="C2413">
            <v>811305</v>
          </cell>
          <cell r="D2413">
            <v>1</v>
          </cell>
          <cell r="F2413" t="str">
            <v>השכר הקובע-צוברת</v>
          </cell>
          <cell r="G2413" t="str">
            <v>שכר</v>
          </cell>
          <cell r="H2413">
            <v>2.4999999999999911E-2</v>
          </cell>
          <cell r="I2413">
            <v>1254600</v>
          </cell>
          <cell r="J2413">
            <v>1224000</v>
          </cell>
          <cell r="K2413">
            <v>892609.22</v>
          </cell>
          <cell r="L2413">
            <v>1200000</v>
          </cell>
          <cell r="M2413">
            <v>1348488.16</v>
          </cell>
        </row>
        <row r="2414">
          <cell r="A2414">
            <v>1811305122</v>
          </cell>
          <cell r="B2414">
            <v>122</v>
          </cell>
          <cell r="C2414">
            <v>811305</v>
          </cell>
          <cell r="D2414">
            <v>1</v>
          </cell>
          <cell r="F2414" t="str">
            <v xml:space="preserve">ביגוד             </v>
          </cell>
          <cell r="G2414" t="str">
            <v>שכר</v>
          </cell>
          <cell r="H2414">
            <v>0</v>
          </cell>
          <cell r="I2414">
            <v>17600</v>
          </cell>
          <cell r="J2414">
            <v>17600</v>
          </cell>
          <cell r="K2414">
            <v>18624.63</v>
          </cell>
          <cell r="L2414">
            <v>17600</v>
          </cell>
          <cell r="M2414">
            <v>17712.2</v>
          </cell>
        </row>
        <row r="2415">
          <cell r="A2415">
            <v>1811305126</v>
          </cell>
          <cell r="B2415">
            <v>126</v>
          </cell>
          <cell r="C2415">
            <v>811305</v>
          </cell>
          <cell r="D2415">
            <v>1</v>
          </cell>
          <cell r="F2415" t="str">
            <v xml:space="preserve">דמי הבראה         </v>
          </cell>
          <cell r="G2415" t="str">
            <v>שכר</v>
          </cell>
          <cell r="H2415">
            <v>0</v>
          </cell>
          <cell r="I2415">
            <v>40000</v>
          </cell>
          <cell r="J2415">
            <v>40000</v>
          </cell>
          <cell r="K2415">
            <v>40322.300000000003</v>
          </cell>
          <cell r="L2415">
            <v>34000</v>
          </cell>
          <cell r="M2415">
            <v>38131.760000000002</v>
          </cell>
        </row>
        <row r="2416">
          <cell r="A2416">
            <v>1811305210</v>
          </cell>
          <cell r="B2416">
            <v>210</v>
          </cell>
          <cell r="C2416">
            <v>811305</v>
          </cell>
          <cell r="D2416">
            <v>1</v>
          </cell>
          <cell r="F2416" t="str">
            <v>השכר הקובע</v>
          </cell>
          <cell r="G2416" t="str">
            <v>שכר</v>
          </cell>
          <cell r="I2416">
            <v>0</v>
          </cell>
          <cell r="J2416">
            <v>0</v>
          </cell>
          <cell r="K2416">
            <v>25632.5</v>
          </cell>
          <cell r="L2416">
            <v>0</v>
          </cell>
          <cell r="M2416">
            <v>77068.320000000007</v>
          </cell>
        </row>
        <row r="2417">
          <cell r="A2417">
            <v>1811305263</v>
          </cell>
          <cell r="B2417">
            <v>263</v>
          </cell>
          <cell r="C2417">
            <v>811305</v>
          </cell>
          <cell r="D2417">
            <v>1</v>
          </cell>
          <cell r="F2417" t="str">
            <v>עובדי כח - אדם</v>
          </cell>
          <cell r="G2417" t="str">
            <v>שכר</v>
          </cell>
          <cell r="H2417">
            <v>0</v>
          </cell>
          <cell r="I2417">
            <v>20000</v>
          </cell>
          <cell r="J2417">
            <v>20000</v>
          </cell>
          <cell r="K2417">
            <v>0</v>
          </cell>
          <cell r="L2417">
            <v>20000</v>
          </cell>
          <cell r="M2417">
            <v>20000</v>
          </cell>
        </row>
        <row r="2418">
          <cell r="A2418">
            <v>1811305759</v>
          </cell>
          <cell r="B2418">
            <v>759</v>
          </cell>
          <cell r="C2418">
            <v>811305</v>
          </cell>
          <cell r="D2418">
            <v>1</v>
          </cell>
          <cell r="F2418" t="str">
            <v>שרותי סייעות</v>
          </cell>
          <cell r="G2418" t="str">
            <v>קשיח</v>
          </cell>
          <cell r="H2418">
            <v>1.980113877793821E-2</v>
          </cell>
          <cell r="I2418">
            <v>1200000</v>
          </cell>
          <cell r="J2418">
            <v>1176700</v>
          </cell>
          <cell r="K2418">
            <v>609585.15</v>
          </cell>
          <cell r="L2418">
            <v>1070000</v>
          </cell>
          <cell r="M2418">
            <v>957437.56</v>
          </cell>
        </row>
        <row r="2419">
          <cell r="A2419">
            <v>1811305780</v>
          </cell>
          <cell r="B2419">
            <v>780</v>
          </cell>
          <cell r="C2419">
            <v>811305</v>
          </cell>
          <cell r="D2419">
            <v>1</v>
          </cell>
          <cell r="F2419" t="str">
            <v>פעולות</v>
          </cell>
          <cell r="G2419" t="str">
            <v>גמיש</v>
          </cell>
          <cell r="H2419">
            <v>0.18434298572866692</v>
          </cell>
          <cell r="I2419">
            <v>600000</v>
          </cell>
          <cell r="J2419">
            <v>506610</v>
          </cell>
          <cell r="K2419">
            <v>447098.81</v>
          </cell>
          <cell r="L2419">
            <v>562900</v>
          </cell>
          <cell r="M2419">
            <v>540491.65</v>
          </cell>
        </row>
        <row r="2420">
          <cell r="A2420">
            <v>1811305781</v>
          </cell>
          <cell r="B2420">
            <v>781</v>
          </cell>
          <cell r="C2420">
            <v>811305</v>
          </cell>
          <cell r="D2420">
            <v>1</v>
          </cell>
          <cell r="F2420" t="str">
            <v>בתי"ס מוזיקליים</v>
          </cell>
          <cell r="G2420" t="str">
            <v>גמיש</v>
          </cell>
          <cell r="H2420">
            <v>7.5095414718056253E-2</v>
          </cell>
          <cell r="I2420">
            <v>800000</v>
          </cell>
          <cell r="J2420">
            <v>744120</v>
          </cell>
          <cell r="K2420">
            <v>0</v>
          </cell>
          <cell r="L2420">
            <v>826800</v>
          </cell>
          <cell r="M2420">
            <v>683333</v>
          </cell>
        </row>
        <row r="2421">
          <cell r="A2421">
            <v>1811305782</v>
          </cell>
          <cell r="B2421">
            <v>782</v>
          </cell>
          <cell r="C2421">
            <v>811305</v>
          </cell>
          <cell r="D2421">
            <v>1</v>
          </cell>
          <cell r="F2421" t="str">
            <v>אוריינות-בי"ס יחדיו</v>
          </cell>
          <cell r="G2421" t="str">
            <v>גמיש</v>
          </cell>
          <cell r="H2421">
            <v>0</v>
          </cell>
          <cell r="I2421">
            <v>81000</v>
          </cell>
          <cell r="J2421">
            <v>81000</v>
          </cell>
          <cell r="K2421">
            <v>71075</v>
          </cell>
          <cell r="L2421">
            <v>90000</v>
          </cell>
          <cell r="M2421">
            <v>90000</v>
          </cell>
        </row>
        <row r="2422">
          <cell r="A2422">
            <v>1811305783</v>
          </cell>
          <cell r="B2422">
            <v>783</v>
          </cell>
          <cell r="C2422">
            <v>811305</v>
          </cell>
          <cell r="D2422">
            <v>1</v>
          </cell>
          <cell r="F2422" t="str">
            <v>יחודיות בית ספרית</v>
          </cell>
          <cell r="G2422" t="str">
            <v>גמיש</v>
          </cell>
          <cell r="H2422">
            <v>0</v>
          </cell>
          <cell r="I2422">
            <v>153900</v>
          </cell>
          <cell r="J2422">
            <v>153900</v>
          </cell>
          <cell r="K2422">
            <v>153790</v>
          </cell>
          <cell r="L2422">
            <v>171000</v>
          </cell>
          <cell r="M2422">
            <v>164117.23000000001</v>
          </cell>
        </row>
        <row r="2423">
          <cell r="A2423">
            <v>1811305784</v>
          </cell>
          <cell r="B2423">
            <v>784</v>
          </cell>
          <cell r="C2423">
            <v>811305</v>
          </cell>
          <cell r="D2423">
            <v>1</v>
          </cell>
          <cell r="F2423" t="str">
            <v>יוזמות-יסודי יחדיו</v>
          </cell>
          <cell r="G2423" t="str">
            <v>גמיש</v>
          </cell>
          <cell r="H2423">
            <v>0</v>
          </cell>
          <cell r="I2423">
            <v>34020</v>
          </cell>
          <cell r="J2423">
            <v>34020</v>
          </cell>
          <cell r="K2423">
            <v>32575</v>
          </cell>
          <cell r="L2423">
            <v>37800</v>
          </cell>
          <cell r="M2423">
            <v>30000</v>
          </cell>
        </row>
        <row r="2424">
          <cell r="A2424">
            <v>1811305785</v>
          </cell>
          <cell r="B2424">
            <v>785</v>
          </cell>
          <cell r="C2424">
            <v>811305</v>
          </cell>
          <cell r="D2424">
            <v>1</v>
          </cell>
          <cell r="F2424" t="str">
            <v>יוזמות ניהול עצמי</v>
          </cell>
          <cell r="G2424" t="str">
            <v>קשיח</v>
          </cell>
          <cell r="H2424">
            <v>0</v>
          </cell>
          <cell r="I2424">
            <v>414000</v>
          </cell>
          <cell r="J2424">
            <v>414000</v>
          </cell>
          <cell r="K2424">
            <v>251331</v>
          </cell>
          <cell r="L2424">
            <v>432000</v>
          </cell>
          <cell r="M2424">
            <v>444566.01</v>
          </cell>
        </row>
        <row r="2425">
          <cell r="A2425">
            <v>1811305786</v>
          </cell>
          <cell r="B2425">
            <v>786</v>
          </cell>
          <cell r="C2425">
            <v>811305</v>
          </cell>
          <cell r="D2425">
            <v>1</v>
          </cell>
          <cell r="F2425" t="str">
            <v>מרכז מצטיינים</v>
          </cell>
          <cell r="G2425" t="str">
            <v>גמיש</v>
          </cell>
          <cell r="H2425">
            <v>0</v>
          </cell>
          <cell r="I2425">
            <v>405000</v>
          </cell>
          <cell r="J2425">
            <v>405000</v>
          </cell>
          <cell r="K2425">
            <v>119527.42</v>
          </cell>
          <cell r="L2425">
            <v>450000</v>
          </cell>
          <cell r="M2425">
            <v>180105.94</v>
          </cell>
        </row>
        <row r="2426">
          <cell r="A2426">
            <v>1811305787</v>
          </cell>
          <cell r="B2426">
            <v>787</v>
          </cell>
          <cell r="C2426">
            <v>811305</v>
          </cell>
          <cell r="D2426">
            <v>1</v>
          </cell>
          <cell r="F2426" t="str">
            <v>תחרות האתגר</v>
          </cell>
          <cell r="G2426" t="str">
            <v>גמיש</v>
          </cell>
          <cell r="H2426">
            <v>-1</v>
          </cell>
          <cell r="I2426">
            <v>0</v>
          </cell>
          <cell r="J2426">
            <v>22500</v>
          </cell>
          <cell r="K2426">
            <v>0</v>
          </cell>
          <cell r="L2426">
            <v>25000</v>
          </cell>
          <cell r="M2426">
            <v>0</v>
          </cell>
        </row>
        <row r="2427">
          <cell r="A2427" t="e">
            <v>#VALUE!</v>
          </cell>
          <cell r="B2427" t="str">
            <v>811305  סך הכל</v>
          </cell>
          <cell r="F2427" t="str">
            <v>יוזמות יסודי</v>
          </cell>
          <cell r="H2427">
            <v>1.5396654228974516E-2</v>
          </cell>
          <cell r="I2427">
            <v>5320120</v>
          </cell>
          <cell r="J2427">
            <v>5239450</v>
          </cell>
          <cell r="K2427">
            <v>2748433.76</v>
          </cell>
          <cell r="L2427">
            <v>5337100</v>
          </cell>
          <cell r="M2427">
            <v>4642652.6400000006</v>
          </cell>
        </row>
        <row r="2428">
          <cell r="A2428">
            <v>18113060</v>
          </cell>
          <cell r="B2428">
            <v>0</v>
          </cell>
          <cell r="C2428">
            <v>811306</v>
          </cell>
          <cell r="D2428">
            <v>1</v>
          </cell>
          <cell r="F2428" t="str">
            <v>יוזמות פרט</v>
          </cell>
          <cell r="G2428" t="str">
            <v xml:space="preserve"> </v>
          </cell>
        </row>
        <row r="2429">
          <cell r="A2429">
            <v>1811306780</v>
          </cell>
          <cell r="B2429">
            <v>780</v>
          </cell>
          <cell r="C2429">
            <v>811306</v>
          </cell>
          <cell r="D2429">
            <v>1</v>
          </cell>
          <cell r="F2429" t="str">
            <v>פעולות</v>
          </cell>
          <cell r="G2429" t="str">
            <v>גמיש</v>
          </cell>
          <cell r="H2429">
            <v>0.17247039512252305</v>
          </cell>
          <cell r="I2429">
            <v>300000</v>
          </cell>
          <cell r="J2429">
            <v>255870</v>
          </cell>
          <cell r="K2429">
            <v>94327.1</v>
          </cell>
          <cell r="L2429">
            <v>284300</v>
          </cell>
          <cell r="M2429">
            <v>241508.03</v>
          </cell>
        </row>
        <row r="2430">
          <cell r="A2430" t="e">
            <v>#VALUE!</v>
          </cell>
          <cell r="B2430" t="str">
            <v>811306  סך הכל</v>
          </cell>
          <cell r="F2430" t="str">
            <v>יוזמות פרט</v>
          </cell>
          <cell r="H2430">
            <v>0.17247039512252305</v>
          </cell>
          <cell r="I2430">
            <v>300000</v>
          </cell>
          <cell r="J2430">
            <v>255870</v>
          </cell>
          <cell r="K2430">
            <v>94327.1</v>
          </cell>
          <cell r="L2430">
            <v>284300</v>
          </cell>
          <cell r="M2430">
            <v>241508.03</v>
          </cell>
        </row>
        <row r="2431">
          <cell r="A2431">
            <v>18113090</v>
          </cell>
          <cell r="B2431">
            <v>0</v>
          </cell>
          <cell r="C2431">
            <v>811309</v>
          </cell>
          <cell r="D2431">
            <v>1</v>
          </cell>
          <cell r="F2431" t="str">
            <v>יוזמות נוער</v>
          </cell>
          <cell r="G2431" t="str">
            <v xml:space="preserve"> </v>
          </cell>
        </row>
        <row r="2432">
          <cell r="A2432">
            <v>1811309210</v>
          </cell>
          <cell r="B2432">
            <v>210</v>
          </cell>
          <cell r="C2432">
            <v>811309</v>
          </cell>
          <cell r="D2432">
            <v>1</v>
          </cell>
          <cell r="F2432" t="str">
            <v>השכר הקובע</v>
          </cell>
          <cell r="G2432" t="str">
            <v>שכר</v>
          </cell>
          <cell r="I2432">
            <v>0</v>
          </cell>
          <cell r="J2432">
            <v>0</v>
          </cell>
          <cell r="K2432">
            <v>0</v>
          </cell>
          <cell r="L2432">
            <v>0</v>
          </cell>
          <cell r="M2432">
            <v>27682.95</v>
          </cell>
        </row>
        <row r="2433">
          <cell r="A2433">
            <v>1811309780</v>
          </cell>
          <cell r="B2433">
            <v>780</v>
          </cell>
          <cell r="C2433">
            <v>811309</v>
          </cell>
          <cell r="D2433">
            <v>1</v>
          </cell>
          <cell r="F2433" t="str">
            <v>פעולות</v>
          </cell>
          <cell r="G2433" t="str">
            <v>גמיש</v>
          </cell>
          <cell r="H2433">
            <v>0</v>
          </cell>
          <cell r="I2433">
            <v>122490</v>
          </cell>
          <cell r="J2433">
            <v>122490</v>
          </cell>
          <cell r="K2433">
            <v>61657.29</v>
          </cell>
          <cell r="L2433">
            <v>136100</v>
          </cell>
          <cell r="M2433">
            <v>95130.21</v>
          </cell>
        </row>
        <row r="2434">
          <cell r="A2434" t="e">
            <v>#VALUE!</v>
          </cell>
          <cell r="B2434" t="str">
            <v>811309  סך הכל</v>
          </cell>
          <cell r="F2434" t="str">
            <v>יוזמות נוער</v>
          </cell>
          <cell r="H2434">
            <v>0</v>
          </cell>
          <cell r="I2434">
            <v>122490</v>
          </cell>
          <cell r="J2434">
            <v>122490</v>
          </cell>
          <cell r="K2434">
            <v>61657.29</v>
          </cell>
          <cell r="L2434">
            <v>136100</v>
          </cell>
          <cell r="M2434">
            <v>122813.16</v>
          </cell>
        </row>
        <row r="2435">
          <cell r="A2435">
            <v>18114000</v>
          </cell>
          <cell r="B2435">
            <v>0</v>
          </cell>
          <cell r="C2435">
            <v>811400</v>
          </cell>
          <cell r="D2435">
            <v>1</v>
          </cell>
          <cell r="F2435" t="str">
            <v>מניעת אלימות וסמים</v>
          </cell>
          <cell r="G2435" t="str">
            <v xml:space="preserve"> </v>
          </cell>
        </row>
        <row r="2436">
          <cell r="A2436">
            <v>1811400110</v>
          </cell>
          <cell r="B2436">
            <v>110</v>
          </cell>
          <cell r="C2436">
            <v>811400</v>
          </cell>
          <cell r="D2436">
            <v>1</v>
          </cell>
          <cell r="F2436" t="str">
            <v>השכר הקובע-תקציבית</v>
          </cell>
          <cell r="G2436" t="str">
            <v>שכר</v>
          </cell>
          <cell r="H2436">
            <v>-1</v>
          </cell>
          <cell r="I2436">
            <v>0</v>
          </cell>
          <cell r="J2436">
            <v>259100</v>
          </cell>
          <cell r="K2436">
            <v>0</v>
          </cell>
          <cell r="L2436">
            <v>254000</v>
          </cell>
          <cell r="M2436">
            <v>185320.32000000001</v>
          </cell>
        </row>
        <row r="2437">
          <cell r="A2437">
            <v>1811400119</v>
          </cell>
          <cell r="B2437">
            <v>119</v>
          </cell>
          <cell r="C2437">
            <v>811400</v>
          </cell>
          <cell r="D2437">
            <v>1</v>
          </cell>
          <cell r="F2437" t="str">
            <v>השכר הקובע-צוברת</v>
          </cell>
          <cell r="G2437" t="str">
            <v>שכר</v>
          </cell>
          <cell r="H2437">
            <v>-1</v>
          </cell>
          <cell r="I2437">
            <v>0</v>
          </cell>
          <cell r="J2437">
            <v>518700</v>
          </cell>
          <cell r="K2437">
            <v>742020.36</v>
          </cell>
          <cell r="L2437">
            <v>508500</v>
          </cell>
          <cell r="M2437">
            <v>426776.94</v>
          </cell>
        </row>
        <row r="2438">
          <cell r="A2438">
            <v>1811400122</v>
          </cell>
          <cell r="B2438">
            <v>122</v>
          </cell>
          <cell r="C2438">
            <v>811400</v>
          </cell>
          <cell r="D2438">
            <v>1</v>
          </cell>
          <cell r="F2438" t="str">
            <v xml:space="preserve">ביגוד             </v>
          </cell>
          <cell r="G2438" t="str">
            <v>שכר</v>
          </cell>
          <cell r="H2438">
            <v>-1</v>
          </cell>
          <cell r="I2438">
            <v>0</v>
          </cell>
          <cell r="J2438">
            <v>6300</v>
          </cell>
          <cell r="K2438">
            <v>8574.7999999999993</v>
          </cell>
          <cell r="L2438">
            <v>6300</v>
          </cell>
          <cell r="M2438">
            <v>8014.47</v>
          </cell>
        </row>
        <row r="2439">
          <cell r="A2439">
            <v>1811400126</v>
          </cell>
          <cell r="B2439">
            <v>126</v>
          </cell>
          <cell r="C2439">
            <v>811400</v>
          </cell>
          <cell r="D2439">
            <v>1</v>
          </cell>
          <cell r="F2439" t="str">
            <v xml:space="preserve">דמי הבראה         </v>
          </cell>
          <cell r="G2439" t="str">
            <v>שכר</v>
          </cell>
          <cell r="H2439">
            <v>-1</v>
          </cell>
          <cell r="I2439">
            <v>0</v>
          </cell>
          <cell r="J2439">
            <v>15000</v>
          </cell>
          <cell r="K2439">
            <v>14527.83</v>
          </cell>
          <cell r="L2439">
            <v>13000</v>
          </cell>
          <cell r="M2439">
            <v>18213.150000000001</v>
          </cell>
        </row>
        <row r="2440">
          <cell r="A2440">
            <v>1811400130</v>
          </cell>
          <cell r="B2440">
            <v>130</v>
          </cell>
          <cell r="C2440">
            <v>811400</v>
          </cell>
          <cell r="D2440">
            <v>1</v>
          </cell>
          <cell r="F2440" t="str">
            <v xml:space="preserve">שעות נוספות       </v>
          </cell>
          <cell r="G2440" t="str">
            <v>שכר</v>
          </cell>
          <cell r="H2440">
            <v>-1</v>
          </cell>
          <cell r="I2440">
            <v>0</v>
          </cell>
          <cell r="J2440">
            <v>17200</v>
          </cell>
          <cell r="K2440">
            <v>55096.61</v>
          </cell>
          <cell r="L2440">
            <v>20000</v>
          </cell>
          <cell r="M2440">
            <v>16976.580000000002</v>
          </cell>
        </row>
        <row r="2441">
          <cell r="A2441">
            <v>1811400140</v>
          </cell>
          <cell r="B2441">
            <v>140</v>
          </cell>
          <cell r="C2441">
            <v>811400</v>
          </cell>
          <cell r="D2441">
            <v>1</v>
          </cell>
          <cell r="F2441" t="str">
            <v>השתתפות באחזקת רכב</v>
          </cell>
          <cell r="G2441" t="str">
            <v>שכר</v>
          </cell>
          <cell r="H2441">
            <v>-1</v>
          </cell>
          <cell r="I2441">
            <v>0</v>
          </cell>
          <cell r="J2441">
            <v>84300</v>
          </cell>
          <cell r="K2441">
            <v>75604.160000000003</v>
          </cell>
          <cell r="L2441">
            <v>84300</v>
          </cell>
          <cell r="M2441">
            <v>62439.41</v>
          </cell>
        </row>
        <row r="2442">
          <cell r="A2442">
            <v>1811400780</v>
          </cell>
          <cell r="B2442">
            <v>780</v>
          </cell>
          <cell r="C2442">
            <v>811400</v>
          </cell>
          <cell r="D2442">
            <v>1</v>
          </cell>
          <cell r="F2442" t="str">
            <v>פעולות</v>
          </cell>
          <cell r="G2442" t="str">
            <v>גמיש</v>
          </cell>
          <cell r="H2442">
            <v>-1</v>
          </cell>
          <cell r="I2442">
            <v>0</v>
          </cell>
          <cell r="J2442">
            <v>535500</v>
          </cell>
          <cell r="K2442">
            <v>2745.41</v>
          </cell>
          <cell r="L2442">
            <v>887500</v>
          </cell>
          <cell r="M2442">
            <v>69736.95</v>
          </cell>
        </row>
        <row r="2443">
          <cell r="A2443">
            <v>1811400781</v>
          </cell>
          <cell r="B2443">
            <v>781</v>
          </cell>
          <cell r="C2443">
            <v>811400</v>
          </cell>
          <cell r="D2443">
            <v>1</v>
          </cell>
          <cell r="F2443" t="str">
            <v>עיר ללא אלימות</v>
          </cell>
          <cell r="G2443" t="str">
            <v>גמיש</v>
          </cell>
          <cell r="H2443">
            <v>-1</v>
          </cell>
          <cell r="I2443">
            <v>0</v>
          </cell>
          <cell r="J2443">
            <v>1340370</v>
          </cell>
          <cell r="K2443">
            <v>87240.4</v>
          </cell>
          <cell r="L2443">
            <v>1610600</v>
          </cell>
          <cell r="M2443">
            <v>1515685.05</v>
          </cell>
        </row>
        <row r="2444">
          <cell r="A2444" t="e">
            <v>#VALUE!</v>
          </cell>
          <cell r="B2444" t="str">
            <v>811400  סך הכל</v>
          </cell>
          <cell r="F2444" t="str">
            <v>מניעת אלימות וסמים</v>
          </cell>
          <cell r="H2444">
            <v>-1</v>
          </cell>
          <cell r="I2444">
            <v>0</v>
          </cell>
          <cell r="J2444">
            <v>2776470</v>
          </cell>
          <cell r="K2444">
            <v>985809.57000000007</v>
          </cell>
          <cell r="L2444">
            <v>3384200</v>
          </cell>
          <cell r="M2444">
            <v>2303162.87</v>
          </cell>
        </row>
        <row r="2445">
          <cell r="A2445">
            <v>18120000</v>
          </cell>
          <cell r="B2445">
            <v>0</v>
          </cell>
          <cell r="C2445">
            <v>812000</v>
          </cell>
          <cell r="D2445">
            <v>1</v>
          </cell>
          <cell r="F2445" t="str">
            <v xml:space="preserve">חינוך קדם יסודי   </v>
          </cell>
          <cell r="G2445" t="str">
            <v xml:space="preserve"> </v>
          </cell>
        </row>
        <row r="2446">
          <cell r="A2446">
            <v>1812200110</v>
          </cell>
          <cell r="B2446">
            <v>110</v>
          </cell>
          <cell r="C2446">
            <v>812200</v>
          </cell>
          <cell r="D2446">
            <v>1</v>
          </cell>
          <cell r="F2446" t="str">
            <v>השכר הקובע-תקציבית</v>
          </cell>
          <cell r="G2446" t="str">
            <v>שכר</v>
          </cell>
          <cell r="H2446">
            <v>2.5025380710659739E-2</v>
          </cell>
          <cell r="I2446">
            <v>201929.99999999997</v>
          </cell>
          <cell r="J2446">
            <v>197000</v>
          </cell>
          <cell r="K2446">
            <v>95180.4</v>
          </cell>
          <cell r="L2446">
            <v>193100</v>
          </cell>
          <cell r="M2446">
            <v>175680.61</v>
          </cell>
        </row>
        <row r="2447">
          <cell r="A2447">
            <v>1812200119</v>
          </cell>
          <cell r="B2447">
            <v>119</v>
          </cell>
          <cell r="C2447">
            <v>812200</v>
          </cell>
          <cell r="D2447">
            <v>1</v>
          </cell>
          <cell r="F2447" t="str">
            <v xml:space="preserve">השכר הקובע-צוברת  </v>
          </cell>
          <cell r="G2447" t="str">
            <v>שכר</v>
          </cell>
          <cell r="H2447">
            <v>2.5009029345372413E-2</v>
          </cell>
          <cell r="I2447">
            <v>227039.49999999997</v>
          </cell>
          <cell r="J2447">
            <v>221500</v>
          </cell>
          <cell r="K2447">
            <v>97171.71</v>
          </cell>
          <cell r="L2447">
            <v>217200</v>
          </cell>
          <cell r="M2447">
            <v>182109.43</v>
          </cell>
        </row>
        <row r="2448">
          <cell r="A2448">
            <v>1812200122</v>
          </cell>
          <cell r="B2448">
            <v>122</v>
          </cell>
          <cell r="C2448">
            <v>812200</v>
          </cell>
          <cell r="D2448">
            <v>1</v>
          </cell>
          <cell r="F2448" t="str">
            <v xml:space="preserve">ביגוד             </v>
          </cell>
          <cell r="G2448" t="str">
            <v>שכר</v>
          </cell>
          <cell r="H2448">
            <v>0</v>
          </cell>
          <cell r="I2448">
            <v>2000</v>
          </cell>
          <cell r="J2448">
            <v>2000</v>
          </cell>
          <cell r="K2448">
            <v>1113.17</v>
          </cell>
          <cell r="L2448">
            <v>11200</v>
          </cell>
          <cell r="M2448">
            <v>1601.25</v>
          </cell>
        </row>
        <row r="2449">
          <cell r="A2449">
            <v>1812200126</v>
          </cell>
          <cell r="B2449">
            <v>126</v>
          </cell>
          <cell r="C2449">
            <v>812200</v>
          </cell>
          <cell r="D2449">
            <v>1</v>
          </cell>
          <cell r="F2449" t="str">
            <v xml:space="preserve">דמי הבראה         </v>
          </cell>
          <cell r="G2449" t="str">
            <v>שכר</v>
          </cell>
          <cell r="H2449">
            <v>0</v>
          </cell>
          <cell r="I2449">
            <v>13500</v>
          </cell>
          <cell r="J2449">
            <v>13500</v>
          </cell>
          <cell r="K2449">
            <v>12256.4</v>
          </cell>
          <cell r="L2449">
            <v>56000</v>
          </cell>
          <cell r="M2449">
            <v>12256.4</v>
          </cell>
        </row>
        <row r="2450">
          <cell r="A2450">
            <v>1812200130</v>
          </cell>
          <cell r="B2450">
            <v>130</v>
          </cell>
          <cell r="C2450">
            <v>812200</v>
          </cell>
          <cell r="D2450">
            <v>1</v>
          </cell>
          <cell r="F2450" t="str">
            <v>שעות נוספות</v>
          </cell>
          <cell r="G2450" t="str">
            <v>שכר</v>
          </cell>
          <cell r="I2450">
            <v>0</v>
          </cell>
          <cell r="J2450">
            <v>0</v>
          </cell>
          <cell r="K2450">
            <v>1000</v>
          </cell>
          <cell r="L2450">
            <v>0</v>
          </cell>
          <cell r="M2450">
            <v>800</v>
          </cell>
        </row>
        <row r="2451">
          <cell r="A2451">
            <v>1812200420</v>
          </cell>
          <cell r="B2451">
            <v>420</v>
          </cell>
          <cell r="C2451">
            <v>812200</v>
          </cell>
          <cell r="D2451">
            <v>1</v>
          </cell>
          <cell r="F2451" t="str">
            <v xml:space="preserve">כיבוי אש          </v>
          </cell>
          <cell r="G2451" t="str">
            <v>קשיח</v>
          </cell>
          <cell r="H2451">
            <v>0.11111111111111116</v>
          </cell>
          <cell r="I2451">
            <v>85000</v>
          </cell>
          <cell r="J2451">
            <v>76500</v>
          </cell>
          <cell r="K2451">
            <v>76401.399999999994</v>
          </cell>
          <cell r="L2451">
            <v>85000</v>
          </cell>
          <cell r="M2451">
            <v>80596.38</v>
          </cell>
        </row>
        <row r="2452">
          <cell r="A2452">
            <v>1812200431</v>
          </cell>
          <cell r="B2452">
            <v>431</v>
          </cell>
          <cell r="C2452">
            <v>812200</v>
          </cell>
          <cell r="D2452">
            <v>1</v>
          </cell>
          <cell r="F2452" t="str">
            <v xml:space="preserve">חשמל              </v>
          </cell>
          <cell r="G2452" t="str">
            <v>קשיח</v>
          </cell>
          <cell r="H2452">
            <v>1.1112345816211011E-4</v>
          </cell>
          <cell r="I2452">
            <v>1800000</v>
          </cell>
          <cell r="J2452">
            <v>1799800</v>
          </cell>
          <cell r="K2452">
            <v>663269.31999999995</v>
          </cell>
          <cell r="L2452">
            <v>1782000</v>
          </cell>
          <cell r="M2452">
            <v>1687176.84</v>
          </cell>
        </row>
        <row r="2453">
          <cell r="A2453">
            <v>1812200432</v>
          </cell>
          <cell r="B2453">
            <v>432</v>
          </cell>
          <cell r="C2453">
            <v>812200</v>
          </cell>
          <cell r="D2453">
            <v>1</v>
          </cell>
          <cell r="F2453" t="str">
            <v xml:space="preserve">מים               </v>
          </cell>
          <cell r="G2453" t="str">
            <v>קשיח</v>
          </cell>
          <cell r="H2453">
            <v>-9.9999999999999978E-2</v>
          </cell>
          <cell r="I2453">
            <v>900000</v>
          </cell>
          <cell r="J2453">
            <v>1000000</v>
          </cell>
          <cell r="K2453">
            <v>346747.15</v>
          </cell>
          <cell r="L2453">
            <v>765000</v>
          </cell>
          <cell r="M2453">
            <v>764999.63</v>
          </cell>
        </row>
        <row r="2454">
          <cell r="A2454">
            <v>1812200433</v>
          </cell>
          <cell r="B2454">
            <v>433</v>
          </cell>
          <cell r="C2454">
            <v>812200</v>
          </cell>
          <cell r="D2454">
            <v>1</v>
          </cell>
          <cell r="F2454" t="str">
            <v xml:space="preserve">חומרי נקיון       </v>
          </cell>
          <cell r="G2454" t="str">
            <v>גמיש</v>
          </cell>
          <cell r="H2454">
            <v>-1</v>
          </cell>
          <cell r="I2454">
            <v>0</v>
          </cell>
          <cell r="J2454">
            <v>156330</v>
          </cell>
          <cell r="K2454">
            <v>156000</v>
          </cell>
          <cell r="L2454">
            <v>173700</v>
          </cell>
          <cell r="M2454">
            <v>173250</v>
          </cell>
        </row>
        <row r="2455">
          <cell r="A2455">
            <v>1812200434</v>
          </cell>
          <cell r="B2455">
            <v>434</v>
          </cell>
          <cell r="C2455">
            <v>812200</v>
          </cell>
          <cell r="D2455">
            <v>1</v>
          </cell>
          <cell r="F2455" t="str">
            <v xml:space="preserve">חיטוי והדברה      </v>
          </cell>
          <cell r="G2455" t="str">
            <v>גמיש</v>
          </cell>
          <cell r="H2455">
            <v>0.1934156378600822</v>
          </cell>
          <cell r="I2455">
            <v>29000</v>
          </cell>
          <cell r="J2455">
            <v>24300</v>
          </cell>
          <cell r="K2455">
            <v>13472.04</v>
          </cell>
          <cell r="L2455">
            <v>24300</v>
          </cell>
          <cell r="M2455">
            <v>25123.06</v>
          </cell>
        </row>
        <row r="2456">
          <cell r="A2456">
            <v>1812200437</v>
          </cell>
          <cell r="B2456">
            <v>437</v>
          </cell>
          <cell r="C2456">
            <v>812200</v>
          </cell>
          <cell r="D2456">
            <v>1</v>
          </cell>
          <cell r="F2456" t="str">
            <v xml:space="preserve">אחזקת אזעקה       </v>
          </cell>
          <cell r="G2456" t="str">
            <v>קשיח</v>
          </cell>
          <cell r="H2456">
            <v>0</v>
          </cell>
          <cell r="I2456">
            <v>22000</v>
          </cell>
          <cell r="J2456">
            <v>22000</v>
          </cell>
          <cell r="K2456">
            <v>2463.84</v>
          </cell>
          <cell r="L2456">
            <v>18900</v>
          </cell>
          <cell r="M2456">
            <v>5496.66</v>
          </cell>
        </row>
        <row r="2457">
          <cell r="A2457">
            <v>1812200471</v>
          </cell>
          <cell r="B2457">
            <v>471</v>
          </cell>
          <cell r="C2457">
            <v>812200</v>
          </cell>
          <cell r="D2457">
            <v>1</v>
          </cell>
          <cell r="F2457" t="str">
            <v>מכשרי כתיבה</v>
          </cell>
          <cell r="G2457" t="str">
            <v>גמיש</v>
          </cell>
          <cell r="H2457">
            <v>0</v>
          </cell>
          <cell r="I2457">
            <v>4590</v>
          </cell>
          <cell r="J2457">
            <v>4590</v>
          </cell>
          <cell r="K2457">
            <v>2812.99</v>
          </cell>
          <cell r="L2457">
            <v>5100</v>
          </cell>
          <cell r="M2457">
            <v>3741.32</v>
          </cell>
        </row>
        <row r="2458">
          <cell r="A2458">
            <v>1812200540</v>
          </cell>
          <cell r="B2458">
            <v>540</v>
          </cell>
          <cell r="C2458">
            <v>812200</v>
          </cell>
          <cell r="D2458">
            <v>1</v>
          </cell>
          <cell r="F2458" t="str">
            <v xml:space="preserve">הוצאות טלפון      </v>
          </cell>
          <cell r="G2458" t="str">
            <v>קשיח</v>
          </cell>
          <cell r="H2458">
            <v>0</v>
          </cell>
          <cell r="I2458">
            <v>132000</v>
          </cell>
          <cell r="J2458">
            <v>132000</v>
          </cell>
          <cell r="K2458">
            <v>132000</v>
          </cell>
          <cell r="L2458">
            <v>132000</v>
          </cell>
          <cell r="M2458">
            <v>131050</v>
          </cell>
        </row>
        <row r="2459">
          <cell r="A2459">
            <v>1812200544</v>
          </cell>
          <cell r="B2459">
            <v>544</v>
          </cell>
          <cell r="C2459">
            <v>812200</v>
          </cell>
          <cell r="D2459">
            <v>1</v>
          </cell>
          <cell r="F2459" t="str">
            <v xml:space="preserve">הוצאות דאר        </v>
          </cell>
          <cell r="G2459" t="str">
            <v>קשיח</v>
          </cell>
          <cell r="H2459">
            <v>0</v>
          </cell>
          <cell r="I2459">
            <v>4500</v>
          </cell>
          <cell r="J2459">
            <v>4500</v>
          </cell>
          <cell r="K2459">
            <v>0</v>
          </cell>
          <cell r="L2459">
            <v>4500</v>
          </cell>
          <cell r="M2459">
            <v>0</v>
          </cell>
        </row>
        <row r="2460">
          <cell r="A2460">
            <v>1812200562</v>
          </cell>
          <cell r="B2460">
            <v>562</v>
          </cell>
          <cell r="C2460">
            <v>812200</v>
          </cell>
          <cell r="D2460">
            <v>1</v>
          </cell>
          <cell r="F2460" t="str">
            <v>הדפסות לרישום גנים</v>
          </cell>
          <cell r="G2460" t="str">
            <v>גמיש</v>
          </cell>
          <cell r="H2460">
            <v>-0.13363656053714534</v>
          </cell>
          <cell r="I2460">
            <v>40000</v>
          </cell>
          <cell r="J2460">
            <v>46170</v>
          </cell>
          <cell r="K2460">
            <v>2101</v>
          </cell>
          <cell r="L2460">
            <v>51300</v>
          </cell>
          <cell r="M2460">
            <v>180.5</v>
          </cell>
        </row>
        <row r="2461">
          <cell r="A2461">
            <v>1812200563</v>
          </cell>
          <cell r="B2461">
            <v>563</v>
          </cell>
          <cell r="C2461">
            <v>812200</v>
          </cell>
          <cell r="D2461">
            <v>1</v>
          </cell>
          <cell r="F2461" t="str">
            <v xml:space="preserve">הדפסות  אוטומציה  </v>
          </cell>
          <cell r="G2461" t="str">
            <v>גמיש</v>
          </cell>
          <cell r="H2461">
            <v>0</v>
          </cell>
          <cell r="I2461">
            <v>333500</v>
          </cell>
          <cell r="J2461">
            <v>333500</v>
          </cell>
          <cell r="K2461">
            <v>156609.60000000001</v>
          </cell>
          <cell r="L2461">
            <v>333500</v>
          </cell>
          <cell r="M2461">
            <v>293300.05</v>
          </cell>
        </row>
        <row r="2462">
          <cell r="A2462">
            <v>1812200571</v>
          </cell>
          <cell r="B2462">
            <v>571</v>
          </cell>
          <cell r="C2462">
            <v>812200</v>
          </cell>
          <cell r="D2462">
            <v>1</v>
          </cell>
          <cell r="F2462" t="str">
            <v xml:space="preserve">מיכון וענ"א       </v>
          </cell>
          <cell r="G2462" t="str">
            <v>קשיח</v>
          </cell>
          <cell r="H2462">
            <v>0.81749049429657794</v>
          </cell>
          <cell r="I2462">
            <v>191200</v>
          </cell>
          <cell r="J2462">
            <v>105200</v>
          </cell>
          <cell r="K2462">
            <v>52600</v>
          </cell>
          <cell r="L2462">
            <v>97200</v>
          </cell>
          <cell r="M2462">
            <v>97200</v>
          </cell>
        </row>
        <row r="2463">
          <cell r="A2463">
            <v>1812200710</v>
          </cell>
          <cell r="B2463">
            <v>710</v>
          </cell>
          <cell r="C2463">
            <v>812200</v>
          </cell>
          <cell r="D2463">
            <v>1</v>
          </cell>
          <cell r="F2463" t="str">
            <v xml:space="preserve">הובלות  והסעות    </v>
          </cell>
          <cell r="G2463" t="str">
            <v>גמיש</v>
          </cell>
          <cell r="H2463">
            <v>0</v>
          </cell>
          <cell r="I2463">
            <v>51300</v>
          </cell>
          <cell r="J2463">
            <v>51300</v>
          </cell>
          <cell r="K2463">
            <v>19962.060000000001</v>
          </cell>
          <cell r="L2463">
            <v>51300</v>
          </cell>
          <cell r="M2463">
            <v>51300</v>
          </cell>
        </row>
        <row r="2464">
          <cell r="A2464">
            <v>1812200723</v>
          </cell>
          <cell r="B2464">
            <v>723</v>
          </cell>
          <cell r="C2464">
            <v>812200</v>
          </cell>
          <cell r="D2464">
            <v>1</v>
          </cell>
          <cell r="F2464" t="str">
            <v xml:space="preserve">חומרים לגנים      </v>
          </cell>
          <cell r="G2464" t="str">
            <v>גמיש</v>
          </cell>
          <cell r="H2464">
            <v>1.5173611111111112</v>
          </cell>
          <cell r="I2464">
            <v>1160000</v>
          </cell>
          <cell r="J2464">
            <v>460800</v>
          </cell>
          <cell r="K2464">
            <v>420000</v>
          </cell>
          <cell r="L2464">
            <v>460800</v>
          </cell>
          <cell r="M2464">
            <v>457800</v>
          </cell>
        </row>
        <row r="2465">
          <cell r="A2465">
            <v>1812200750</v>
          </cell>
          <cell r="B2465">
            <v>750</v>
          </cell>
          <cell r="C2465">
            <v>812200</v>
          </cell>
          <cell r="D2465">
            <v>1</v>
          </cell>
          <cell r="F2465" t="str">
            <v>אחזקת מוסדות</v>
          </cell>
          <cell r="G2465" t="str">
            <v>קשיח</v>
          </cell>
          <cell r="H2465">
            <v>5.9282958501929439E-3</v>
          </cell>
          <cell r="I2465">
            <v>5345000</v>
          </cell>
          <cell r="J2465">
            <v>5313500</v>
          </cell>
          <cell r="K2465">
            <v>3120808</v>
          </cell>
          <cell r="L2465">
            <v>4763000</v>
          </cell>
          <cell r="M2465">
            <v>4784619</v>
          </cell>
        </row>
        <row r="2466">
          <cell r="A2466">
            <v>1812200752</v>
          </cell>
          <cell r="B2466">
            <v>752</v>
          </cell>
          <cell r="C2466">
            <v>812200</v>
          </cell>
          <cell r="D2466">
            <v>1</v>
          </cell>
          <cell r="F2466" t="str">
            <v xml:space="preserve">נקיון בקבלנות     </v>
          </cell>
          <cell r="G2466" t="str">
            <v>קשיח</v>
          </cell>
          <cell r="H2466">
            <v>0.56007751937984507</v>
          </cell>
          <cell r="I2466">
            <v>80500</v>
          </cell>
          <cell r="J2466">
            <v>51600</v>
          </cell>
          <cell r="K2466">
            <v>61128.65</v>
          </cell>
          <cell r="L2466">
            <v>41800</v>
          </cell>
          <cell r="M2466">
            <v>50555.35</v>
          </cell>
        </row>
        <row r="2467">
          <cell r="A2467">
            <v>1812200754</v>
          </cell>
          <cell r="B2467">
            <v>754</v>
          </cell>
          <cell r="C2467">
            <v>812200</v>
          </cell>
          <cell r="D2467">
            <v>1</v>
          </cell>
          <cell r="F2467" t="str">
            <v>תוכנית תקשוב בגנ"י גוגלה</v>
          </cell>
          <cell r="G2467" t="str">
            <v>גמיש</v>
          </cell>
          <cell r="H2467">
            <v>0.11111111111111116</v>
          </cell>
          <cell r="I2467">
            <v>150000</v>
          </cell>
          <cell r="J2467">
            <v>135000</v>
          </cell>
          <cell r="K2467">
            <v>135000</v>
          </cell>
          <cell r="L2467">
            <v>0</v>
          </cell>
          <cell r="M2467">
            <v>0</v>
          </cell>
        </row>
        <row r="2468">
          <cell r="A2468">
            <v>1812200756</v>
          </cell>
          <cell r="B2468">
            <v>756</v>
          </cell>
          <cell r="C2468">
            <v>812200</v>
          </cell>
          <cell r="D2468">
            <v>1</v>
          </cell>
          <cell r="F2468" t="str">
            <v xml:space="preserve">שמירה וסדרנות     </v>
          </cell>
          <cell r="G2468" t="str">
            <v>קשיח</v>
          </cell>
          <cell r="H2468">
            <v>-1</v>
          </cell>
          <cell r="I2468">
            <v>0</v>
          </cell>
          <cell r="J2468">
            <v>50000</v>
          </cell>
          <cell r="K2468">
            <v>0</v>
          </cell>
          <cell r="L2468">
            <v>35000</v>
          </cell>
          <cell r="M2468">
            <v>0</v>
          </cell>
        </row>
        <row r="2469">
          <cell r="A2469">
            <v>1812200757</v>
          </cell>
          <cell r="B2469">
            <v>757</v>
          </cell>
          <cell r="C2469">
            <v>812200</v>
          </cell>
          <cell r="D2469">
            <v>1</v>
          </cell>
          <cell r="F2469" t="str">
            <v>ע' לגננות+משלימות</v>
          </cell>
          <cell r="G2469" t="str">
            <v>גמיש</v>
          </cell>
          <cell r="H2469">
            <v>4.3958209505525758E-3</v>
          </cell>
          <cell r="I2469">
            <v>63200000</v>
          </cell>
          <cell r="J2469">
            <v>62923400</v>
          </cell>
          <cell r="K2469">
            <v>30251556.690000001</v>
          </cell>
          <cell r="L2469">
            <v>61582600</v>
          </cell>
          <cell r="M2469">
            <v>57779369.590000004</v>
          </cell>
        </row>
        <row r="2470">
          <cell r="A2470">
            <v>1812200758</v>
          </cell>
          <cell r="B2470">
            <v>758</v>
          </cell>
          <cell r="C2470">
            <v>812200</v>
          </cell>
          <cell r="D2470">
            <v>1</v>
          </cell>
          <cell r="F2470" t="str">
            <v>תחזוקת מתקני חצר</v>
          </cell>
          <cell r="G2470" t="str">
            <v>קשיח</v>
          </cell>
          <cell r="H2470">
            <v>1.3333333333333419E-2</v>
          </cell>
          <cell r="I2470">
            <v>760000</v>
          </cell>
          <cell r="J2470">
            <v>750000</v>
          </cell>
          <cell r="K2470">
            <v>247134.48</v>
          </cell>
          <cell r="L2470">
            <v>0</v>
          </cell>
          <cell r="M2470">
            <v>0</v>
          </cell>
        </row>
        <row r="2471">
          <cell r="A2471">
            <v>1812200759</v>
          </cell>
          <cell r="B2471">
            <v>759</v>
          </cell>
          <cell r="C2471">
            <v>812200</v>
          </cell>
          <cell r="D2471">
            <v>1</v>
          </cell>
          <cell r="F2471" t="str">
            <v>שרותי סייעות</v>
          </cell>
          <cell r="G2471" t="str">
            <v>שכר</v>
          </cell>
          <cell r="H2471">
            <v>4.7194875209277454E-2</v>
          </cell>
          <cell r="I2471">
            <v>32400000</v>
          </cell>
          <cell r="J2471">
            <v>30939800</v>
          </cell>
          <cell r="K2471">
            <v>19568087.899999999</v>
          </cell>
          <cell r="L2471">
            <v>25357700</v>
          </cell>
          <cell r="M2471">
            <v>31711082.23</v>
          </cell>
        </row>
        <row r="2472">
          <cell r="A2472">
            <v>1812200760</v>
          </cell>
          <cell r="B2472">
            <v>760</v>
          </cell>
          <cell r="C2472">
            <v>812200</v>
          </cell>
          <cell r="D2472">
            <v>1</v>
          </cell>
          <cell r="F2472" t="str">
            <v>תגבור סייעות גני ילדים</v>
          </cell>
          <cell r="G2472" t="str">
            <v>גמיש</v>
          </cell>
          <cell r="H2472" t="e">
            <v>#DIV/0!</v>
          </cell>
          <cell r="I2472">
            <v>700000</v>
          </cell>
          <cell r="J2472">
            <v>0</v>
          </cell>
          <cell r="K2472">
            <v>0</v>
          </cell>
          <cell r="L2472">
            <v>0</v>
          </cell>
          <cell r="M2472">
            <v>0</v>
          </cell>
        </row>
        <row r="2473">
          <cell r="A2473">
            <v>1812200761</v>
          </cell>
          <cell r="B2473">
            <v>761</v>
          </cell>
          <cell r="C2473">
            <v>812200</v>
          </cell>
          <cell r="D2473">
            <v>1</v>
          </cell>
          <cell r="F2473" t="str">
            <v xml:space="preserve">משכורות לגננות    </v>
          </cell>
          <cell r="G2473" t="str">
            <v>שכר</v>
          </cell>
          <cell r="H2473">
            <v>4.6984028531555255E-2</v>
          </cell>
          <cell r="I2473">
            <v>47264000</v>
          </cell>
          <cell r="J2473">
            <v>45143000</v>
          </cell>
          <cell r="K2473">
            <v>27086358.41</v>
          </cell>
          <cell r="L2473">
            <v>29185400</v>
          </cell>
          <cell r="M2473">
            <v>44620988.32</v>
          </cell>
        </row>
        <row r="2474">
          <cell r="A2474">
            <v>1812200781</v>
          </cell>
          <cell r="B2474">
            <v>781</v>
          </cell>
          <cell r="C2474">
            <v>812200</v>
          </cell>
          <cell r="D2474">
            <v>1</v>
          </cell>
          <cell r="F2474" t="str">
            <v xml:space="preserve">ארועים            </v>
          </cell>
          <cell r="G2474" t="str">
            <v>קשיח</v>
          </cell>
          <cell r="H2474">
            <v>0</v>
          </cell>
          <cell r="I2474">
            <v>505400</v>
          </cell>
          <cell r="J2474">
            <v>505400</v>
          </cell>
          <cell r="K2474">
            <v>285270</v>
          </cell>
          <cell r="L2474">
            <v>490300</v>
          </cell>
          <cell r="M2474">
            <v>372652.58</v>
          </cell>
        </row>
        <row r="2475">
          <cell r="A2475">
            <v>1812200784</v>
          </cell>
          <cell r="B2475">
            <v>784</v>
          </cell>
          <cell r="C2475">
            <v>812200</v>
          </cell>
          <cell r="D2475">
            <v>1</v>
          </cell>
          <cell r="F2475" t="str">
            <v>שחמט בגנ"י בג'סי כהן ובת"ג</v>
          </cell>
          <cell r="G2475" t="str">
            <v>גמיש</v>
          </cell>
          <cell r="H2475">
            <v>0</v>
          </cell>
          <cell r="I2475">
            <v>359100</v>
          </cell>
          <cell r="J2475">
            <v>359100</v>
          </cell>
          <cell r="K2475">
            <v>162750</v>
          </cell>
          <cell r="L2475">
            <v>399000</v>
          </cell>
          <cell r="M2475">
            <v>355080</v>
          </cell>
        </row>
        <row r="2476">
          <cell r="A2476">
            <v>1812200785</v>
          </cell>
          <cell r="B2476">
            <v>785</v>
          </cell>
          <cell r="C2476">
            <v>812200</v>
          </cell>
          <cell r="D2476">
            <v>1</v>
          </cell>
          <cell r="F2476" t="str">
            <v>תכנית פאזל</v>
          </cell>
          <cell r="G2476" t="str">
            <v>גמיש</v>
          </cell>
          <cell r="I2476">
            <v>0</v>
          </cell>
          <cell r="J2476">
            <v>0</v>
          </cell>
          <cell r="K2476">
            <v>0</v>
          </cell>
          <cell r="L2476">
            <v>90000</v>
          </cell>
          <cell r="M2476">
            <v>0</v>
          </cell>
        </row>
        <row r="2477">
          <cell r="A2477">
            <v>1812200786</v>
          </cell>
          <cell r="B2477">
            <v>786</v>
          </cell>
          <cell r="C2477">
            <v>812200</v>
          </cell>
          <cell r="D2477">
            <v>1</v>
          </cell>
          <cell r="F2477" t="str">
            <v>מחלקת לידה עד 3</v>
          </cell>
          <cell r="G2477" t="str">
            <v>גמיש</v>
          </cell>
          <cell r="I2477">
            <v>170000</v>
          </cell>
          <cell r="J2477">
            <v>0</v>
          </cell>
          <cell r="K2477">
            <v>0</v>
          </cell>
          <cell r="L2477">
            <v>0</v>
          </cell>
          <cell r="M2477">
            <v>0</v>
          </cell>
        </row>
        <row r="2478">
          <cell r="A2478">
            <v>1812200794</v>
          </cell>
          <cell r="B2478">
            <v>794</v>
          </cell>
          <cell r="C2478">
            <v>812200</v>
          </cell>
          <cell r="D2478">
            <v>1</v>
          </cell>
          <cell r="F2478" t="str">
            <v xml:space="preserve">השתתפות בעזר 094  </v>
          </cell>
          <cell r="G2478" t="str">
            <v>קשיח</v>
          </cell>
          <cell r="H2478">
            <v>0</v>
          </cell>
          <cell r="I2478">
            <v>168100</v>
          </cell>
          <cell r="J2478">
            <v>168100</v>
          </cell>
          <cell r="K2478">
            <v>79413</v>
          </cell>
          <cell r="L2478">
            <v>151600</v>
          </cell>
          <cell r="M2478">
            <v>180815</v>
          </cell>
        </row>
        <row r="2479">
          <cell r="A2479">
            <v>1812200931</v>
          </cell>
          <cell r="B2479">
            <v>931</v>
          </cell>
          <cell r="C2479">
            <v>812200</v>
          </cell>
          <cell r="D2479">
            <v>1</v>
          </cell>
          <cell r="F2479" t="str">
            <v>רכ' כנגד מש' חינוך</v>
          </cell>
          <cell r="G2479" t="str">
            <v>קשיח</v>
          </cell>
          <cell r="H2479">
            <v>-1</v>
          </cell>
          <cell r="I2479">
            <v>0</v>
          </cell>
          <cell r="J2479">
            <v>25000</v>
          </cell>
          <cell r="K2479">
            <v>0</v>
          </cell>
          <cell r="L2479">
            <v>25000</v>
          </cell>
          <cell r="M2479">
            <v>0</v>
          </cell>
        </row>
        <row r="2480">
          <cell r="A2480">
            <v>1812200932</v>
          </cell>
          <cell r="B2480">
            <v>932</v>
          </cell>
          <cell r="C2480">
            <v>812200</v>
          </cell>
          <cell r="D2480">
            <v>1</v>
          </cell>
          <cell r="F2480" t="str">
            <v>העשרת הסביבה (מהמשרד)</v>
          </cell>
          <cell r="G2480" t="str">
            <v>קשיח</v>
          </cell>
          <cell r="H2480">
            <v>0</v>
          </cell>
          <cell r="I2480">
            <v>133000</v>
          </cell>
          <cell r="J2480">
            <v>133000</v>
          </cell>
          <cell r="K2480">
            <v>0</v>
          </cell>
          <cell r="L2480">
            <v>142000</v>
          </cell>
          <cell r="M2480">
            <v>226.1</v>
          </cell>
        </row>
        <row r="2481">
          <cell r="A2481">
            <v>1812200944</v>
          </cell>
          <cell r="B2481">
            <v>944</v>
          </cell>
          <cell r="C2481">
            <v>812200</v>
          </cell>
          <cell r="D2481">
            <v>1</v>
          </cell>
          <cell r="F2481" t="str">
            <v>מעונות יום ממונה+ הדרכה</v>
          </cell>
          <cell r="G2481" t="str">
            <v>קשיח</v>
          </cell>
          <cell r="H2481">
            <v>2.7190332326284095E-2</v>
          </cell>
          <cell r="I2481">
            <v>1598000</v>
          </cell>
          <cell r="J2481">
            <v>1555700</v>
          </cell>
          <cell r="K2481">
            <v>537116.52</v>
          </cell>
          <cell r="L2481">
            <v>0</v>
          </cell>
          <cell r="M2481">
            <v>0</v>
          </cell>
        </row>
        <row r="2482">
          <cell r="A2482" t="e">
            <v>#VALUE!</v>
          </cell>
          <cell r="B2482" t="str">
            <v>812200  סך הכל</v>
          </cell>
          <cell r="F2482" t="str">
            <v xml:space="preserve">גני ילדים         </v>
          </cell>
          <cell r="H2482">
            <v>3.488503119016384E-2</v>
          </cell>
          <cell r="I2482">
            <v>158030659.5</v>
          </cell>
          <cell r="J2482">
            <v>152703590</v>
          </cell>
          <cell r="K2482">
            <v>83785784.729999989</v>
          </cell>
          <cell r="L2482">
            <v>126725500</v>
          </cell>
          <cell r="M2482">
            <v>143999050.30000001</v>
          </cell>
        </row>
        <row r="2483">
          <cell r="A2483">
            <v>18122100</v>
          </cell>
          <cell r="B2483">
            <v>0</v>
          </cell>
          <cell r="C2483">
            <v>812210</v>
          </cell>
          <cell r="D2483">
            <v>1</v>
          </cell>
          <cell r="F2483" t="str">
            <v>גנ"י - חינוך מיוחד</v>
          </cell>
          <cell r="G2483" t="str">
            <v xml:space="preserve"> </v>
          </cell>
        </row>
        <row r="2484">
          <cell r="A2484">
            <v>1812210110</v>
          </cell>
          <cell r="B2484">
            <v>110</v>
          </cell>
          <cell r="C2484">
            <v>812210</v>
          </cell>
          <cell r="D2484">
            <v>1</v>
          </cell>
          <cell r="F2484" t="str">
            <v>השכר הקובע-תקציבית</v>
          </cell>
          <cell r="G2484" t="str">
            <v>שכר</v>
          </cell>
          <cell r="I2484">
            <v>16499.5</v>
          </cell>
          <cell r="J2484">
            <v>0</v>
          </cell>
          <cell r="K2484">
            <v>0</v>
          </cell>
          <cell r="L2484">
            <v>0</v>
          </cell>
          <cell r="M2484">
            <v>0</v>
          </cell>
        </row>
        <row r="2485">
          <cell r="A2485">
            <v>1812210119</v>
          </cell>
          <cell r="B2485">
            <v>119</v>
          </cell>
          <cell r="C2485">
            <v>812210</v>
          </cell>
          <cell r="D2485">
            <v>1</v>
          </cell>
          <cell r="F2485" t="str">
            <v xml:space="preserve">השכר הקובע-צוברת  </v>
          </cell>
          <cell r="G2485" t="str">
            <v>שכר</v>
          </cell>
          <cell r="I2485">
            <v>51249.999999999993</v>
          </cell>
          <cell r="J2485">
            <v>0</v>
          </cell>
          <cell r="K2485">
            <v>0</v>
          </cell>
          <cell r="L2485">
            <v>0</v>
          </cell>
          <cell r="M2485">
            <v>0</v>
          </cell>
        </row>
        <row r="2486">
          <cell r="A2486">
            <v>1812210122</v>
          </cell>
          <cell r="B2486">
            <v>122</v>
          </cell>
          <cell r="C2486">
            <v>812210</v>
          </cell>
          <cell r="D2486">
            <v>1</v>
          </cell>
          <cell r="F2486" t="str">
            <v xml:space="preserve">ביגוד             </v>
          </cell>
          <cell r="G2486" t="str">
            <v>שכר</v>
          </cell>
          <cell r="I2486">
            <v>3000</v>
          </cell>
          <cell r="J2486">
            <v>0</v>
          </cell>
          <cell r="K2486">
            <v>0</v>
          </cell>
          <cell r="L2486">
            <v>3000</v>
          </cell>
          <cell r="M2486">
            <v>0</v>
          </cell>
        </row>
        <row r="2487">
          <cell r="A2487">
            <v>1812210420</v>
          </cell>
          <cell r="B2487">
            <v>420</v>
          </cell>
          <cell r="C2487">
            <v>812210</v>
          </cell>
          <cell r="D2487">
            <v>1</v>
          </cell>
          <cell r="F2487" t="str">
            <v xml:space="preserve">כיבוי אש          </v>
          </cell>
          <cell r="G2487" t="str">
            <v>קשיח</v>
          </cell>
          <cell r="H2487">
            <v>0</v>
          </cell>
          <cell r="I2487">
            <v>2700</v>
          </cell>
          <cell r="J2487">
            <v>2700</v>
          </cell>
          <cell r="K2487">
            <v>715.85</v>
          </cell>
          <cell r="L2487">
            <v>3000</v>
          </cell>
          <cell r="M2487">
            <v>554.72</v>
          </cell>
        </row>
        <row r="2488">
          <cell r="A2488">
            <v>1812210433</v>
          </cell>
          <cell r="B2488">
            <v>433</v>
          </cell>
          <cell r="C2488">
            <v>812210</v>
          </cell>
          <cell r="D2488">
            <v>1</v>
          </cell>
          <cell r="F2488" t="str">
            <v xml:space="preserve">חומרי ניקיון      </v>
          </cell>
          <cell r="G2488" t="str">
            <v>גמיש</v>
          </cell>
          <cell r="H2488">
            <v>-1</v>
          </cell>
          <cell r="I2488">
            <v>0</v>
          </cell>
          <cell r="J2488">
            <v>22500</v>
          </cell>
          <cell r="K2488">
            <v>22500</v>
          </cell>
          <cell r="L2488">
            <v>22500</v>
          </cell>
          <cell r="M2488">
            <v>22500</v>
          </cell>
        </row>
        <row r="2489">
          <cell r="A2489">
            <v>1812210434</v>
          </cell>
          <cell r="B2489">
            <v>434</v>
          </cell>
          <cell r="C2489">
            <v>812210</v>
          </cell>
          <cell r="D2489">
            <v>1</v>
          </cell>
          <cell r="F2489" t="str">
            <v xml:space="preserve">חיטוי והדברה      </v>
          </cell>
          <cell r="G2489" t="str">
            <v>גמיש</v>
          </cell>
          <cell r="H2489">
            <v>0.11111111111111116</v>
          </cell>
          <cell r="I2489">
            <v>1800</v>
          </cell>
          <cell r="J2489">
            <v>1620</v>
          </cell>
          <cell r="K2489">
            <v>0</v>
          </cell>
          <cell r="L2489">
            <v>1800</v>
          </cell>
          <cell r="M2489">
            <v>1708.8</v>
          </cell>
        </row>
        <row r="2490">
          <cell r="A2490">
            <v>1812210540</v>
          </cell>
          <cell r="B2490">
            <v>540</v>
          </cell>
          <cell r="C2490">
            <v>812210</v>
          </cell>
          <cell r="D2490">
            <v>1</v>
          </cell>
          <cell r="F2490" t="str">
            <v xml:space="preserve">הוצאות טלפון      </v>
          </cell>
          <cell r="G2490" t="str">
            <v>קשיח</v>
          </cell>
          <cell r="H2490">
            <v>0</v>
          </cell>
          <cell r="I2490">
            <v>20000</v>
          </cell>
          <cell r="J2490">
            <v>20000</v>
          </cell>
          <cell r="K2490">
            <v>19500</v>
          </cell>
          <cell r="L2490">
            <v>20000</v>
          </cell>
          <cell r="M2490">
            <v>19900</v>
          </cell>
        </row>
        <row r="2491">
          <cell r="A2491">
            <v>1812210723</v>
          </cell>
          <cell r="B2491">
            <v>723</v>
          </cell>
          <cell r="C2491">
            <v>812210</v>
          </cell>
          <cell r="D2491">
            <v>1</v>
          </cell>
          <cell r="F2491" t="str">
            <v xml:space="preserve">חומרים לגנים      </v>
          </cell>
          <cell r="G2491" t="str">
            <v>גמיש</v>
          </cell>
          <cell r="H2491">
            <v>2.2129629629629628</v>
          </cell>
          <cell r="I2491">
            <v>347000</v>
          </cell>
          <cell r="J2491">
            <v>108000</v>
          </cell>
          <cell r="K2491">
            <v>102900</v>
          </cell>
          <cell r="L2491">
            <v>103500</v>
          </cell>
          <cell r="M2491">
            <v>103300</v>
          </cell>
        </row>
        <row r="2492">
          <cell r="A2492">
            <v>1812210750</v>
          </cell>
          <cell r="B2492">
            <v>750</v>
          </cell>
          <cell r="C2492">
            <v>812210</v>
          </cell>
          <cell r="D2492">
            <v>1</v>
          </cell>
          <cell r="F2492" t="str">
            <v>אחזקת מוסדות</v>
          </cell>
          <cell r="G2492" t="str">
            <v>קשיח</v>
          </cell>
          <cell r="H2492">
            <v>9.1375440846426237E-3</v>
          </cell>
          <cell r="I2492">
            <v>1259000</v>
          </cell>
          <cell r="J2492">
            <v>1247600</v>
          </cell>
          <cell r="K2492">
            <v>734309</v>
          </cell>
          <cell r="L2492">
            <v>0</v>
          </cell>
          <cell r="M2492">
            <v>0</v>
          </cell>
        </row>
        <row r="2493">
          <cell r="A2493">
            <v>1812210757</v>
          </cell>
          <cell r="B2493">
            <v>757</v>
          </cell>
          <cell r="C2493">
            <v>812210</v>
          </cell>
          <cell r="D2493">
            <v>1</v>
          </cell>
          <cell r="F2493" t="str">
            <v>ע' לגננות+משלימות</v>
          </cell>
          <cell r="G2493" t="str">
            <v>גמיש</v>
          </cell>
          <cell r="H2493">
            <v>0</v>
          </cell>
          <cell r="I2493">
            <v>9211500</v>
          </cell>
          <cell r="J2493">
            <v>9211500</v>
          </cell>
          <cell r="K2493">
            <v>4381934.2</v>
          </cell>
          <cell r="L2493">
            <v>9067700</v>
          </cell>
          <cell r="M2493">
            <v>8309893.9199999999</v>
          </cell>
        </row>
        <row r="2494">
          <cell r="A2494">
            <v>1812210759</v>
          </cell>
          <cell r="B2494">
            <v>759</v>
          </cell>
          <cell r="C2494">
            <v>812210</v>
          </cell>
          <cell r="D2494">
            <v>1</v>
          </cell>
          <cell r="F2494" t="str">
            <v>שרותי סייעות</v>
          </cell>
          <cell r="G2494" t="str">
            <v>שכר</v>
          </cell>
          <cell r="H2494">
            <v>7.2795374969464977E-2</v>
          </cell>
          <cell r="I2494">
            <v>7905000</v>
          </cell>
          <cell r="J2494">
            <v>7368600</v>
          </cell>
          <cell r="K2494">
            <v>5075822</v>
          </cell>
          <cell r="L2494">
            <v>6643300</v>
          </cell>
          <cell r="M2494">
            <v>8216749.5499999998</v>
          </cell>
        </row>
        <row r="2495">
          <cell r="A2495">
            <v>1812210760</v>
          </cell>
          <cell r="B2495">
            <v>760</v>
          </cell>
          <cell r="C2495">
            <v>812210</v>
          </cell>
          <cell r="D2495">
            <v>1</v>
          </cell>
          <cell r="F2495" t="str">
            <v>תגבור סייעות חנ"מ גנ"י</v>
          </cell>
          <cell r="G2495" t="str">
            <v>גמיש</v>
          </cell>
          <cell r="H2495" t="e">
            <v>#DIV/0!</v>
          </cell>
          <cell r="I2495">
            <v>200000</v>
          </cell>
          <cell r="J2495">
            <v>0</v>
          </cell>
          <cell r="K2495">
            <v>0</v>
          </cell>
          <cell r="L2495">
            <v>0</v>
          </cell>
          <cell r="M2495">
            <v>0</v>
          </cell>
        </row>
        <row r="2496">
          <cell r="A2496">
            <v>1812210782</v>
          </cell>
          <cell r="B2496">
            <v>782</v>
          </cell>
          <cell r="C2496">
            <v>812210</v>
          </cell>
          <cell r="D2496">
            <v>1</v>
          </cell>
          <cell r="F2496" t="str">
            <v xml:space="preserve">השתתפות בהזנה     </v>
          </cell>
          <cell r="G2496" t="str">
            <v>קשיח</v>
          </cell>
          <cell r="H2496">
            <v>0.26991150442477885</v>
          </cell>
          <cell r="I2496">
            <v>1148000</v>
          </cell>
          <cell r="J2496">
            <v>904000</v>
          </cell>
          <cell r="K2496">
            <v>722890.08</v>
          </cell>
          <cell r="L2496">
            <v>807500</v>
          </cell>
          <cell r="M2496">
            <v>978381.88</v>
          </cell>
        </row>
        <row r="2497">
          <cell r="A2497">
            <v>1812210931</v>
          </cell>
          <cell r="B2497">
            <v>931</v>
          </cell>
          <cell r="C2497">
            <v>812210</v>
          </cell>
          <cell r="D2497">
            <v>1</v>
          </cell>
          <cell r="F2497" t="str">
            <v>רכ' כנגד מש' חינוך</v>
          </cell>
          <cell r="G2497" t="str">
            <v>קשיח</v>
          </cell>
          <cell r="H2497">
            <v>0.33333333333333326</v>
          </cell>
          <cell r="I2497">
            <v>40000</v>
          </cell>
          <cell r="J2497">
            <v>30000</v>
          </cell>
          <cell r="K2497">
            <v>700</v>
          </cell>
          <cell r="L2497">
            <v>30000</v>
          </cell>
          <cell r="M2497">
            <v>37717</v>
          </cell>
        </row>
        <row r="2498">
          <cell r="A2498">
            <v>1812210934</v>
          </cell>
          <cell r="B2498">
            <v>934</v>
          </cell>
          <cell r="C2498">
            <v>812210</v>
          </cell>
          <cell r="D2498">
            <v>1</v>
          </cell>
          <cell r="F2498" t="str">
            <v xml:space="preserve">חומרים-ח"מ חופשות </v>
          </cell>
          <cell r="G2498" t="str">
            <v>קשיח</v>
          </cell>
          <cell r="H2498">
            <v>0.19232685600398614</v>
          </cell>
          <cell r="I2498">
            <v>239300</v>
          </cell>
          <cell r="J2498">
            <v>200700</v>
          </cell>
          <cell r="K2498">
            <v>201905.5</v>
          </cell>
          <cell r="L2498">
            <v>200700</v>
          </cell>
          <cell r="M2498">
            <v>217869.8</v>
          </cell>
        </row>
        <row r="2499">
          <cell r="A2499" t="e">
            <v>#VALUE!</v>
          </cell>
          <cell r="B2499" t="str">
            <v>812210  סך הכל</v>
          </cell>
          <cell r="F2499" t="str">
            <v>גנ"י - חינוך מיוחד</v>
          </cell>
          <cell r="H2499">
            <v>6.9457248491150869E-2</v>
          </cell>
          <cell r="I2499">
            <v>20445049.5</v>
          </cell>
          <cell r="J2499">
            <v>19117220</v>
          </cell>
          <cell r="K2499">
            <v>11263176.630000001</v>
          </cell>
          <cell r="L2499">
            <v>16903000</v>
          </cell>
          <cell r="M2499">
            <v>17908575.669999998</v>
          </cell>
        </row>
        <row r="2500">
          <cell r="A2500">
            <v>18123000</v>
          </cell>
          <cell r="B2500">
            <v>0</v>
          </cell>
          <cell r="C2500">
            <v>812300</v>
          </cell>
          <cell r="D2500">
            <v>1</v>
          </cell>
          <cell r="F2500" t="str">
            <v xml:space="preserve">יוזמות גני ילדים  </v>
          </cell>
          <cell r="G2500" t="str">
            <v xml:space="preserve"> </v>
          </cell>
        </row>
        <row r="2501">
          <cell r="A2501">
            <v>1812300784</v>
          </cell>
          <cell r="B2501">
            <v>784</v>
          </cell>
          <cell r="C2501">
            <v>812300</v>
          </cell>
          <cell r="D2501">
            <v>1</v>
          </cell>
          <cell r="F2501" t="str">
            <v>מעטפ"ת</v>
          </cell>
          <cell r="G2501" t="str">
            <v>קשיח</v>
          </cell>
          <cell r="H2501">
            <v>5.7350702080866123E-2</v>
          </cell>
          <cell r="I2501">
            <v>1250000</v>
          </cell>
          <cell r="J2501">
            <v>1182200</v>
          </cell>
          <cell r="K2501">
            <v>662162</v>
          </cell>
          <cell r="L2501">
            <v>1182200</v>
          </cell>
          <cell r="M2501">
            <v>1167698</v>
          </cell>
        </row>
        <row r="2502">
          <cell r="A2502" t="e">
            <v>#VALUE!</v>
          </cell>
          <cell r="B2502" t="str">
            <v>812300  סך הכל</v>
          </cell>
          <cell r="F2502" t="str">
            <v xml:space="preserve">יוזמות גני ילדים  </v>
          </cell>
          <cell r="H2502">
            <v>5.7350702080866123E-2</v>
          </cell>
          <cell r="I2502">
            <v>1250000</v>
          </cell>
          <cell r="J2502">
            <v>1182200</v>
          </cell>
          <cell r="K2502">
            <v>662162</v>
          </cell>
          <cell r="L2502">
            <v>1182200</v>
          </cell>
          <cell r="M2502">
            <v>1167698</v>
          </cell>
        </row>
        <row r="2503">
          <cell r="A2503">
            <v>18123100</v>
          </cell>
          <cell r="B2503">
            <v>0</v>
          </cell>
          <cell r="C2503">
            <v>812310</v>
          </cell>
          <cell r="D2503">
            <v>1</v>
          </cell>
          <cell r="F2503" t="str">
            <v xml:space="preserve">מרפ"ד הרצוג       </v>
          </cell>
          <cell r="G2503" t="str">
            <v xml:space="preserve"> </v>
          </cell>
        </row>
        <row r="2504">
          <cell r="A2504">
            <v>1812310110</v>
          </cell>
          <cell r="B2504">
            <v>110</v>
          </cell>
          <cell r="C2504">
            <v>812310</v>
          </cell>
          <cell r="D2504">
            <v>1</v>
          </cell>
          <cell r="F2504" t="str">
            <v>השכר הקובע-תקציבית</v>
          </cell>
          <cell r="G2504" t="str">
            <v>שכר</v>
          </cell>
          <cell r="H2504">
            <v>2.5053763440860077E-2</v>
          </cell>
          <cell r="I2504">
            <v>95329.999999999985</v>
          </cell>
          <cell r="J2504">
            <v>93000</v>
          </cell>
          <cell r="K2504">
            <v>50956.41</v>
          </cell>
          <cell r="L2504">
            <v>72100</v>
          </cell>
          <cell r="M2504">
            <v>85544.89</v>
          </cell>
        </row>
        <row r="2505">
          <cell r="A2505">
            <v>1812310119</v>
          </cell>
          <cell r="B2505">
            <v>119</v>
          </cell>
          <cell r="C2505">
            <v>812310</v>
          </cell>
          <cell r="D2505">
            <v>1</v>
          </cell>
          <cell r="F2505" t="str">
            <v xml:space="preserve">השכר הקובע-צוברת  </v>
          </cell>
          <cell r="G2505" t="str">
            <v>שכר</v>
          </cell>
          <cell r="H2505">
            <v>2.5021574973031147E-2</v>
          </cell>
          <cell r="I2505">
            <v>95019.499999999985</v>
          </cell>
          <cell r="J2505">
            <v>92700</v>
          </cell>
          <cell r="K2505">
            <v>45034.09</v>
          </cell>
          <cell r="L2505">
            <v>90900</v>
          </cell>
          <cell r="M2505">
            <v>87425.13</v>
          </cell>
        </row>
        <row r="2506">
          <cell r="A2506">
            <v>1812310122</v>
          </cell>
          <cell r="B2506">
            <v>122</v>
          </cell>
          <cell r="C2506">
            <v>812310</v>
          </cell>
          <cell r="D2506">
            <v>1</v>
          </cell>
          <cell r="F2506" t="str">
            <v xml:space="preserve">ביגוד             </v>
          </cell>
          <cell r="G2506" t="str">
            <v>שכר</v>
          </cell>
          <cell r="H2506">
            <v>0</v>
          </cell>
          <cell r="I2506">
            <v>2500</v>
          </cell>
          <cell r="J2506">
            <v>2500</v>
          </cell>
          <cell r="K2506">
            <v>2775.47</v>
          </cell>
          <cell r="L2506">
            <v>2500</v>
          </cell>
          <cell r="M2506">
            <v>2390.8200000000002</v>
          </cell>
        </row>
        <row r="2507">
          <cell r="A2507">
            <v>1812310126</v>
          </cell>
          <cell r="B2507">
            <v>126</v>
          </cell>
          <cell r="C2507">
            <v>812310</v>
          </cell>
          <cell r="D2507">
            <v>1</v>
          </cell>
          <cell r="F2507" t="str">
            <v xml:space="preserve">דמי הבראה         </v>
          </cell>
          <cell r="G2507" t="str">
            <v>שכר</v>
          </cell>
          <cell r="H2507">
            <v>0</v>
          </cell>
          <cell r="I2507">
            <v>7200</v>
          </cell>
          <cell r="J2507">
            <v>7200</v>
          </cell>
          <cell r="K2507">
            <v>7975.54</v>
          </cell>
          <cell r="L2507">
            <v>9400</v>
          </cell>
          <cell r="M2507">
            <v>6850.38</v>
          </cell>
        </row>
        <row r="2508">
          <cell r="A2508">
            <v>1812310781</v>
          </cell>
          <cell r="B2508">
            <v>781</v>
          </cell>
          <cell r="C2508">
            <v>812310</v>
          </cell>
          <cell r="D2508">
            <v>1</v>
          </cell>
          <cell r="F2508" t="str">
            <v xml:space="preserve">פעולות            </v>
          </cell>
          <cell r="G2508" t="str">
            <v>קשיח</v>
          </cell>
          <cell r="H2508">
            <v>0</v>
          </cell>
          <cell r="I2508">
            <v>34200</v>
          </cell>
          <cell r="J2508">
            <v>34200</v>
          </cell>
          <cell r="K2508">
            <v>25650</v>
          </cell>
          <cell r="L2508">
            <v>34200</v>
          </cell>
          <cell r="M2508">
            <v>34200</v>
          </cell>
        </row>
        <row r="2509">
          <cell r="A2509" t="e">
            <v>#VALUE!</v>
          </cell>
          <cell r="B2509" t="str">
            <v>812310  סך הכל</v>
          </cell>
          <cell r="F2509" t="str">
            <v xml:space="preserve">מרפ"ד הרצוג       </v>
          </cell>
          <cell r="H2509">
            <v>2.0250435540069667E-2</v>
          </cell>
          <cell r="I2509">
            <v>234249.49999999997</v>
          </cell>
          <cell r="J2509">
            <v>229600</v>
          </cell>
          <cell r="K2509">
            <v>132391.51</v>
          </cell>
          <cell r="L2509">
            <v>209100</v>
          </cell>
          <cell r="M2509">
            <v>216411.22000000003</v>
          </cell>
        </row>
        <row r="2510">
          <cell r="A2510">
            <v>18123300</v>
          </cell>
          <cell r="B2510">
            <v>0</v>
          </cell>
          <cell r="C2510">
            <v>812330</v>
          </cell>
          <cell r="D2510">
            <v>1</v>
          </cell>
          <cell r="F2510" t="str">
            <v>גובה עינים-אוסישקין</v>
          </cell>
          <cell r="G2510" t="str">
            <v xml:space="preserve"> </v>
          </cell>
        </row>
        <row r="2511">
          <cell r="A2511">
            <v>1812330872</v>
          </cell>
          <cell r="B2511">
            <v>872</v>
          </cell>
          <cell r="C2511">
            <v>812330</v>
          </cell>
          <cell r="D2511">
            <v>1</v>
          </cell>
          <cell r="F2511" t="str">
            <v xml:space="preserve">בגובה העיניים ( הורים )    </v>
          </cell>
          <cell r="G2511" t="str">
            <v>קשיח</v>
          </cell>
          <cell r="H2511">
            <v>-0.4</v>
          </cell>
          <cell r="I2511">
            <v>150000</v>
          </cell>
          <cell r="J2511">
            <v>250000</v>
          </cell>
          <cell r="K2511">
            <v>40396.879999999997</v>
          </cell>
          <cell r="L2511">
            <v>250000</v>
          </cell>
          <cell r="M2511">
            <v>109763.17</v>
          </cell>
        </row>
        <row r="2512">
          <cell r="A2512" t="e">
            <v>#VALUE!</v>
          </cell>
          <cell r="B2512" t="str">
            <v>812330  סך הכל</v>
          </cell>
          <cell r="F2512" t="str">
            <v>גובה עינים-אוסישקין</v>
          </cell>
          <cell r="H2512">
            <v>-0.4</v>
          </cell>
          <cell r="I2512">
            <v>150000</v>
          </cell>
          <cell r="J2512">
            <v>250000</v>
          </cell>
          <cell r="K2512">
            <v>40396.879999999997</v>
          </cell>
          <cell r="L2512">
            <v>250000</v>
          </cell>
          <cell r="M2512">
            <v>109763.17</v>
          </cell>
        </row>
        <row r="2513">
          <cell r="A2513">
            <v>18123600</v>
          </cell>
          <cell r="B2513">
            <v>0</v>
          </cell>
          <cell r="C2513">
            <v>812360</v>
          </cell>
          <cell r="D2513">
            <v>1</v>
          </cell>
          <cell r="F2513" t="str">
            <v xml:space="preserve">ריתמוסיקה         </v>
          </cell>
          <cell r="G2513" t="str">
            <v xml:space="preserve"> </v>
          </cell>
        </row>
        <row r="2514">
          <cell r="A2514">
            <v>1812360872</v>
          </cell>
          <cell r="B2514">
            <v>872</v>
          </cell>
          <cell r="C2514">
            <v>812360</v>
          </cell>
          <cell r="D2514">
            <v>1</v>
          </cell>
          <cell r="F2514" t="str">
            <v xml:space="preserve">ריתמוסיקה ( הורים )    </v>
          </cell>
          <cell r="G2514" t="str">
            <v>קשיח</v>
          </cell>
          <cell r="H2514">
            <v>0.17142857142857149</v>
          </cell>
          <cell r="I2514">
            <v>4100000</v>
          </cell>
          <cell r="J2514">
            <v>3500000</v>
          </cell>
          <cell r="K2514">
            <v>910495.54</v>
          </cell>
          <cell r="L2514">
            <v>3500000</v>
          </cell>
          <cell r="M2514">
            <v>4129665.1</v>
          </cell>
        </row>
        <row r="2515">
          <cell r="A2515" t="e">
            <v>#VALUE!</v>
          </cell>
          <cell r="B2515" t="str">
            <v>812360  סך הכל</v>
          </cell>
          <cell r="F2515" t="str">
            <v xml:space="preserve">ריתמוסיקה         </v>
          </cell>
          <cell r="H2515">
            <v>0.17142857142857149</v>
          </cell>
          <cell r="I2515">
            <v>4100000</v>
          </cell>
          <cell r="J2515">
            <v>3500000</v>
          </cell>
          <cell r="K2515">
            <v>910495.54</v>
          </cell>
          <cell r="L2515">
            <v>3500000</v>
          </cell>
          <cell r="M2515">
            <v>4129665.1</v>
          </cell>
        </row>
        <row r="2516">
          <cell r="A2516">
            <v>18123700</v>
          </cell>
          <cell r="B2516">
            <v>0</v>
          </cell>
          <cell r="C2516">
            <v>812370</v>
          </cell>
          <cell r="D2516">
            <v>1</v>
          </cell>
          <cell r="F2516" t="str">
            <v>תיאטרון בובות</v>
          </cell>
          <cell r="G2516" t="str">
            <v xml:space="preserve"> </v>
          </cell>
        </row>
        <row r="2517">
          <cell r="A2517">
            <v>1812370870</v>
          </cell>
          <cell r="B2517">
            <v>870</v>
          </cell>
          <cell r="C2517">
            <v>812370</v>
          </cell>
          <cell r="D2517">
            <v>1</v>
          </cell>
          <cell r="F2517" t="str">
            <v>תיאטרון בובות</v>
          </cell>
          <cell r="G2517" t="str">
            <v>גמיש</v>
          </cell>
          <cell r="I2517">
            <v>0</v>
          </cell>
          <cell r="J2517">
            <v>0</v>
          </cell>
          <cell r="K2517">
            <v>0</v>
          </cell>
          <cell r="L2517">
            <v>174000</v>
          </cell>
          <cell r="M2517">
            <v>174001.32</v>
          </cell>
        </row>
        <row r="2518">
          <cell r="A2518">
            <v>1812370872</v>
          </cell>
          <cell r="B2518">
            <v>872</v>
          </cell>
          <cell r="C2518">
            <v>812370</v>
          </cell>
          <cell r="D2518">
            <v>1</v>
          </cell>
          <cell r="F2518" t="str">
            <v xml:space="preserve">תיאטרון בובות ( הורים )    </v>
          </cell>
          <cell r="G2518" t="str">
            <v>קשיח</v>
          </cell>
          <cell r="I2518">
            <v>220000</v>
          </cell>
          <cell r="J2518">
            <v>0</v>
          </cell>
          <cell r="K2518">
            <v>47534.54</v>
          </cell>
          <cell r="L2518">
            <v>250000</v>
          </cell>
          <cell r="M2518">
            <v>212161.52</v>
          </cell>
        </row>
        <row r="2519">
          <cell r="A2519" t="e">
            <v>#VALUE!</v>
          </cell>
          <cell r="B2519" t="str">
            <v>812370  סך הכל</v>
          </cell>
          <cell r="F2519" t="str">
            <v>תיאטרון בובות</v>
          </cell>
          <cell r="I2519">
            <v>220000</v>
          </cell>
          <cell r="J2519">
            <v>0</v>
          </cell>
          <cell r="K2519">
            <v>47534.54</v>
          </cell>
          <cell r="L2519">
            <v>424000</v>
          </cell>
          <cell r="M2519">
            <v>386162.83999999997</v>
          </cell>
        </row>
        <row r="2520">
          <cell r="A2520">
            <v>18130000</v>
          </cell>
          <cell r="B2520">
            <v>0</v>
          </cell>
          <cell r="C2520">
            <v>813000</v>
          </cell>
          <cell r="D2520">
            <v>1</v>
          </cell>
          <cell r="F2520" t="str">
            <v xml:space="preserve">חינוך יסודי       </v>
          </cell>
          <cell r="G2520" t="str">
            <v xml:space="preserve"> </v>
          </cell>
        </row>
        <row r="2521">
          <cell r="A2521">
            <v>1813200110</v>
          </cell>
          <cell r="B2521">
            <v>110</v>
          </cell>
          <cell r="C2521">
            <v>813200</v>
          </cell>
          <cell r="D2521">
            <v>1</v>
          </cell>
          <cell r="F2521" t="str">
            <v>השכר הקובע-תקציבית</v>
          </cell>
          <cell r="G2521" t="str">
            <v>שכר</v>
          </cell>
          <cell r="H2521">
            <v>2.4999999999999911E-2</v>
          </cell>
          <cell r="I2521">
            <v>878219.99999999988</v>
          </cell>
          <cell r="J2521">
            <v>856800</v>
          </cell>
          <cell r="K2521">
            <v>482260.84</v>
          </cell>
          <cell r="L2521">
            <v>840000</v>
          </cell>
          <cell r="M2521">
            <v>901909.25</v>
          </cell>
        </row>
        <row r="2522">
          <cell r="A2522">
            <v>1813200119</v>
          </cell>
          <cell r="B2522">
            <v>119</v>
          </cell>
          <cell r="C2522">
            <v>813200</v>
          </cell>
          <cell r="D2522">
            <v>1</v>
          </cell>
          <cell r="F2522" t="str">
            <v xml:space="preserve">השכר הקובע-צוברת  </v>
          </cell>
          <cell r="G2522" t="str">
            <v>שכר</v>
          </cell>
          <cell r="H2522">
            <v>3.7889705638244786E-2</v>
          </cell>
          <cell r="I2522">
            <v>9378890.3249999993</v>
          </cell>
          <cell r="J2522">
            <v>9036500</v>
          </cell>
          <cell r="K2522">
            <v>4773521.4800000004</v>
          </cell>
          <cell r="L2522">
            <v>8745600</v>
          </cell>
          <cell r="M2522">
            <v>7396931.04</v>
          </cell>
        </row>
        <row r="2523">
          <cell r="A2523">
            <v>1813200122</v>
          </cell>
          <cell r="B2523">
            <v>122</v>
          </cell>
          <cell r="C2523">
            <v>813200</v>
          </cell>
          <cell r="D2523">
            <v>1</v>
          </cell>
          <cell r="F2523" t="str">
            <v xml:space="preserve">ביגוד             </v>
          </cell>
          <cell r="G2523" t="str">
            <v>שכר</v>
          </cell>
          <cell r="H2523">
            <v>2.7313807387104427E-2</v>
          </cell>
          <cell r="I2523">
            <v>116600.11713843634</v>
          </cell>
          <cell r="J2523">
            <v>113500</v>
          </cell>
          <cell r="K2523">
            <v>117538.14</v>
          </cell>
          <cell r="L2523">
            <v>97100</v>
          </cell>
          <cell r="M2523">
            <v>114271.79</v>
          </cell>
        </row>
        <row r="2524">
          <cell r="A2524">
            <v>1813200126</v>
          </cell>
          <cell r="B2524">
            <v>126</v>
          </cell>
          <cell r="C2524">
            <v>813200</v>
          </cell>
          <cell r="D2524">
            <v>1</v>
          </cell>
          <cell r="F2524" t="str">
            <v xml:space="preserve">דמי הבראה         </v>
          </cell>
          <cell r="G2524" t="str">
            <v>שכר</v>
          </cell>
          <cell r="H2524">
            <v>2.7294320657833326E-2</v>
          </cell>
          <cell r="I2524">
            <v>288669.70410485117</v>
          </cell>
          <cell r="J2524">
            <v>281000</v>
          </cell>
          <cell r="K2524">
            <v>281499.74</v>
          </cell>
          <cell r="L2524">
            <v>281000</v>
          </cell>
          <cell r="M2524">
            <v>282710.28000000003</v>
          </cell>
        </row>
        <row r="2525">
          <cell r="A2525">
            <v>1813200130</v>
          </cell>
          <cell r="B2525">
            <v>130</v>
          </cell>
          <cell r="C2525">
            <v>813200</v>
          </cell>
          <cell r="D2525">
            <v>1</v>
          </cell>
          <cell r="F2525" t="str">
            <v xml:space="preserve">שעות נוספות       </v>
          </cell>
          <cell r="G2525" t="str">
            <v>שכר</v>
          </cell>
          <cell r="H2525">
            <v>0</v>
          </cell>
          <cell r="I2525">
            <v>154110</v>
          </cell>
          <cell r="J2525">
            <v>154110</v>
          </cell>
          <cell r="K2525">
            <v>85070.09</v>
          </cell>
          <cell r="L2525">
            <v>179200</v>
          </cell>
          <cell r="M2525">
            <v>127030.85</v>
          </cell>
        </row>
        <row r="2526">
          <cell r="A2526">
            <v>1813200140</v>
          </cell>
          <cell r="B2526">
            <v>140</v>
          </cell>
          <cell r="C2526">
            <v>813200</v>
          </cell>
          <cell r="D2526">
            <v>1</v>
          </cell>
          <cell r="F2526" t="str">
            <v>השתתפות באחזקת רכב</v>
          </cell>
          <cell r="G2526" t="str">
            <v>שכר</v>
          </cell>
          <cell r="H2526">
            <v>0</v>
          </cell>
          <cell r="I2526">
            <v>42600</v>
          </cell>
          <cell r="J2526">
            <v>42600</v>
          </cell>
          <cell r="K2526">
            <v>175442.38</v>
          </cell>
          <cell r="L2526">
            <v>42600</v>
          </cell>
          <cell r="M2526">
            <v>38150.239999999998</v>
          </cell>
        </row>
        <row r="2527">
          <cell r="A2527">
            <v>1813200213</v>
          </cell>
          <cell r="B2527">
            <v>213</v>
          </cell>
          <cell r="C2527">
            <v>813200</v>
          </cell>
          <cell r="D2527">
            <v>1</v>
          </cell>
          <cell r="F2527" t="str">
            <v xml:space="preserve">קבוצות טיפוליות   </v>
          </cell>
          <cell r="G2527" t="str">
            <v>שכר</v>
          </cell>
          <cell r="H2527">
            <v>-0.33333333333333337</v>
          </cell>
          <cell r="I2527">
            <v>40000</v>
          </cell>
          <cell r="J2527">
            <v>60000</v>
          </cell>
          <cell r="K2527">
            <v>6744.32</v>
          </cell>
          <cell r="L2527">
            <v>85000</v>
          </cell>
          <cell r="M2527">
            <v>30802.32</v>
          </cell>
        </row>
        <row r="2528">
          <cell r="A2528">
            <v>1813200255</v>
          </cell>
          <cell r="B2528">
            <v>255</v>
          </cell>
          <cell r="C2528">
            <v>813200</v>
          </cell>
          <cell r="D2528">
            <v>1</v>
          </cell>
          <cell r="F2528" t="str">
            <v xml:space="preserve">מ"מ מזכירה ושרתים </v>
          </cell>
          <cell r="G2528" t="str">
            <v>שכר</v>
          </cell>
          <cell r="H2528">
            <v>0</v>
          </cell>
          <cell r="I2528">
            <v>150000</v>
          </cell>
          <cell r="J2528">
            <v>150000</v>
          </cell>
          <cell r="K2528">
            <v>44548.23</v>
          </cell>
          <cell r="L2528">
            <v>90000</v>
          </cell>
          <cell r="M2528">
            <v>90000</v>
          </cell>
        </row>
        <row r="2529">
          <cell r="A2529">
            <v>1813200263</v>
          </cell>
          <cell r="B2529">
            <v>263</v>
          </cell>
          <cell r="C2529">
            <v>813200</v>
          </cell>
          <cell r="D2529">
            <v>1</v>
          </cell>
          <cell r="F2529" t="str">
            <v xml:space="preserve">עובדי חב' מוסדות  </v>
          </cell>
          <cell r="G2529" t="str">
            <v>שכר</v>
          </cell>
          <cell r="H2529">
            <v>-0.19999999999999996</v>
          </cell>
          <cell r="I2529">
            <v>200000</v>
          </cell>
          <cell r="J2529">
            <v>250000</v>
          </cell>
          <cell r="K2529">
            <v>43790.54</v>
          </cell>
          <cell r="L2529">
            <v>200000</v>
          </cell>
          <cell r="M2529">
            <v>118999.26</v>
          </cell>
        </row>
        <row r="2530">
          <cell r="A2530">
            <v>1813200413</v>
          </cell>
          <cell r="B2530">
            <v>413</v>
          </cell>
          <cell r="C2530">
            <v>813200</v>
          </cell>
          <cell r="D2530">
            <v>1</v>
          </cell>
          <cell r="F2530" t="str">
            <v>דמי שימוש אולם שמיר</v>
          </cell>
          <cell r="G2530" t="str">
            <v>קשיח</v>
          </cell>
          <cell r="H2530">
            <v>0</v>
          </cell>
          <cell r="I2530">
            <v>125000</v>
          </cell>
          <cell r="J2530">
            <v>125000</v>
          </cell>
          <cell r="K2530">
            <v>0</v>
          </cell>
          <cell r="L2530">
            <v>125000</v>
          </cell>
          <cell r="M2530">
            <v>125000</v>
          </cell>
        </row>
        <row r="2531">
          <cell r="A2531">
            <v>1813200420</v>
          </cell>
          <cell r="B2531">
            <v>420</v>
          </cell>
          <cell r="C2531">
            <v>813200</v>
          </cell>
          <cell r="D2531">
            <v>1</v>
          </cell>
          <cell r="F2531" t="str">
            <v xml:space="preserve">כיבוי אש          </v>
          </cell>
          <cell r="G2531" t="str">
            <v>קשיח</v>
          </cell>
          <cell r="H2531">
            <v>0</v>
          </cell>
          <cell r="I2531">
            <v>99000</v>
          </cell>
          <cell r="J2531">
            <v>99000</v>
          </cell>
          <cell r="K2531">
            <v>77797.67</v>
          </cell>
          <cell r="L2531">
            <v>110000</v>
          </cell>
          <cell r="M2531">
            <v>87798.91</v>
          </cell>
        </row>
        <row r="2532">
          <cell r="A2532">
            <v>1813200423</v>
          </cell>
          <cell r="B2532">
            <v>423</v>
          </cell>
          <cell r="C2532">
            <v>813200</v>
          </cell>
          <cell r="D2532">
            <v>1</v>
          </cell>
          <cell r="F2532" t="str">
            <v xml:space="preserve">תחזוקת מבנה       </v>
          </cell>
          <cell r="G2532" t="str">
            <v>קשיח</v>
          </cell>
          <cell r="H2532">
            <v>2.8278173439463705E-2</v>
          </cell>
          <cell r="I2532">
            <v>736350</v>
          </cell>
          <cell r="J2532">
            <v>716100</v>
          </cell>
          <cell r="K2532">
            <v>0</v>
          </cell>
          <cell r="L2532">
            <v>616400</v>
          </cell>
          <cell r="M2532">
            <v>616400</v>
          </cell>
        </row>
        <row r="2533">
          <cell r="A2533">
            <v>1813200431</v>
          </cell>
          <cell r="B2533">
            <v>431</v>
          </cell>
          <cell r="C2533">
            <v>813200</v>
          </cell>
          <cell r="D2533">
            <v>1</v>
          </cell>
          <cell r="F2533" t="str">
            <v xml:space="preserve">חשמל              </v>
          </cell>
          <cell r="G2533" t="str">
            <v>קשיח</v>
          </cell>
          <cell r="H2533">
            <v>-8.5462780958889262E-5</v>
          </cell>
          <cell r="I2533">
            <v>2340000</v>
          </cell>
          <cell r="J2533">
            <v>2340200</v>
          </cell>
          <cell r="K2533">
            <v>1256792.19</v>
          </cell>
          <cell r="L2533">
            <v>2317400</v>
          </cell>
          <cell r="M2533">
            <v>2317400</v>
          </cell>
        </row>
        <row r="2534">
          <cell r="A2534">
            <v>1813200432</v>
          </cell>
          <cell r="B2534">
            <v>432</v>
          </cell>
          <cell r="C2534">
            <v>813200</v>
          </cell>
          <cell r="D2534">
            <v>1</v>
          </cell>
          <cell r="F2534" t="str">
            <v xml:space="preserve">מים               </v>
          </cell>
          <cell r="G2534" t="str">
            <v>קשיח</v>
          </cell>
          <cell r="H2534">
            <v>-2.8948214860083921E-3</v>
          </cell>
          <cell r="I2534">
            <v>930000</v>
          </cell>
          <cell r="J2534">
            <v>932700</v>
          </cell>
          <cell r="K2534">
            <v>526112</v>
          </cell>
          <cell r="L2534">
            <v>932700</v>
          </cell>
          <cell r="M2534">
            <v>932509.85</v>
          </cell>
        </row>
        <row r="2535">
          <cell r="A2535">
            <v>1813200437</v>
          </cell>
          <cell r="B2535">
            <v>437</v>
          </cell>
          <cell r="C2535">
            <v>813200</v>
          </cell>
          <cell r="D2535">
            <v>1</v>
          </cell>
          <cell r="F2535" t="str">
            <v xml:space="preserve">אחזקת אזעקה       </v>
          </cell>
          <cell r="G2535" t="str">
            <v>קשיח</v>
          </cell>
          <cell r="H2535">
            <v>0</v>
          </cell>
          <cell r="I2535">
            <v>60000</v>
          </cell>
          <cell r="J2535">
            <v>60000</v>
          </cell>
          <cell r="K2535">
            <v>27102.240000000002</v>
          </cell>
          <cell r="L2535">
            <v>52900</v>
          </cell>
          <cell r="M2535">
            <v>52053.25</v>
          </cell>
        </row>
        <row r="2536">
          <cell r="A2536">
            <v>1813200451</v>
          </cell>
          <cell r="B2536">
            <v>451</v>
          </cell>
          <cell r="C2536">
            <v>813200</v>
          </cell>
          <cell r="D2536">
            <v>1</v>
          </cell>
          <cell r="F2536" t="str">
            <v>הוצאות גפ"ן בית ספרי</v>
          </cell>
          <cell r="G2536" t="str">
            <v>קשיח</v>
          </cell>
          <cell r="H2536">
            <v>0</v>
          </cell>
          <cell r="I2536">
            <v>1500000</v>
          </cell>
          <cell r="J2536">
            <v>1500000</v>
          </cell>
          <cell r="K2536">
            <v>86649.82</v>
          </cell>
          <cell r="L2536">
            <v>450000</v>
          </cell>
          <cell r="M2536">
            <v>449821.03</v>
          </cell>
        </row>
        <row r="2537">
          <cell r="A2537">
            <v>1813200511</v>
          </cell>
          <cell r="B2537">
            <v>511</v>
          </cell>
          <cell r="C2537">
            <v>813200</v>
          </cell>
          <cell r="D2537">
            <v>1</v>
          </cell>
          <cell r="F2537" t="str">
            <v xml:space="preserve">אירוח וכיבוד      </v>
          </cell>
          <cell r="G2537" t="str">
            <v>גמיש</v>
          </cell>
          <cell r="H2537">
            <v>1.706726214643389</v>
          </cell>
          <cell r="I2537">
            <v>200000</v>
          </cell>
          <cell r="J2537">
            <v>73890</v>
          </cell>
          <cell r="K2537">
            <v>671.15</v>
          </cell>
          <cell r="L2537">
            <v>81300</v>
          </cell>
          <cell r="M2537">
            <v>154962</v>
          </cell>
        </row>
        <row r="2538">
          <cell r="A2538">
            <v>1813200551</v>
          </cell>
          <cell r="B2538">
            <v>551</v>
          </cell>
          <cell r="C2538">
            <v>813200</v>
          </cell>
          <cell r="D2538">
            <v>1</v>
          </cell>
          <cell r="F2538" t="str">
            <v xml:space="preserve">פירסומים          </v>
          </cell>
          <cell r="G2538" t="str">
            <v>גמיש</v>
          </cell>
          <cell r="H2538">
            <v>-1.2345679012345734E-2</v>
          </cell>
          <cell r="I2538">
            <v>4000</v>
          </cell>
          <cell r="J2538">
            <v>4050</v>
          </cell>
          <cell r="K2538">
            <v>821.28</v>
          </cell>
          <cell r="L2538">
            <v>4500</v>
          </cell>
          <cell r="M2538">
            <v>837.23</v>
          </cell>
        </row>
        <row r="2539">
          <cell r="A2539">
            <v>1813200562</v>
          </cell>
          <cell r="B2539">
            <v>562</v>
          </cell>
          <cell r="C2539">
            <v>813200</v>
          </cell>
          <cell r="D2539">
            <v>1</v>
          </cell>
          <cell r="F2539" t="str">
            <v xml:space="preserve">הדפסות            </v>
          </cell>
          <cell r="G2539" t="str">
            <v>גמיש</v>
          </cell>
          <cell r="H2539">
            <v>-0.60784313725490202</v>
          </cell>
          <cell r="I2539">
            <v>6000</v>
          </cell>
          <cell r="J2539">
            <v>15300</v>
          </cell>
          <cell r="K2539">
            <v>2596</v>
          </cell>
          <cell r="L2539">
            <v>12400</v>
          </cell>
          <cell r="M2539">
            <v>4329</v>
          </cell>
        </row>
        <row r="2540">
          <cell r="A2540">
            <v>1813200570</v>
          </cell>
          <cell r="B2540">
            <v>570</v>
          </cell>
          <cell r="C2540">
            <v>813200</v>
          </cell>
          <cell r="D2540">
            <v>1</v>
          </cell>
          <cell r="F2540" t="str">
            <v xml:space="preserve">שרות מערכת מנב"ס  </v>
          </cell>
          <cell r="G2540" t="str">
            <v>קשיח</v>
          </cell>
          <cell r="H2540">
            <v>-0.19999999999999996</v>
          </cell>
          <cell r="I2540">
            <v>120000</v>
          </cell>
          <cell r="J2540">
            <v>150000</v>
          </cell>
          <cell r="K2540">
            <v>64682.29</v>
          </cell>
          <cell r="L2540">
            <v>150000</v>
          </cell>
          <cell r="M2540">
            <v>94723</v>
          </cell>
        </row>
        <row r="2541">
          <cell r="A2541">
            <v>1813200571</v>
          </cell>
          <cell r="B2541">
            <v>571</v>
          </cell>
          <cell r="C2541">
            <v>813200</v>
          </cell>
          <cell r="D2541">
            <v>1</v>
          </cell>
          <cell r="F2541" t="str">
            <v xml:space="preserve">מיכון וענ"א       </v>
          </cell>
          <cell r="G2541" t="str">
            <v>קשיח</v>
          </cell>
          <cell r="H2541">
            <v>0.61262798634812277</v>
          </cell>
          <cell r="I2541">
            <v>189000</v>
          </cell>
          <cell r="J2541">
            <v>117200</v>
          </cell>
          <cell r="K2541">
            <v>58600</v>
          </cell>
          <cell r="L2541">
            <v>105200</v>
          </cell>
          <cell r="M2541">
            <v>105200</v>
          </cell>
        </row>
        <row r="2542">
          <cell r="A2542">
            <v>1813200580</v>
          </cell>
          <cell r="B2542">
            <v>580</v>
          </cell>
          <cell r="C2542">
            <v>813200</v>
          </cell>
          <cell r="D2542">
            <v>1</v>
          </cell>
          <cell r="F2542" t="str">
            <v>יעוץ נהול עצמי</v>
          </cell>
          <cell r="G2542" t="str">
            <v>גמיש</v>
          </cell>
          <cell r="H2542">
            <v>-0.13580246913580252</v>
          </cell>
          <cell r="I2542">
            <v>140000</v>
          </cell>
          <cell r="J2542">
            <v>162000</v>
          </cell>
          <cell r="K2542">
            <v>0</v>
          </cell>
          <cell r="L2542">
            <v>180000</v>
          </cell>
          <cell r="M2542">
            <v>113850.36</v>
          </cell>
        </row>
        <row r="2543">
          <cell r="A2543">
            <v>1813200710</v>
          </cell>
          <cell r="B2543">
            <v>710</v>
          </cell>
          <cell r="C2543">
            <v>813200</v>
          </cell>
          <cell r="D2543">
            <v>1</v>
          </cell>
          <cell r="F2543" t="str">
            <v xml:space="preserve">הובלות והסעות     </v>
          </cell>
          <cell r="G2543" t="str">
            <v>גמיש</v>
          </cell>
          <cell r="H2543">
            <v>6.1728395061728447E-2</v>
          </cell>
          <cell r="I2543">
            <v>43000</v>
          </cell>
          <cell r="J2543">
            <v>40500</v>
          </cell>
          <cell r="K2543">
            <v>27304.02</v>
          </cell>
          <cell r="L2543">
            <v>42800</v>
          </cell>
          <cell r="M2543">
            <v>41761</v>
          </cell>
        </row>
        <row r="2544">
          <cell r="A2544">
            <v>1813200721</v>
          </cell>
          <cell r="B2544">
            <v>721</v>
          </cell>
          <cell r="C2544">
            <v>813200</v>
          </cell>
          <cell r="D2544">
            <v>1</v>
          </cell>
          <cell r="F2544" t="str">
            <v>חמרים-תחזוקת מבנים</v>
          </cell>
          <cell r="G2544" t="str">
            <v>גמיש</v>
          </cell>
          <cell r="I2544">
            <v>50000</v>
          </cell>
          <cell r="J2544">
            <v>0</v>
          </cell>
          <cell r="K2544">
            <v>0</v>
          </cell>
          <cell r="L2544">
            <v>81000</v>
          </cell>
          <cell r="M2544">
            <v>45963.97</v>
          </cell>
        </row>
        <row r="2545">
          <cell r="A2545">
            <v>1813200725</v>
          </cell>
          <cell r="B2545">
            <v>725</v>
          </cell>
          <cell r="C2545">
            <v>813200</v>
          </cell>
          <cell r="D2545">
            <v>1</v>
          </cell>
          <cell r="F2545" t="str">
            <v>קבוצות טיפוליות-מניעת נשירה</v>
          </cell>
          <cell r="G2545" t="str">
            <v>גמיש</v>
          </cell>
          <cell r="H2545">
            <v>0.77777777777777768</v>
          </cell>
          <cell r="I2545">
            <v>40000</v>
          </cell>
          <cell r="J2545">
            <v>22500</v>
          </cell>
          <cell r="K2545">
            <v>0</v>
          </cell>
          <cell r="L2545">
            <v>25000</v>
          </cell>
          <cell r="M2545">
            <v>46721</v>
          </cell>
        </row>
        <row r="2546">
          <cell r="A2546">
            <v>1813200750</v>
          </cell>
          <cell r="B2546">
            <v>750</v>
          </cell>
          <cell r="C2546">
            <v>813200</v>
          </cell>
          <cell r="D2546">
            <v>1</v>
          </cell>
          <cell r="F2546" t="str">
            <v>אחזקת מוסדות</v>
          </cell>
          <cell r="G2546" t="str">
            <v>קשיח</v>
          </cell>
          <cell r="H2546">
            <v>2.4028098537336451E-2</v>
          </cell>
          <cell r="I2546">
            <v>10641700</v>
          </cell>
          <cell r="J2546">
            <v>10392000</v>
          </cell>
          <cell r="K2546">
            <v>6047013.4699999997</v>
          </cell>
          <cell r="L2546">
            <v>7651700</v>
          </cell>
          <cell r="M2546">
            <v>8207421</v>
          </cell>
        </row>
        <row r="2547">
          <cell r="A2547">
            <v>1813200752</v>
          </cell>
          <cell r="B2547">
            <v>752</v>
          </cell>
          <cell r="C2547">
            <v>813200</v>
          </cell>
          <cell r="D2547">
            <v>1</v>
          </cell>
          <cell r="F2547" t="str">
            <v xml:space="preserve">נקיון בקבלנות     </v>
          </cell>
          <cell r="G2547" t="str">
            <v>קשיח</v>
          </cell>
          <cell r="H2547">
            <v>0.17886178861788626</v>
          </cell>
          <cell r="I2547">
            <v>14500000</v>
          </cell>
          <cell r="J2547">
            <v>12300000</v>
          </cell>
          <cell r="K2547">
            <v>6565433.3899999997</v>
          </cell>
          <cell r="L2547">
            <v>10038400</v>
          </cell>
          <cell r="M2547">
            <v>10354275.68</v>
          </cell>
        </row>
        <row r="2548">
          <cell r="A2548">
            <v>1813200753</v>
          </cell>
          <cell r="B2548">
            <v>753</v>
          </cell>
          <cell r="C2548">
            <v>813200</v>
          </cell>
          <cell r="D2548">
            <v>1</v>
          </cell>
          <cell r="F2548" t="str">
            <v>מועדוניות שכונתיות</v>
          </cell>
          <cell r="G2548" t="str">
            <v>קשיח</v>
          </cell>
          <cell r="H2548">
            <v>2.9507042253521076E-2</v>
          </cell>
          <cell r="I2548">
            <v>1461900</v>
          </cell>
          <cell r="J2548">
            <v>1420000</v>
          </cell>
          <cell r="K2548">
            <v>902433.3</v>
          </cell>
          <cell r="L2548">
            <v>1122800</v>
          </cell>
          <cell r="M2548">
            <v>1319747.79</v>
          </cell>
        </row>
        <row r="2549">
          <cell r="A2549">
            <v>1813200755</v>
          </cell>
          <cell r="B2549">
            <v>755</v>
          </cell>
          <cell r="C2549">
            <v>813200</v>
          </cell>
          <cell r="D2549">
            <v>1</v>
          </cell>
          <cell r="F2549" t="str">
            <v xml:space="preserve">מ"מ מזכירה ושרתים </v>
          </cell>
          <cell r="G2549" t="str">
            <v>קשיח</v>
          </cell>
          <cell r="H2549">
            <v>0</v>
          </cell>
          <cell r="I2549">
            <v>90000</v>
          </cell>
          <cell r="J2549">
            <v>90000</v>
          </cell>
          <cell r="K2549">
            <v>0</v>
          </cell>
          <cell r="L2549">
            <v>90000</v>
          </cell>
          <cell r="M2549">
            <v>68499.22</v>
          </cell>
        </row>
        <row r="2550">
          <cell r="A2550">
            <v>1813200759</v>
          </cell>
          <cell r="B2550">
            <v>759</v>
          </cell>
          <cell r="C2550">
            <v>813200</v>
          </cell>
          <cell r="D2550">
            <v>1</v>
          </cell>
          <cell r="F2550" t="str">
            <v>שרותי סייעות</v>
          </cell>
          <cell r="G2550" t="str">
            <v>שכר</v>
          </cell>
          <cell r="H2550">
            <v>7.2798576644714563E-2</v>
          </cell>
          <cell r="I2550">
            <v>77360900</v>
          </cell>
          <cell r="J2550">
            <v>72111300</v>
          </cell>
          <cell r="K2550">
            <v>40335213.280000001</v>
          </cell>
          <cell r="L2550">
            <v>46642900</v>
          </cell>
          <cell r="M2550">
            <v>56826727.200000003</v>
          </cell>
        </row>
        <row r="2551">
          <cell r="A2551">
            <v>1813200784</v>
          </cell>
          <cell r="B2551">
            <v>784</v>
          </cell>
          <cell r="C2551">
            <v>813200</v>
          </cell>
          <cell r="D2551">
            <v>1</v>
          </cell>
          <cell r="F2551" t="str">
            <v>רכז קהילה - יחד</v>
          </cell>
          <cell r="G2551" t="str">
            <v>גמיש</v>
          </cell>
          <cell r="I2551">
            <v>0</v>
          </cell>
          <cell r="J2551">
            <v>0</v>
          </cell>
          <cell r="K2551">
            <v>0</v>
          </cell>
          <cell r="L2551">
            <v>59900</v>
          </cell>
          <cell r="M2551">
            <v>0</v>
          </cell>
        </row>
        <row r="2552">
          <cell r="A2552">
            <v>1813200788</v>
          </cell>
          <cell r="B2552">
            <v>788</v>
          </cell>
          <cell r="C2552">
            <v>813200</v>
          </cell>
          <cell r="D2552">
            <v>1</v>
          </cell>
          <cell r="F2552" t="str">
            <v xml:space="preserve">פרויקט פר"ח       </v>
          </cell>
          <cell r="G2552" t="str">
            <v>קשיח</v>
          </cell>
          <cell r="H2552">
            <v>1.4285714285714235E-2</v>
          </cell>
          <cell r="I2552">
            <v>142000</v>
          </cell>
          <cell r="J2552">
            <v>140000</v>
          </cell>
          <cell r="K2552">
            <v>139750</v>
          </cell>
          <cell r="L2552">
            <v>134100</v>
          </cell>
          <cell r="M2552">
            <v>136012</v>
          </cell>
        </row>
        <row r="2553">
          <cell r="A2553">
            <v>1813200794</v>
          </cell>
          <cell r="B2553">
            <v>794</v>
          </cell>
          <cell r="C2553">
            <v>813200</v>
          </cell>
          <cell r="D2553">
            <v>1</v>
          </cell>
          <cell r="F2553" t="str">
            <v xml:space="preserve">השתתפות בעזר 094  </v>
          </cell>
          <cell r="G2553" t="str">
            <v>קשיח</v>
          </cell>
          <cell r="H2553">
            <v>0</v>
          </cell>
          <cell r="I2553">
            <v>511400</v>
          </cell>
          <cell r="J2553">
            <v>511400</v>
          </cell>
          <cell r="K2553">
            <v>241589.12</v>
          </cell>
          <cell r="L2553">
            <v>487400</v>
          </cell>
          <cell r="M2553">
            <v>581317.39</v>
          </cell>
        </row>
        <row r="2554">
          <cell r="A2554">
            <v>1813200810</v>
          </cell>
          <cell r="B2554">
            <v>810</v>
          </cell>
          <cell r="C2554">
            <v>813200</v>
          </cell>
          <cell r="D2554">
            <v>1</v>
          </cell>
          <cell r="F2554" t="str">
            <v xml:space="preserve">הקצבות מינהל עצמי </v>
          </cell>
          <cell r="G2554" t="str">
            <v>גמיש</v>
          </cell>
          <cell r="H2554">
            <v>-1</v>
          </cell>
          <cell r="I2554">
            <v>0</v>
          </cell>
          <cell r="J2554">
            <v>540000</v>
          </cell>
          <cell r="K2554">
            <v>0</v>
          </cell>
          <cell r="L2554">
            <v>669400</v>
          </cell>
          <cell r="M2554">
            <v>0</v>
          </cell>
        </row>
        <row r="2555">
          <cell r="A2555">
            <v>1813200811</v>
          </cell>
          <cell r="B2555">
            <v>811</v>
          </cell>
          <cell r="C2555">
            <v>813200</v>
          </cell>
          <cell r="D2555">
            <v>1</v>
          </cell>
          <cell r="F2555" t="str">
            <v>העשרה למחוננים (מ' החינוך)</v>
          </cell>
          <cell r="G2555" t="str">
            <v>גמיש</v>
          </cell>
          <cell r="H2555">
            <v>0.4814814814814814</v>
          </cell>
          <cell r="I2555">
            <v>160000</v>
          </cell>
          <cell r="J2555">
            <v>108000</v>
          </cell>
          <cell r="K2555">
            <v>48000</v>
          </cell>
          <cell r="L2555">
            <v>120000</v>
          </cell>
          <cell r="M2555">
            <v>159612</v>
          </cell>
        </row>
        <row r="2556">
          <cell r="A2556">
            <v>1813200812</v>
          </cell>
          <cell r="B2556">
            <v>812</v>
          </cell>
          <cell r="C2556">
            <v>813200</v>
          </cell>
          <cell r="D2556">
            <v>1</v>
          </cell>
          <cell r="F2556" t="str">
            <v>מסיבות כיתתיות</v>
          </cell>
          <cell r="G2556" t="str">
            <v>קשיח</v>
          </cell>
          <cell r="H2556">
            <v>0.16666666666666674</v>
          </cell>
          <cell r="I2556">
            <v>350000</v>
          </cell>
          <cell r="J2556">
            <v>300000</v>
          </cell>
          <cell r="K2556">
            <v>0</v>
          </cell>
          <cell r="L2556">
            <v>300000</v>
          </cell>
          <cell r="M2556">
            <v>310002</v>
          </cell>
        </row>
        <row r="2557">
          <cell r="A2557">
            <v>1813200816</v>
          </cell>
          <cell r="B2557">
            <v>816</v>
          </cell>
          <cell r="C2557">
            <v>813200</v>
          </cell>
          <cell r="D2557">
            <v>1</v>
          </cell>
          <cell r="F2557" t="str">
            <v>יסודי - הכלה והשתלבות</v>
          </cell>
          <cell r="G2557" t="str">
            <v>קשיח</v>
          </cell>
          <cell r="I2557">
            <v>0</v>
          </cell>
          <cell r="J2557">
            <v>0</v>
          </cell>
          <cell r="K2557">
            <v>0</v>
          </cell>
          <cell r="L2557">
            <v>0</v>
          </cell>
          <cell r="M2557">
            <v>0</v>
          </cell>
        </row>
        <row r="2558">
          <cell r="A2558">
            <v>1813200872</v>
          </cell>
          <cell r="B2558">
            <v>872</v>
          </cell>
          <cell r="C2558">
            <v>813200</v>
          </cell>
          <cell r="D2558">
            <v>1</v>
          </cell>
          <cell r="F2558" t="str">
            <v xml:space="preserve">מפי עוללים-חינוך  </v>
          </cell>
          <cell r="G2558" t="str">
            <v>גמיש</v>
          </cell>
          <cell r="H2558">
            <v>-0.19753086419753085</v>
          </cell>
          <cell r="I2558">
            <v>130000</v>
          </cell>
          <cell r="J2558">
            <v>162000</v>
          </cell>
          <cell r="K2558">
            <v>62951</v>
          </cell>
          <cell r="L2558">
            <v>180000</v>
          </cell>
          <cell r="M2558">
            <v>147173.5</v>
          </cell>
        </row>
        <row r="2559">
          <cell r="A2559">
            <v>1813200873</v>
          </cell>
          <cell r="B2559">
            <v>873</v>
          </cell>
          <cell r="C2559">
            <v>813200</v>
          </cell>
          <cell r="D2559">
            <v>1</v>
          </cell>
          <cell r="F2559" t="str">
            <v xml:space="preserve">בית יוסף          </v>
          </cell>
          <cell r="G2559" t="str">
            <v>גמיש</v>
          </cell>
          <cell r="H2559">
            <v>0.40018066847335132</v>
          </cell>
          <cell r="I2559">
            <v>465000</v>
          </cell>
          <cell r="J2559">
            <v>332100</v>
          </cell>
          <cell r="K2559">
            <v>199609.33</v>
          </cell>
          <cell r="L2559">
            <v>369000</v>
          </cell>
          <cell r="M2559">
            <v>324061.76</v>
          </cell>
        </row>
        <row r="2560">
          <cell r="A2560">
            <v>1813200874</v>
          </cell>
          <cell r="B2560">
            <v>874</v>
          </cell>
          <cell r="C2560">
            <v>813200</v>
          </cell>
          <cell r="D2560">
            <v>1</v>
          </cell>
          <cell r="F2560" t="str">
            <v>בית דוד תיכון ט'</v>
          </cell>
          <cell r="G2560" t="str">
            <v>גמיש</v>
          </cell>
          <cell r="H2560">
            <v>-0.18918918918918914</v>
          </cell>
          <cell r="I2560">
            <v>27000</v>
          </cell>
          <cell r="J2560">
            <v>33300</v>
          </cell>
          <cell r="K2560">
            <v>8464</v>
          </cell>
          <cell r="L2560">
            <v>37000</v>
          </cell>
          <cell r="M2560">
            <v>17908.34</v>
          </cell>
        </row>
        <row r="2561">
          <cell r="A2561">
            <v>1813200875</v>
          </cell>
          <cell r="B2561">
            <v>875</v>
          </cell>
          <cell r="C2561">
            <v>813200</v>
          </cell>
          <cell r="D2561">
            <v>1</v>
          </cell>
          <cell r="F2561" t="str">
            <v>בית דוד בנות</v>
          </cell>
          <cell r="G2561" t="str">
            <v>גמיש</v>
          </cell>
          <cell r="H2561">
            <v>0.3657407407407407</v>
          </cell>
          <cell r="I2561">
            <v>590000</v>
          </cell>
          <cell r="J2561">
            <v>432000</v>
          </cell>
          <cell r="K2561">
            <v>252950.17</v>
          </cell>
          <cell r="L2561">
            <v>480000</v>
          </cell>
          <cell r="M2561">
            <v>467693.08</v>
          </cell>
        </row>
        <row r="2562">
          <cell r="A2562">
            <v>1813200876</v>
          </cell>
          <cell r="B2562">
            <v>876</v>
          </cell>
          <cell r="C2562">
            <v>813200</v>
          </cell>
          <cell r="D2562">
            <v>1</v>
          </cell>
          <cell r="F2562" t="str">
            <v>בית דוד בנים</v>
          </cell>
          <cell r="G2562" t="str">
            <v>גמיש</v>
          </cell>
          <cell r="H2562">
            <v>0.48792270531400961</v>
          </cell>
          <cell r="I2562">
            <v>154000</v>
          </cell>
          <cell r="J2562">
            <v>103500</v>
          </cell>
          <cell r="K2562">
            <v>60482.33</v>
          </cell>
          <cell r="L2562">
            <v>115000</v>
          </cell>
          <cell r="M2562">
            <v>103769.67</v>
          </cell>
        </row>
        <row r="2563">
          <cell r="A2563">
            <v>1813200877</v>
          </cell>
          <cell r="B2563">
            <v>877</v>
          </cell>
          <cell r="C2563">
            <v>813200</v>
          </cell>
          <cell r="D2563">
            <v>1</v>
          </cell>
          <cell r="F2563" t="str">
            <v>בנות ציון</v>
          </cell>
          <cell r="G2563" t="str">
            <v>גמיש</v>
          </cell>
          <cell r="H2563">
            <v>0.42222222222222228</v>
          </cell>
          <cell r="I2563">
            <v>128000</v>
          </cell>
          <cell r="J2563">
            <v>90000</v>
          </cell>
          <cell r="K2563">
            <v>108315.33</v>
          </cell>
          <cell r="L2563">
            <v>100000</v>
          </cell>
          <cell r="M2563">
            <v>97690.83</v>
          </cell>
        </row>
        <row r="2564">
          <cell r="A2564">
            <v>1813200878</v>
          </cell>
          <cell r="B2564">
            <v>878</v>
          </cell>
          <cell r="C2564">
            <v>813200</v>
          </cell>
          <cell r="D2564">
            <v>1</v>
          </cell>
          <cell r="F2564" t="str">
            <v>תלמוד תורה רבי</v>
          </cell>
          <cell r="G2564" t="str">
            <v>גמיש</v>
          </cell>
          <cell r="H2564">
            <v>1.4691358024691357</v>
          </cell>
          <cell r="I2564">
            <v>200000</v>
          </cell>
          <cell r="J2564">
            <v>81000</v>
          </cell>
          <cell r="K2564">
            <v>72032.17</v>
          </cell>
          <cell r="L2564">
            <v>90000</v>
          </cell>
          <cell r="M2564">
            <v>68365.33</v>
          </cell>
        </row>
        <row r="2565">
          <cell r="A2565">
            <v>1813200879</v>
          </cell>
          <cell r="B2565">
            <v>879</v>
          </cell>
          <cell r="C2565">
            <v>813200</v>
          </cell>
          <cell r="D2565">
            <v>1</v>
          </cell>
          <cell r="F2565" t="str">
            <v>ישיבת אדני זהב</v>
          </cell>
          <cell r="G2565" t="str">
            <v>גמיש</v>
          </cell>
          <cell r="I2565">
            <v>27000</v>
          </cell>
          <cell r="J2565">
            <v>0</v>
          </cell>
          <cell r="K2565">
            <v>0</v>
          </cell>
          <cell r="L2565">
            <v>0</v>
          </cell>
          <cell r="M2565">
            <v>0</v>
          </cell>
        </row>
        <row r="2566">
          <cell r="A2566">
            <v>1813200931</v>
          </cell>
          <cell r="B2566">
            <v>931</v>
          </cell>
          <cell r="C2566">
            <v>813200</v>
          </cell>
          <cell r="D2566">
            <v>1</v>
          </cell>
          <cell r="F2566" t="str">
            <v xml:space="preserve">שלטים לבי"ס       </v>
          </cell>
          <cell r="G2566" t="str">
            <v>גמיש</v>
          </cell>
          <cell r="H2566">
            <v>-3.978052126200271E-2</v>
          </cell>
          <cell r="I2566">
            <v>7000</v>
          </cell>
          <cell r="J2566">
            <v>7290</v>
          </cell>
          <cell r="K2566">
            <v>7111.4</v>
          </cell>
          <cell r="L2566">
            <v>8100</v>
          </cell>
          <cell r="M2566">
            <v>1873.2</v>
          </cell>
        </row>
        <row r="2567">
          <cell r="A2567">
            <v>1813200932</v>
          </cell>
          <cell r="B2567">
            <v>932</v>
          </cell>
          <cell r="C2567">
            <v>813200</v>
          </cell>
          <cell r="D2567">
            <v>1</v>
          </cell>
          <cell r="F2567" t="str">
            <v>תוס' דיפרנצ' נהול עצמי-מהכ'</v>
          </cell>
          <cell r="G2567" t="str">
            <v>קשיח</v>
          </cell>
          <cell r="H2567">
            <v>-5.3913945049248291E-2</v>
          </cell>
          <cell r="I2567">
            <v>730000</v>
          </cell>
          <cell r="J2567">
            <v>771600</v>
          </cell>
          <cell r="K2567">
            <v>407016</v>
          </cell>
          <cell r="L2567">
            <v>771600</v>
          </cell>
          <cell r="M2567">
            <v>724201</v>
          </cell>
        </row>
        <row r="2568">
          <cell r="A2568">
            <v>1813200933</v>
          </cell>
          <cell r="B2568">
            <v>933</v>
          </cell>
          <cell r="C2568">
            <v>813200</v>
          </cell>
          <cell r="D2568">
            <v>1</v>
          </cell>
          <cell r="F2568" t="str">
            <v>פרויקטים בהשת.מ.חנ</v>
          </cell>
          <cell r="G2568" t="str">
            <v>קשיח</v>
          </cell>
          <cell r="H2568">
            <v>-0.24242424242424243</v>
          </cell>
          <cell r="I2568">
            <v>50000</v>
          </cell>
          <cell r="J2568">
            <v>66000</v>
          </cell>
          <cell r="K2568">
            <v>0</v>
          </cell>
          <cell r="L2568">
            <v>250000</v>
          </cell>
          <cell r="M2568">
            <v>7576</v>
          </cell>
        </row>
        <row r="2569">
          <cell r="A2569">
            <v>1813200935</v>
          </cell>
          <cell r="B2569">
            <v>935</v>
          </cell>
          <cell r="C2569">
            <v>813200</v>
          </cell>
          <cell r="D2569">
            <v>1</v>
          </cell>
          <cell r="F2569" t="str">
            <v>שגרירי הל"ב מפתח הל"ב</v>
          </cell>
          <cell r="G2569" t="str">
            <v>קשיח</v>
          </cell>
          <cell r="H2569">
            <v>-1</v>
          </cell>
          <cell r="I2569">
            <v>0</v>
          </cell>
          <cell r="J2569">
            <v>27000</v>
          </cell>
          <cell r="K2569">
            <v>0</v>
          </cell>
          <cell r="L2569">
            <v>27000</v>
          </cell>
          <cell r="M2569">
            <v>0</v>
          </cell>
        </row>
        <row r="2570">
          <cell r="A2570">
            <v>1813200953</v>
          </cell>
          <cell r="B2570">
            <v>953</v>
          </cell>
          <cell r="C2570">
            <v>813200</v>
          </cell>
          <cell r="D2570">
            <v>1</v>
          </cell>
          <cell r="F2570" t="str">
            <v>מערכת גפ"ן</v>
          </cell>
          <cell r="G2570" t="str">
            <v>קשיח</v>
          </cell>
          <cell r="H2570">
            <v>0</v>
          </cell>
          <cell r="I2570">
            <v>4200000</v>
          </cell>
          <cell r="J2570">
            <v>4200000</v>
          </cell>
          <cell r="K2570">
            <v>2640430.9</v>
          </cell>
          <cell r="L2570">
            <v>4200000</v>
          </cell>
          <cell r="M2570">
            <v>4346626.3099999996</v>
          </cell>
        </row>
        <row r="2571">
          <cell r="A2571">
            <v>1813200954</v>
          </cell>
          <cell r="B2571">
            <v>954</v>
          </cell>
          <cell r="C2571">
            <v>813200</v>
          </cell>
          <cell r="D2571">
            <v>1</v>
          </cell>
          <cell r="F2571" t="str">
            <v>גפ"ן בית ספרי יסודי</v>
          </cell>
          <cell r="G2571" t="str">
            <v>קשיח</v>
          </cell>
          <cell r="H2571">
            <v>0.14500000000000002</v>
          </cell>
          <cell r="I2571">
            <v>22900000</v>
          </cell>
          <cell r="J2571">
            <v>20000000</v>
          </cell>
          <cell r="K2571">
            <v>0</v>
          </cell>
          <cell r="L2571">
            <v>20000000</v>
          </cell>
          <cell r="M2571">
            <v>16465579.869999999</v>
          </cell>
        </row>
        <row r="2572">
          <cell r="A2572">
            <v>1813200961</v>
          </cell>
          <cell r="B2572">
            <v>961</v>
          </cell>
          <cell r="C2572">
            <v>813200</v>
          </cell>
          <cell r="D2572">
            <v>1</v>
          </cell>
          <cell r="F2572" t="str">
            <v>רז' פעולות ורכישות</v>
          </cell>
          <cell r="G2572" t="str">
            <v>גמיש</v>
          </cell>
          <cell r="H2572">
            <v>0</v>
          </cell>
          <cell r="I2572">
            <v>51300</v>
          </cell>
          <cell r="J2572">
            <v>51300</v>
          </cell>
          <cell r="K2572">
            <v>51270.13</v>
          </cell>
          <cell r="L2572">
            <v>51300</v>
          </cell>
          <cell r="M2572">
            <v>46949.1</v>
          </cell>
        </row>
        <row r="2573">
          <cell r="A2573" t="e">
            <v>#VALUE!</v>
          </cell>
          <cell r="B2573" t="str">
            <v>813200  סך הכל</v>
          </cell>
          <cell r="F2573" t="str">
            <v xml:space="preserve">בתי ספר יסודיים   </v>
          </cell>
          <cell r="H2573">
            <v>7.8658505488014674E-2</v>
          </cell>
          <cell r="I2573">
            <v>152708640.14624327</v>
          </cell>
          <cell r="J2573">
            <v>141572740</v>
          </cell>
          <cell r="K2573">
            <v>66289609.739999995</v>
          </cell>
          <cell r="L2573">
            <v>109842700</v>
          </cell>
          <cell r="M2573">
            <v>115073217.90000002</v>
          </cell>
        </row>
        <row r="2574">
          <cell r="A2574">
            <v>18132010</v>
          </cell>
          <cell r="B2574">
            <v>0</v>
          </cell>
          <cell r="C2574">
            <v>813201</v>
          </cell>
          <cell r="D2574">
            <v>1</v>
          </cell>
          <cell r="F2574" t="str">
            <v>בתי ספר של קיץ + ניצנים</v>
          </cell>
          <cell r="G2574" t="str">
            <v xml:space="preserve"> </v>
          </cell>
        </row>
        <row r="2575">
          <cell r="A2575">
            <v>1813201423</v>
          </cell>
          <cell r="B2575">
            <v>423</v>
          </cell>
          <cell r="C2575">
            <v>813201</v>
          </cell>
          <cell r="D2575">
            <v>1</v>
          </cell>
          <cell r="F2575" t="str">
            <v>הוצאות תקורות צהרונים</v>
          </cell>
          <cell r="G2575" t="str">
            <v>קשיח</v>
          </cell>
          <cell r="I2575">
            <v>1164500</v>
          </cell>
          <cell r="J2575">
            <v>0</v>
          </cell>
          <cell r="K2575">
            <v>0</v>
          </cell>
          <cell r="L2575">
            <v>0</v>
          </cell>
          <cell r="M2575">
            <v>0</v>
          </cell>
        </row>
        <row r="2576">
          <cell r="A2576">
            <v>1813201761</v>
          </cell>
          <cell r="B2576">
            <v>761</v>
          </cell>
          <cell r="C2576">
            <v>813201</v>
          </cell>
          <cell r="D2576">
            <v>1</v>
          </cell>
          <cell r="F2576" t="str">
            <v>ניצנים יסודי - גביה מהורים</v>
          </cell>
          <cell r="G2576" t="str">
            <v>קשיח</v>
          </cell>
          <cell r="H2576">
            <v>-1</v>
          </cell>
          <cell r="I2576">
            <v>0</v>
          </cell>
          <cell r="J2576">
            <v>13000000</v>
          </cell>
          <cell r="K2576">
            <v>0</v>
          </cell>
          <cell r="L2576">
            <v>13000000</v>
          </cell>
          <cell r="M2576">
            <v>8155542</v>
          </cell>
        </row>
        <row r="2577">
          <cell r="A2577">
            <v>1813201780</v>
          </cell>
          <cell r="B2577">
            <v>780</v>
          </cell>
          <cell r="C2577">
            <v>813201</v>
          </cell>
          <cell r="D2577">
            <v>1</v>
          </cell>
          <cell r="F2577" t="str">
            <v>פע' ביה"ס בחופשה הגדולה</v>
          </cell>
          <cell r="G2577" t="str">
            <v>גמיש</v>
          </cell>
          <cell r="H2577">
            <v>-2.525252525252486E-3</v>
          </cell>
          <cell r="I2577">
            <v>790000</v>
          </cell>
          <cell r="J2577">
            <v>792000</v>
          </cell>
          <cell r="K2577">
            <v>286037.07</v>
          </cell>
          <cell r="L2577">
            <v>630000</v>
          </cell>
          <cell r="M2577">
            <v>599858.93999999994</v>
          </cell>
        </row>
        <row r="2578">
          <cell r="A2578">
            <v>1813201810</v>
          </cell>
          <cell r="B2578">
            <v>810</v>
          </cell>
          <cell r="C2578">
            <v>813201</v>
          </cell>
          <cell r="D2578">
            <v>1</v>
          </cell>
          <cell r="F2578" t="str">
            <v>צהרונים - ניצנים  ממשה"ח</v>
          </cell>
          <cell r="G2578" t="str">
            <v>קשיח</v>
          </cell>
          <cell r="H2578">
            <v>0.22093023255813948</v>
          </cell>
          <cell r="I2578">
            <v>10500000</v>
          </cell>
          <cell r="J2578">
            <v>8600000</v>
          </cell>
          <cell r="K2578">
            <v>5263909.34</v>
          </cell>
          <cell r="L2578">
            <v>8600000</v>
          </cell>
          <cell r="M2578">
            <v>10490643.65</v>
          </cell>
        </row>
        <row r="2579">
          <cell r="A2579">
            <v>1813201840</v>
          </cell>
          <cell r="B2579">
            <v>840</v>
          </cell>
          <cell r="C2579">
            <v>813201</v>
          </cell>
          <cell r="D2579">
            <v>1</v>
          </cell>
          <cell r="F2579" t="str">
            <v>השתתפות עירונית בקייטנות</v>
          </cell>
          <cell r="G2579" t="str">
            <v>גמיש</v>
          </cell>
          <cell r="H2579">
            <v>0</v>
          </cell>
          <cell r="I2579">
            <v>1620000</v>
          </cell>
          <cell r="J2579">
            <v>1620000</v>
          </cell>
          <cell r="K2579">
            <v>78000</v>
          </cell>
          <cell r="L2579">
            <v>2700000</v>
          </cell>
          <cell r="M2579">
            <v>6019999.2000000002</v>
          </cell>
        </row>
        <row r="2580">
          <cell r="A2580">
            <v>1813201841</v>
          </cell>
          <cell r="B2580">
            <v>841</v>
          </cell>
          <cell r="C2580">
            <v>813201</v>
          </cell>
          <cell r="D2580">
            <v>1</v>
          </cell>
          <cell r="F2580" t="str">
            <v>מסגרות קיץ (לרשת) ממשה"ח</v>
          </cell>
          <cell r="G2580" t="str">
            <v>קשיח</v>
          </cell>
          <cell r="H2580">
            <v>0.12751127511275118</v>
          </cell>
          <cell r="I2580">
            <v>5500000</v>
          </cell>
          <cell r="J2580">
            <v>4878000</v>
          </cell>
          <cell r="K2580">
            <v>0</v>
          </cell>
          <cell r="L2580">
            <v>4878000</v>
          </cell>
          <cell r="M2580">
            <v>6972187.9100000001</v>
          </cell>
        </row>
        <row r="2581">
          <cell r="A2581">
            <v>1813201842</v>
          </cell>
          <cell r="B2581">
            <v>842</v>
          </cell>
          <cell r="C2581">
            <v>813201</v>
          </cell>
          <cell r="D2581">
            <v>1</v>
          </cell>
          <cell r="F2581" t="str">
            <v>מסגרות קיץ - מוכש"ר</v>
          </cell>
          <cell r="G2581" t="str">
            <v>קשיח</v>
          </cell>
          <cell r="H2581">
            <v>-1</v>
          </cell>
          <cell r="I2581">
            <v>0</v>
          </cell>
          <cell r="J2581">
            <v>150000</v>
          </cell>
          <cell r="K2581">
            <v>0</v>
          </cell>
          <cell r="L2581">
            <v>150000</v>
          </cell>
          <cell r="M2581">
            <v>0</v>
          </cell>
        </row>
        <row r="2582">
          <cell r="A2582">
            <v>1813201843</v>
          </cell>
          <cell r="B2582">
            <v>843</v>
          </cell>
          <cell r="C2582">
            <v>813201</v>
          </cell>
          <cell r="D2582">
            <v>1</v>
          </cell>
          <cell r="F2582" t="str">
            <v>ניקיון בצהרונים</v>
          </cell>
          <cell r="G2582" t="str">
            <v>גמיש</v>
          </cell>
          <cell r="H2582">
            <v>0.95555555555555549</v>
          </cell>
          <cell r="I2582">
            <v>528000</v>
          </cell>
          <cell r="J2582">
            <v>270000</v>
          </cell>
          <cell r="K2582">
            <v>173348</v>
          </cell>
          <cell r="L2582">
            <v>0</v>
          </cell>
          <cell r="M2582">
            <v>159340.20000000001</v>
          </cell>
        </row>
        <row r="2583">
          <cell r="A2583">
            <v>1813201844</v>
          </cell>
          <cell r="B2583">
            <v>844</v>
          </cell>
          <cell r="C2583">
            <v>813201</v>
          </cell>
          <cell r="D2583">
            <v>1</v>
          </cell>
          <cell r="F2583" t="str">
            <v>צהרונים יוזמות</v>
          </cell>
          <cell r="G2583" t="str">
            <v>גמיש</v>
          </cell>
          <cell r="I2583">
            <v>50000</v>
          </cell>
          <cell r="J2583">
            <v>0</v>
          </cell>
          <cell r="K2583">
            <v>0</v>
          </cell>
          <cell r="L2583">
            <v>0</v>
          </cell>
          <cell r="M2583">
            <v>0</v>
          </cell>
        </row>
        <row r="2584">
          <cell r="A2584" t="e">
            <v>#VALUE!</v>
          </cell>
          <cell r="B2584" t="str">
            <v>813201  סך הכל</v>
          </cell>
          <cell r="F2584" t="str">
            <v>בתי ספר של הקיץ</v>
          </cell>
          <cell r="H2584">
            <v>-0.31243602865916065</v>
          </cell>
          <cell r="I2584">
            <v>20152500</v>
          </cell>
          <cell r="J2584">
            <v>29310000</v>
          </cell>
          <cell r="K2584">
            <v>5801294.4100000001</v>
          </cell>
          <cell r="L2584">
            <v>29958000</v>
          </cell>
          <cell r="M2584">
            <v>32397571.899999999</v>
          </cell>
        </row>
        <row r="2585">
          <cell r="A2585">
            <v>18133000</v>
          </cell>
          <cell r="B2585">
            <v>0</v>
          </cell>
          <cell r="C2585">
            <v>813300</v>
          </cell>
          <cell r="D2585">
            <v>1</v>
          </cell>
          <cell r="F2585" t="str">
            <v xml:space="preserve">חינוך מיוחד       </v>
          </cell>
          <cell r="G2585" t="str">
            <v xml:space="preserve"> </v>
          </cell>
        </row>
        <row r="2586">
          <cell r="A2586">
            <v>1813300110</v>
          </cell>
          <cell r="B2586">
            <v>110</v>
          </cell>
          <cell r="C2586">
            <v>813300</v>
          </cell>
          <cell r="D2586">
            <v>1</v>
          </cell>
          <cell r="F2586" t="str">
            <v>השכר הקובע-תקציבית</v>
          </cell>
          <cell r="G2586" t="str">
            <v>שכר</v>
          </cell>
          <cell r="H2586">
            <v>2.4999999999999911E-2</v>
          </cell>
          <cell r="I2586">
            <v>315700</v>
          </cell>
          <cell r="J2586">
            <v>308000</v>
          </cell>
          <cell r="K2586">
            <v>91975.9</v>
          </cell>
          <cell r="L2586">
            <v>242000</v>
          </cell>
          <cell r="M2586">
            <v>305844.47999999998</v>
          </cell>
        </row>
        <row r="2587">
          <cell r="A2587">
            <v>1813300119</v>
          </cell>
          <cell r="B2587">
            <v>119</v>
          </cell>
          <cell r="C2587">
            <v>813300</v>
          </cell>
          <cell r="D2587">
            <v>1</v>
          </cell>
          <cell r="F2587" t="str">
            <v xml:space="preserve">השכר הקובע-צוברת  </v>
          </cell>
          <cell r="G2587" t="str">
            <v>שכר</v>
          </cell>
          <cell r="H2587">
            <v>0.23262163826729609</v>
          </cell>
          <cell r="I2587">
            <v>1801229.9999999998</v>
          </cell>
          <cell r="J2587">
            <v>1461300</v>
          </cell>
          <cell r="K2587">
            <v>764739.96</v>
          </cell>
          <cell r="L2587">
            <v>1432600</v>
          </cell>
          <cell r="M2587">
            <v>1223376.6000000001</v>
          </cell>
        </row>
        <row r="2588">
          <cell r="A2588">
            <v>1813300122</v>
          </cell>
          <cell r="B2588">
            <v>122</v>
          </cell>
          <cell r="C2588">
            <v>813300</v>
          </cell>
          <cell r="D2588">
            <v>1</v>
          </cell>
          <cell r="F2588" t="str">
            <v xml:space="preserve">ביגוד             </v>
          </cell>
          <cell r="G2588" t="str">
            <v>שכר</v>
          </cell>
          <cell r="H2588">
            <v>1.8203331209611262E-2</v>
          </cell>
          <cell r="I2588">
            <v>21789.551287885683</v>
          </cell>
          <cell r="J2588">
            <v>21400</v>
          </cell>
          <cell r="K2588">
            <v>19280.400000000001</v>
          </cell>
          <cell r="L2588">
            <v>23400</v>
          </cell>
          <cell r="M2588">
            <v>21703.68</v>
          </cell>
        </row>
        <row r="2589">
          <cell r="A2589">
            <v>1813300126</v>
          </cell>
          <cell r="B2589">
            <v>126</v>
          </cell>
          <cell r="C2589">
            <v>813300</v>
          </cell>
          <cell r="D2589">
            <v>1</v>
          </cell>
          <cell r="F2589" t="str">
            <v xml:space="preserve">דמי הבראה         </v>
          </cell>
          <cell r="G2589" t="str">
            <v>שכר</v>
          </cell>
          <cell r="H2589">
            <v>1.8162514883080849E-2</v>
          </cell>
          <cell r="I2589">
            <v>49889.963229270958</v>
          </cell>
          <cell r="J2589">
            <v>49000</v>
          </cell>
          <cell r="K2589">
            <v>46141.21</v>
          </cell>
          <cell r="L2589">
            <v>47000</v>
          </cell>
          <cell r="M2589">
            <v>62786.239999999998</v>
          </cell>
        </row>
        <row r="2590">
          <cell r="A2590">
            <v>1813300130</v>
          </cell>
          <cell r="B2590">
            <v>130</v>
          </cell>
          <cell r="C2590">
            <v>813300</v>
          </cell>
          <cell r="D2590">
            <v>1</v>
          </cell>
          <cell r="F2590" t="str">
            <v xml:space="preserve">שעות נוספות       </v>
          </cell>
          <cell r="G2590" t="str">
            <v>שכר</v>
          </cell>
          <cell r="H2590">
            <v>0</v>
          </cell>
          <cell r="I2590">
            <v>4300</v>
          </cell>
          <cell r="J2590">
            <v>4300</v>
          </cell>
          <cell r="K2590">
            <v>1357.88</v>
          </cell>
          <cell r="L2590">
            <v>5000</v>
          </cell>
          <cell r="M2590">
            <v>4063.7</v>
          </cell>
        </row>
        <row r="2591">
          <cell r="A2591">
            <v>1813300140</v>
          </cell>
          <cell r="B2591">
            <v>140</v>
          </cell>
          <cell r="C2591">
            <v>813300</v>
          </cell>
          <cell r="D2591">
            <v>1</v>
          </cell>
          <cell r="F2591" t="str">
            <v>השתתפות באחזקת רכב</v>
          </cell>
          <cell r="G2591" t="str">
            <v>שכר</v>
          </cell>
          <cell r="H2591">
            <v>0</v>
          </cell>
          <cell r="I2591">
            <v>126100</v>
          </cell>
          <cell r="J2591">
            <v>126100</v>
          </cell>
          <cell r="K2591">
            <v>55888.24</v>
          </cell>
          <cell r="L2591">
            <v>126100</v>
          </cell>
          <cell r="M2591">
            <v>117642.6</v>
          </cell>
        </row>
        <row r="2592">
          <cell r="A2592">
            <v>1813300210</v>
          </cell>
          <cell r="B2592">
            <v>210</v>
          </cell>
          <cell r="C2592">
            <v>813300</v>
          </cell>
          <cell r="D2592">
            <v>1</v>
          </cell>
          <cell r="F2592" t="str">
            <v xml:space="preserve">השכר הקובע        </v>
          </cell>
          <cell r="G2592" t="str">
            <v>שכר</v>
          </cell>
          <cell r="H2592">
            <v>0.33333333333333326</v>
          </cell>
          <cell r="I2592">
            <v>80000</v>
          </cell>
          <cell r="J2592">
            <v>60000</v>
          </cell>
          <cell r="K2592">
            <v>43484.74</v>
          </cell>
          <cell r="L2592">
            <v>70000</v>
          </cell>
          <cell r="M2592">
            <v>41303.71</v>
          </cell>
        </row>
        <row r="2593">
          <cell r="A2593">
            <v>1813300263</v>
          </cell>
          <cell r="B2593">
            <v>263</v>
          </cell>
          <cell r="C2593">
            <v>813300</v>
          </cell>
          <cell r="D2593">
            <v>1</v>
          </cell>
          <cell r="F2593" t="str">
            <v xml:space="preserve">עובדי מינהלה      </v>
          </cell>
          <cell r="G2593" t="str">
            <v>שכר</v>
          </cell>
          <cell r="H2593">
            <v>0</v>
          </cell>
          <cell r="I2593">
            <v>30000</v>
          </cell>
          <cell r="J2593">
            <v>30000</v>
          </cell>
          <cell r="K2593">
            <v>2723.9</v>
          </cell>
          <cell r="L2593">
            <v>0</v>
          </cell>
          <cell r="M2593">
            <v>30892.75</v>
          </cell>
        </row>
        <row r="2594">
          <cell r="A2594">
            <v>1813300420</v>
          </cell>
          <cell r="B2594">
            <v>420</v>
          </cell>
          <cell r="C2594">
            <v>813300</v>
          </cell>
          <cell r="D2594">
            <v>1</v>
          </cell>
          <cell r="F2594" t="str">
            <v xml:space="preserve">כיבוי אש          </v>
          </cell>
          <cell r="G2594" t="str">
            <v>קשיח</v>
          </cell>
          <cell r="H2594">
            <v>0.11111111111111116</v>
          </cell>
          <cell r="I2594">
            <v>16000</v>
          </cell>
          <cell r="J2594">
            <v>14400</v>
          </cell>
          <cell r="K2594">
            <v>13779.1</v>
          </cell>
          <cell r="L2594">
            <v>16000</v>
          </cell>
          <cell r="M2594">
            <v>14201.12</v>
          </cell>
        </row>
        <row r="2595">
          <cell r="A2595">
            <v>1813300423</v>
          </cell>
          <cell r="B2595">
            <v>423</v>
          </cell>
          <cell r="C2595">
            <v>813300</v>
          </cell>
          <cell r="D2595">
            <v>1</v>
          </cell>
          <cell r="F2595" t="str">
            <v xml:space="preserve">תחזוקת מבנה       </v>
          </cell>
          <cell r="G2595" t="str">
            <v>קשיח</v>
          </cell>
          <cell r="H2595">
            <v>8.6235489220563899E-2</v>
          </cell>
          <cell r="I2595">
            <v>131000</v>
          </cell>
          <cell r="J2595">
            <v>120600</v>
          </cell>
          <cell r="K2595">
            <v>0</v>
          </cell>
          <cell r="L2595">
            <v>120000</v>
          </cell>
          <cell r="M2595">
            <v>120000</v>
          </cell>
        </row>
        <row r="2596">
          <cell r="A2596">
            <v>1813300431</v>
          </cell>
          <cell r="B2596">
            <v>431</v>
          </cell>
          <cell r="C2596">
            <v>813300</v>
          </cell>
          <cell r="D2596">
            <v>1</v>
          </cell>
          <cell r="F2596" t="str">
            <v xml:space="preserve">חשמל              </v>
          </cell>
          <cell r="G2596" t="str">
            <v>קשיח</v>
          </cell>
          <cell r="H2596">
            <v>-9.9909990999099918E-2</v>
          </cell>
          <cell r="I2596">
            <v>200000</v>
          </cell>
          <cell r="J2596">
            <v>222200</v>
          </cell>
          <cell r="K2596">
            <v>64513.07</v>
          </cell>
          <cell r="L2596">
            <v>220000</v>
          </cell>
          <cell r="M2596">
            <v>137114.19</v>
          </cell>
        </row>
        <row r="2597">
          <cell r="A2597">
            <v>1813300432</v>
          </cell>
          <cell r="B2597">
            <v>432</v>
          </cell>
          <cell r="C2597">
            <v>813300</v>
          </cell>
          <cell r="D2597">
            <v>1</v>
          </cell>
          <cell r="F2597" t="str">
            <v xml:space="preserve">מים               </v>
          </cell>
          <cell r="G2597" t="str">
            <v>קשיח</v>
          </cell>
          <cell r="H2597">
            <v>4.9019607843137081E-3</v>
          </cell>
          <cell r="I2597">
            <v>123000</v>
          </cell>
          <cell r="J2597">
            <v>122400</v>
          </cell>
          <cell r="K2597">
            <v>-523.05999999999995</v>
          </cell>
          <cell r="L2597">
            <v>122400</v>
          </cell>
          <cell r="M2597">
            <v>122399.23</v>
          </cell>
        </row>
        <row r="2598">
          <cell r="A2598">
            <v>1813300434</v>
          </cell>
          <cell r="B2598">
            <v>434</v>
          </cell>
          <cell r="C2598">
            <v>813300</v>
          </cell>
          <cell r="D2598">
            <v>1</v>
          </cell>
          <cell r="F2598" t="str">
            <v xml:space="preserve">חיטוי והדברה      </v>
          </cell>
          <cell r="G2598" t="str">
            <v>גמיש</v>
          </cell>
          <cell r="H2598">
            <v>-1</v>
          </cell>
          <cell r="I2598">
            <v>0</v>
          </cell>
          <cell r="J2598">
            <v>450</v>
          </cell>
          <cell r="K2598">
            <v>0</v>
          </cell>
          <cell r="L2598">
            <v>500</v>
          </cell>
          <cell r="M2598">
            <v>0</v>
          </cell>
        </row>
        <row r="2599">
          <cell r="A2599">
            <v>1813300437</v>
          </cell>
          <cell r="B2599">
            <v>437</v>
          </cell>
          <cell r="C2599">
            <v>813300</v>
          </cell>
          <cell r="D2599">
            <v>1</v>
          </cell>
          <cell r="F2599" t="str">
            <v xml:space="preserve">אחזקת אזעקה       </v>
          </cell>
          <cell r="G2599" t="str">
            <v>קשיח</v>
          </cell>
          <cell r="H2599">
            <v>0</v>
          </cell>
          <cell r="I2599">
            <v>8400</v>
          </cell>
          <cell r="J2599">
            <v>8400</v>
          </cell>
          <cell r="K2599">
            <v>2463.84</v>
          </cell>
          <cell r="L2599">
            <v>8400</v>
          </cell>
          <cell r="M2599">
            <v>6107.4</v>
          </cell>
        </row>
        <row r="2600">
          <cell r="A2600">
            <v>1813300450</v>
          </cell>
          <cell r="B2600">
            <v>450</v>
          </cell>
          <cell r="C2600">
            <v>813300</v>
          </cell>
          <cell r="D2600">
            <v>1</v>
          </cell>
          <cell r="F2600" t="str">
            <v>אחזקת תמי 4</v>
          </cell>
          <cell r="G2600" t="str">
            <v>קשיח</v>
          </cell>
          <cell r="H2600">
            <v>0</v>
          </cell>
          <cell r="I2600">
            <v>1200</v>
          </cell>
          <cell r="J2600">
            <v>1200</v>
          </cell>
          <cell r="K2600">
            <v>0</v>
          </cell>
          <cell r="L2600">
            <v>1200</v>
          </cell>
          <cell r="M2600">
            <v>0</v>
          </cell>
        </row>
        <row r="2601">
          <cell r="A2601">
            <v>1813300511</v>
          </cell>
          <cell r="B2601">
            <v>511</v>
          </cell>
          <cell r="C2601">
            <v>813300</v>
          </cell>
          <cell r="D2601">
            <v>1</v>
          </cell>
          <cell r="F2601" t="str">
            <v xml:space="preserve">אירוח וכיבוד      </v>
          </cell>
          <cell r="G2601" t="str">
            <v>גמיש</v>
          </cell>
          <cell r="H2601">
            <v>0.35680234690135681</v>
          </cell>
          <cell r="I2601">
            <v>37000</v>
          </cell>
          <cell r="J2601">
            <v>27270</v>
          </cell>
          <cell r="K2601">
            <v>0</v>
          </cell>
          <cell r="L2601">
            <v>30000</v>
          </cell>
          <cell r="M2601">
            <v>36381.31</v>
          </cell>
        </row>
        <row r="2602">
          <cell r="A2602">
            <v>1813300580</v>
          </cell>
          <cell r="B2602">
            <v>580</v>
          </cell>
          <cell r="C2602">
            <v>813300</v>
          </cell>
          <cell r="D2602">
            <v>1</v>
          </cell>
          <cell r="F2602" t="str">
            <v>בי"ס לבעיות התנהגות</v>
          </cell>
          <cell r="G2602" t="str">
            <v>קשיח</v>
          </cell>
          <cell r="H2602">
            <v>0</v>
          </cell>
          <cell r="I2602">
            <v>100000</v>
          </cell>
          <cell r="J2602">
            <v>100000</v>
          </cell>
          <cell r="K2602">
            <v>24265.9</v>
          </cell>
          <cell r="L2602">
            <v>100000</v>
          </cell>
          <cell r="M2602">
            <v>96593.81</v>
          </cell>
        </row>
        <row r="2603">
          <cell r="A2603">
            <v>1813300721</v>
          </cell>
          <cell r="B2603">
            <v>721</v>
          </cell>
          <cell r="C2603">
            <v>813300</v>
          </cell>
          <cell r="D2603">
            <v>1</v>
          </cell>
          <cell r="F2603" t="str">
            <v>חמרים-תחזוקת מבנים</v>
          </cell>
          <cell r="G2603" t="str">
            <v>גמיש</v>
          </cell>
          <cell r="I2603">
            <v>0</v>
          </cell>
          <cell r="J2603">
            <v>0</v>
          </cell>
          <cell r="K2603">
            <v>0</v>
          </cell>
          <cell r="L2603">
            <v>7000</v>
          </cell>
          <cell r="M2603">
            <v>0</v>
          </cell>
        </row>
        <row r="2604">
          <cell r="A2604">
            <v>1813300724</v>
          </cell>
          <cell r="B2604">
            <v>724</v>
          </cell>
          <cell r="C2604">
            <v>813300</v>
          </cell>
          <cell r="D2604">
            <v>1</v>
          </cell>
          <cell r="F2604" t="str">
            <v xml:space="preserve">הוצאות ייצור חלץ  </v>
          </cell>
          <cell r="G2604" t="str">
            <v>גמיש</v>
          </cell>
          <cell r="H2604">
            <v>0.11111111111111116</v>
          </cell>
          <cell r="I2604">
            <v>110000</v>
          </cell>
          <cell r="J2604">
            <v>99000</v>
          </cell>
          <cell r="K2604">
            <v>63000</v>
          </cell>
          <cell r="L2604">
            <v>110000</v>
          </cell>
          <cell r="M2604">
            <v>110000</v>
          </cell>
        </row>
        <row r="2605">
          <cell r="A2605">
            <v>1813300728</v>
          </cell>
          <cell r="B2605">
            <v>728</v>
          </cell>
          <cell r="C2605">
            <v>813300</v>
          </cell>
          <cell r="D2605">
            <v>1</v>
          </cell>
          <cell r="F2605" t="str">
            <v xml:space="preserve">מרכז טיפולי אפיק  </v>
          </cell>
          <cell r="G2605" t="str">
            <v>גמיש</v>
          </cell>
          <cell r="H2605">
            <v>-1</v>
          </cell>
          <cell r="I2605">
            <v>0</v>
          </cell>
          <cell r="J2605">
            <v>13500</v>
          </cell>
          <cell r="K2605">
            <v>0</v>
          </cell>
          <cell r="L2605">
            <v>15000</v>
          </cell>
          <cell r="M2605">
            <v>0</v>
          </cell>
        </row>
        <row r="2606">
          <cell r="A2606">
            <v>1813300741</v>
          </cell>
          <cell r="B2606">
            <v>741</v>
          </cell>
          <cell r="C2606">
            <v>813300</v>
          </cell>
          <cell r="D2606">
            <v>1</v>
          </cell>
          <cell r="F2606" t="str">
            <v xml:space="preserve">ציוד ספורט        </v>
          </cell>
          <cell r="G2606" t="str">
            <v>גמיש</v>
          </cell>
          <cell r="H2606">
            <v>-1</v>
          </cell>
          <cell r="I2606">
            <v>0</v>
          </cell>
          <cell r="J2606">
            <v>4320</v>
          </cell>
          <cell r="K2606">
            <v>0</v>
          </cell>
          <cell r="L2606">
            <v>4800</v>
          </cell>
          <cell r="M2606">
            <v>0</v>
          </cell>
        </row>
        <row r="2607">
          <cell r="A2607">
            <v>1813300742</v>
          </cell>
          <cell r="B2607">
            <v>742</v>
          </cell>
          <cell r="C2607">
            <v>813300</v>
          </cell>
          <cell r="D2607">
            <v>1</v>
          </cell>
          <cell r="F2607" t="str">
            <v xml:space="preserve">כלים וציוד        </v>
          </cell>
          <cell r="G2607" t="str">
            <v>גמיש</v>
          </cell>
          <cell r="H2607">
            <v>0.11111111111111116</v>
          </cell>
          <cell r="I2607">
            <v>40000</v>
          </cell>
          <cell r="J2607">
            <v>36000</v>
          </cell>
          <cell r="K2607">
            <v>4827.62</v>
          </cell>
          <cell r="L2607">
            <v>40000</v>
          </cell>
          <cell r="M2607">
            <v>39255.07</v>
          </cell>
        </row>
        <row r="2608">
          <cell r="A2608">
            <v>1813300750</v>
          </cell>
          <cell r="B2608">
            <v>750</v>
          </cell>
          <cell r="C2608">
            <v>813300</v>
          </cell>
          <cell r="D2608">
            <v>1</v>
          </cell>
          <cell r="F2608" t="str">
            <v>אחזקת מוסדות</v>
          </cell>
          <cell r="G2608" t="str">
            <v>קשיח</v>
          </cell>
          <cell r="H2608">
            <v>-2.0896742833780291E-3</v>
          </cell>
          <cell r="I2608">
            <v>2196700</v>
          </cell>
          <cell r="J2608">
            <v>2201300</v>
          </cell>
          <cell r="K2608">
            <v>1279535</v>
          </cell>
          <cell r="L2608">
            <v>1480000</v>
          </cell>
          <cell r="M2608">
            <v>1583769</v>
          </cell>
        </row>
        <row r="2609">
          <cell r="A2609">
            <v>1813300751</v>
          </cell>
          <cell r="B2609">
            <v>751</v>
          </cell>
          <cell r="C2609">
            <v>813300</v>
          </cell>
          <cell r="D2609">
            <v>1</v>
          </cell>
          <cell r="F2609" t="str">
            <v xml:space="preserve">עבודות קבלניות    </v>
          </cell>
          <cell r="G2609" t="str">
            <v>גמיש</v>
          </cell>
          <cell r="I2609">
            <v>0</v>
          </cell>
          <cell r="J2609">
            <v>0</v>
          </cell>
          <cell r="K2609">
            <v>0</v>
          </cell>
          <cell r="L2609">
            <v>30000</v>
          </cell>
          <cell r="M2609">
            <v>23318</v>
          </cell>
        </row>
        <row r="2610">
          <cell r="A2610">
            <v>1813300752</v>
          </cell>
          <cell r="B2610">
            <v>752</v>
          </cell>
          <cell r="C2610">
            <v>813300</v>
          </cell>
          <cell r="D2610">
            <v>1</v>
          </cell>
          <cell r="F2610" t="str">
            <v xml:space="preserve">נקיון בקבלנות     </v>
          </cell>
          <cell r="G2610" t="str">
            <v>קשיח</v>
          </cell>
          <cell r="H2610">
            <v>4.4386422976501416E-2</v>
          </cell>
          <cell r="I2610">
            <v>1800000</v>
          </cell>
          <cell r="J2610">
            <v>1723500</v>
          </cell>
          <cell r="K2610">
            <v>965767.3</v>
          </cell>
          <cell r="L2610">
            <v>1423300</v>
          </cell>
          <cell r="M2610">
            <v>1423299.07</v>
          </cell>
        </row>
        <row r="2611">
          <cell r="A2611">
            <v>1813300759</v>
          </cell>
          <cell r="B2611">
            <v>759</v>
          </cell>
          <cell r="C2611">
            <v>813300</v>
          </cell>
          <cell r="D2611">
            <v>1</v>
          </cell>
          <cell r="F2611" t="str">
            <v>שרותי סייעות</v>
          </cell>
          <cell r="G2611" t="str">
            <v>גמיש</v>
          </cell>
          <cell r="H2611">
            <v>3.8705205202361315E-2</v>
          </cell>
          <cell r="I2611">
            <v>18280900</v>
          </cell>
          <cell r="J2611">
            <v>17599700</v>
          </cell>
          <cell r="K2611">
            <v>9606061.2799999993</v>
          </cell>
          <cell r="L2611">
            <v>14866300</v>
          </cell>
          <cell r="M2611">
            <v>17165226.77</v>
          </cell>
        </row>
        <row r="2612">
          <cell r="A2612">
            <v>1813300760</v>
          </cell>
          <cell r="B2612">
            <v>760</v>
          </cell>
          <cell r="C2612">
            <v>813300</v>
          </cell>
          <cell r="D2612">
            <v>1</v>
          </cell>
          <cell r="F2612" t="str">
            <v>תגבור סייעות חנ"מ</v>
          </cell>
          <cell r="G2612" t="str">
            <v>גמיש</v>
          </cell>
          <cell r="H2612" t="e">
            <v>#DIV/0!</v>
          </cell>
          <cell r="I2612">
            <v>600000</v>
          </cell>
          <cell r="J2612">
            <v>0</v>
          </cell>
          <cell r="K2612">
            <v>0</v>
          </cell>
          <cell r="L2612">
            <v>0</v>
          </cell>
          <cell r="M2612">
            <v>0</v>
          </cell>
        </row>
        <row r="2613">
          <cell r="A2613">
            <v>1813300780</v>
          </cell>
          <cell r="B2613">
            <v>780</v>
          </cell>
          <cell r="C2613">
            <v>813300</v>
          </cell>
          <cell r="D2613">
            <v>1</v>
          </cell>
          <cell r="F2613" t="str">
            <v>חוגים לחינוך מיוחד</v>
          </cell>
          <cell r="G2613" t="str">
            <v>גמיש</v>
          </cell>
          <cell r="H2613" t="e">
            <v>#DIV/0!</v>
          </cell>
          <cell r="I2613">
            <v>270000</v>
          </cell>
          <cell r="J2613">
            <v>0</v>
          </cell>
          <cell r="K2613">
            <v>0</v>
          </cell>
          <cell r="L2613">
            <v>0</v>
          </cell>
          <cell r="M2613">
            <v>0</v>
          </cell>
        </row>
        <row r="2614">
          <cell r="A2614">
            <v>1813300781</v>
          </cell>
          <cell r="B2614">
            <v>781</v>
          </cell>
          <cell r="C2614">
            <v>813300</v>
          </cell>
          <cell r="D2614">
            <v>1</v>
          </cell>
          <cell r="F2614" t="str">
            <v xml:space="preserve">השת' בהזנה        </v>
          </cell>
          <cell r="G2614" t="str">
            <v>קשיח</v>
          </cell>
          <cell r="H2614">
            <v>0.11007042253521138</v>
          </cell>
          <cell r="I2614">
            <v>3152600</v>
          </cell>
          <cell r="J2614">
            <v>2840000</v>
          </cell>
          <cell r="K2614">
            <v>2222946.2200000002</v>
          </cell>
          <cell r="L2614">
            <v>2532900</v>
          </cell>
          <cell r="M2614">
            <v>3035227.63</v>
          </cell>
        </row>
        <row r="2615">
          <cell r="A2615">
            <v>1813300782</v>
          </cell>
          <cell r="B2615">
            <v>782</v>
          </cell>
          <cell r="C2615">
            <v>813300</v>
          </cell>
          <cell r="D2615">
            <v>1</v>
          </cell>
          <cell r="F2615" t="str">
            <v>אתגרים</v>
          </cell>
          <cell r="G2615" t="str">
            <v>קשיח</v>
          </cell>
          <cell r="H2615">
            <v>0</v>
          </cell>
          <cell r="I2615">
            <v>75000</v>
          </cell>
          <cell r="J2615">
            <v>75000</v>
          </cell>
          <cell r="K2615">
            <v>0</v>
          </cell>
          <cell r="L2615">
            <v>75000</v>
          </cell>
          <cell r="M2615">
            <v>75000</v>
          </cell>
        </row>
        <row r="2616">
          <cell r="A2616">
            <v>1813300794</v>
          </cell>
          <cell r="B2616">
            <v>794</v>
          </cell>
          <cell r="C2616">
            <v>813300</v>
          </cell>
          <cell r="D2616">
            <v>1</v>
          </cell>
          <cell r="F2616" t="str">
            <v xml:space="preserve">השתתפות בעזר 094  </v>
          </cell>
          <cell r="G2616" t="str">
            <v>קשיח</v>
          </cell>
          <cell r="H2616">
            <v>8.5470085470085388E-2</v>
          </cell>
          <cell r="I2616">
            <v>38100</v>
          </cell>
          <cell r="J2616">
            <v>35100</v>
          </cell>
          <cell r="K2616">
            <v>16582</v>
          </cell>
          <cell r="L2616">
            <v>36000</v>
          </cell>
          <cell r="M2616">
            <v>42938</v>
          </cell>
        </row>
        <row r="2617">
          <cell r="A2617">
            <v>1813300810</v>
          </cell>
          <cell r="B2617">
            <v>810</v>
          </cell>
          <cell r="C2617">
            <v>813300</v>
          </cell>
          <cell r="D2617">
            <v>1</v>
          </cell>
          <cell r="F2617" t="str">
            <v xml:space="preserve">הקצבה-מינהל עצמי  </v>
          </cell>
          <cell r="G2617" t="str">
            <v>גמיש</v>
          </cell>
          <cell r="H2617">
            <v>0.11111111111111116</v>
          </cell>
          <cell r="I2617">
            <v>300000</v>
          </cell>
          <cell r="J2617">
            <v>270000</v>
          </cell>
          <cell r="K2617">
            <v>148500</v>
          </cell>
          <cell r="L2617">
            <v>300000</v>
          </cell>
          <cell r="M2617">
            <v>300000</v>
          </cell>
        </row>
        <row r="2618">
          <cell r="A2618">
            <v>1813300812</v>
          </cell>
          <cell r="B2618">
            <v>812</v>
          </cell>
          <cell r="C2618">
            <v>813300</v>
          </cell>
          <cell r="D2618">
            <v>1</v>
          </cell>
          <cell r="F2618" t="str">
            <v>מסיבות כיתתיות</v>
          </cell>
          <cell r="G2618" t="str">
            <v>קשיח</v>
          </cell>
          <cell r="H2618">
            <v>0.16402116402116396</v>
          </cell>
          <cell r="I2618">
            <v>11000</v>
          </cell>
          <cell r="J2618">
            <v>9450</v>
          </cell>
          <cell r="K2618">
            <v>0</v>
          </cell>
          <cell r="L2618">
            <v>10000</v>
          </cell>
          <cell r="M2618">
            <v>10934</v>
          </cell>
        </row>
        <row r="2619">
          <cell r="A2619">
            <v>1813300933</v>
          </cell>
          <cell r="B2619">
            <v>933</v>
          </cell>
          <cell r="C2619">
            <v>813300</v>
          </cell>
          <cell r="D2619">
            <v>1</v>
          </cell>
          <cell r="F2619" t="str">
            <v xml:space="preserve">השתת.משרד החינוך  </v>
          </cell>
          <cell r="G2619" t="str">
            <v>קשיח</v>
          </cell>
          <cell r="H2619">
            <v>0</v>
          </cell>
          <cell r="I2619">
            <v>200000</v>
          </cell>
          <cell r="J2619">
            <v>200000</v>
          </cell>
          <cell r="K2619">
            <v>0</v>
          </cell>
          <cell r="L2619">
            <v>200000</v>
          </cell>
          <cell r="M2619">
            <v>135212.95000000001</v>
          </cell>
        </row>
        <row r="2620">
          <cell r="A2620">
            <v>1813300934</v>
          </cell>
          <cell r="B2620">
            <v>934</v>
          </cell>
          <cell r="C2620">
            <v>813300</v>
          </cell>
          <cell r="D2620">
            <v>1</v>
          </cell>
          <cell r="F2620" t="str">
            <v xml:space="preserve">חומרים-ח"מ חופשות </v>
          </cell>
          <cell r="G2620" t="str">
            <v>קשיח</v>
          </cell>
          <cell r="H2620">
            <v>0.26223091976516644</v>
          </cell>
          <cell r="I2620">
            <v>645000</v>
          </cell>
          <cell r="J2620">
            <v>511000</v>
          </cell>
          <cell r="K2620">
            <v>517815.23</v>
          </cell>
          <cell r="L2620">
            <v>511000</v>
          </cell>
          <cell r="M2620">
            <v>561409.04</v>
          </cell>
        </row>
        <row r="2621">
          <cell r="A2621">
            <v>1813300953</v>
          </cell>
          <cell r="B2621">
            <v>953</v>
          </cell>
          <cell r="C2621">
            <v>813300</v>
          </cell>
          <cell r="D2621">
            <v>1</v>
          </cell>
          <cell r="F2621" t="str">
            <v>מערכת גפ"ן</v>
          </cell>
          <cell r="G2621" t="str">
            <v>קשיח</v>
          </cell>
          <cell r="I2621">
            <v>0</v>
          </cell>
          <cell r="J2621">
            <v>0</v>
          </cell>
          <cell r="K2621">
            <v>0</v>
          </cell>
          <cell r="L2621">
            <v>0</v>
          </cell>
          <cell r="M2621">
            <v>0</v>
          </cell>
        </row>
        <row r="2622">
          <cell r="A2622">
            <v>1813300954</v>
          </cell>
          <cell r="B2622">
            <v>954</v>
          </cell>
          <cell r="C2622">
            <v>813300</v>
          </cell>
          <cell r="D2622">
            <v>1</v>
          </cell>
          <cell r="F2622" t="str">
            <v>הוצאות גפ"ן בית ספרי</v>
          </cell>
          <cell r="G2622" t="str">
            <v>קשיח</v>
          </cell>
          <cell r="H2622">
            <v>-5.0632911392405111E-2</v>
          </cell>
          <cell r="I2622">
            <v>750000</v>
          </cell>
          <cell r="J2622">
            <v>790000</v>
          </cell>
          <cell r="K2622">
            <v>0</v>
          </cell>
          <cell r="L2622">
            <v>0</v>
          </cell>
          <cell r="M2622">
            <v>0</v>
          </cell>
        </row>
        <row r="2623">
          <cell r="A2623" t="e">
            <v>#VALUE!</v>
          </cell>
          <cell r="B2623" t="str">
            <v>813300  סך הכל</v>
          </cell>
          <cell r="F2623" t="str">
            <v xml:space="preserve">חינוך מיוחד       </v>
          </cell>
          <cell r="H2623">
            <v>8.3549207664775693E-2</v>
          </cell>
          <cell r="I2623">
            <v>31514909.514517158</v>
          </cell>
          <cell r="J2623">
            <v>29084890</v>
          </cell>
          <cell r="K2623">
            <v>15955125.73</v>
          </cell>
          <cell r="L2623">
            <v>24205900</v>
          </cell>
          <cell r="M2623">
            <v>26846000.349999998</v>
          </cell>
        </row>
        <row r="2624">
          <cell r="A2624">
            <v>18133100</v>
          </cell>
          <cell r="B2624">
            <v>0</v>
          </cell>
          <cell r="C2624">
            <v>813310</v>
          </cell>
          <cell r="D2624">
            <v>1</v>
          </cell>
          <cell r="F2624" t="str">
            <v xml:space="preserve">בי"ס ע"ש הרצפלד   </v>
          </cell>
          <cell r="G2624" t="str">
            <v xml:space="preserve"> </v>
          </cell>
        </row>
        <row r="2625">
          <cell r="A2625">
            <v>1813310110</v>
          </cell>
          <cell r="B2625">
            <v>110</v>
          </cell>
          <cell r="C2625">
            <v>813310</v>
          </cell>
          <cell r="D2625">
            <v>1</v>
          </cell>
          <cell r="F2625" t="str">
            <v>השכר הקובע-תקציבית</v>
          </cell>
          <cell r="G2625" t="str">
            <v>שכר</v>
          </cell>
          <cell r="H2625">
            <v>2.5025641025640866E-2</v>
          </cell>
          <cell r="I2625">
            <v>199879.99999999997</v>
          </cell>
          <cell r="J2625">
            <v>195000</v>
          </cell>
          <cell r="K2625">
            <v>109584.55</v>
          </cell>
          <cell r="L2625">
            <v>143800</v>
          </cell>
          <cell r="M2625">
            <v>197996.02</v>
          </cell>
        </row>
        <row r="2626">
          <cell r="A2626">
            <v>1813310119</v>
          </cell>
          <cell r="B2626">
            <v>119</v>
          </cell>
          <cell r="C2626">
            <v>813310</v>
          </cell>
          <cell r="D2626">
            <v>1</v>
          </cell>
          <cell r="F2626" t="str">
            <v xml:space="preserve">השכר הקובע-צוברת  </v>
          </cell>
          <cell r="G2626" t="str">
            <v>שכר</v>
          </cell>
          <cell r="H2626">
            <v>2.5010166734444672E-2</v>
          </cell>
          <cell r="I2626">
            <v>504099.99999999994</v>
          </cell>
          <cell r="J2626">
            <v>491800</v>
          </cell>
          <cell r="K2626">
            <v>90583.75</v>
          </cell>
          <cell r="L2626">
            <v>482200</v>
          </cell>
          <cell r="M2626">
            <v>125121.44</v>
          </cell>
        </row>
        <row r="2627">
          <cell r="A2627">
            <v>1813310122</v>
          </cell>
          <cell r="B2627">
            <v>122</v>
          </cell>
          <cell r="C2627">
            <v>813310</v>
          </cell>
          <cell r="D2627">
            <v>1</v>
          </cell>
          <cell r="F2627" t="str">
            <v xml:space="preserve">ביגוד             </v>
          </cell>
          <cell r="G2627" t="str">
            <v>שכר</v>
          </cell>
          <cell r="H2627">
            <v>0</v>
          </cell>
          <cell r="I2627">
            <v>2100</v>
          </cell>
          <cell r="J2627">
            <v>2100</v>
          </cell>
          <cell r="K2627">
            <v>2326.91</v>
          </cell>
          <cell r="L2627">
            <v>7500</v>
          </cell>
          <cell r="M2627">
            <v>1961.39</v>
          </cell>
        </row>
        <row r="2628">
          <cell r="A2628">
            <v>1813310126</v>
          </cell>
          <cell r="B2628">
            <v>126</v>
          </cell>
          <cell r="C2628">
            <v>813310</v>
          </cell>
          <cell r="D2628">
            <v>1</v>
          </cell>
          <cell r="F2628" t="str">
            <v xml:space="preserve">דמי הבראה         </v>
          </cell>
          <cell r="G2628" t="str">
            <v>שכר</v>
          </cell>
          <cell r="H2628">
            <v>0</v>
          </cell>
          <cell r="I2628">
            <v>9000</v>
          </cell>
          <cell r="J2628">
            <v>9000</v>
          </cell>
          <cell r="K2628">
            <v>10526.65</v>
          </cell>
          <cell r="L2628">
            <v>13000</v>
          </cell>
          <cell r="M2628">
            <v>8925.6</v>
          </cell>
        </row>
        <row r="2629">
          <cell r="A2629">
            <v>1813310140</v>
          </cell>
          <cell r="B2629">
            <v>140</v>
          </cell>
          <cell r="C2629">
            <v>813310</v>
          </cell>
          <cell r="D2629">
            <v>1</v>
          </cell>
          <cell r="F2629" t="str">
            <v>השתתפות באחזקת רכב</v>
          </cell>
          <cell r="G2629" t="str">
            <v>שכר</v>
          </cell>
          <cell r="H2629">
            <v>0</v>
          </cell>
          <cell r="I2629">
            <v>8000</v>
          </cell>
          <cell r="J2629">
            <v>8000</v>
          </cell>
          <cell r="K2629">
            <v>0</v>
          </cell>
          <cell r="L2629">
            <v>8000</v>
          </cell>
          <cell r="M2629">
            <v>0</v>
          </cell>
        </row>
        <row r="2630">
          <cell r="A2630">
            <v>1813310210</v>
          </cell>
          <cell r="B2630">
            <v>210</v>
          </cell>
          <cell r="C2630">
            <v>813310</v>
          </cell>
          <cell r="D2630">
            <v>1</v>
          </cell>
          <cell r="F2630" t="str">
            <v xml:space="preserve">השכר הקובע        </v>
          </cell>
          <cell r="G2630" t="str">
            <v>שכר</v>
          </cell>
          <cell r="I2630">
            <v>0</v>
          </cell>
          <cell r="J2630">
            <v>0</v>
          </cell>
          <cell r="K2630">
            <v>0</v>
          </cell>
          <cell r="L2630">
            <v>0</v>
          </cell>
          <cell r="M2630">
            <v>0</v>
          </cell>
        </row>
        <row r="2631">
          <cell r="A2631">
            <v>1813310420</v>
          </cell>
          <cell r="B2631">
            <v>420</v>
          </cell>
          <cell r="C2631">
            <v>813310</v>
          </cell>
          <cell r="D2631">
            <v>1</v>
          </cell>
          <cell r="F2631" t="str">
            <v xml:space="preserve">כיבוי אש          </v>
          </cell>
          <cell r="G2631" t="str">
            <v>קשיח</v>
          </cell>
          <cell r="H2631">
            <v>-1</v>
          </cell>
          <cell r="I2631">
            <v>0</v>
          </cell>
          <cell r="J2631">
            <v>6300</v>
          </cell>
          <cell r="K2631">
            <v>0</v>
          </cell>
          <cell r="L2631">
            <v>7000</v>
          </cell>
          <cell r="M2631">
            <v>0</v>
          </cell>
        </row>
        <row r="2632">
          <cell r="A2632">
            <v>1813310431</v>
          </cell>
          <cell r="B2632">
            <v>431</v>
          </cell>
          <cell r="C2632">
            <v>813310</v>
          </cell>
          <cell r="D2632">
            <v>1</v>
          </cell>
          <cell r="F2632" t="str">
            <v xml:space="preserve">חשמל              </v>
          </cell>
          <cell r="G2632" t="str">
            <v>קשיח</v>
          </cell>
          <cell r="H2632">
            <v>0</v>
          </cell>
          <cell r="I2632">
            <v>144400</v>
          </cell>
          <cell r="J2632">
            <v>144400</v>
          </cell>
          <cell r="K2632">
            <v>102950.91</v>
          </cell>
          <cell r="L2632">
            <v>143000</v>
          </cell>
          <cell r="M2632">
            <v>223141.15</v>
          </cell>
        </row>
        <row r="2633">
          <cell r="A2633">
            <v>1813310432</v>
          </cell>
          <cell r="B2633">
            <v>432</v>
          </cell>
          <cell r="C2633">
            <v>813310</v>
          </cell>
          <cell r="D2633">
            <v>1</v>
          </cell>
          <cell r="F2633" t="str">
            <v xml:space="preserve">מים               </v>
          </cell>
          <cell r="G2633" t="str">
            <v>קשיח</v>
          </cell>
          <cell r="H2633">
            <v>-4.2674253200568613E-3</v>
          </cell>
          <cell r="I2633">
            <v>70000</v>
          </cell>
          <cell r="J2633">
            <v>70300</v>
          </cell>
          <cell r="K2633">
            <v>-50836.58</v>
          </cell>
          <cell r="L2633">
            <v>70300</v>
          </cell>
          <cell r="M2633">
            <v>69973.899999999994</v>
          </cell>
        </row>
        <row r="2634">
          <cell r="A2634">
            <v>1813310437</v>
          </cell>
          <cell r="B2634">
            <v>437</v>
          </cell>
          <cell r="C2634">
            <v>813310</v>
          </cell>
          <cell r="D2634">
            <v>1</v>
          </cell>
          <cell r="F2634" t="str">
            <v xml:space="preserve">אחזקת אזעקה       </v>
          </cell>
          <cell r="G2634" t="str">
            <v>קשיח</v>
          </cell>
          <cell r="H2634">
            <v>1</v>
          </cell>
          <cell r="I2634">
            <v>5000</v>
          </cell>
          <cell r="J2634">
            <v>2500</v>
          </cell>
          <cell r="K2634">
            <v>1231.92</v>
          </cell>
          <cell r="L2634">
            <v>2800</v>
          </cell>
          <cell r="M2634">
            <v>2442.96</v>
          </cell>
        </row>
        <row r="2635">
          <cell r="A2635">
            <v>1813310511</v>
          </cell>
          <cell r="B2635">
            <v>511</v>
          </cell>
          <cell r="C2635">
            <v>813310</v>
          </cell>
          <cell r="D2635">
            <v>1</v>
          </cell>
          <cell r="F2635" t="str">
            <v xml:space="preserve">אירוח וכיבוד      </v>
          </cell>
          <cell r="G2635" t="str">
            <v>גמיש</v>
          </cell>
          <cell r="H2635">
            <v>3.3591731266149782E-2</v>
          </cell>
          <cell r="I2635">
            <v>8000</v>
          </cell>
          <cell r="J2635">
            <v>7740</v>
          </cell>
          <cell r="K2635">
            <v>0</v>
          </cell>
          <cell r="L2635">
            <v>8000</v>
          </cell>
          <cell r="M2635">
            <v>7988.92</v>
          </cell>
        </row>
        <row r="2636">
          <cell r="A2636">
            <v>1813310723</v>
          </cell>
          <cell r="B2636">
            <v>723</v>
          </cell>
          <cell r="C2636">
            <v>813310</v>
          </cell>
          <cell r="D2636">
            <v>1</v>
          </cell>
          <cell r="F2636" t="str">
            <v xml:space="preserve">חומרים    </v>
          </cell>
          <cell r="G2636" t="str">
            <v>גמיש</v>
          </cell>
          <cell r="H2636">
            <v>0.11111111111111116</v>
          </cell>
          <cell r="I2636">
            <v>7000</v>
          </cell>
          <cell r="J2636">
            <v>6300</v>
          </cell>
          <cell r="K2636">
            <v>0</v>
          </cell>
          <cell r="L2636">
            <v>7000</v>
          </cell>
          <cell r="M2636">
            <v>7000</v>
          </cell>
        </row>
        <row r="2637">
          <cell r="A2637">
            <v>1813310742</v>
          </cell>
          <cell r="B2637">
            <v>742</v>
          </cell>
          <cell r="C2637">
            <v>813310</v>
          </cell>
          <cell r="D2637">
            <v>1</v>
          </cell>
          <cell r="F2637" t="str">
            <v xml:space="preserve">עזרי לימוד וספורט </v>
          </cell>
          <cell r="G2637" t="str">
            <v>גמיש</v>
          </cell>
          <cell r="H2637">
            <v>0.11111111111111116</v>
          </cell>
          <cell r="I2637">
            <v>10000</v>
          </cell>
          <cell r="J2637">
            <v>9000</v>
          </cell>
          <cell r="K2637">
            <v>0</v>
          </cell>
          <cell r="L2637">
            <v>10000</v>
          </cell>
          <cell r="M2637">
            <v>10000</v>
          </cell>
        </row>
        <row r="2638">
          <cell r="A2638">
            <v>1813310750</v>
          </cell>
          <cell r="B2638">
            <v>750</v>
          </cell>
          <cell r="C2638">
            <v>813310</v>
          </cell>
          <cell r="D2638">
            <v>1</v>
          </cell>
          <cell r="F2638" t="str">
            <v>אחזקת מוסדות</v>
          </cell>
          <cell r="G2638" t="str">
            <v>קשיח</v>
          </cell>
          <cell r="H2638">
            <v>5.0864962561322002E-2</v>
          </cell>
          <cell r="I2638">
            <v>407000</v>
          </cell>
          <cell r="J2638">
            <v>387300</v>
          </cell>
          <cell r="K2638">
            <v>237490</v>
          </cell>
          <cell r="L2638">
            <v>291600</v>
          </cell>
          <cell r="M2638">
            <v>299114</v>
          </cell>
        </row>
        <row r="2639">
          <cell r="A2639">
            <v>1813310752</v>
          </cell>
          <cell r="B2639">
            <v>752</v>
          </cell>
          <cell r="C2639">
            <v>813310</v>
          </cell>
          <cell r="D2639">
            <v>1</v>
          </cell>
          <cell r="F2639" t="str">
            <v xml:space="preserve">נקיון בקבלנות     </v>
          </cell>
          <cell r="G2639" t="str">
            <v>קשיח</v>
          </cell>
          <cell r="H2639">
            <v>0.1603029346797098</v>
          </cell>
          <cell r="I2639">
            <v>367700</v>
          </cell>
          <cell r="J2639">
            <v>316900</v>
          </cell>
          <cell r="K2639">
            <v>156659.57</v>
          </cell>
          <cell r="L2639">
            <v>285300</v>
          </cell>
          <cell r="M2639">
            <v>285299.06</v>
          </cell>
        </row>
        <row r="2640">
          <cell r="A2640">
            <v>1813310759</v>
          </cell>
          <cell r="B2640">
            <v>759</v>
          </cell>
          <cell r="C2640">
            <v>813310</v>
          </cell>
          <cell r="D2640">
            <v>1</v>
          </cell>
          <cell r="F2640" t="str">
            <v>שרותי סייעות</v>
          </cell>
          <cell r="G2640" t="str">
            <v>שכר</v>
          </cell>
          <cell r="H2640">
            <v>7.2808089210054217E-2</v>
          </cell>
          <cell r="I2640">
            <v>4127200</v>
          </cell>
          <cell r="J2640">
            <v>3847100</v>
          </cell>
          <cell r="K2640">
            <v>1971452.41</v>
          </cell>
          <cell r="L2640">
            <v>3393300</v>
          </cell>
          <cell r="M2640">
            <v>3583856.48</v>
          </cell>
        </row>
        <row r="2641">
          <cell r="A2641">
            <v>1813310781</v>
          </cell>
          <cell r="B2641">
            <v>781</v>
          </cell>
          <cell r="C2641">
            <v>813310</v>
          </cell>
          <cell r="D2641">
            <v>1</v>
          </cell>
          <cell r="F2641" t="str">
            <v xml:space="preserve">השת' בהזנה        </v>
          </cell>
          <cell r="G2641" t="str">
            <v>קשיח</v>
          </cell>
          <cell r="H2641">
            <v>-0.18090909090909091</v>
          </cell>
          <cell r="I2641">
            <v>270300</v>
          </cell>
          <cell r="J2641">
            <v>330000</v>
          </cell>
          <cell r="K2641">
            <v>209356.53</v>
          </cell>
          <cell r="L2641">
            <v>310000</v>
          </cell>
          <cell r="M2641">
            <v>343426.3</v>
          </cell>
        </row>
        <row r="2642">
          <cell r="A2642">
            <v>1813310794</v>
          </cell>
          <cell r="B2642">
            <v>794</v>
          </cell>
          <cell r="C2642">
            <v>813310</v>
          </cell>
          <cell r="D2642">
            <v>1</v>
          </cell>
          <cell r="F2642" t="str">
            <v xml:space="preserve">השתתפות בעזר 094  </v>
          </cell>
          <cell r="G2642" t="str">
            <v>קשיח</v>
          </cell>
          <cell r="H2642">
            <v>0.21978021978021989</v>
          </cell>
          <cell r="I2642">
            <v>33300</v>
          </cell>
          <cell r="J2642">
            <v>27300</v>
          </cell>
          <cell r="K2642">
            <v>12897</v>
          </cell>
          <cell r="L2642">
            <v>26800</v>
          </cell>
          <cell r="M2642">
            <v>31965</v>
          </cell>
        </row>
        <row r="2643">
          <cell r="A2643">
            <v>1813310810</v>
          </cell>
          <cell r="B2643">
            <v>810</v>
          </cell>
          <cell r="C2643">
            <v>813310</v>
          </cell>
          <cell r="D2643">
            <v>1</v>
          </cell>
          <cell r="F2643" t="str">
            <v xml:space="preserve">הקצבה-מינהל עצמי  </v>
          </cell>
          <cell r="G2643" t="str">
            <v>גמיש</v>
          </cell>
          <cell r="H2643">
            <v>0.11111111111111116</v>
          </cell>
          <cell r="I2643">
            <v>100000</v>
          </cell>
          <cell r="J2643">
            <v>90000</v>
          </cell>
          <cell r="K2643">
            <v>61200</v>
          </cell>
          <cell r="L2643">
            <v>100000</v>
          </cell>
          <cell r="M2643">
            <v>100000</v>
          </cell>
        </row>
        <row r="2644">
          <cell r="A2644">
            <v>1813310812</v>
          </cell>
          <cell r="B2644">
            <v>812</v>
          </cell>
          <cell r="C2644">
            <v>813310</v>
          </cell>
          <cell r="D2644">
            <v>1</v>
          </cell>
          <cell r="F2644" t="str">
            <v>מסיבות כיתתיות</v>
          </cell>
          <cell r="G2644" t="str">
            <v>קשיח</v>
          </cell>
          <cell r="H2644">
            <v>0.11111111111111116</v>
          </cell>
          <cell r="I2644">
            <v>2000</v>
          </cell>
          <cell r="J2644">
            <v>1800</v>
          </cell>
          <cell r="K2644">
            <v>0</v>
          </cell>
          <cell r="L2644">
            <v>2000</v>
          </cell>
          <cell r="M2644">
            <v>1870</v>
          </cell>
        </row>
        <row r="2645">
          <cell r="A2645">
            <v>1813310931</v>
          </cell>
          <cell r="B2645">
            <v>931</v>
          </cell>
          <cell r="C2645">
            <v>813310</v>
          </cell>
          <cell r="D2645">
            <v>1</v>
          </cell>
          <cell r="F2645" t="str">
            <v xml:space="preserve">ציוד וריהוט       </v>
          </cell>
          <cell r="G2645" t="str">
            <v>גמיש</v>
          </cell>
          <cell r="H2645">
            <v>0.11111111111111116</v>
          </cell>
          <cell r="I2645">
            <v>24000</v>
          </cell>
          <cell r="J2645">
            <v>21600</v>
          </cell>
          <cell r="K2645">
            <v>0</v>
          </cell>
          <cell r="L2645">
            <v>24000</v>
          </cell>
          <cell r="M2645">
            <v>24000</v>
          </cell>
        </row>
        <row r="2646">
          <cell r="A2646">
            <v>1813310934</v>
          </cell>
          <cell r="B2646">
            <v>934</v>
          </cell>
          <cell r="C2646">
            <v>813310</v>
          </cell>
          <cell r="D2646">
            <v>1</v>
          </cell>
          <cell r="F2646" t="str">
            <v xml:space="preserve">חומרים-ח"מ חופשות </v>
          </cell>
          <cell r="G2646" t="str">
            <v>קשיח</v>
          </cell>
          <cell r="H2646">
            <v>1.5254237288135686E-2</v>
          </cell>
          <cell r="I2646">
            <v>59900</v>
          </cell>
          <cell r="J2646">
            <v>59000</v>
          </cell>
          <cell r="K2646">
            <v>26595.1</v>
          </cell>
          <cell r="L2646">
            <v>59000</v>
          </cell>
          <cell r="M2646">
            <v>55193.8</v>
          </cell>
        </row>
        <row r="2647">
          <cell r="A2647">
            <v>1813310953</v>
          </cell>
          <cell r="B2647">
            <v>953</v>
          </cell>
          <cell r="C2647">
            <v>813310</v>
          </cell>
          <cell r="D2647">
            <v>1</v>
          </cell>
          <cell r="F2647" t="str">
            <v>מערכת גפ"ן</v>
          </cell>
          <cell r="G2647" t="str">
            <v>קשיח</v>
          </cell>
          <cell r="I2647">
            <v>0</v>
          </cell>
          <cell r="J2647">
            <v>0</v>
          </cell>
          <cell r="K2647">
            <v>0</v>
          </cell>
          <cell r="L2647">
            <v>0</v>
          </cell>
          <cell r="M2647">
            <v>0</v>
          </cell>
        </row>
        <row r="2648">
          <cell r="A2648">
            <v>1813310954</v>
          </cell>
          <cell r="B2648">
            <v>954</v>
          </cell>
          <cell r="C2648">
            <v>813310</v>
          </cell>
          <cell r="D2648">
            <v>1</v>
          </cell>
          <cell r="F2648" t="str">
            <v>הוצאות גפ"ן בית ספרי</v>
          </cell>
          <cell r="G2648" t="str">
            <v>קשיח</v>
          </cell>
          <cell r="H2648">
            <v>-2.4390243902439046E-2</v>
          </cell>
          <cell r="I2648">
            <v>120000</v>
          </cell>
          <cell r="J2648">
            <v>123000</v>
          </cell>
          <cell r="K2648">
            <v>0</v>
          </cell>
          <cell r="L2648">
            <v>0</v>
          </cell>
          <cell r="M2648">
            <v>0</v>
          </cell>
        </row>
        <row r="2649">
          <cell r="A2649" t="e">
            <v>#VALUE!</v>
          </cell>
          <cell r="B2649" t="str">
            <v>813310  סך הכל</v>
          </cell>
          <cell r="F2649" t="str">
            <v xml:space="preserve">בי"ס ע"ש הרצפלד   </v>
          </cell>
          <cell r="H2649">
            <v>5.237442418020799E-2</v>
          </cell>
          <cell r="I2649">
            <v>6478880</v>
          </cell>
          <cell r="J2649">
            <v>6156440</v>
          </cell>
          <cell r="K2649">
            <v>2942018.7199999997</v>
          </cell>
          <cell r="L2649">
            <v>5394600</v>
          </cell>
          <cell r="M2649">
            <v>5379276.0199999996</v>
          </cell>
        </row>
        <row r="2650">
          <cell r="A2650">
            <v>18137000</v>
          </cell>
          <cell r="B2650">
            <v>0</v>
          </cell>
          <cell r="C2650">
            <v>813700</v>
          </cell>
          <cell r="D2650">
            <v>1</v>
          </cell>
          <cell r="F2650" t="str">
            <v xml:space="preserve">החווה החקלאית     </v>
          </cell>
          <cell r="G2650" t="str">
            <v xml:space="preserve"> </v>
          </cell>
        </row>
        <row r="2651">
          <cell r="A2651">
            <v>1813700110</v>
          </cell>
          <cell r="B2651">
            <v>110</v>
          </cell>
          <cell r="C2651">
            <v>813700</v>
          </cell>
          <cell r="D2651">
            <v>1</v>
          </cell>
          <cell r="F2651" t="str">
            <v>השכר הקובע-תקציבית</v>
          </cell>
          <cell r="G2651" t="str">
            <v>שכר</v>
          </cell>
          <cell r="I2651">
            <v>0</v>
          </cell>
          <cell r="J2651">
            <v>0</v>
          </cell>
          <cell r="K2651">
            <v>0</v>
          </cell>
          <cell r="L2651">
            <v>129800</v>
          </cell>
          <cell r="M2651">
            <v>0</v>
          </cell>
        </row>
        <row r="2652">
          <cell r="A2652">
            <v>1813700119</v>
          </cell>
          <cell r="B2652">
            <v>119</v>
          </cell>
          <cell r="C2652">
            <v>813700</v>
          </cell>
          <cell r="D2652">
            <v>1</v>
          </cell>
          <cell r="F2652" t="str">
            <v xml:space="preserve">השכר הקובע-צוברת  </v>
          </cell>
          <cell r="G2652" t="str">
            <v>שכר</v>
          </cell>
          <cell r="H2652">
            <v>2.5008350730688855E-2</v>
          </cell>
          <cell r="I2652">
            <v>245489.49999999997</v>
          </cell>
          <cell r="J2652">
            <v>239500</v>
          </cell>
          <cell r="K2652">
            <v>64733.37</v>
          </cell>
          <cell r="L2652">
            <v>234800</v>
          </cell>
          <cell r="M2652">
            <v>125030.04</v>
          </cell>
        </row>
        <row r="2653">
          <cell r="A2653">
            <v>1813700122</v>
          </cell>
          <cell r="B2653">
            <v>122</v>
          </cell>
          <cell r="C2653">
            <v>813700</v>
          </cell>
          <cell r="D2653">
            <v>1</v>
          </cell>
          <cell r="F2653" t="str">
            <v xml:space="preserve">ביגוד             </v>
          </cell>
          <cell r="G2653" t="str">
            <v>שכר</v>
          </cell>
          <cell r="H2653">
            <v>0</v>
          </cell>
          <cell r="I2653">
            <v>2000</v>
          </cell>
          <cell r="J2653">
            <v>2000</v>
          </cell>
          <cell r="K2653">
            <v>1706.82</v>
          </cell>
          <cell r="L2653">
            <v>6000</v>
          </cell>
          <cell r="M2653">
            <v>1806.3</v>
          </cell>
        </row>
        <row r="2654">
          <cell r="A2654">
            <v>1813700126</v>
          </cell>
          <cell r="B2654">
            <v>126</v>
          </cell>
          <cell r="C2654">
            <v>813700</v>
          </cell>
          <cell r="D2654">
            <v>1</v>
          </cell>
          <cell r="F2654" t="str">
            <v xml:space="preserve">דמי הבראה         </v>
          </cell>
          <cell r="G2654" t="str">
            <v>שכר</v>
          </cell>
          <cell r="H2654">
            <v>0</v>
          </cell>
          <cell r="I2654">
            <v>5000</v>
          </cell>
          <cell r="J2654">
            <v>5000</v>
          </cell>
          <cell r="K2654">
            <v>3746.72</v>
          </cell>
          <cell r="L2654">
            <v>9000</v>
          </cell>
          <cell r="M2654">
            <v>4307.43</v>
          </cell>
        </row>
        <row r="2655">
          <cell r="A2655">
            <v>1813700130</v>
          </cell>
          <cell r="B2655">
            <v>130</v>
          </cell>
          <cell r="C2655">
            <v>813700</v>
          </cell>
          <cell r="D2655">
            <v>1</v>
          </cell>
          <cell r="F2655" t="str">
            <v xml:space="preserve">שעות נוספות       </v>
          </cell>
          <cell r="G2655" t="str">
            <v>שכר</v>
          </cell>
          <cell r="H2655">
            <v>0</v>
          </cell>
          <cell r="I2655">
            <v>4300</v>
          </cell>
          <cell r="J2655">
            <v>4300</v>
          </cell>
          <cell r="K2655">
            <v>4390.2</v>
          </cell>
          <cell r="L2655">
            <v>5000</v>
          </cell>
          <cell r="M2655">
            <v>5609.19</v>
          </cell>
        </row>
        <row r="2656">
          <cell r="A2656">
            <v>1813700140</v>
          </cell>
          <cell r="B2656">
            <v>140</v>
          </cell>
          <cell r="C2656">
            <v>813700</v>
          </cell>
          <cell r="D2656">
            <v>1</v>
          </cell>
          <cell r="F2656" t="str">
            <v>השתתפות באחזקת רכב</v>
          </cell>
          <cell r="G2656" t="str">
            <v>שכר</v>
          </cell>
          <cell r="H2656">
            <v>0</v>
          </cell>
          <cell r="I2656">
            <v>3500</v>
          </cell>
          <cell r="J2656">
            <v>3500</v>
          </cell>
          <cell r="K2656">
            <v>2581.3200000000002</v>
          </cell>
          <cell r="L2656">
            <v>3500</v>
          </cell>
          <cell r="M2656">
            <v>640.84</v>
          </cell>
        </row>
        <row r="2657">
          <cell r="A2657">
            <v>1813700420</v>
          </cell>
          <cell r="B2657">
            <v>420</v>
          </cell>
          <cell r="C2657">
            <v>813700</v>
          </cell>
          <cell r="D2657">
            <v>1</v>
          </cell>
          <cell r="F2657" t="str">
            <v xml:space="preserve">כיבוי אש          </v>
          </cell>
          <cell r="G2657" t="str">
            <v>קשיח</v>
          </cell>
          <cell r="H2657">
            <v>0</v>
          </cell>
          <cell r="I2657">
            <v>1800</v>
          </cell>
          <cell r="J2657">
            <v>1800</v>
          </cell>
          <cell r="K2657">
            <v>1848.53</v>
          </cell>
          <cell r="L2657">
            <v>2000</v>
          </cell>
          <cell r="M2657">
            <v>1192.3900000000001</v>
          </cell>
        </row>
        <row r="2658">
          <cell r="A2658">
            <v>1813700423</v>
          </cell>
          <cell r="B2658">
            <v>423</v>
          </cell>
          <cell r="C2658">
            <v>813700</v>
          </cell>
          <cell r="D2658">
            <v>1</v>
          </cell>
          <cell r="F2658" t="str">
            <v xml:space="preserve">תחזוקת מבנה       </v>
          </cell>
          <cell r="G2658" t="str">
            <v>קשיח</v>
          </cell>
          <cell r="H2658">
            <v>0.93023255813953498</v>
          </cell>
          <cell r="I2658">
            <v>8300</v>
          </cell>
          <cell r="J2658">
            <v>4300</v>
          </cell>
          <cell r="K2658">
            <v>0</v>
          </cell>
          <cell r="L2658">
            <v>4300</v>
          </cell>
          <cell r="M2658">
            <v>4300</v>
          </cell>
        </row>
        <row r="2659">
          <cell r="A2659">
            <v>1813700431</v>
          </cell>
          <cell r="B2659">
            <v>431</v>
          </cell>
          <cell r="C2659">
            <v>813700</v>
          </cell>
          <cell r="D2659">
            <v>1</v>
          </cell>
          <cell r="F2659" t="str">
            <v xml:space="preserve">חשמל              </v>
          </cell>
          <cell r="G2659" t="str">
            <v>קשיח</v>
          </cell>
          <cell r="H2659">
            <v>0</v>
          </cell>
          <cell r="I2659">
            <v>16700</v>
          </cell>
          <cell r="J2659">
            <v>16700</v>
          </cell>
          <cell r="K2659">
            <v>0</v>
          </cell>
          <cell r="L2659">
            <v>16500</v>
          </cell>
          <cell r="M2659">
            <v>0</v>
          </cell>
        </row>
        <row r="2660">
          <cell r="A2660">
            <v>1813700434</v>
          </cell>
          <cell r="B2660">
            <v>434</v>
          </cell>
          <cell r="C2660">
            <v>813700</v>
          </cell>
          <cell r="D2660">
            <v>1</v>
          </cell>
          <cell r="F2660" t="str">
            <v xml:space="preserve">חיטוי והדברה      </v>
          </cell>
          <cell r="G2660" t="str">
            <v>גמיש</v>
          </cell>
          <cell r="H2660">
            <v>-1</v>
          </cell>
          <cell r="I2660">
            <v>0</v>
          </cell>
          <cell r="J2660">
            <v>630</v>
          </cell>
          <cell r="K2660">
            <v>0</v>
          </cell>
          <cell r="L2660">
            <v>700</v>
          </cell>
          <cell r="M2660">
            <v>0</v>
          </cell>
        </row>
        <row r="2661">
          <cell r="A2661">
            <v>1813700437</v>
          </cell>
          <cell r="B2661">
            <v>437</v>
          </cell>
          <cell r="C2661">
            <v>813700</v>
          </cell>
          <cell r="D2661">
            <v>1</v>
          </cell>
          <cell r="F2661" t="str">
            <v xml:space="preserve">אחזקת אזעקה       </v>
          </cell>
          <cell r="G2661" t="str">
            <v>קשיח</v>
          </cell>
          <cell r="H2661">
            <v>0</v>
          </cell>
          <cell r="I2661">
            <v>1300</v>
          </cell>
          <cell r="J2661">
            <v>1300</v>
          </cell>
          <cell r="K2661">
            <v>615.96</v>
          </cell>
          <cell r="L2661">
            <v>1300</v>
          </cell>
          <cell r="M2661">
            <v>1221.48</v>
          </cell>
        </row>
        <row r="2662">
          <cell r="A2662">
            <v>1813700511</v>
          </cell>
          <cell r="B2662">
            <v>511</v>
          </cell>
          <cell r="C2662">
            <v>813700</v>
          </cell>
          <cell r="D2662">
            <v>1</v>
          </cell>
          <cell r="F2662" t="str">
            <v xml:space="preserve">אירוח וכיבוד      </v>
          </cell>
          <cell r="G2662" t="str">
            <v>גמיש</v>
          </cell>
          <cell r="H2662">
            <v>0</v>
          </cell>
          <cell r="I2662">
            <v>720</v>
          </cell>
          <cell r="J2662">
            <v>720</v>
          </cell>
          <cell r="K2662">
            <v>0</v>
          </cell>
          <cell r="L2662">
            <v>800</v>
          </cell>
          <cell r="M2662">
            <v>176</v>
          </cell>
        </row>
        <row r="2663">
          <cell r="A2663">
            <v>1813700596</v>
          </cell>
          <cell r="B2663">
            <v>596</v>
          </cell>
          <cell r="C2663">
            <v>813700</v>
          </cell>
          <cell r="D2663">
            <v>1</v>
          </cell>
          <cell r="F2663" t="str">
            <v xml:space="preserve">השתתפות בעזר 096  </v>
          </cell>
          <cell r="G2663" t="str">
            <v>קשיח</v>
          </cell>
          <cell r="H2663">
            <v>3.3541666666666581E-2</v>
          </cell>
          <cell r="I2663">
            <v>99220</v>
          </cell>
          <cell r="J2663">
            <v>96000</v>
          </cell>
          <cell r="K2663">
            <v>39005</v>
          </cell>
          <cell r="L2663">
            <v>93700</v>
          </cell>
          <cell r="M2663">
            <v>87581</v>
          </cell>
        </row>
        <row r="2664">
          <cell r="A2664">
            <v>1813700710</v>
          </cell>
          <cell r="B2664">
            <v>710</v>
          </cell>
          <cell r="C2664">
            <v>813700</v>
          </cell>
          <cell r="D2664">
            <v>1</v>
          </cell>
          <cell r="F2664" t="str">
            <v xml:space="preserve">הסעת ילדים        </v>
          </cell>
          <cell r="G2664" t="str">
            <v>קשיח</v>
          </cell>
          <cell r="H2664">
            <v>1</v>
          </cell>
          <cell r="I2664">
            <v>1600000</v>
          </cell>
          <cell r="J2664">
            <v>800000</v>
          </cell>
          <cell r="K2664">
            <v>791314</v>
          </cell>
          <cell r="L2664">
            <v>600000</v>
          </cell>
          <cell r="M2664">
            <v>587497</v>
          </cell>
        </row>
        <row r="2665">
          <cell r="A2665">
            <v>1813700742</v>
          </cell>
          <cell r="B2665">
            <v>742</v>
          </cell>
          <cell r="C2665">
            <v>813700</v>
          </cell>
          <cell r="D2665">
            <v>1</v>
          </cell>
          <cell r="F2665" t="str">
            <v xml:space="preserve">כלים וציוד        </v>
          </cell>
          <cell r="G2665" t="str">
            <v>גמיש</v>
          </cell>
          <cell r="H2665">
            <v>-1</v>
          </cell>
          <cell r="I2665">
            <v>0</v>
          </cell>
          <cell r="J2665">
            <v>810</v>
          </cell>
          <cell r="K2665">
            <v>0</v>
          </cell>
          <cell r="L2665">
            <v>900</v>
          </cell>
          <cell r="M2665">
            <v>0</v>
          </cell>
        </row>
        <row r="2666">
          <cell r="A2666">
            <v>1813700750</v>
          </cell>
          <cell r="B2666">
            <v>750</v>
          </cell>
          <cell r="C2666">
            <v>813700</v>
          </cell>
          <cell r="D2666">
            <v>1</v>
          </cell>
          <cell r="F2666" t="str">
            <v>אחזקת מוסדות</v>
          </cell>
          <cell r="G2666" t="str">
            <v>קשיח</v>
          </cell>
          <cell r="H2666">
            <v>8.2692307692307621E-2</v>
          </cell>
          <cell r="I2666">
            <v>337800</v>
          </cell>
          <cell r="J2666">
            <v>312000</v>
          </cell>
          <cell r="K2666">
            <v>197016</v>
          </cell>
          <cell r="L2666">
            <v>226700</v>
          </cell>
          <cell r="M2666">
            <v>230647</v>
          </cell>
        </row>
        <row r="2667">
          <cell r="A2667">
            <v>1813700752</v>
          </cell>
          <cell r="B2667">
            <v>752</v>
          </cell>
          <cell r="C2667">
            <v>813700</v>
          </cell>
          <cell r="D2667">
            <v>1</v>
          </cell>
          <cell r="F2667" t="str">
            <v xml:space="preserve">נקיון בקבלנות     </v>
          </cell>
          <cell r="G2667" t="str">
            <v>קשיח</v>
          </cell>
          <cell r="H2667">
            <v>0.3657407407407407</v>
          </cell>
          <cell r="I2667">
            <v>59000</v>
          </cell>
          <cell r="J2667">
            <v>43200</v>
          </cell>
          <cell r="K2667">
            <v>32133.9</v>
          </cell>
          <cell r="L2667">
            <v>37800</v>
          </cell>
          <cell r="M2667">
            <v>37799.61</v>
          </cell>
        </row>
        <row r="2668">
          <cell r="A2668">
            <v>1813700794</v>
          </cell>
          <cell r="B2668">
            <v>794</v>
          </cell>
          <cell r="C2668">
            <v>813700</v>
          </cell>
          <cell r="D2668">
            <v>1</v>
          </cell>
          <cell r="F2668" t="str">
            <v xml:space="preserve">השתתפות בעזר 094  </v>
          </cell>
          <cell r="G2668" t="str">
            <v>קשיח</v>
          </cell>
          <cell r="H2668">
            <v>0</v>
          </cell>
          <cell r="I2668">
            <v>13300</v>
          </cell>
          <cell r="J2668">
            <v>13300</v>
          </cell>
          <cell r="K2668">
            <v>6284</v>
          </cell>
          <cell r="L2668">
            <v>12300</v>
          </cell>
          <cell r="M2668">
            <v>14670</v>
          </cell>
        </row>
        <row r="2669">
          <cell r="A2669">
            <v>1813700810</v>
          </cell>
          <cell r="B2669">
            <v>810</v>
          </cell>
          <cell r="C2669">
            <v>813700</v>
          </cell>
          <cell r="D2669">
            <v>1</v>
          </cell>
          <cell r="F2669" t="str">
            <v>הקצבה שוטפת</v>
          </cell>
          <cell r="G2669" t="str">
            <v>קשיח</v>
          </cell>
          <cell r="H2669">
            <v>0</v>
          </cell>
          <cell r="I2669">
            <v>57000</v>
          </cell>
          <cell r="J2669">
            <v>57000</v>
          </cell>
          <cell r="K2669">
            <v>42750</v>
          </cell>
          <cell r="L2669">
            <v>51300</v>
          </cell>
          <cell r="M2669">
            <v>51300</v>
          </cell>
        </row>
        <row r="2670">
          <cell r="A2670">
            <v>1813700931</v>
          </cell>
          <cell r="B2670">
            <v>931</v>
          </cell>
          <cell r="C2670">
            <v>813700</v>
          </cell>
          <cell r="D2670">
            <v>1</v>
          </cell>
          <cell r="F2670" t="str">
            <v xml:space="preserve">הצטיידות-הכנסה משה"ח      </v>
          </cell>
          <cell r="G2670" t="str">
            <v>קשיח</v>
          </cell>
          <cell r="H2670">
            <v>0</v>
          </cell>
          <cell r="I2670">
            <v>100000</v>
          </cell>
          <cell r="J2670">
            <v>100000</v>
          </cell>
          <cell r="K2670">
            <v>77927.37</v>
          </cell>
          <cell r="L2670">
            <v>150000</v>
          </cell>
          <cell r="M2670">
            <v>70453</v>
          </cell>
        </row>
        <row r="2671">
          <cell r="A2671" t="e">
            <v>#VALUE!</v>
          </cell>
          <cell r="B2671" t="str">
            <v>813700  סך הכל</v>
          </cell>
          <cell r="F2671" t="str">
            <v xml:space="preserve">החווה החקלאית     </v>
          </cell>
          <cell r="H2671">
            <v>0.50137451088680773</v>
          </cell>
          <cell r="I2671">
            <v>2555429.5</v>
          </cell>
          <cell r="J2671">
            <v>1702060</v>
          </cell>
          <cell r="K2671">
            <v>1266053.19</v>
          </cell>
          <cell r="L2671">
            <v>1586400</v>
          </cell>
          <cell r="M2671">
            <v>1224231.28</v>
          </cell>
        </row>
        <row r="2672">
          <cell r="A2672">
            <v>18139000</v>
          </cell>
          <cell r="B2672">
            <v>0</v>
          </cell>
          <cell r="C2672">
            <v>813900</v>
          </cell>
          <cell r="D2672">
            <v>1</v>
          </cell>
          <cell r="F2672" t="str">
            <v xml:space="preserve">השתת' בלימודי חוץ </v>
          </cell>
          <cell r="G2672" t="str">
            <v xml:space="preserve"> </v>
          </cell>
        </row>
        <row r="2673">
          <cell r="A2673">
            <v>1813900810</v>
          </cell>
          <cell r="B2673">
            <v>810</v>
          </cell>
          <cell r="C2673">
            <v>813900</v>
          </cell>
          <cell r="D2673">
            <v>1</v>
          </cell>
          <cell r="F2673" t="str">
            <v>הש' לימודי חוץ - רגיל</v>
          </cell>
          <cell r="G2673" t="str">
            <v>קשיח</v>
          </cell>
          <cell r="H2673">
            <v>0.23636363636363633</v>
          </cell>
          <cell r="I2673">
            <v>680000</v>
          </cell>
          <cell r="J2673">
            <v>550000</v>
          </cell>
          <cell r="K2673">
            <v>118968.05</v>
          </cell>
          <cell r="L2673">
            <v>550000</v>
          </cell>
          <cell r="M2673">
            <v>674511</v>
          </cell>
        </row>
        <row r="2674">
          <cell r="A2674">
            <v>1813900811</v>
          </cell>
          <cell r="B2674">
            <v>811</v>
          </cell>
          <cell r="C2674">
            <v>813900</v>
          </cell>
          <cell r="D2674">
            <v>1</v>
          </cell>
          <cell r="F2674" t="str">
            <v xml:space="preserve">השת' בלימודי חוץ  </v>
          </cell>
          <cell r="G2674" t="str">
            <v>קשיח</v>
          </cell>
          <cell r="H2674">
            <v>5.4545454545454453E-2</v>
          </cell>
          <cell r="I2674">
            <v>5800000</v>
          </cell>
          <cell r="J2674">
            <v>5500000</v>
          </cell>
          <cell r="K2674">
            <v>1716595</v>
          </cell>
          <cell r="L2674">
            <v>5500000</v>
          </cell>
          <cell r="M2674">
            <v>5706725.0099999998</v>
          </cell>
        </row>
        <row r="2675">
          <cell r="A2675" t="e">
            <v>#VALUE!</v>
          </cell>
          <cell r="B2675" t="str">
            <v>813900  סך הכל</v>
          </cell>
          <cell r="F2675" t="str">
            <v xml:space="preserve">השתת' בלימודי חוץ </v>
          </cell>
          <cell r="H2675">
            <v>7.107438016528933E-2</v>
          </cell>
          <cell r="I2675">
            <v>6480000</v>
          </cell>
          <cell r="J2675">
            <v>6050000</v>
          </cell>
          <cell r="K2675">
            <v>1835563.05</v>
          </cell>
          <cell r="L2675">
            <v>6050000</v>
          </cell>
          <cell r="M2675">
            <v>6381236.0099999998</v>
          </cell>
        </row>
        <row r="2676">
          <cell r="A2676">
            <v>18141000</v>
          </cell>
          <cell r="B2676">
            <v>0</v>
          </cell>
          <cell r="C2676">
            <v>814100</v>
          </cell>
          <cell r="D2676">
            <v>1</v>
          </cell>
          <cell r="F2676" t="str">
            <v>חטיבות ביניים</v>
          </cell>
          <cell r="G2676" t="str">
            <v xml:space="preserve"> </v>
          </cell>
        </row>
        <row r="2677">
          <cell r="A2677">
            <v>1814100780</v>
          </cell>
          <cell r="B2677">
            <v>780</v>
          </cell>
          <cell r="C2677">
            <v>814100</v>
          </cell>
          <cell r="D2677">
            <v>1</v>
          </cell>
          <cell r="F2677" t="str">
            <v>רכזי מהו"ת - קו"פ</v>
          </cell>
          <cell r="G2677" t="str">
            <v>גמיש</v>
          </cell>
          <cell r="H2677">
            <v>0</v>
          </cell>
          <cell r="I2677">
            <v>954000</v>
          </cell>
          <cell r="J2677">
            <v>954000</v>
          </cell>
          <cell r="K2677">
            <v>376745</v>
          </cell>
          <cell r="L2677">
            <v>1260000</v>
          </cell>
          <cell r="M2677">
            <v>904073</v>
          </cell>
        </row>
        <row r="2678">
          <cell r="A2678" t="e">
            <v>#VALUE!</v>
          </cell>
          <cell r="B2678" t="str">
            <v>814100  סך הכל</v>
          </cell>
          <cell r="F2678" t="str">
            <v>חטיבות ביניים</v>
          </cell>
          <cell r="H2678">
            <v>0</v>
          </cell>
          <cell r="I2678">
            <v>954000</v>
          </cell>
          <cell r="J2678">
            <v>954000</v>
          </cell>
          <cell r="K2678">
            <v>376745</v>
          </cell>
          <cell r="L2678">
            <v>1260000</v>
          </cell>
          <cell r="M2678">
            <v>904073</v>
          </cell>
        </row>
        <row r="2679">
          <cell r="A2679">
            <v>18150000</v>
          </cell>
          <cell r="B2679">
            <v>0</v>
          </cell>
          <cell r="C2679">
            <v>815000</v>
          </cell>
          <cell r="D2679">
            <v>1</v>
          </cell>
          <cell r="F2679" t="str">
            <v xml:space="preserve">חינוך על-יסודי    </v>
          </cell>
          <cell r="G2679" t="str">
            <v xml:space="preserve"> </v>
          </cell>
        </row>
        <row r="2680">
          <cell r="A2680">
            <v>1815100111</v>
          </cell>
          <cell r="B2680">
            <v>111</v>
          </cell>
          <cell r="C2680">
            <v>815100</v>
          </cell>
          <cell r="D2680">
            <v>1</v>
          </cell>
          <cell r="F2680" t="str">
            <v xml:space="preserve">שעות תיגבור-נבון  </v>
          </cell>
          <cell r="G2680" t="str">
            <v>שכר</v>
          </cell>
          <cell r="I2680">
            <v>0</v>
          </cell>
          <cell r="J2680">
            <v>0</v>
          </cell>
          <cell r="K2680">
            <v>77353.850000000006</v>
          </cell>
          <cell r="L2680">
            <v>0</v>
          </cell>
          <cell r="M2680">
            <v>60785.87</v>
          </cell>
        </row>
        <row r="2681">
          <cell r="A2681">
            <v>1815100112</v>
          </cell>
          <cell r="B2681">
            <v>112</v>
          </cell>
          <cell r="C2681">
            <v>815100</v>
          </cell>
          <cell r="D2681">
            <v>1</v>
          </cell>
          <cell r="F2681" t="str">
            <v xml:space="preserve">שעות תיגבור-בגין  </v>
          </cell>
          <cell r="G2681" t="str">
            <v>שכר</v>
          </cell>
          <cell r="I2681">
            <v>0</v>
          </cell>
          <cell r="J2681">
            <v>0</v>
          </cell>
          <cell r="K2681">
            <v>88018.29</v>
          </cell>
          <cell r="L2681">
            <v>0</v>
          </cell>
          <cell r="M2681">
            <v>105577.36</v>
          </cell>
        </row>
        <row r="2682">
          <cell r="A2682">
            <v>1815100113</v>
          </cell>
          <cell r="B2682">
            <v>113</v>
          </cell>
          <cell r="C2682">
            <v>815100</v>
          </cell>
          <cell r="D2682">
            <v>1</v>
          </cell>
          <cell r="F2682" t="str">
            <v xml:space="preserve">שעות תיגבור-הרצוג </v>
          </cell>
          <cell r="G2682" t="str">
            <v>שכר</v>
          </cell>
          <cell r="I2682">
            <v>0</v>
          </cell>
          <cell r="J2682">
            <v>0</v>
          </cell>
          <cell r="K2682">
            <v>72021.64</v>
          </cell>
          <cell r="L2682">
            <v>0</v>
          </cell>
          <cell r="M2682">
            <v>82699.44</v>
          </cell>
        </row>
        <row r="2683">
          <cell r="A2683">
            <v>1815100114</v>
          </cell>
          <cell r="B2683">
            <v>114</v>
          </cell>
          <cell r="C2683">
            <v>815100</v>
          </cell>
          <cell r="D2683">
            <v>1</v>
          </cell>
          <cell r="F2683" t="str">
            <v xml:space="preserve">שעות תיגבור-ק"ש   </v>
          </cell>
          <cell r="G2683" t="str">
            <v>שכר</v>
          </cell>
          <cell r="I2683">
            <v>0</v>
          </cell>
          <cell r="J2683">
            <v>0</v>
          </cell>
          <cell r="K2683">
            <v>81793.929999999993</v>
          </cell>
          <cell r="L2683">
            <v>0</v>
          </cell>
          <cell r="M2683">
            <v>200004.79</v>
          </cell>
        </row>
        <row r="2684">
          <cell r="A2684">
            <v>1815100115</v>
          </cell>
          <cell r="B2684">
            <v>115</v>
          </cell>
          <cell r="C2684">
            <v>815100</v>
          </cell>
          <cell r="D2684">
            <v>1</v>
          </cell>
          <cell r="F2684" t="str">
            <v xml:space="preserve">שעות תיגבור-אילון </v>
          </cell>
          <cell r="G2684" t="str">
            <v>שכר</v>
          </cell>
          <cell r="I2684">
            <v>0</v>
          </cell>
          <cell r="J2684">
            <v>0</v>
          </cell>
          <cell r="K2684">
            <v>79631.34</v>
          </cell>
          <cell r="L2684">
            <v>0</v>
          </cell>
          <cell r="M2684">
            <v>131507.6</v>
          </cell>
        </row>
        <row r="2685">
          <cell r="A2685">
            <v>1815100116</v>
          </cell>
          <cell r="B2685">
            <v>116</v>
          </cell>
          <cell r="C2685">
            <v>815100</v>
          </cell>
          <cell r="D2685">
            <v>1</v>
          </cell>
          <cell r="F2685" t="str">
            <v xml:space="preserve">שעות תיגבור-יבנה  </v>
          </cell>
          <cell r="G2685" t="str">
            <v>שכר</v>
          </cell>
          <cell r="I2685">
            <v>0</v>
          </cell>
          <cell r="J2685">
            <v>0</v>
          </cell>
          <cell r="K2685">
            <v>20253.72</v>
          </cell>
          <cell r="L2685">
            <v>0</v>
          </cell>
          <cell r="M2685">
            <v>14829.29</v>
          </cell>
        </row>
        <row r="2686">
          <cell r="A2686">
            <v>1815100117</v>
          </cell>
          <cell r="B2686">
            <v>117</v>
          </cell>
          <cell r="C2686">
            <v>815100</v>
          </cell>
          <cell r="D2686">
            <v>1</v>
          </cell>
          <cell r="F2686" t="str">
            <v xml:space="preserve">שעות תיגבור-קציר  </v>
          </cell>
          <cell r="G2686" t="str">
            <v>שכר</v>
          </cell>
          <cell r="I2686">
            <v>0</v>
          </cell>
          <cell r="J2686">
            <v>0</v>
          </cell>
          <cell r="K2686">
            <v>41565.870000000003</v>
          </cell>
          <cell r="L2686">
            <v>0</v>
          </cell>
          <cell r="M2686">
            <v>28077.71</v>
          </cell>
        </row>
        <row r="2687">
          <cell r="A2687">
            <v>1815100118</v>
          </cell>
          <cell r="B2687">
            <v>118</v>
          </cell>
          <cell r="C2687">
            <v>815100</v>
          </cell>
          <cell r="D2687">
            <v>1</v>
          </cell>
          <cell r="F2687" t="str">
            <v>שע' תיגבור-הייטק היי</v>
          </cell>
          <cell r="G2687" t="str">
            <v>שכר</v>
          </cell>
          <cell r="I2687">
            <v>0</v>
          </cell>
          <cell r="J2687">
            <v>0</v>
          </cell>
          <cell r="K2687">
            <v>23879.88</v>
          </cell>
          <cell r="L2687">
            <v>0</v>
          </cell>
          <cell r="M2687">
            <v>46488.99</v>
          </cell>
        </row>
        <row r="2688">
          <cell r="A2688">
            <v>1815100119</v>
          </cell>
          <cell r="B2688">
            <v>119</v>
          </cell>
          <cell r="C2688">
            <v>815100</v>
          </cell>
          <cell r="D2688">
            <v>1</v>
          </cell>
          <cell r="F2688" t="str">
            <v>שעות תיגבור-עתידים</v>
          </cell>
          <cell r="G2688" t="str">
            <v>שכר</v>
          </cell>
          <cell r="I2688">
            <v>0</v>
          </cell>
          <cell r="J2688">
            <v>0</v>
          </cell>
          <cell r="K2688">
            <v>42358.53</v>
          </cell>
          <cell r="L2688">
            <v>0</v>
          </cell>
          <cell r="M2688">
            <v>69129.16</v>
          </cell>
        </row>
        <row r="2689">
          <cell r="A2689">
            <v>1815100120</v>
          </cell>
          <cell r="B2689">
            <v>120</v>
          </cell>
          <cell r="C2689">
            <v>815100</v>
          </cell>
          <cell r="D2689">
            <v>1</v>
          </cell>
          <cell r="F2689" t="str">
            <v>שעות תיגבור-ליוות חן</v>
          </cell>
          <cell r="G2689" t="str">
            <v>שכר</v>
          </cell>
          <cell r="I2689">
            <v>0</v>
          </cell>
          <cell r="J2689">
            <v>0</v>
          </cell>
          <cell r="K2689">
            <v>12618.12</v>
          </cell>
          <cell r="L2689">
            <v>0</v>
          </cell>
          <cell r="M2689">
            <v>20365.55</v>
          </cell>
        </row>
        <row r="2690">
          <cell r="A2690">
            <v>1815100121</v>
          </cell>
          <cell r="B2690">
            <v>121</v>
          </cell>
          <cell r="C2690">
            <v>815100</v>
          </cell>
          <cell r="D2690">
            <v>1</v>
          </cell>
          <cell r="F2690" t="str">
            <v>שעות תגבור תיכון בנות מנחם</v>
          </cell>
          <cell r="G2690" t="str">
            <v>שכר</v>
          </cell>
          <cell r="I2690">
            <v>0</v>
          </cell>
          <cell r="J2690">
            <v>0</v>
          </cell>
          <cell r="K2690">
            <v>9108.52</v>
          </cell>
          <cell r="L2690">
            <v>0</v>
          </cell>
        </row>
        <row r="2691">
          <cell r="A2691">
            <v>1815100210</v>
          </cell>
          <cell r="B2691">
            <v>210</v>
          </cell>
          <cell r="C2691">
            <v>815100</v>
          </cell>
          <cell r="D2691">
            <v>1</v>
          </cell>
          <cell r="F2691" t="str">
            <v>שעות תיגבור בגרויות</v>
          </cell>
          <cell r="G2691" t="str">
            <v>שכר</v>
          </cell>
          <cell r="H2691">
            <v>0.14999999999999991</v>
          </cell>
          <cell r="I2691">
            <v>1092500</v>
          </cell>
          <cell r="J2691">
            <v>950000</v>
          </cell>
          <cell r="K2691">
            <v>9972.77</v>
          </cell>
          <cell r="L2691">
            <v>750000</v>
          </cell>
          <cell r="M2691">
            <v>6456.76</v>
          </cell>
        </row>
        <row r="2692">
          <cell r="A2692">
            <v>1815100211</v>
          </cell>
          <cell r="B2692">
            <v>211</v>
          </cell>
          <cell r="C2692">
            <v>815100</v>
          </cell>
          <cell r="D2692">
            <v>1</v>
          </cell>
          <cell r="F2692" t="str">
            <v>יוזמות על יסודי</v>
          </cell>
          <cell r="G2692" t="str">
            <v>שכר</v>
          </cell>
          <cell r="I2692">
            <v>0</v>
          </cell>
          <cell r="J2692">
            <v>0</v>
          </cell>
          <cell r="K2692">
            <v>16120.79</v>
          </cell>
          <cell r="L2692">
            <v>0</v>
          </cell>
          <cell r="M2692">
            <v>4857.1099999999997</v>
          </cell>
        </row>
        <row r="2693">
          <cell r="A2693">
            <v>1815100213</v>
          </cell>
          <cell r="B2693">
            <v>213</v>
          </cell>
          <cell r="C2693">
            <v>815100</v>
          </cell>
          <cell r="D2693">
            <v>1</v>
          </cell>
          <cell r="F2693" t="str">
            <v>השאלת ספרים חט"ב</v>
          </cell>
          <cell r="G2693" t="str">
            <v>שכר</v>
          </cell>
          <cell r="H2693">
            <v>1.0416666666666665</v>
          </cell>
          <cell r="I2693">
            <v>122500</v>
          </cell>
          <cell r="J2693">
            <v>60000</v>
          </cell>
          <cell r="K2693">
            <v>16096.17</v>
          </cell>
          <cell r="L2693">
            <v>60000</v>
          </cell>
          <cell r="M2693">
            <v>36824.26</v>
          </cell>
        </row>
        <row r="2694">
          <cell r="A2694">
            <v>1815100253</v>
          </cell>
          <cell r="B2694">
            <v>253</v>
          </cell>
          <cell r="C2694">
            <v>815100</v>
          </cell>
          <cell r="D2694">
            <v>1</v>
          </cell>
          <cell r="F2694" t="str">
            <v xml:space="preserve">מ"מ תיכוניים      </v>
          </cell>
          <cell r="G2694" t="str">
            <v>שכר</v>
          </cell>
          <cell r="H2694">
            <v>0</v>
          </cell>
          <cell r="I2694">
            <v>120000</v>
          </cell>
          <cell r="J2694">
            <v>120000</v>
          </cell>
          <cell r="K2694">
            <v>49111.72</v>
          </cell>
          <cell r="L2694">
            <v>100000</v>
          </cell>
          <cell r="M2694">
            <v>119367.41</v>
          </cell>
        </row>
        <row r="2695">
          <cell r="A2695">
            <v>1815100263</v>
          </cell>
          <cell r="B2695">
            <v>263</v>
          </cell>
          <cell r="C2695">
            <v>815100</v>
          </cell>
          <cell r="D2695">
            <v>1</v>
          </cell>
          <cell r="F2695" t="str">
            <v>אומ"ץ - מרכז</v>
          </cell>
          <cell r="G2695" t="str">
            <v>שכר</v>
          </cell>
          <cell r="H2695">
            <v>-1</v>
          </cell>
          <cell r="I2695">
            <v>0</v>
          </cell>
          <cell r="J2695">
            <v>500000</v>
          </cell>
          <cell r="K2695">
            <v>0</v>
          </cell>
          <cell r="L2695">
            <v>0</v>
          </cell>
          <cell r="M2695">
            <v>0</v>
          </cell>
        </row>
        <row r="2696">
          <cell r="A2696">
            <v>1815100410</v>
          </cell>
          <cell r="B2696">
            <v>410</v>
          </cell>
          <cell r="C2696">
            <v>815100</v>
          </cell>
          <cell r="D2696">
            <v>1</v>
          </cell>
          <cell r="F2696" t="str">
            <v xml:space="preserve">שכירת אולם        </v>
          </cell>
          <cell r="G2696" t="str">
            <v>קשיח</v>
          </cell>
          <cell r="H2696">
            <v>-1</v>
          </cell>
          <cell r="I2696">
            <v>0</v>
          </cell>
          <cell r="J2696">
            <v>4300</v>
          </cell>
          <cell r="K2696">
            <v>0</v>
          </cell>
          <cell r="L2696">
            <v>4300</v>
          </cell>
          <cell r="M2696">
            <v>0</v>
          </cell>
        </row>
        <row r="2697">
          <cell r="A2697">
            <v>1815100420</v>
          </cell>
          <cell r="B2697">
            <v>420</v>
          </cell>
          <cell r="C2697">
            <v>815100</v>
          </cell>
          <cell r="D2697">
            <v>1</v>
          </cell>
          <cell r="F2697" t="str">
            <v xml:space="preserve">כיבוי אש          </v>
          </cell>
          <cell r="G2697" t="str">
            <v>קשיח</v>
          </cell>
          <cell r="H2697">
            <v>0</v>
          </cell>
          <cell r="I2697">
            <v>4500</v>
          </cell>
          <cell r="J2697">
            <v>4500</v>
          </cell>
          <cell r="K2697">
            <v>3597.73</v>
          </cell>
          <cell r="L2697">
            <v>5000</v>
          </cell>
          <cell r="M2697">
            <v>0</v>
          </cell>
        </row>
        <row r="2698">
          <cell r="A2698">
            <v>1815100431</v>
          </cell>
          <cell r="B2698">
            <v>431</v>
          </cell>
          <cell r="C2698">
            <v>815100</v>
          </cell>
          <cell r="D2698">
            <v>1</v>
          </cell>
          <cell r="F2698" t="str">
            <v>רזרבה לחשמל-חט"ע</v>
          </cell>
          <cell r="G2698" t="str">
            <v>קשיח</v>
          </cell>
          <cell r="H2698">
            <v>0</v>
          </cell>
          <cell r="I2698">
            <v>101000</v>
          </cell>
          <cell r="J2698">
            <v>101000</v>
          </cell>
          <cell r="K2698">
            <v>0</v>
          </cell>
          <cell r="L2698">
            <v>100000</v>
          </cell>
          <cell r="M2698">
            <v>99999.39</v>
          </cell>
        </row>
        <row r="2699">
          <cell r="A2699">
            <v>1815100432</v>
          </cell>
          <cell r="B2699">
            <v>432</v>
          </cell>
          <cell r="C2699">
            <v>815100</v>
          </cell>
          <cell r="D2699">
            <v>1</v>
          </cell>
          <cell r="F2699" t="str">
            <v>רזרבה למים-חט"ע</v>
          </cell>
          <cell r="G2699" t="str">
            <v>קשיח</v>
          </cell>
          <cell r="H2699">
            <v>0</v>
          </cell>
          <cell r="I2699">
            <v>100000</v>
          </cell>
          <cell r="J2699">
            <v>100000</v>
          </cell>
          <cell r="K2699">
            <v>-12457.54</v>
          </cell>
          <cell r="L2699">
            <v>100000</v>
          </cell>
          <cell r="M2699">
            <v>56203.69</v>
          </cell>
        </row>
        <row r="2700">
          <cell r="A2700">
            <v>1815100521</v>
          </cell>
          <cell r="B2700">
            <v>521</v>
          </cell>
          <cell r="C2700">
            <v>815100</v>
          </cell>
          <cell r="D2700">
            <v>1</v>
          </cell>
          <cell r="F2700" t="str">
            <v xml:space="preserve">השתלמויות         </v>
          </cell>
          <cell r="G2700" t="str">
            <v>גמיש</v>
          </cell>
          <cell r="H2700">
            <v>-1</v>
          </cell>
          <cell r="I2700">
            <v>0</v>
          </cell>
          <cell r="J2700">
            <v>7290</v>
          </cell>
          <cell r="K2700">
            <v>0</v>
          </cell>
          <cell r="L2700">
            <v>8100</v>
          </cell>
          <cell r="M2700">
            <v>0</v>
          </cell>
        </row>
        <row r="2701">
          <cell r="A2701">
            <v>1815100550</v>
          </cell>
          <cell r="B2701">
            <v>550</v>
          </cell>
          <cell r="C2701">
            <v>815100</v>
          </cell>
          <cell r="D2701">
            <v>1</v>
          </cell>
          <cell r="F2701" t="str">
            <v>פירסומים</v>
          </cell>
          <cell r="G2701" t="str">
            <v>גמיש</v>
          </cell>
          <cell r="H2701">
            <v>-2.5341130604288553E-2</v>
          </cell>
          <cell r="I2701">
            <v>15000</v>
          </cell>
          <cell r="J2701">
            <v>15390</v>
          </cell>
          <cell r="K2701">
            <v>1246</v>
          </cell>
          <cell r="L2701">
            <v>17100</v>
          </cell>
          <cell r="M2701">
            <v>15818.5</v>
          </cell>
        </row>
        <row r="2702">
          <cell r="A2702">
            <v>1815100562</v>
          </cell>
          <cell r="B2702">
            <v>562</v>
          </cell>
          <cell r="C2702">
            <v>815100</v>
          </cell>
          <cell r="D2702">
            <v>1</v>
          </cell>
          <cell r="F2702" t="str">
            <v xml:space="preserve">הדפסות            </v>
          </cell>
          <cell r="G2702" t="str">
            <v>גמיש</v>
          </cell>
          <cell r="H2702">
            <v>-0.11734164070612674</v>
          </cell>
          <cell r="I2702">
            <v>17000</v>
          </cell>
          <cell r="J2702">
            <v>19260</v>
          </cell>
          <cell r="K2702">
            <v>0</v>
          </cell>
          <cell r="L2702">
            <v>21400</v>
          </cell>
          <cell r="M2702">
            <v>13619</v>
          </cell>
        </row>
        <row r="2703">
          <cell r="A2703">
            <v>1815100580</v>
          </cell>
          <cell r="B2703">
            <v>580</v>
          </cell>
          <cell r="C2703">
            <v>815100</v>
          </cell>
          <cell r="D2703">
            <v>1</v>
          </cell>
          <cell r="F2703" t="str">
            <v>שירותי הכנה לבחינות בגרות</v>
          </cell>
          <cell r="G2703" t="str">
            <v>גמיש</v>
          </cell>
          <cell r="H2703">
            <v>5.0000000000000044E-2</v>
          </cell>
          <cell r="I2703">
            <v>5250000</v>
          </cell>
          <cell r="J2703">
            <v>5000000</v>
          </cell>
          <cell r="K2703">
            <v>3988636</v>
          </cell>
          <cell r="L2703">
            <v>5000000</v>
          </cell>
          <cell r="M2703">
            <v>1007136</v>
          </cell>
        </row>
        <row r="2704">
          <cell r="A2704">
            <v>1815100723</v>
          </cell>
          <cell r="B2704">
            <v>723</v>
          </cell>
          <cell r="C2704">
            <v>815100</v>
          </cell>
          <cell r="D2704">
            <v>1</v>
          </cell>
          <cell r="F2704" t="str">
            <v>הוצאות מיוחדות</v>
          </cell>
          <cell r="G2704" t="str">
            <v>גמיש</v>
          </cell>
          <cell r="H2704">
            <v>-1</v>
          </cell>
          <cell r="I2704">
            <v>0</v>
          </cell>
          <cell r="J2704">
            <v>8100</v>
          </cell>
          <cell r="K2704">
            <v>0</v>
          </cell>
          <cell r="L2704">
            <v>9000</v>
          </cell>
          <cell r="M2704">
            <v>0</v>
          </cell>
        </row>
        <row r="2705">
          <cell r="A2705">
            <v>1815100753</v>
          </cell>
          <cell r="B2705">
            <v>753</v>
          </cell>
          <cell r="C2705">
            <v>815100</v>
          </cell>
          <cell r="D2705">
            <v>1</v>
          </cell>
          <cell r="F2705" t="str">
            <v xml:space="preserve">מ"מ תיכוניים      </v>
          </cell>
          <cell r="G2705" t="str">
            <v>גמיש</v>
          </cell>
          <cell r="H2705">
            <v>0</v>
          </cell>
          <cell r="I2705">
            <v>150000</v>
          </cell>
          <cell r="J2705">
            <v>150000</v>
          </cell>
          <cell r="K2705">
            <v>27925.96</v>
          </cell>
          <cell r="L2705">
            <v>90000</v>
          </cell>
          <cell r="M2705">
            <v>98831.53</v>
          </cell>
        </row>
        <row r="2706">
          <cell r="A2706">
            <v>1815100782</v>
          </cell>
          <cell r="B2706">
            <v>782</v>
          </cell>
          <cell r="C2706">
            <v>815100</v>
          </cell>
          <cell r="D2706">
            <v>1</v>
          </cell>
          <cell r="F2706" t="str">
            <v>השת' בג' מוס' חוץ</v>
          </cell>
          <cell r="G2706" t="str">
            <v>קשיח</v>
          </cell>
          <cell r="H2706">
            <v>0.32857142857142851</v>
          </cell>
          <cell r="I2706">
            <v>930000</v>
          </cell>
          <cell r="J2706">
            <v>700000</v>
          </cell>
          <cell r="K2706">
            <v>274989.12</v>
          </cell>
          <cell r="L2706">
            <v>550000</v>
          </cell>
          <cell r="M2706">
            <v>636377.65</v>
          </cell>
        </row>
        <row r="2707">
          <cell r="A2707">
            <v>1815100786</v>
          </cell>
          <cell r="B2707">
            <v>786</v>
          </cell>
          <cell r="C2707">
            <v>815100</v>
          </cell>
          <cell r="D2707">
            <v>1</v>
          </cell>
          <cell r="F2707" t="str">
            <v>מענק לבגרויות</v>
          </cell>
          <cell r="G2707" t="str">
            <v>גמיש</v>
          </cell>
          <cell r="H2707">
            <v>0</v>
          </cell>
          <cell r="I2707">
            <v>97200</v>
          </cell>
          <cell r="J2707">
            <v>97200</v>
          </cell>
          <cell r="K2707">
            <v>0</v>
          </cell>
          <cell r="L2707">
            <v>108000</v>
          </cell>
          <cell r="M2707">
            <v>0</v>
          </cell>
        </row>
        <row r="2708">
          <cell r="A2708">
            <v>1815100788</v>
          </cell>
          <cell r="B2708">
            <v>788</v>
          </cell>
          <cell r="C2708">
            <v>815100</v>
          </cell>
          <cell r="D2708">
            <v>1</v>
          </cell>
          <cell r="F2708" t="str">
            <v>פרוייקטים מערכתיים</v>
          </cell>
          <cell r="G2708" t="str">
            <v>גמיש</v>
          </cell>
          <cell r="H2708">
            <v>0.7561807331628303</v>
          </cell>
          <cell r="I2708">
            <v>927000</v>
          </cell>
          <cell r="J2708">
            <v>527850</v>
          </cell>
          <cell r="K2708">
            <v>227222.99</v>
          </cell>
          <cell r="L2708">
            <v>586500</v>
          </cell>
          <cell r="M2708">
            <v>920533.36</v>
          </cell>
        </row>
        <row r="2709">
          <cell r="A2709">
            <v>1815100792</v>
          </cell>
          <cell r="B2709">
            <v>792</v>
          </cell>
          <cell r="C2709">
            <v>815100</v>
          </cell>
          <cell r="D2709">
            <v>1</v>
          </cell>
          <cell r="F2709" t="str">
            <v>מעורבות חברתית</v>
          </cell>
          <cell r="G2709" t="str">
            <v>גמיש</v>
          </cell>
          <cell r="H2709">
            <v>0</v>
          </cell>
          <cell r="I2709">
            <v>54000</v>
          </cell>
          <cell r="J2709">
            <v>54000</v>
          </cell>
          <cell r="K2709">
            <v>4977.7299999999996</v>
          </cell>
          <cell r="L2709">
            <v>35000</v>
          </cell>
          <cell r="M2709">
            <v>24906.27</v>
          </cell>
        </row>
        <row r="2710">
          <cell r="A2710">
            <v>1815100793</v>
          </cell>
          <cell r="B2710">
            <v>793</v>
          </cell>
          <cell r="C2710">
            <v>815100</v>
          </cell>
          <cell r="D2710">
            <v>1</v>
          </cell>
          <cell r="F2710" t="str">
            <v>קשת ויוזמות</v>
          </cell>
          <cell r="G2710" t="str">
            <v>גמיש</v>
          </cell>
          <cell r="I2710">
            <v>70000</v>
          </cell>
          <cell r="J2710">
            <v>0</v>
          </cell>
          <cell r="K2710">
            <v>0</v>
          </cell>
          <cell r="L2710">
            <v>0</v>
          </cell>
          <cell r="M2710">
            <v>0</v>
          </cell>
        </row>
        <row r="2711">
          <cell r="A2711">
            <v>1815100930</v>
          </cell>
          <cell r="B2711">
            <v>930</v>
          </cell>
          <cell r="C2711">
            <v>815100</v>
          </cell>
          <cell r="D2711">
            <v>1</v>
          </cell>
          <cell r="F2711" t="str">
            <v>צ' חד-פעמי ( מזוזות )</v>
          </cell>
          <cell r="G2711" t="str">
            <v>גמיש</v>
          </cell>
          <cell r="H2711">
            <v>0.11111111111111116</v>
          </cell>
          <cell r="I2711">
            <v>10000</v>
          </cell>
          <cell r="J2711">
            <v>9000</v>
          </cell>
          <cell r="K2711">
            <v>0</v>
          </cell>
          <cell r="L2711">
            <v>10000</v>
          </cell>
          <cell r="M2711">
            <v>9961.3799999999992</v>
          </cell>
        </row>
        <row r="2712">
          <cell r="A2712">
            <v>1815100960</v>
          </cell>
          <cell r="B2712">
            <v>960</v>
          </cell>
          <cell r="C2712">
            <v>815100</v>
          </cell>
          <cell r="D2712">
            <v>1</v>
          </cell>
          <cell r="F2712" t="str">
            <v>פרויקטים בהשתתפות משה"ח</v>
          </cell>
          <cell r="G2712" t="str">
            <v>גמיש</v>
          </cell>
          <cell r="H2712">
            <v>0.11111111111111116</v>
          </cell>
          <cell r="I2712">
            <v>270000</v>
          </cell>
          <cell r="J2712">
            <v>243000</v>
          </cell>
          <cell r="K2712">
            <v>64814</v>
          </cell>
          <cell r="L2712">
            <v>270000</v>
          </cell>
          <cell r="M2712">
            <v>188677</v>
          </cell>
        </row>
        <row r="2713">
          <cell r="A2713">
            <v>1815100961</v>
          </cell>
          <cell r="B2713">
            <v>961</v>
          </cell>
          <cell r="C2713">
            <v>815100</v>
          </cell>
          <cell r="D2713">
            <v>1</v>
          </cell>
          <cell r="F2713" t="str">
            <v>רזרבה לשעות תיגבור</v>
          </cell>
          <cell r="G2713" t="str">
            <v>גמיש</v>
          </cell>
          <cell r="I2713">
            <v>0</v>
          </cell>
          <cell r="J2713">
            <v>0</v>
          </cell>
          <cell r="K2713">
            <v>0</v>
          </cell>
          <cell r="L2713">
            <v>1999800</v>
          </cell>
          <cell r="M2713">
            <v>0</v>
          </cell>
        </row>
        <row r="2714">
          <cell r="A2714">
            <v>1815100980</v>
          </cell>
          <cell r="B2714">
            <v>980</v>
          </cell>
          <cell r="C2714">
            <v>815100</v>
          </cell>
          <cell r="D2714">
            <v>1</v>
          </cell>
          <cell r="F2714" t="str">
            <v>בית להיות - מרכז השואה</v>
          </cell>
          <cell r="G2714" t="str">
            <v>קשיח</v>
          </cell>
          <cell r="H2714">
            <v>0</v>
          </cell>
          <cell r="I2714">
            <v>264100</v>
          </cell>
          <cell r="J2714">
            <v>264100</v>
          </cell>
          <cell r="K2714">
            <v>176066.6</v>
          </cell>
          <cell r="L2714">
            <v>264100</v>
          </cell>
          <cell r="M2714">
            <v>264100</v>
          </cell>
        </row>
        <row r="2715">
          <cell r="A2715">
            <v>1815100981</v>
          </cell>
          <cell r="B2715">
            <v>981</v>
          </cell>
          <cell r="C2715">
            <v>815100</v>
          </cell>
          <cell r="D2715">
            <v>1</v>
          </cell>
          <cell r="F2715" t="str">
            <v>פעילות לחיילים</v>
          </cell>
          <cell r="G2715" t="str">
            <v>גמיש</v>
          </cell>
          <cell r="H2715">
            <v>-1</v>
          </cell>
          <cell r="I2715">
            <v>0</v>
          </cell>
          <cell r="J2715">
            <v>73170</v>
          </cell>
          <cell r="K2715">
            <v>72184.89</v>
          </cell>
          <cell r="L2715">
            <v>81300</v>
          </cell>
          <cell r="M2715">
            <v>81066.75</v>
          </cell>
        </row>
        <row r="2716">
          <cell r="A2716">
            <v>1815100982</v>
          </cell>
          <cell r="B2716">
            <v>982</v>
          </cell>
          <cell r="C2716">
            <v>815100</v>
          </cell>
          <cell r="D2716">
            <v>1</v>
          </cell>
          <cell r="F2716" t="str">
            <v>משלחות בתי ספר</v>
          </cell>
          <cell r="G2716" t="str">
            <v>גמיש</v>
          </cell>
          <cell r="H2716">
            <v>3.6484245439469376E-2</v>
          </cell>
          <cell r="I2716">
            <v>100000</v>
          </cell>
          <cell r="J2716">
            <v>96480</v>
          </cell>
          <cell r="K2716">
            <v>-50000</v>
          </cell>
          <cell r="L2716">
            <v>107200</v>
          </cell>
          <cell r="M2716">
            <v>85000</v>
          </cell>
        </row>
        <row r="2717">
          <cell r="A2717" t="e">
            <v>#VALUE!</v>
          </cell>
          <cell r="B2717" t="str">
            <v>815100  סך הכל</v>
          </cell>
          <cell r="F2717" t="str">
            <v xml:space="preserve">השתתפויות במוסדות </v>
          </cell>
          <cell r="H2717">
            <v>6.4819696330662202E-2</v>
          </cell>
          <cell r="I2717">
            <v>9694800</v>
          </cell>
          <cell r="J2717">
            <v>9104640</v>
          </cell>
          <cell r="K2717">
            <v>5419108.6200000001</v>
          </cell>
          <cell r="L2717">
            <v>10276800</v>
          </cell>
          <cell r="M2717">
            <v>4429201.8199999994</v>
          </cell>
        </row>
        <row r="2718">
          <cell r="A2718">
            <v>18151100</v>
          </cell>
          <cell r="B2718">
            <v>0</v>
          </cell>
          <cell r="C2718">
            <v>815110</v>
          </cell>
          <cell r="D2718">
            <v>1</v>
          </cell>
          <cell r="F2718" t="str">
            <v>יוזמות - נבון</v>
          </cell>
          <cell r="G2718" t="str">
            <v xml:space="preserve"> </v>
          </cell>
        </row>
        <row r="2719">
          <cell r="A2719">
            <v>1815110213</v>
          </cell>
          <cell r="B2719">
            <v>213</v>
          </cell>
          <cell r="C2719">
            <v>815110</v>
          </cell>
          <cell r="D2719">
            <v>1</v>
          </cell>
          <cell r="F2719" t="str">
            <v>אומ"ץ - מדריכים</v>
          </cell>
          <cell r="G2719" t="str">
            <v>שכר</v>
          </cell>
          <cell r="H2719">
            <v>-1</v>
          </cell>
          <cell r="I2719">
            <v>0</v>
          </cell>
          <cell r="J2719">
            <v>80000</v>
          </cell>
          <cell r="K2719">
            <v>42976.52</v>
          </cell>
          <cell r="L2719">
            <v>100000</v>
          </cell>
          <cell r="M2719">
            <v>86827.73</v>
          </cell>
        </row>
        <row r="2720">
          <cell r="A2720">
            <v>1815110780</v>
          </cell>
          <cell r="B2720">
            <v>780</v>
          </cell>
          <cell r="C2720">
            <v>815110</v>
          </cell>
          <cell r="D2720">
            <v>1</v>
          </cell>
          <cell r="F2720" t="str">
            <v>פעולות - אומ"ץ</v>
          </cell>
          <cell r="G2720" t="str">
            <v>קשיח</v>
          </cell>
          <cell r="H2720">
            <v>-1</v>
          </cell>
          <cell r="I2720">
            <v>0</v>
          </cell>
          <cell r="J2720">
            <v>9000</v>
          </cell>
          <cell r="K2720">
            <v>0</v>
          </cell>
          <cell r="L2720">
            <v>20000</v>
          </cell>
          <cell r="M2720">
            <v>0</v>
          </cell>
        </row>
        <row r="2721">
          <cell r="A2721" t="e">
            <v>#VALUE!</v>
          </cell>
          <cell r="B2721" t="str">
            <v>815110  סך הכל</v>
          </cell>
          <cell r="F2721" t="str">
            <v>יוזמות - נבון</v>
          </cell>
          <cell r="H2721">
            <v>-1</v>
          </cell>
          <cell r="I2721">
            <v>0</v>
          </cell>
          <cell r="J2721">
            <v>89000</v>
          </cell>
          <cell r="K2721">
            <v>42976.52</v>
          </cell>
          <cell r="L2721">
            <v>120000</v>
          </cell>
          <cell r="M2721">
            <v>86827.73</v>
          </cell>
        </row>
        <row r="2722">
          <cell r="A2722">
            <v>18151200</v>
          </cell>
          <cell r="B2722">
            <v>0</v>
          </cell>
          <cell r="C2722">
            <v>815120</v>
          </cell>
          <cell r="D2722">
            <v>1</v>
          </cell>
          <cell r="F2722" t="str">
            <v>יוזמות - קוגל</v>
          </cell>
          <cell r="G2722" t="str">
            <v xml:space="preserve"> </v>
          </cell>
        </row>
        <row r="2723">
          <cell r="A2723">
            <v>1815120211</v>
          </cell>
          <cell r="B2723">
            <v>211</v>
          </cell>
          <cell r="C2723">
            <v>815120</v>
          </cell>
          <cell r="D2723">
            <v>1</v>
          </cell>
          <cell r="F2723" t="str">
            <v>מענה</v>
          </cell>
          <cell r="G2723" t="str">
            <v>שכר</v>
          </cell>
          <cell r="I2723">
            <v>0</v>
          </cell>
          <cell r="J2723">
            <v>0</v>
          </cell>
          <cell r="K2723">
            <v>7635.71</v>
          </cell>
          <cell r="L2723">
            <v>0</v>
          </cell>
          <cell r="M2723">
            <v>71858.58</v>
          </cell>
        </row>
        <row r="2724">
          <cell r="A2724">
            <v>1815120212</v>
          </cell>
          <cell r="B2724">
            <v>212</v>
          </cell>
          <cell r="C2724">
            <v>815120</v>
          </cell>
          <cell r="D2724">
            <v>1</v>
          </cell>
          <cell r="F2724" t="str">
            <v>יזמים צעירים</v>
          </cell>
          <cell r="G2724" t="str">
            <v>שכר</v>
          </cell>
          <cell r="I2724">
            <v>0</v>
          </cell>
          <cell r="J2724">
            <v>0</v>
          </cell>
          <cell r="K2724">
            <v>0</v>
          </cell>
          <cell r="L2724">
            <v>0</v>
          </cell>
          <cell r="M2724">
            <v>0</v>
          </cell>
        </row>
        <row r="2725">
          <cell r="A2725">
            <v>1815120213</v>
          </cell>
          <cell r="B2725">
            <v>213</v>
          </cell>
          <cell r="C2725">
            <v>815120</v>
          </cell>
          <cell r="D2725">
            <v>1</v>
          </cell>
          <cell r="F2725" t="str">
            <v>אומ"ץ - מדריכים</v>
          </cell>
          <cell r="G2725" t="str">
            <v>שכר</v>
          </cell>
          <cell r="I2725">
            <v>0</v>
          </cell>
          <cell r="J2725">
            <v>0</v>
          </cell>
          <cell r="K2725">
            <v>14380.5</v>
          </cell>
          <cell r="L2725">
            <v>110000</v>
          </cell>
          <cell r="M2725">
            <v>48231.91</v>
          </cell>
        </row>
        <row r="2726">
          <cell r="A2726">
            <v>1815120780</v>
          </cell>
          <cell r="B2726">
            <v>780</v>
          </cell>
          <cell r="C2726">
            <v>815120</v>
          </cell>
          <cell r="D2726">
            <v>1</v>
          </cell>
          <cell r="F2726" t="str">
            <v>פעולות - אומ"ץ</v>
          </cell>
          <cell r="G2726" t="str">
            <v>קשיח</v>
          </cell>
          <cell r="I2726">
            <v>0</v>
          </cell>
          <cell r="J2726">
            <v>0</v>
          </cell>
          <cell r="K2726">
            <v>0</v>
          </cell>
          <cell r="L2726">
            <v>20000</v>
          </cell>
          <cell r="M2726">
            <v>0</v>
          </cell>
        </row>
        <row r="2727">
          <cell r="A2727" t="e">
            <v>#VALUE!</v>
          </cell>
          <cell r="B2727" t="str">
            <v>815120  סך הכל</v>
          </cell>
          <cell r="F2727" t="str">
            <v>יוזמות - קוגל</v>
          </cell>
          <cell r="I2727">
            <v>0</v>
          </cell>
          <cell r="J2727">
            <v>0</v>
          </cell>
          <cell r="K2727">
            <v>22016.21</v>
          </cell>
          <cell r="L2727">
            <v>130000</v>
          </cell>
          <cell r="M2727">
            <v>120090.49</v>
          </cell>
        </row>
        <row r="2728">
          <cell r="A2728">
            <v>18151300</v>
          </cell>
          <cell r="B2728">
            <v>0</v>
          </cell>
          <cell r="C2728">
            <v>815130</v>
          </cell>
          <cell r="D2728">
            <v>1</v>
          </cell>
          <cell r="F2728" t="str">
            <v>יוזמות - הרצוג</v>
          </cell>
          <cell r="G2728" t="str">
            <v xml:space="preserve"> </v>
          </cell>
        </row>
        <row r="2729">
          <cell r="A2729">
            <v>1815130213</v>
          </cell>
          <cell r="B2729">
            <v>213</v>
          </cell>
          <cell r="C2729">
            <v>815130</v>
          </cell>
          <cell r="D2729">
            <v>1</v>
          </cell>
          <cell r="F2729" t="str">
            <v>אומ"ץ - מדריכים</v>
          </cell>
          <cell r="G2729" t="str">
            <v>שכר</v>
          </cell>
          <cell r="H2729">
            <v>-1</v>
          </cell>
          <cell r="I2729">
            <v>0</v>
          </cell>
          <cell r="J2729">
            <v>160000</v>
          </cell>
          <cell r="K2729">
            <v>63850.81</v>
          </cell>
          <cell r="L2729">
            <v>370000</v>
          </cell>
          <cell r="M2729">
            <v>259136.19</v>
          </cell>
        </row>
        <row r="2730">
          <cell r="A2730">
            <v>1815130780</v>
          </cell>
          <cell r="B2730">
            <v>780</v>
          </cell>
          <cell r="C2730">
            <v>815130</v>
          </cell>
          <cell r="D2730">
            <v>1</v>
          </cell>
          <cell r="F2730" t="str">
            <v>פעולות - אומ"ץ</v>
          </cell>
          <cell r="G2730" t="str">
            <v>קשיח</v>
          </cell>
          <cell r="H2730">
            <v>-1</v>
          </cell>
          <cell r="I2730">
            <v>0</v>
          </cell>
          <cell r="J2730">
            <v>18000</v>
          </cell>
          <cell r="K2730">
            <v>8000</v>
          </cell>
          <cell r="L2730">
            <v>20000</v>
          </cell>
          <cell r="M2730">
            <v>0</v>
          </cell>
        </row>
        <row r="2731">
          <cell r="A2731" t="e">
            <v>#VALUE!</v>
          </cell>
          <cell r="B2731" t="str">
            <v>815130  סך הכל</v>
          </cell>
          <cell r="F2731" t="str">
            <v>יוזמות - הרצוג</v>
          </cell>
          <cell r="H2731">
            <v>-1</v>
          </cell>
          <cell r="I2731">
            <v>0</v>
          </cell>
          <cell r="J2731">
            <v>178000</v>
          </cell>
          <cell r="K2731">
            <v>71850.81</v>
          </cell>
          <cell r="L2731">
            <v>390000</v>
          </cell>
          <cell r="M2731">
            <v>259136.19</v>
          </cell>
        </row>
        <row r="2732">
          <cell r="A2732">
            <v>18151400</v>
          </cell>
          <cell r="B2732">
            <v>0</v>
          </cell>
          <cell r="C2732">
            <v>815140</v>
          </cell>
          <cell r="D2732">
            <v>1</v>
          </cell>
          <cell r="F2732" t="str">
            <v>יוזמות - ק"ש</v>
          </cell>
          <cell r="G2732" t="str">
            <v xml:space="preserve"> </v>
          </cell>
        </row>
        <row r="2733">
          <cell r="A2733">
            <v>1815140213</v>
          </cell>
          <cell r="B2733">
            <v>213</v>
          </cell>
          <cell r="C2733">
            <v>815140</v>
          </cell>
          <cell r="D2733">
            <v>1</v>
          </cell>
          <cell r="F2733" t="str">
            <v>אומ"ץ - מדריכים</v>
          </cell>
          <cell r="G2733" t="str">
            <v>שכר</v>
          </cell>
          <cell r="I2733">
            <v>0</v>
          </cell>
          <cell r="J2733">
            <v>0</v>
          </cell>
          <cell r="K2733">
            <v>22302.36</v>
          </cell>
          <cell r="L2733">
            <v>280000</v>
          </cell>
          <cell r="M2733">
            <v>46008.9</v>
          </cell>
        </row>
        <row r="2734">
          <cell r="A2734">
            <v>1815140780</v>
          </cell>
          <cell r="B2734">
            <v>780</v>
          </cell>
          <cell r="C2734">
            <v>815140</v>
          </cell>
          <cell r="D2734">
            <v>1</v>
          </cell>
          <cell r="F2734" t="str">
            <v>פעולות - אומ"ץ</v>
          </cell>
          <cell r="G2734" t="str">
            <v>קשיח</v>
          </cell>
          <cell r="I2734">
            <v>0</v>
          </cell>
          <cell r="J2734">
            <v>0</v>
          </cell>
          <cell r="K2734">
            <v>0</v>
          </cell>
          <cell r="L2734">
            <v>20000</v>
          </cell>
          <cell r="M2734">
            <v>0</v>
          </cell>
        </row>
        <row r="2735">
          <cell r="A2735" t="e">
            <v>#VALUE!</v>
          </cell>
          <cell r="B2735" t="str">
            <v>815140  סך הכל</v>
          </cell>
          <cell r="F2735" t="str">
            <v>יוזמות - ק"ש</v>
          </cell>
          <cell r="I2735">
            <v>0</v>
          </cell>
          <cell r="J2735">
            <v>0</v>
          </cell>
          <cell r="K2735">
            <v>22302.36</v>
          </cell>
          <cell r="L2735">
            <v>300000</v>
          </cell>
          <cell r="M2735">
            <v>46008.9</v>
          </cell>
        </row>
        <row r="2736">
          <cell r="A2736">
            <v>18151500</v>
          </cell>
          <cell r="B2736">
            <v>0</v>
          </cell>
          <cell r="C2736">
            <v>815150</v>
          </cell>
          <cell r="D2736">
            <v>1</v>
          </cell>
          <cell r="F2736" t="str">
            <v>יוזמות - איילון</v>
          </cell>
          <cell r="G2736" t="str">
            <v xml:space="preserve"> </v>
          </cell>
        </row>
        <row r="2737">
          <cell r="A2737">
            <v>1815150213</v>
          </cell>
          <cell r="B2737">
            <v>213</v>
          </cell>
          <cell r="C2737">
            <v>815150</v>
          </cell>
          <cell r="D2737">
            <v>1</v>
          </cell>
          <cell r="F2737" t="str">
            <v>אומ"ץ - מדריכים</v>
          </cell>
          <cell r="G2737" t="str">
            <v>שכר</v>
          </cell>
          <cell r="I2737">
            <v>0</v>
          </cell>
          <cell r="J2737">
            <v>0</v>
          </cell>
          <cell r="K2737">
            <v>50261.34</v>
          </cell>
          <cell r="L2737">
            <v>235000</v>
          </cell>
          <cell r="M2737">
            <v>181516.56</v>
          </cell>
        </row>
        <row r="2738">
          <cell r="A2738">
            <v>1815150780</v>
          </cell>
          <cell r="B2738">
            <v>780</v>
          </cell>
          <cell r="C2738">
            <v>815150</v>
          </cell>
          <cell r="D2738">
            <v>1</v>
          </cell>
          <cell r="F2738" t="str">
            <v>פעולות - אומ"ץ</v>
          </cell>
          <cell r="G2738" t="str">
            <v>קשיח</v>
          </cell>
          <cell r="I2738">
            <v>0</v>
          </cell>
          <cell r="J2738">
            <v>0</v>
          </cell>
          <cell r="K2738">
            <v>0</v>
          </cell>
          <cell r="L2738">
            <v>20000</v>
          </cell>
          <cell r="M2738">
            <v>0</v>
          </cell>
        </row>
        <row r="2739">
          <cell r="A2739" t="e">
            <v>#VALUE!</v>
          </cell>
          <cell r="B2739" t="str">
            <v>815150  סך הכל</v>
          </cell>
          <cell r="F2739" t="str">
            <v>יוזמות - איילון</v>
          </cell>
          <cell r="I2739">
            <v>0</v>
          </cell>
          <cell r="J2739">
            <v>0</v>
          </cell>
          <cell r="K2739">
            <v>50261.34</v>
          </cell>
          <cell r="L2739">
            <v>255000</v>
          </cell>
          <cell r="M2739">
            <v>181516.56</v>
          </cell>
        </row>
        <row r="2740">
          <cell r="A2740">
            <v>18151600</v>
          </cell>
          <cell r="B2740">
            <v>0</v>
          </cell>
          <cell r="C2740">
            <v>815160</v>
          </cell>
          <cell r="D2740">
            <v>1</v>
          </cell>
          <cell r="F2740" t="str">
            <v>יוזמות - יבנה</v>
          </cell>
          <cell r="G2740" t="str">
            <v xml:space="preserve"> </v>
          </cell>
        </row>
        <row r="2741">
          <cell r="A2741">
            <v>1815160213</v>
          </cell>
          <cell r="B2741">
            <v>213</v>
          </cell>
          <cell r="C2741">
            <v>815160</v>
          </cell>
          <cell r="D2741">
            <v>1</v>
          </cell>
          <cell r="F2741" t="str">
            <v>אומ"ץ - מדריכים</v>
          </cell>
          <cell r="G2741" t="str">
            <v>שכר</v>
          </cell>
          <cell r="I2741">
            <v>0</v>
          </cell>
          <cell r="J2741">
            <v>0</v>
          </cell>
          <cell r="K2741">
            <v>21847.05</v>
          </cell>
          <cell r="L2741">
            <v>190000</v>
          </cell>
          <cell r="M2741">
            <v>30984.04</v>
          </cell>
        </row>
        <row r="2742">
          <cell r="A2742">
            <v>1815160780</v>
          </cell>
          <cell r="B2742">
            <v>780</v>
          </cell>
          <cell r="C2742">
            <v>815160</v>
          </cell>
          <cell r="D2742">
            <v>1</v>
          </cell>
          <cell r="F2742" t="str">
            <v>פעולות - אומ"ץ</v>
          </cell>
          <cell r="G2742" t="str">
            <v>קשיח</v>
          </cell>
          <cell r="I2742">
            <v>0</v>
          </cell>
          <cell r="J2742">
            <v>0</v>
          </cell>
          <cell r="K2742">
            <v>0</v>
          </cell>
          <cell r="L2742">
            <v>20000</v>
          </cell>
          <cell r="M2742">
            <v>0</v>
          </cell>
        </row>
        <row r="2743">
          <cell r="A2743" t="e">
            <v>#VALUE!</v>
          </cell>
          <cell r="B2743" t="str">
            <v>815160  סך הכל</v>
          </cell>
          <cell r="F2743" t="str">
            <v>יוזמות - יבנה</v>
          </cell>
          <cell r="I2743">
            <v>0</v>
          </cell>
          <cell r="J2743">
            <v>0</v>
          </cell>
          <cell r="K2743">
            <v>21847.05</v>
          </cell>
          <cell r="L2743">
            <v>210000</v>
          </cell>
          <cell r="M2743">
            <v>30984.04</v>
          </cell>
        </row>
        <row r="2744">
          <cell r="A2744">
            <v>18151700</v>
          </cell>
          <cell r="B2744">
            <v>0</v>
          </cell>
          <cell r="C2744">
            <v>815170</v>
          </cell>
          <cell r="D2744">
            <v>1</v>
          </cell>
          <cell r="F2744" t="str">
            <v>יוזמות - קציר</v>
          </cell>
          <cell r="G2744" t="str">
            <v xml:space="preserve"> </v>
          </cell>
        </row>
        <row r="2745">
          <cell r="A2745">
            <v>1815170213</v>
          </cell>
          <cell r="B2745">
            <v>213</v>
          </cell>
          <cell r="C2745">
            <v>815170</v>
          </cell>
          <cell r="D2745">
            <v>1</v>
          </cell>
          <cell r="F2745" t="str">
            <v>אומ"ץ - מדריכים</v>
          </cell>
          <cell r="G2745" t="str">
            <v>שכר</v>
          </cell>
          <cell r="I2745">
            <v>0</v>
          </cell>
          <cell r="J2745">
            <v>0</v>
          </cell>
          <cell r="K2745">
            <v>57641.29</v>
          </cell>
          <cell r="L2745">
            <v>250000</v>
          </cell>
          <cell r="M2745">
            <v>125020.44</v>
          </cell>
        </row>
        <row r="2746">
          <cell r="A2746">
            <v>1815170780</v>
          </cell>
          <cell r="B2746">
            <v>780</v>
          </cell>
          <cell r="C2746">
            <v>815170</v>
          </cell>
          <cell r="D2746">
            <v>1</v>
          </cell>
          <cell r="F2746" t="str">
            <v>פעולות - אומ"ץ</v>
          </cell>
          <cell r="G2746" t="str">
            <v>קשיח</v>
          </cell>
          <cell r="I2746">
            <v>0</v>
          </cell>
          <cell r="J2746">
            <v>0</v>
          </cell>
          <cell r="K2746">
            <v>0</v>
          </cell>
          <cell r="L2746">
            <v>20000</v>
          </cell>
          <cell r="M2746">
            <v>0</v>
          </cell>
        </row>
        <row r="2747">
          <cell r="A2747" t="e">
            <v>#VALUE!</v>
          </cell>
          <cell r="B2747" t="str">
            <v>815170  סך הכל</v>
          </cell>
          <cell r="F2747" t="str">
            <v>יוזמות - קציר</v>
          </cell>
          <cell r="I2747">
            <v>0</v>
          </cell>
          <cell r="J2747">
            <v>0</v>
          </cell>
          <cell r="K2747">
            <v>57641.29</v>
          </cell>
          <cell r="L2747">
            <v>270000</v>
          </cell>
          <cell r="M2747">
            <v>125020.44</v>
          </cell>
        </row>
        <row r="2748">
          <cell r="A2748">
            <v>18151900</v>
          </cell>
          <cell r="B2748">
            <v>0</v>
          </cell>
          <cell r="C2748">
            <v>815190</v>
          </cell>
          <cell r="D2748">
            <v>1</v>
          </cell>
          <cell r="F2748" t="str">
            <v>יוזמות - עתידים</v>
          </cell>
          <cell r="G2748" t="str">
            <v xml:space="preserve"> </v>
          </cell>
        </row>
        <row r="2749">
          <cell r="A2749">
            <v>1815190213</v>
          </cell>
          <cell r="B2749">
            <v>213</v>
          </cell>
          <cell r="C2749">
            <v>815190</v>
          </cell>
          <cell r="D2749">
            <v>1</v>
          </cell>
          <cell r="F2749" t="str">
            <v>אומ"ץ - מדריכים</v>
          </cell>
          <cell r="G2749" t="str">
            <v>שכר</v>
          </cell>
          <cell r="H2749">
            <v>-1</v>
          </cell>
          <cell r="I2749">
            <v>0</v>
          </cell>
          <cell r="J2749">
            <v>80000</v>
          </cell>
          <cell r="K2749">
            <v>70164.91</v>
          </cell>
          <cell r="L2749">
            <v>190000</v>
          </cell>
          <cell r="M2749">
            <v>197424.06</v>
          </cell>
        </row>
        <row r="2750">
          <cell r="A2750">
            <v>1815190780</v>
          </cell>
          <cell r="B2750">
            <v>780</v>
          </cell>
          <cell r="C2750">
            <v>815190</v>
          </cell>
          <cell r="D2750">
            <v>1</v>
          </cell>
          <cell r="F2750" t="str">
            <v>פעולות - אומ"ץ</v>
          </cell>
          <cell r="G2750" t="str">
            <v>קשיח</v>
          </cell>
          <cell r="H2750">
            <v>1.2222222222222223</v>
          </cell>
          <cell r="I2750">
            <v>20000</v>
          </cell>
          <cell r="J2750">
            <v>9000</v>
          </cell>
          <cell r="K2750">
            <v>9000</v>
          </cell>
          <cell r="L2750">
            <v>20000</v>
          </cell>
          <cell r="M2750">
            <v>18531</v>
          </cell>
        </row>
        <row r="2751">
          <cell r="A2751" t="e">
            <v>#VALUE!</v>
          </cell>
          <cell r="B2751" t="str">
            <v>815190  סך הכל</v>
          </cell>
          <cell r="F2751" t="str">
            <v>יוזמות - עתידים</v>
          </cell>
          <cell r="H2751">
            <v>-0.7752808988764045</v>
          </cell>
          <cell r="I2751">
            <v>20000</v>
          </cell>
          <cell r="J2751">
            <v>89000</v>
          </cell>
          <cell r="K2751">
            <v>79164.91</v>
          </cell>
          <cell r="L2751">
            <v>210000</v>
          </cell>
          <cell r="M2751">
            <v>215955.06</v>
          </cell>
        </row>
        <row r="2752">
          <cell r="A2752">
            <v>18157000</v>
          </cell>
          <cell r="B2752">
            <v>0</v>
          </cell>
          <cell r="C2752">
            <v>815700</v>
          </cell>
          <cell r="D2752">
            <v>1</v>
          </cell>
          <cell r="F2752" t="str">
            <v xml:space="preserve">בי"ס ע"י ומקיפים  </v>
          </cell>
          <cell r="G2752" t="str">
            <v xml:space="preserve"> </v>
          </cell>
          <cell r="L2752">
            <v>0</v>
          </cell>
        </row>
        <row r="2753">
          <cell r="A2753">
            <v>1815710118</v>
          </cell>
          <cell r="B2753">
            <v>118</v>
          </cell>
          <cell r="C2753">
            <v>815710</v>
          </cell>
          <cell r="D2753">
            <v>1</v>
          </cell>
          <cell r="F2753" t="str">
            <v xml:space="preserve">שכר עובדי הוראה   </v>
          </cell>
          <cell r="G2753" t="str">
            <v>שכר</v>
          </cell>
          <cell r="H2753">
            <v>-8.7174107825782943E-2</v>
          </cell>
          <cell r="I2753">
            <v>12531000</v>
          </cell>
          <cell r="J2753">
            <v>13727700</v>
          </cell>
          <cell r="K2753">
            <v>8374390.0199999996</v>
          </cell>
          <cell r="L2753">
            <v>15095000</v>
          </cell>
          <cell r="M2753">
            <v>13793255.42</v>
          </cell>
        </row>
        <row r="2754">
          <cell r="A2754">
            <v>1815710119</v>
          </cell>
          <cell r="B2754">
            <v>119</v>
          </cell>
          <cell r="C2754">
            <v>815710</v>
          </cell>
          <cell r="D2754">
            <v>1</v>
          </cell>
          <cell r="F2754" t="str">
            <v xml:space="preserve">השכר הקובע-צוברת  </v>
          </cell>
          <cell r="G2754" t="str">
            <v>שכר</v>
          </cell>
          <cell r="H2754">
            <v>2.4999999999999911E-2</v>
          </cell>
          <cell r="I2754">
            <v>1412039.9999999998</v>
          </cell>
          <cell r="J2754">
            <v>1377600</v>
          </cell>
          <cell r="K2754">
            <v>1302438.6399999999</v>
          </cell>
          <cell r="L2754">
            <v>1350600</v>
          </cell>
          <cell r="M2754">
            <v>2131585.2799999998</v>
          </cell>
        </row>
        <row r="2755">
          <cell r="A2755">
            <v>1815710122</v>
          </cell>
          <cell r="B2755">
            <v>122</v>
          </cell>
          <cell r="C2755">
            <v>815710</v>
          </cell>
          <cell r="D2755">
            <v>1</v>
          </cell>
          <cell r="F2755" t="str">
            <v xml:space="preserve">ביגוד             </v>
          </cell>
          <cell r="G2755" t="str">
            <v>שכר</v>
          </cell>
          <cell r="H2755">
            <v>0</v>
          </cell>
          <cell r="I2755">
            <v>144000</v>
          </cell>
          <cell r="J2755">
            <v>144000</v>
          </cell>
          <cell r="K2755">
            <v>154812.45000000001</v>
          </cell>
          <cell r="L2755">
            <v>136000</v>
          </cell>
          <cell r="M2755">
            <v>143766.60999999999</v>
          </cell>
        </row>
        <row r="2756">
          <cell r="A2756">
            <v>1815710126</v>
          </cell>
          <cell r="B2756">
            <v>126</v>
          </cell>
          <cell r="C2756">
            <v>815710</v>
          </cell>
          <cell r="D2756">
            <v>1</v>
          </cell>
          <cell r="F2756" t="str">
            <v xml:space="preserve">דמי הבראה         </v>
          </cell>
          <cell r="G2756" t="str">
            <v>שכר</v>
          </cell>
          <cell r="H2756">
            <v>0</v>
          </cell>
          <cell r="I2756">
            <v>300000</v>
          </cell>
          <cell r="J2756">
            <v>300000</v>
          </cell>
          <cell r="K2756">
            <v>323180.92</v>
          </cell>
          <cell r="L2756">
            <v>248000</v>
          </cell>
          <cell r="M2756">
            <v>302875.15000000002</v>
          </cell>
        </row>
        <row r="2757">
          <cell r="A2757">
            <v>1815710130</v>
          </cell>
          <cell r="B2757">
            <v>130</v>
          </cell>
          <cell r="C2757">
            <v>815710</v>
          </cell>
          <cell r="D2757">
            <v>1</v>
          </cell>
          <cell r="F2757" t="str">
            <v xml:space="preserve">שעות נוספות       </v>
          </cell>
          <cell r="G2757" t="str">
            <v>שכר</v>
          </cell>
          <cell r="H2757">
            <v>0</v>
          </cell>
          <cell r="I2757">
            <v>11180</v>
          </cell>
          <cell r="J2757">
            <v>11180</v>
          </cell>
          <cell r="K2757">
            <v>34609.21</v>
          </cell>
          <cell r="L2757">
            <v>13000</v>
          </cell>
          <cell r="M2757">
            <v>31354.1</v>
          </cell>
        </row>
        <row r="2758">
          <cell r="A2758">
            <v>1815710140</v>
          </cell>
          <cell r="B2758">
            <v>140</v>
          </cell>
          <cell r="C2758">
            <v>815710</v>
          </cell>
          <cell r="D2758">
            <v>1</v>
          </cell>
          <cell r="F2758" t="str">
            <v>השתתפות באחזקת רכב</v>
          </cell>
          <cell r="G2758" t="str">
            <v>שכר</v>
          </cell>
          <cell r="H2758">
            <v>0</v>
          </cell>
          <cell r="I2758">
            <v>134000</v>
          </cell>
          <cell r="J2758">
            <v>134000</v>
          </cell>
          <cell r="K2758">
            <v>119932.23</v>
          </cell>
          <cell r="L2758">
            <v>134000</v>
          </cell>
          <cell r="M2758">
            <v>192611.28</v>
          </cell>
        </row>
        <row r="2759">
          <cell r="A2759">
            <v>1815710212</v>
          </cell>
          <cell r="B2759">
            <v>212</v>
          </cell>
          <cell r="C2759">
            <v>815710</v>
          </cell>
          <cell r="D2759">
            <v>1</v>
          </cell>
          <cell r="F2759" t="str">
            <v xml:space="preserve">שעורי עזר לעולים  </v>
          </cell>
          <cell r="G2759" t="str">
            <v>שכר</v>
          </cell>
          <cell r="I2759">
            <v>0</v>
          </cell>
          <cell r="J2759">
            <v>0</v>
          </cell>
          <cell r="K2759">
            <v>0</v>
          </cell>
          <cell r="L2759">
            <v>0</v>
          </cell>
          <cell r="M2759">
            <v>0.35</v>
          </cell>
        </row>
        <row r="2760">
          <cell r="A2760">
            <v>1815710213</v>
          </cell>
          <cell r="B2760">
            <v>213</v>
          </cell>
          <cell r="C2760">
            <v>815710</v>
          </cell>
          <cell r="D2760">
            <v>1</v>
          </cell>
          <cell r="F2760" t="str">
            <v xml:space="preserve">שעורי עזר לנכים   </v>
          </cell>
          <cell r="G2760" t="str">
            <v>שכר</v>
          </cell>
          <cell r="I2760">
            <v>0</v>
          </cell>
          <cell r="J2760">
            <v>0</v>
          </cell>
          <cell r="K2760">
            <v>0</v>
          </cell>
          <cell r="L2760">
            <v>0</v>
          </cell>
          <cell r="M2760">
            <v>1157.3699999999999</v>
          </cell>
        </row>
        <row r="2761">
          <cell r="A2761">
            <v>1815710214</v>
          </cell>
          <cell r="B2761">
            <v>214</v>
          </cell>
          <cell r="C2761">
            <v>815710</v>
          </cell>
          <cell r="D2761">
            <v>1</v>
          </cell>
          <cell r="F2761" t="str">
            <v>שעורי עזר לתלמידים</v>
          </cell>
          <cell r="G2761" t="str">
            <v>שכר</v>
          </cell>
          <cell r="I2761">
            <v>0</v>
          </cell>
          <cell r="J2761">
            <v>0</v>
          </cell>
          <cell r="K2761">
            <v>3.62</v>
          </cell>
          <cell r="L2761">
            <v>0</v>
          </cell>
          <cell r="M2761">
            <v>24068.799999999999</v>
          </cell>
        </row>
        <row r="2762">
          <cell r="A2762">
            <v>1815710216</v>
          </cell>
          <cell r="B2762">
            <v>216</v>
          </cell>
          <cell r="C2762">
            <v>815710</v>
          </cell>
          <cell r="D2762">
            <v>1</v>
          </cell>
          <cell r="F2762" t="str">
            <v>פרוייקט קשישים</v>
          </cell>
          <cell r="G2762" t="str">
            <v>שכר</v>
          </cell>
          <cell r="H2762">
            <v>0</v>
          </cell>
          <cell r="I2762">
            <v>10000</v>
          </cell>
          <cell r="J2762">
            <v>10000</v>
          </cell>
          <cell r="K2762">
            <v>0</v>
          </cell>
          <cell r="L2762">
            <v>10000</v>
          </cell>
          <cell r="M2762">
            <v>1772</v>
          </cell>
        </row>
        <row r="2763">
          <cell r="A2763">
            <v>1815710250</v>
          </cell>
          <cell r="B2763">
            <v>250</v>
          </cell>
          <cell r="C2763">
            <v>815710</v>
          </cell>
          <cell r="D2763">
            <v>1</v>
          </cell>
          <cell r="F2763" t="str">
            <v>שעות השאלה למשה"ח</v>
          </cell>
          <cell r="G2763" t="str">
            <v>שכר</v>
          </cell>
          <cell r="H2763">
            <v>-1</v>
          </cell>
          <cell r="I2763">
            <v>0</v>
          </cell>
          <cell r="J2763">
            <v>35400</v>
          </cell>
          <cell r="K2763">
            <v>13.85</v>
          </cell>
          <cell r="L2763">
            <v>35400</v>
          </cell>
          <cell r="M2763">
            <v>0.06</v>
          </cell>
        </row>
        <row r="2764">
          <cell r="A2764">
            <v>1815710420</v>
          </cell>
          <cell r="B2764">
            <v>420</v>
          </cell>
          <cell r="C2764">
            <v>815710</v>
          </cell>
          <cell r="D2764">
            <v>1</v>
          </cell>
          <cell r="F2764" t="str">
            <v xml:space="preserve">כיבוי אש          </v>
          </cell>
          <cell r="G2764" t="str">
            <v>קשיח</v>
          </cell>
          <cell r="H2764">
            <v>0</v>
          </cell>
          <cell r="I2764">
            <v>9900</v>
          </cell>
          <cell r="J2764">
            <v>9900</v>
          </cell>
          <cell r="K2764">
            <v>3376.18</v>
          </cell>
          <cell r="L2764">
            <v>11000</v>
          </cell>
          <cell r="M2764">
            <v>3136.81</v>
          </cell>
        </row>
        <row r="2765">
          <cell r="A2765">
            <v>1815710431</v>
          </cell>
          <cell r="B2765">
            <v>431</v>
          </cell>
          <cell r="C2765">
            <v>815710</v>
          </cell>
          <cell r="D2765">
            <v>1</v>
          </cell>
          <cell r="F2765" t="str">
            <v xml:space="preserve">חשמל              </v>
          </cell>
          <cell r="G2765" t="str">
            <v>קשיח</v>
          </cell>
          <cell r="H2765">
            <v>0</v>
          </cell>
          <cell r="I2765">
            <v>141500</v>
          </cell>
          <cell r="J2765">
            <v>141500</v>
          </cell>
          <cell r="K2765">
            <v>93029</v>
          </cell>
          <cell r="L2765">
            <v>142400</v>
          </cell>
          <cell r="M2765">
            <v>142400</v>
          </cell>
        </row>
        <row r="2766">
          <cell r="A2766">
            <v>1815710432</v>
          </cell>
          <cell r="B2766">
            <v>432</v>
          </cell>
          <cell r="C2766">
            <v>815710</v>
          </cell>
          <cell r="D2766">
            <v>1</v>
          </cell>
          <cell r="F2766" t="str">
            <v xml:space="preserve">מים               </v>
          </cell>
          <cell r="G2766" t="str">
            <v>קשיח</v>
          </cell>
          <cell r="H2766">
            <v>-9.9009900990099098E-3</v>
          </cell>
          <cell r="I2766">
            <v>80000</v>
          </cell>
          <cell r="J2766">
            <v>80800</v>
          </cell>
          <cell r="K2766">
            <v>53645</v>
          </cell>
          <cell r="L2766">
            <v>82100</v>
          </cell>
          <cell r="M2766">
            <v>73802</v>
          </cell>
        </row>
        <row r="2767">
          <cell r="A2767">
            <v>1815710437</v>
          </cell>
          <cell r="B2767">
            <v>437</v>
          </cell>
          <cell r="C2767">
            <v>815710</v>
          </cell>
          <cell r="D2767">
            <v>1</v>
          </cell>
          <cell r="F2767" t="str">
            <v xml:space="preserve">אחזקת אזעקה       </v>
          </cell>
          <cell r="G2767" t="str">
            <v>קשיח</v>
          </cell>
          <cell r="H2767">
            <v>0</v>
          </cell>
          <cell r="I2767">
            <v>3700</v>
          </cell>
          <cell r="J2767">
            <v>3700</v>
          </cell>
          <cell r="K2767">
            <v>1847.88</v>
          </cell>
          <cell r="L2767">
            <v>2500</v>
          </cell>
          <cell r="M2767">
            <v>3591.38</v>
          </cell>
        </row>
        <row r="2768">
          <cell r="A2768">
            <v>1815710450</v>
          </cell>
          <cell r="B2768">
            <v>450</v>
          </cell>
          <cell r="C2768">
            <v>815710</v>
          </cell>
          <cell r="D2768">
            <v>1</v>
          </cell>
          <cell r="F2768" t="str">
            <v xml:space="preserve">ריהוט ואחזקתו     </v>
          </cell>
          <cell r="G2768" t="str">
            <v>גמיש</v>
          </cell>
          <cell r="H2768">
            <v>5.5155875299760293E-2</v>
          </cell>
          <cell r="I2768">
            <v>13200</v>
          </cell>
          <cell r="J2768">
            <v>12510</v>
          </cell>
          <cell r="K2768">
            <v>9185</v>
          </cell>
          <cell r="L2768">
            <v>12700</v>
          </cell>
          <cell r="M2768">
            <v>9561</v>
          </cell>
        </row>
        <row r="2769">
          <cell r="A2769">
            <v>1815710451</v>
          </cell>
          <cell r="B2769">
            <v>451</v>
          </cell>
          <cell r="C2769">
            <v>815710</v>
          </cell>
          <cell r="D2769">
            <v>1</v>
          </cell>
          <cell r="F2769" t="str">
            <v>הוצאות גפ"ן בית ספרי</v>
          </cell>
          <cell r="G2769" t="str">
            <v>קשיח</v>
          </cell>
          <cell r="H2769">
            <v>-8.4249084249084283E-2</v>
          </cell>
          <cell r="I2769">
            <v>300000</v>
          </cell>
          <cell r="J2769">
            <v>327600</v>
          </cell>
          <cell r="K2769">
            <v>0</v>
          </cell>
          <cell r="L2769">
            <v>0</v>
          </cell>
          <cell r="M2769">
            <v>0</v>
          </cell>
        </row>
        <row r="2770">
          <cell r="A2770">
            <v>1815710452</v>
          </cell>
          <cell r="B2770">
            <v>452</v>
          </cell>
          <cell r="C2770">
            <v>815710</v>
          </cell>
          <cell r="D2770">
            <v>1</v>
          </cell>
          <cell r="F2770" t="str">
            <v>השתתפות עירונית בגפ"ן</v>
          </cell>
          <cell r="G2770" t="str">
            <v>קשיח</v>
          </cell>
          <cell r="H2770">
            <v>3.5920461834509254E-2</v>
          </cell>
          <cell r="I2770">
            <v>323000</v>
          </cell>
          <cell r="J2770">
            <v>311800</v>
          </cell>
          <cell r="K2770">
            <v>234831</v>
          </cell>
          <cell r="L2770">
            <v>0</v>
          </cell>
          <cell r="M2770">
            <v>0</v>
          </cell>
        </row>
        <row r="2771">
          <cell r="A2771">
            <v>1815710511</v>
          </cell>
          <cell r="B2771">
            <v>511</v>
          </cell>
          <cell r="C2771">
            <v>815710</v>
          </cell>
          <cell r="D2771">
            <v>1</v>
          </cell>
          <cell r="F2771" t="str">
            <v xml:space="preserve">אירוח וכיבוד      </v>
          </cell>
          <cell r="G2771" t="str">
            <v>גמיש</v>
          </cell>
          <cell r="H2771">
            <v>0.27226463104325704</v>
          </cell>
          <cell r="I2771">
            <v>15000</v>
          </cell>
          <cell r="J2771">
            <v>11790</v>
          </cell>
          <cell r="K2771">
            <v>0</v>
          </cell>
          <cell r="L2771">
            <v>11700</v>
          </cell>
          <cell r="M2771">
            <v>13759.4</v>
          </cell>
        </row>
        <row r="2772">
          <cell r="A2772">
            <v>1815710742</v>
          </cell>
          <cell r="B2772">
            <v>742</v>
          </cell>
          <cell r="C2772">
            <v>815710</v>
          </cell>
          <cell r="D2772">
            <v>1</v>
          </cell>
          <cell r="F2772" t="str">
            <v xml:space="preserve">כלים וציוד        </v>
          </cell>
          <cell r="G2772" t="str">
            <v>גמיש</v>
          </cell>
          <cell r="H2772">
            <v>1.1011011011011096E-2</v>
          </cell>
          <cell r="I2772">
            <v>60600</v>
          </cell>
          <cell r="J2772">
            <v>59940</v>
          </cell>
          <cell r="K2772">
            <v>44408</v>
          </cell>
          <cell r="L2772">
            <v>60000</v>
          </cell>
          <cell r="M2772">
            <v>61143</v>
          </cell>
        </row>
        <row r="2773">
          <cell r="A2773">
            <v>1815710750</v>
          </cell>
          <cell r="B2773">
            <v>750</v>
          </cell>
          <cell r="C2773">
            <v>815710</v>
          </cell>
          <cell r="D2773">
            <v>1</v>
          </cell>
          <cell r="F2773" t="str">
            <v>אחזקת מוסדות</v>
          </cell>
          <cell r="G2773" t="str">
            <v>קשיח</v>
          </cell>
          <cell r="H2773">
            <v>-1.6168917633631374E-2</v>
          </cell>
          <cell r="I2773">
            <v>517200</v>
          </cell>
          <cell r="J2773">
            <v>525700</v>
          </cell>
          <cell r="K2773">
            <v>305505.91999999998</v>
          </cell>
          <cell r="L2773">
            <v>443700</v>
          </cell>
          <cell r="M2773">
            <v>481600</v>
          </cell>
        </row>
        <row r="2774">
          <cell r="A2774">
            <v>1815710752</v>
          </cell>
          <cell r="B2774">
            <v>752</v>
          </cell>
          <cell r="C2774">
            <v>815710</v>
          </cell>
          <cell r="D2774">
            <v>1</v>
          </cell>
          <cell r="F2774" t="str">
            <v xml:space="preserve">נקיון בקבלנות     </v>
          </cell>
          <cell r="G2774" t="str">
            <v>קשיח</v>
          </cell>
          <cell r="H2774">
            <v>-0.16552936311000832</v>
          </cell>
          <cell r="I2774">
            <v>807100</v>
          </cell>
          <cell r="J2774">
            <v>967200</v>
          </cell>
          <cell r="K2774">
            <v>309379.78000000003</v>
          </cell>
          <cell r="L2774">
            <v>819200</v>
          </cell>
          <cell r="M2774">
            <v>819199.8</v>
          </cell>
        </row>
        <row r="2775">
          <cell r="A2775">
            <v>1815710759</v>
          </cell>
          <cell r="B2775">
            <v>759</v>
          </cell>
          <cell r="C2775">
            <v>815710</v>
          </cell>
          <cell r="D2775">
            <v>1</v>
          </cell>
          <cell r="F2775" t="str">
            <v>שרותי סייעות</v>
          </cell>
          <cell r="G2775" t="str">
            <v>שכר</v>
          </cell>
          <cell r="H2775">
            <v>7.2939690558888604E-2</v>
          </cell>
          <cell r="I2775">
            <v>679600</v>
          </cell>
          <cell r="J2775">
            <v>633400</v>
          </cell>
          <cell r="K2775">
            <v>351946.61</v>
          </cell>
          <cell r="L2775">
            <v>358000</v>
          </cell>
          <cell r="M2775">
            <v>343122.02</v>
          </cell>
        </row>
        <row r="2776">
          <cell r="A2776">
            <v>1815710762</v>
          </cell>
          <cell r="B2776">
            <v>762</v>
          </cell>
          <cell r="C2776">
            <v>815710</v>
          </cell>
          <cell r="D2776">
            <v>1</v>
          </cell>
          <cell r="F2776" t="str">
            <v>שע' שאילה-מ' חינוך</v>
          </cell>
          <cell r="G2776" t="str">
            <v>שכר</v>
          </cell>
          <cell r="H2776">
            <v>0.23397177960191007</v>
          </cell>
          <cell r="I2776">
            <v>2300000</v>
          </cell>
          <cell r="J2776">
            <v>1863900</v>
          </cell>
          <cell r="K2776">
            <v>1354836.28</v>
          </cell>
          <cell r="L2776">
            <v>1635700</v>
          </cell>
          <cell r="M2776">
            <v>1975820.76</v>
          </cell>
        </row>
        <row r="2777">
          <cell r="A2777">
            <v>1815710780</v>
          </cell>
          <cell r="B2777">
            <v>780</v>
          </cell>
          <cell r="C2777">
            <v>815710</v>
          </cell>
          <cell r="D2777">
            <v>1</v>
          </cell>
          <cell r="F2777" t="str">
            <v xml:space="preserve">חינוך חברתי       </v>
          </cell>
          <cell r="G2777" t="str">
            <v>קשיח</v>
          </cell>
          <cell r="H2777">
            <v>2.7027027027026973E-2</v>
          </cell>
          <cell r="I2777">
            <v>19000</v>
          </cell>
          <cell r="J2777">
            <v>18500</v>
          </cell>
          <cell r="K2777">
            <v>12318</v>
          </cell>
          <cell r="L2777">
            <v>17000</v>
          </cell>
          <cell r="M2777">
            <v>17180</v>
          </cell>
        </row>
        <row r="2778">
          <cell r="A2778">
            <v>1815710794</v>
          </cell>
          <cell r="B2778">
            <v>794</v>
          </cell>
          <cell r="C2778">
            <v>815710</v>
          </cell>
          <cell r="D2778">
            <v>1</v>
          </cell>
          <cell r="F2778" t="str">
            <v xml:space="preserve">השתתפות בעזר 094  </v>
          </cell>
          <cell r="G2778" t="str">
            <v>קשיח</v>
          </cell>
          <cell r="H2778">
            <v>0.10588235294117654</v>
          </cell>
          <cell r="I2778">
            <v>9400</v>
          </cell>
          <cell r="J2778">
            <v>8500</v>
          </cell>
          <cell r="K2778">
            <v>4016</v>
          </cell>
          <cell r="L2778">
            <v>16700</v>
          </cell>
          <cell r="M2778">
            <v>19920</v>
          </cell>
        </row>
        <row r="2779">
          <cell r="A2779">
            <v>1815710810</v>
          </cell>
          <cell r="B2779">
            <v>810</v>
          </cell>
          <cell r="C2779">
            <v>815710</v>
          </cell>
          <cell r="D2779">
            <v>1</v>
          </cell>
          <cell r="F2779" t="str">
            <v>הקצבה לניהול עצמי</v>
          </cell>
          <cell r="G2779" t="str">
            <v>גמיש</v>
          </cell>
          <cell r="H2779">
            <v>-1</v>
          </cell>
          <cell r="I2779">
            <v>0</v>
          </cell>
          <cell r="J2779">
            <v>140580</v>
          </cell>
          <cell r="K2779">
            <v>0</v>
          </cell>
          <cell r="L2779">
            <v>142400</v>
          </cell>
          <cell r="M2779">
            <v>0</v>
          </cell>
        </row>
        <row r="2780">
          <cell r="A2780">
            <v>1815710812</v>
          </cell>
          <cell r="B2780">
            <v>812</v>
          </cell>
          <cell r="C2780">
            <v>815710</v>
          </cell>
          <cell r="D2780">
            <v>1</v>
          </cell>
          <cell r="F2780" t="str">
            <v>מסיבות כיתתיות</v>
          </cell>
          <cell r="G2780" t="str">
            <v>קשיח</v>
          </cell>
          <cell r="H2780">
            <v>0.66666666666666674</v>
          </cell>
          <cell r="I2780">
            <v>34500</v>
          </cell>
          <cell r="J2780">
            <v>20700</v>
          </cell>
          <cell r="K2780">
            <v>9400</v>
          </cell>
          <cell r="L2780">
            <v>23000</v>
          </cell>
          <cell r="M2780">
            <v>24442</v>
          </cell>
        </row>
        <row r="2781">
          <cell r="A2781">
            <v>1815710816</v>
          </cell>
          <cell r="B2781">
            <v>816</v>
          </cell>
          <cell r="C2781">
            <v>815710</v>
          </cell>
          <cell r="D2781">
            <v>1</v>
          </cell>
          <cell r="F2781" t="str">
            <v>חט"ב - הכלה והשתלבות</v>
          </cell>
          <cell r="G2781" t="str">
            <v>קשיח</v>
          </cell>
          <cell r="I2781">
            <v>0</v>
          </cell>
          <cell r="J2781">
            <v>0</v>
          </cell>
          <cell r="K2781">
            <v>0</v>
          </cell>
          <cell r="L2781">
            <v>0</v>
          </cell>
          <cell r="M2781">
            <v>0</v>
          </cell>
        </row>
        <row r="2782">
          <cell r="A2782">
            <v>1815710953</v>
          </cell>
          <cell r="B2782">
            <v>953</v>
          </cell>
          <cell r="C2782">
            <v>815710</v>
          </cell>
          <cell r="D2782">
            <v>1</v>
          </cell>
          <cell r="F2782" t="str">
            <v>מערכת גפ"ן</v>
          </cell>
          <cell r="G2782" t="str">
            <v>קשיח</v>
          </cell>
          <cell r="H2782">
            <v>9.8460551635663807E-2</v>
          </cell>
          <cell r="I2782">
            <v>1370000</v>
          </cell>
          <cell r="J2782">
            <v>1247200</v>
          </cell>
          <cell r="K2782">
            <v>605674.5</v>
          </cell>
          <cell r="L2782">
            <v>1440000</v>
          </cell>
          <cell r="M2782">
            <v>1441946.99</v>
          </cell>
        </row>
        <row r="2783">
          <cell r="A2783">
            <v>1815710989</v>
          </cell>
          <cell r="B2783">
            <v>989</v>
          </cell>
          <cell r="C2783">
            <v>815710</v>
          </cell>
          <cell r="D2783">
            <v>1</v>
          </cell>
          <cell r="F2783" t="str">
            <v xml:space="preserve">תקורה             </v>
          </cell>
          <cell r="G2783" t="str">
            <v>קשיח</v>
          </cell>
          <cell r="H2783">
            <v>-4.0632768361581917E-2</v>
          </cell>
          <cell r="I2783">
            <v>1273560</v>
          </cell>
          <cell r="J2783">
            <v>1327500</v>
          </cell>
          <cell r="K2783">
            <v>0</v>
          </cell>
          <cell r="L2783">
            <v>1271700</v>
          </cell>
          <cell r="M2783">
            <v>1258860</v>
          </cell>
        </row>
        <row r="2784">
          <cell r="A2784" t="e">
            <v>#VALUE!</v>
          </cell>
          <cell r="B2784" t="str">
            <v>815710  סך הכל</v>
          </cell>
          <cell r="F2784" t="str">
            <v xml:space="preserve">תיכון נבון </v>
          </cell>
          <cell r="H2784">
            <v>-4.0640270161943715E-2</v>
          </cell>
          <cell r="I2784">
            <v>22499480</v>
          </cell>
          <cell r="J2784">
            <v>23452600</v>
          </cell>
          <cell r="K2784">
            <v>13702780.089999998</v>
          </cell>
          <cell r="L2784">
            <v>23511800</v>
          </cell>
          <cell r="M2784">
            <v>23311931.579999994</v>
          </cell>
        </row>
        <row r="2785">
          <cell r="A2785">
            <v>18157200</v>
          </cell>
          <cell r="B2785">
            <v>0</v>
          </cell>
          <cell r="C2785">
            <v>815720</v>
          </cell>
          <cell r="D2785">
            <v>1</v>
          </cell>
          <cell r="F2785" t="str">
            <v xml:space="preserve">בי"ס תיכון קוגל   </v>
          </cell>
          <cell r="G2785" t="str">
            <v xml:space="preserve"> </v>
          </cell>
        </row>
        <row r="2786">
          <cell r="A2786">
            <v>1815720110</v>
          </cell>
          <cell r="B2786">
            <v>110</v>
          </cell>
          <cell r="C2786">
            <v>815720</v>
          </cell>
          <cell r="D2786">
            <v>1</v>
          </cell>
          <cell r="F2786" t="str">
            <v>השכר הקובע-תקציבית</v>
          </cell>
          <cell r="G2786" t="str">
            <v>שכר</v>
          </cell>
          <cell r="H2786">
            <v>2.4972375690607729E-2</v>
          </cell>
          <cell r="I2786">
            <v>185520</v>
          </cell>
          <cell r="J2786">
            <v>181000</v>
          </cell>
          <cell r="K2786">
            <v>160669.44</v>
          </cell>
          <cell r="L2786">
            <v>148100</v>
          </cell>
          <cell r="M2786">
            <v>225786.84</v>
          </cell>
        </row>
        <row r="2787">
          <cell r="A2787">
            <v>1815720118</v>
          </cell>
          <cell r="B2787">
            <v>118</v>
          </cell>
          <cell r="C2787">
            <v>815720</v>
          </cell>
          <cell r="D2787">
            <v>1</v>
          </cell>
          <cell r="F2787" t="str">
            <v xml:space="preserve">שכר עובדי הוראה   </v>
          </cell>
          <cell r="G2787" t="str">
            <v>שכר</v>
          </cell>
          <cell r="H2787">
            <v>2.2844787064021821E-2</v>
          </cell>
          <cell r="I2787">
            <v>19584000</v>
          </cell>
          <cell r="J2787">
            <v>19146600</v>
          </cell>
          <cell r="K2787">
            <v>12268106.9</v>
          </cell>
          <cell r="L2787">
            <v>18129000</v>
          </cell>
          <cell r="M2787">
            <v>18985574.309999999</v>
          </cell>
        </row>
        <row r="2788">
          <cell r="A2788">
            <v>1815720119</v>
          </cell>
          <cell r="B2788">
            <v>119</v>
          </cell>
          <cell r="C2788">
            <v>815720</v>
          </cell>
          <cell r="D2788">
            <v>1</v>
          </cell>
          <cell r="F2788" t="str">
            <v xml:space="preserve">השכר הקובע-צוברת  </v>
          </cell>
          <cell r="G2788" t="str">
            <v>שכר</v>
          </cell>
          <cell r="H2788">
            <v>2.4996791992814016E-2</v>
          </cell>
          <cell r="I2788">
            <v>1597560</v>
          </cell>
          <cell r="J2788">
            <v>1558600</v>
          </cell>
          <cell r="K2788">
            <v>1011515.64</v>
          </cell>
          <cell r="L2788">
            <v>1528000</v>
          </cell>
          <cell r="M2788">
            <v>1655198.78</v>
          </cell>
        </row>
        <row r="2789">
          <cell r="A2789">
            <v>1815720122</v>
          </cell>
          <cell r="B2789">
            <v>122</v>
          </cell>
          <cell r="C2789">
            <v>815720</v>
          </cell>
          <cell r="D2789">
            <v>1</v>
          </cell>
          <cell r="F2789" t="str">
            <v xml:space="preserve">ביגוד             </v>
          </cell>
          <cell r="G2789" t="str">
            <v>שכר</v>
          </cell>
          <cell r="H2789">
            <v>0</v>
          </cell>
          <cell r="I2789">
            <v>170000</v>
          </cell>
          <cell r="J2789">
            <v>170000</v>
          </cell>
          <cell r="K2789">
            <v>197454.65</v>
          </cell>
          <cell r="L2789">
            <v>156800</v>
          </cell>
          <cell r="M2789">
            <v>168281.08</v>
          </cell>
        </row>
        <row r="2790">
          <cell r="A2790">
            <v>1815720126</v>
          </cell>
          <cell r="B2790">
            <v>126</v>
          </cell>
          <cell r="C2790">
            <v>815720</v>
          </cell>
          <cell r="D2790">
            <v>1</v>
          </cell>
          <cell r="F2790" t="str">
            <v xml:space="preserve">דמי הבראה         </v>
          </cell>
          <cell r="G2790" t="str">
            <v>שכר</v>
          </cell>
          <cell r="H2790">
            <v>0</v>
          </cell>
          <cell r="I2790">
            <v>375000</v>
          </cell>
          <cell r="J2790">
            <v>375000</v>
          </cell>
          <cell r="K2790">
            <v>423320.31</v>
          </cell>
          <cell r="L2790">
            <v>346000</v>
          </cell>
          <cell r="M2790">
            <v>376162.97</v>
          </cell>
        </row>
        <row r="2791">
          <cell r="A2791">
            <v>1815720130</v>
          </cell>
          <cell r="B2791">
            <v>130</v>
          </cell>
          <cell r="C2791">
            <v>815720</v>
          </cell>
          <cell r="D2791">
            <v>1</v>
          </cell>
          <cell r="F2791" t="str">
            <v xml:space="preserve">שעות נוספות       </v>
          </cell>
          <cell r="G2791" t="str">
            <v>שכר</v>
          </cell>
          <cell r="H2791">
            <v>0</v>
          </cell>
          <cell r="I2791">
            <v>9460</v>
          </cell>
          <cell r="J2791">
            <v>9460</v>
          </cell>
          <cell r="K2791">
            <v>11465.56</v>
          </cell>
          <cell r="L2791">
            <v>11000</v>
          </cell>
          <cell r="M2791">
            <v>14928.98</v>
          </cell>
        </row>
        <row r="2792">
          <cell r="A2792">
            <v>1815720140</v>
          </cell>
          <cell r="B2792">
            <v>140</v>
          </cell>
          <cell r="C2792">
            <v>815720</v>
          </cell>
          <cell r="D2792">
            <v>1</v>
          </cell>
          <cell r="F2792" t="str">
            <v>השתתפות באחזקת רכב</v>
          </cell>
          <cell r="G2792" t="str">
            <v>שכר</v>
          </cell>
          <cell r="H2792">
            <v>0</v>
          </cell>
          <cell r="I2792">
            <v>154000</v>
          </cell>
          <cell r="J2792">
            <v>154000</v>
          </cell>
          <cell r="K2792">
            <v>126070.51</v>
          </cell>
          <cell r="L2792">
            <v>154000</v>
          </cell>
          <cell r="M2792">
            <v>219025.32</v>
          </cell>
        </row>
        <row r="2793">
          <cell r="A2793">
            <v>1815720213</v>
          </cell>
          <cell r="B2793">
            <v>213</v>
          </cell>
          <cell r="C2793">
            <v>815720</v>
          </cell>
          <cell r="D2793">
            <v>1</v>
          </cell>
          <cell r="F2793" t="str">
            <v xml:space="preserve">שעורי עזר לנכים   </v>
          </cell>
          <cell r="G2793" t="str">
            <v>שכר</v>
          </cell>
          <cell r="I2793">
            <v>0</v>
          </cell>
          <cell r="J2793">
            <v>0</v>
          </cell>
          <cell r="K2793">
            <v>0</v>
          </cell>
          <cell r="L2793">
            <v>0</v>
          </cell>
          <cell r="M2793">
            <v>0</v>
          </cell>
        </row>
        <row r="2794">
          <cell r="A2794">
            <v>1815720214</v>
          </cell>
          <cell r="B2794">
            <v>214</v>
          </cell>
          <cell r="C2794">
            <v>815720</v>
          </cell>
          <cell r="D2794">
            <v>1</v>
          </cell>
          <cell r="F2794" t="str">
            <v>שעורי עזר לתלמידים</v>
          </cell>
          <cell r="G2794" t="str">
            <v>שכר</v>
          </cell>
          <cell r="I2794">
            <v>0</v>
          </cell>
          <cell r="J2794">
            <v>0</v>
          </cell>
          <cell r="K2794">
            <v>4.2300000000000004</v>
          </cell>
          <cell r="L2794">
            <v>0</v>
          </cell>
          <cell r="M2794">
            <v>11075.13</v>
          </cell>
        </row>
        <row r="2795">
          <cell r="A2795">
            <v>1815720216</v>
          </cell>
          <cell r="B2795">
            <v>216</v>
          </cell>
          <cell r="C2795">
            <v>815720</v>
          </cell>
          <cell r="D2795">
            <v>1</v>
          </cell>
          <cell r="F2795" t="str">
            <v>פרוייקט לקשיש-קוגל</v>
          </cell>
          <cell r="G2795" t="str">
            <v>שכר</v>
          </cell>
          <cell r="H2795">
            <v>0</v>
          </cell>
          <cell r="I2795">
            <v>60000</v>
          </cell>
          <cell r="J2795">
            <v>60000</v>
          </cell>
          <cell r="K2795">
            <v>74280.58</v>
          </cell>
          <cell r="L2795">
            <v>60000</v>
          </cell>
          <cell r="M2795">
            <v>45712.69</v>
          </cell>
        </row>
        <row r="2796">
          <cell r="A2796">
            <v>1815720250</v>
          </cell>
          <cell r="B2796">
            <v>250</v>
          </cell>
          <cell r="C2796">
            <v>815720</v>
          </cell>
          <cell r="D2796">
            <v>1</v>
          </cell>
          <cell r="F2796" t="str">
            <v>שעות השאלה למשה"ח</v>
          </cell>
          <cell r="G2796" t="str">
            <v>שכר</v>
          </cell>
          <cell r="H2796">
            <v>-1</v>
          </cell>
          <cell r="I2796">
            <v>0</v>
          </cell>
          <cell r="J2796">
            <v>35400</v>
          </cell>
          <cell r="K2796">
            <v>0</v>
          </cell>
          <cell r="L2796">
            <v>35000</v>
          </cell>
          <cell r="M2796">
            <v>0</v>
          </cell>
        </row>
        <row r="2797">
          <cell r="A2797">
            <v>1815720263</v>
          </cell>
          <cell r="B2797">
            <v>263</v>
          </cell>
          <cell r="C2797">
            <v>815720</v>
          </cell>
          <cell r="D2797">
            <v>1</v>
          </cell>
          <cell r="F2797" t="str">
            <v>עובדי חברת מוסדות</v>
          </cell>
          <cell r="G2797" t="str">
            <v>שכר</v>
          </cell>
          <cell r="I2797">
            <v>0</v>
          </cell>
          <cell r="J2797">
            <v>0</v>
          </cell>
          <cell r="K2797">
            <v>10536.04</v>
          </cell>
          <cell r="L2797">
            <v>0</v>
          </cell>
          <cell r="M2797">
            <v>42386.84</v>
          </cell>
        </row>
        <row r="2798">
          <cell r="A2798">
            <v>1815720413</v>
          </cell>
          <cell r="B2798">
            <v>413</v>
          </cell>
          <cell r="C2798">
            <v>815720</v>
          </cell>
          <cell r="D2798">
            <v>1</v>
          </cell>
          <cell r="F2798" t="str">
            <v xml:space="preserve">דמי שימוש באולם   </v>
          </cell>
          <cell r="G2798" t="str">
            <v>קשיח</v>
          </cell>
          <cell r="H2798">
            <v>0</v>
          </cell>
          <cell r="I2798">
            <v>250000</v>
          </cell>
          <cell r="J2798">
            <v>250000</v>
          </cell>
          <cell r="K2798">
            <v>0</v>
          </cell>
          <cell r="L2798">
            <v>250000</v>
          </cell>
          <cell r="M2798">
            <v>250000</v>
          </cell>
        </row>
        <row r="2799">
          <cell r="A2799">
            <v>1815720420</v>
          </cell>
          <cell r="B2799">
            <v>420</v>
          </cell>
          <cell r="C2799">
            <v>815720</v>
          </cell>
          <cell r="D2799">
            <v>1</v>
          </cell>
          <cell r="F2799" t="str">
            <v xml:space="preserve">כיבוי אש          </v>
          </cell>
          <cell r="G2799" t="str">
            <v>קשיח</v>
          </cell>
          <cell r="H2799">
            <v>0.66666666666666674</v>
          </cell>
          <cell r="I2799">
            <v>18000</v>
          </cell>
          <cell r="J2799">
            <v>10800</v>
          </cell>
          <cell r="K2799">
            <v>13178.3</v>
          </cell>
          <cell r="L2799">
            <v>12000</v>
          </cell>
          <cell r="M2799">
            <v>17441.45</v>
          </cell>
        </row>
        <row r="2800">
          <cell r="A2800">
            <v>1815720431</v>
          </cell>
          <cell r="B2800">
            <v>431</v>
          </cell>
          <cell r="C2800">
            <v>815720</v>
          </cell>
          <cell r="D2800">
            <v>1</v>
          </cell>
          <cell r="F2800" t="str">
            <v xml:space="preserve">חשמל              </v>
          </cell>
          <cell r="G2800" t="str">
            <v>קשיח</v>
          </cell>
          <cell r="H2800">
            <v>-2.0051986632008911E-2</v>
          </cell>
          <cell r="I2800">
            <v>263900</v>
          </cell>
          <cell r="J2800">
            <v>269300</v>
          </cell>
          <cell r="K2800">
            <v>165860</v>
          </cell>
          <cell r="L2800">
            <v>266600</v>
          </cell>
          <cell r="M2800">
            <v>241973</v>
          </cell>
        </row>
        <row r="2801">
          <cell r="A2801">
            <v>1815720432</v>
          </cell>
          <cell r="B2801">
            <v>432</v>
          </cell>
          <cell r="C2801">
            <v>815720</v>
          </cell>
          <cell r="D2801">
            <v>1</v>
          </cell>
          <cell r="F2801" t="str">
            <v xml:space="preserve">מים               </v>
          </cell>
          <cell r="G2801" t="str">
            <v>קשיח</v>
          </cell>
          <cell r="H2801">
            <v>-1.2158054711246202E-2</v>
          </cell>
          <cell r="I2801">
            <v>130000</v>
          </cell>
          <cell r="J2801">
            <v>131600</v>
          </cell>
          <cell r="K2801">
            <v>81872</v>
          </cell>
          <cell r="L2801">
            <v>131600</v>
          </cell>
          <cell r="M2801">
            <v>119442</v>
          </cell>
        </row>
        <row r="2802">
          <cell r="A2802">
            <v>1815720437</v>
          </cell>
          <cell r="B2802">
            <v>437</v>
          </cell>
          <cell r="C2802">
            <v>815720</v>
          </cell>
          <cell r="D2802">
            <v>1</v>
          </cell>
          <cell r="F2802" t="str">
            <v xml:space="preserve">אחזקת אזעקה       </v>
          </cell>
          <cell r="G2802" t="str">
            <v>קשיח</v>
          </cell>
          <cell r="H2802">
            <v>0</v>
          </cell>
          <cell r="I2802">
            <v>2500</v>
          </cell>
          <cell r="J2802">
            <v>2500</v>
          </cell>
          <cell r="K2802">
            <v>1231.92</v>
          </cell>
          <cell r="L2802">
            <v>2500</v>
          </cell>
          <cell r="M2802">
            <v>2442.96</v>
          </cell>
        </row>
        <row r="2803">
          <cell r="A2803">
            <v>1815720450</v>
          </cell>
          <cell r="B2803">
            <v>450</v>
          </cell>
          <cell r="C2803">
            <v>815720</v>
          </cell>
          <cell r="D2803">
            <v>1</v>
          </cell>
          <cell r="F2803" t="str">
            <v xml:space="preserve">ריהוט ואחזקתו     </v>
          </cell>
          <cell r="G2803" t="str">
            <v>גמיש</v>
          </cell>
          <cell r="H2803">
            <v>5.967078189300401E-2</v>
          </cell>
          <cell r="I2803">
            <v>10300</v>
          </cell>
          <cell r="J2803">
            <v>9720</v>
          </cell>
          <cell r="K2803">
            <v>5383</v>
          </cell>
          <cell r="L2803">
            <v>9600</v>
          </cell>
          <cell r="M2803">
            <v>7796</v>
          </cell>
        </row>
        <row r="2804">
          <cell r="A2804">
            <v>1815720451</v>
          </cell>
          <cell r="B2804">
            <v>451</v>
          </cell>
          <cell r="C2804">
            <v>815720</v>
          </cell>
          <cell r="D2804">
            <v>1</v>
          </cell>
          <cell r="F2804" t="str">
            <v>הוצאות גפ"ן בית ספרי</v>
          </cell>
          <cell r="G2804" t="str">
            <v>קשיח</v>
          </cell>
          <cell r="H2804">
            <v>0</v>
          </cell>
          <cell r="I2804">
            <v>300000</v>
          </cell>
          <cell r="J2804">
            <v>300000</v>
          </cell>
          <cell r="K2804">
            <v>0</v>
          </cell>
          <cell r="L2804">
            <v>0</v>
          </cell>
          <cell r="M2804">
            <v>0</v>
          </cell>
        </row>
        <row r="2805">
          <cell r="A2805">
            <v>1815720452</v>
          </cell>
          <cell r="B2805">
            <v>452</v>
          </cell>
          <cell r="C2805">
            <v>815720</v>
          </cell>
          <cell r="D2805">
            <v>1</v>
          </cell>
          <cell r="F2805" t="str">
            <v>השתתפות עירונית בגפ"ן</v>
          </cell>
          <cell r="G2805" t="str">
            <v>קשיח</v>
          </cell>
          <cell r="H2805">
            <v>2.2727272727272707E-2</v>
          </cell>
          <cell r="I2805">
            <v>360000</v>
          </cell>
          <cell r="J2805">
            <v>352000</v>
          </cell>
          <cell r="K2805">
            <v>363096</v>
          </cell>
          <cell r="L2805">
            <v>0</v>
          </cell>
          <cell r="M2805">
            <v>0</v>
          </cell>
        </row>
        <row r="2806">
          <cell r="A2806">
            <v>1815720511</v>
          </cell>
          <cell r="B2806">
            <v>511</v>
          </cell>
          <cell r="C2806">
            <v>815720</v>
          </cell>
          <cell r="D2806">
            <v>1</v>
          </cell>
          <cell r="F2806" t="str">
            <v xml:space="preserve">אירוח וכיבוד      </v>
          </cell>
          <cell r="G2806" t="str">
            <v>גמיש</v>
          </cell>
          <cell r="H2806">
            <v>0.24269005847953218</v>
          </cell>
          <cell r="I2806">
            <v>17000</v>
          </cell>
          <cell r="J2806">
            <v>13680</v>
          </cell>
          <cell r="K2806">
            <v>140.80000000000001</v>
          </cell>
          <cell r="L2806">
            <v>12600</v>
          </cell>
          <cell r="M2806">
            <v>15239.9</v>
          </cell>
        </row>
        <row r="2807">
          <cell r="A2807">
            <v>1815720742</v>
          </cell>
          <cell r="B2807">
            <v>742</v>
          </cell>
          <cell r="C2807">
            <v>815720</v>
          </cell>
          <cell r="D2807">
            <v>1</v>
          </cell>
          <cell r="F2807" t="str">
            <v xml:space="preserve">כלים וציוד        </v>
          </cell>
          <cell r="G2807" t="str">
            <v>גמיש</v>
          </cell>
          <cell r="H2807">
            <v>0.46322378716744916</v>
          </cell>
          <cell r="I2807">
            <v>74800</v>
          </cell>
          <cell r="J2807">
            <v>51120</v>
          </cell>
          <cell r="K2807">
            <v>37824</v>
          </cell>
          <cell r="L2807">
            <v>50000</v>
          </cell>
          <cell r="M2807">
            <v>51249</v>
          </cell>
        </row>
        <row r="2808">
          <cell r="A2808">
            <v>1815720750</v>
          </cell>
          <cell r="B2808">
            <v>750</v>
          </cell>
          <cell r="C2808">
            <v>815720</v>
          </cell>
          <cell r="D2808">
            <v>1</v>
          </cell>
          <cell r="F2808" t="str">
            <v>אחזקת מוסדות</v>
          </cell>
          <cell r="G2808" t="str">
            <v>קשיח</v>
          </cell>
          <cell r="H2808">
            <v>2.9047546246752098E-3</v>
          </cell>
          <cell r="I2808">
            <v>656000</v>
          </cell>
          <cell r="J2808">
            <v>654100</v>
          </cell>
          <cell r="K2808">
            <v>379218.14</v>
          </cell>
          <cell r="L2808">
            <v>508700</v>
          </cell>
          <cell r="M2808">
            <v>512171</v>
          </cell>
        </row>
        <row r="2809">
          <cell r="A2809">
            <v>1815720752</v>
          </cell>
          <cell r="B2809">
            <v>752</v>
          </cell>
          <cell r="C2809">
            <v>815720</v>
          </cell>
          <cell r="D2809">
            <v>1</v>
          </cell>
          <cell r="F2809" t="str">
            <v xml:space="preserve">נקיון בקבלנות     </v>
          </cell>
          <cell r="G2809" t="str">
            <v>קשיח</v>
          </cell>
          <cell r="H2809">
            <v>-5.9253389681281909E-2</v>
          </cell>
          <cell r="I2809">
            <v>1068500</v>
          </cell>
          <cell r="J2809">
            <v>1135800</v>
          </cell>
          <cell r="K2809">
            <v>604373.62</v>
          </cell>
          <cell r="L2809">
            <v>899500</v>
          </cell>
          <cell r="M2809">
            <v>899499.94</v>
          </cell>
        </row>
        <row r="2810">
          <cell r="A2810">
            <v>1815720759</v>
          </cell>
          <cell r="B2810">
            <v>759</v>
          </cell>
          <cell r="C2810">
            <v>815720</v>
          </cell>
          <cell r="D2810">
            <v>1</v>
          </cell>
          <cell r="F2810" t="str">
            <v>שרותי סייעות</v>
          </cell>
          <cell r="G2810" t="str">
            <v>שכר</v>
          </cell>
          <cell r="H2810">
            <v>7.2801082543978435E-2</v>
          </cell>
          <cell r="I2810">
            <v>1189200</v>
          </cell>
          <cell r="J2810">
            <v>1108500</v>
          </cell>
          <cell r="K2810">
            <v>557620.63</v>
          </cell>
          <cell r="L2810">
            <v>628400</v>
          </cell>
          <cell r="M2810">
            <v>1064732.3799999999</v>
          </cell>
        </row>
        <row r="2811">
          <cell r="A2811">
            <v>1815720762</v>
          </cell>
          <cell r="B2811">
            <v>762</v>
          </cell>
          <cell r="C2811">
            <v>815720</v>
          </cell>
          <cell r="D2811">
            <v>1</v>
          </cell>
          <cell r="F2811" t="str">
            <v xml:space="preserve">שאילת מורים       </v>
          </cell>
          <cell r="G2811" t="str">
            <v>שכר</v>
          </cell>
          <cell r="H2811">
            <v>0.17760411090889616</v>
          </cell>
          <cell r="I2811">
            <v>1100000</v>
          </cell>
          <cell r="J2811">
            <v>934100</v>
          </cell>
          <cell r="K2811">
            <v>644481.18000000005</v>
          </cell>
          <cell r="L2811">
            <v>1039600</v>
          </cell>
          <cell r="M2811">
            <v>976236.48</v>
          </cell>
        </row>
        <row r="2812">
          <cell r="A2812">
            <v>1815720780</v>
          </cell>
          <cell r="B2812">
            <v>780</v>
          </cell>
          <cell r="C2812">
            <v>815720</v>
          </cell>
          <cell r="D2812">
            <v>1</v>
          </cell>
          <cell r="F2812" t="str">
            <v xml:space="preserve">חינוך חברתי       </v>
          </cell>
          <cell r="G2812" t="str">
            <v>קשיח</v>
          </cell>
          <cell r="H2812">
            <v>-3.0837004405286361E-2</v>
          </cell>
          <cell r="I2812">
            <v>22000</v>
          </cell>
          <cell r="J2812">
            <v>22700</v>
          </cell>
          <cell r="K2812">
            <v>15145</v>
          </cell>
          <cell r="L2812">
            <v>18800</v>
          </cell>
          <cell r="M2812">
            <v>19777</v>
          </cell>
        </row>
        <row r="2813">
          <cell r="A2813">
            <v>1815720786</v>
          </cell>
          <cell r="B2813">
            <v>786</v>
          </cell>
          <cell r="C2813">
            <v>815720</v>
          </cell>
          <cell r="D2813">
            <v>1</v>
          </cell>
          <cell r="F2813" t="str">
            <v>העברה מקפה גן סיפור</v>
          </cell>
          <cell r="G2813" t="str">
            <v>גמיש</v>
          </cell>
          <cell r="H2813">
            <v>-1</v>
          </cell>
          <cell r="I2813">
            <v>0</v>
          </cell>
          <cell r="J2813">
            <v>31500</v>
          </cell>
          <cell r="K2813">
            <v>0</v>
          </cell>
          <cell r="L2813">
            <v>35000</v>
          </cell>
          <cell r="M2813">
            <v>0</v>
          </cell>
        </row>
        <row r="2814">
          <cell r="A2814">
            <v>1815720794</v>
          </cell>
          <cell r="B2814">
            <v>794</v>
          </cell>
          <cell r="C2814">
            <v>815720</v>
          </cell>
          <cell r="D2814">
            <v>1</v>
          </cell>
          <cell r="F2814" t="str">
            <v xml:space="preserve">השתתפות בעזר 094  </v>
          </cell>
          <cell r="G2814" t="str">
            <v>קשיח</v>
          </cell>
          <cell r="H2814">
            <v>0.10588235294117654</v>
          </cell>
          <cell r="I2814">
            <v>9400</v>
          </cell>
          <cell r="J2814">
            <v>8500</v>
          </cell>
          <cell r="K2814">
            <v>4016</v>
          </cell>
          <cell r="L2814">
            <v>16700</v>
          </cell>
          <cell r="M2814">
            <v>19920</v>
          </cell>
        </row>
        <row r="2815">
          <cell r="A2815">
            <v>1815720810</v>
          </cell>
          <cell r="B2815">
            <v>810</v>
          </cell>
          <cell r="C2815">
            <v>815720</v>
          </cell>
          <cell r="D2815">
            <v>1</v>
          </cell>
          <cell r="F2815" t="str">
            <v>הקצבה לניהול עצמי</v>
          </cell>
          <cell r="G2815" t="str">
            <v>גמיש</v>
          </cell>
          <cell r="H2815">
            <v>-1</v>
          </cell>
          <cell r="I2815">
            <v>0</v>
          </cell>
          <cell r="J2815">
            <v>77400</v>
          </cell>
          <cell r="K2815">
            <v>0</v>
          </cell>
          <cell r="L2815">
            <v>85900</v>
          </cell>
          <cell r="M2815">
            <v>0</v>
          </cell>
        </row>
        <row r="2816">
          <cell r="A2816">
            <v>1815720812</v>
          </cell>
          <cell r="B2816">
            <v>812</v>
          </cell>
          <cell r="C2816">
            <v>815720</v>
          </cell>
          <cell r="D2816">
            <v>1</v>
          </cell>
          <cell r="F2816" t="str">
            <v>מסיבות כיתתיות</v>
          </cell>
          <cell r="G2816" t="str">
            <v>קשיח</v>
          </cell>
          <cell r="H2816">
            <v>0.6015325670498084</v>
          </cell>
          <cell r="I2816">
            <v>41800</v>
          </cell>
          <cell r="J2816">
            <v>26100</v>
          </cell>
          <cell r="K2816">
            <v>10800</v>
          </cell>
          <cell r="L2816">
            <v>29000</v>
          </cell>
          <cell r="M2816">
            <v>30822</v>
          </cell>
        </row>
        <row r="2817">
          <cell r="A2817">
            <v>1815720953</v>
          </cell>
          <cell r="B2817">
            <v>953</v>
          </cell>
          <cell r="C2817">
            <v>815720</v>
          </cell>
          <cell r="D2817">
            <v>1</v>
          </cell>
          <cell r="F2817" t="str">
            <v>מערכת גפ"ן</v>
          </cell>
          <cell r="G2817" t="str">
            <v>קשיח</v>
          </cell>
          <cell r="H2817">
            <v>3.1960227272727293E-2</v>
          </cell>
          <cell r="I2817">
            <v>1453000</v>
          </cell>
          <cell r="J2817">
            <v>1408000</v>
          </cell>
          <cell r="K2817">
            <v>742102.6</v>
          </cell>
          <cell r="L2817">
            <v>1586400</v>
          </cell>
          <cell r="M2817">
            <v>1574911.75</v>
          </cell>
        </row>
        <row r="2818">
          <cell r="A2818">
            <v>1815720989</v>
          </cell>
          <cell r="B2818">
            <v>989</v>
          </cell>
          <cell r="C2818">
            <v>815720</v>
          </cell>
          <cell r="D2818">
            <v>1</v>
          </cell>
          <cell r="F2818" t="str">
            <v xml:space="preserve">תקורה             </v>
          </cell>
          <cell r="G2818" t="str">
            <v>קשיח</v>
          </cell>
          <cell r="H2818">
            <v>2.1570864414216739E-2</v>
          </cell>
          <cell r="I2818">
            <v>1746120</v>
          </cell>
          <cell r="J2818">
            <v>1709250</v>
          </cell>
          <cell r="K2818">
            <v>0</v>
          </cell>
          <cell r="L2818">
            <v>1506400</v>
          </cell>
          <cell r="M2818">
            <v>1629173</v>
          </cell>
        </row>
        <row r="2819">
          <cell r="A2819" t="e">
            <v>#VALUE!</v>
          </cell>
          <cell r="B2819" t="str">
            <v>815720  סך הכל</v>
          </cell>
          <cell r="F2819" t="str">
            <v xml:space="preserve">בי"ס תיכון קוגל   </v>
          </cell>
          <cell r="H2819">
            <v>2.1569554054362783E-2</v>
          </cell>
          <cell r="I2819">
            <v>30848060</v>
          </cell>
          <cell r="J2819">
            <v>30196730</v>
          </cell>
          <cell r="K2819">
            <v>17909767.050000004</v>
          </cell>
          <cell r="L2819">
            <v>27657200</v>
          </cell>
          <cell r="M2819">
            <v>29176960.799999997</v>
          </cell>
        </row>
        <row r="2820">
          <cell r="A2820">
            <v>18157300</v>
          </cell>
          <cell r="B2820">
            <v>0</v>
          </cell>
          <cell r="C2820">
            <v>815730</v>
          </cell>
          <cell r="D2820">
            <v>1</v>
          </cell>
          <cell r="F2820" t="str">
            <v xml:space="preserve">גמנסיה ע"ש הרצוג  </v>
          </cell>
          <cell r="G2820" t="str">
            <v xml:space="preserve"> </v>
          </cell>
        </row>
        <row r="2821">
          <cell r="A2821">
            <v>1815730110</v>
          </cell>
          <cell r="B2821">
            <v>110</v>
          </cell>
          <cell r="C2821">
            <v>815730</v>
          </cell>
          <cell r="D2821">
            <v>1</v>
          </cell>
          <cell r="F2821" t="str">
            <v>השכר הקובע-תקציבית</v>
          </cell>
          <cell r="G2821" t="str">
            <v>שכר</v>
          </cell>
          <cell r="H2821">
            <v>2.5012224938875338E-2</v>
          </cell>
          <cell r="I2821">
            <v>419230</v>
          </cell>
          <cell r="J2821">
            <v>409000</v>
          </cell>
          <cell r="K2821">
            <v>212070.6</v>
          </cell>
          <cell r="L2821">
            <v>401000</v>
          </cell>
          <cell r="M2821">
            <v>337500.08</v>
          </cell>
        </row>
        <row r="2822">
          <cell r="A2822">
            <v>1815730118</v>
          </cell>
          <cell r="B2822">
            <v>118</v>
          </cell>
          <cell r="C2822">
            <v>815730</v>
          </cell>
          <cell r="D2822">
            <v>1</v>
          </cell>
          <cell r="F2822" t="str">
            <v xml:space="preserve">שכר עובדי הוראה   </v>
          </cell>
          <cell r="G2822" t="str">
            <v>שכר</v>
          </cell>
          <cell r="H2822">
            <v>-0.47487642711821743</v>
          </cell>
          <cell r="I2822">
            <v>7511000</v>
          </cell>
          <cell r="J2822">
            <v>14303300</v>
          </cell>
          <cell r="K2822">
            <v>7992394.0099999998</v>
          </cell>
          <cell r="L2822">
            <v>13433000</v>
          </cell>
          <cell r="M2822">
            <v>12885153.33</v>
          </cell>
        </row>
        <row r="2823">
          <cell r="A2823">
            <v>1815730119</v>
          </cell>
          <cell r="B2823">
            <v>119</v>
          </cell>
          <cell r="C2823">
            <v>815730</v>
          </cell>
          <cell r="D2823">
            <v>1</v>
          </cell>
          <cell r="F2823" t="str">
            <v xml:space="preserve">השכר הקובע-צוברת  </v>
          </cell>
          <cell r="G2823" t="str">
            <v>שכר</v>
          </cell>
          <cell r="H2823">
            <v>2.499830358960442E-2</v>
          </cell>
          <cell r="I2823">
            <v>1510540</v>
          </cell>
          <cell r="J2823">
            <v>1473700</v>
          </cell>
          <cell r="K2823">
            <v>1163962.8</v>
          </cell>
          <cell r="L2823">
            <v>1444800</v>
          </cell>
          <cell r="M2823">
            <v>1812330.81</v>
          </cell>
        </row>
        <row r="2824">
          <cell r="A2824">
            <v>1815730122</v>
          </cell>
          <cell r="B2824">
            <v>122</v>
          </cell>
          <cell r="C2824">
            <v>815730</v>
          </cell>
          <cell r="D2824">
            <v>1</v>
          </cell>
          <cell r="F2824" t="str">
            <v xml:space="preserve">ביגוד             </v>
          </cell>
          <cell r="G2824" t="str">
            <v>שכר</v>
          </cell>
          <cell r="H2824">
            <v>0</v>
          </cell>
          <cell r="I2824">
            <v>133000</v>
          </cell>
          <cell r="J2824">
            <v>133000</v>
          </cell>
          <cell r="K2824">
            <v>140241.67000000001</v>
          </cell>
          <cell r="L2824">
            <v>123900</v>
          </cell>
          <cell r="M2824">
            <v>139283.25</v>
          </cell>
        </row>
        <row r="2825">
          <cell r="A2825">
            <v>1815730126</v>
          </cell>
          <cell r="B2825">
            <v>126</v>
          </cell>
          <cell r="C2825">
            <v>815730</v>
          </cell>
          <cell r="D2825">
            <v>1</v>
          </cell>
          <cell r="F2825" t="str">
            <v xml:space="preserve">דמי הבראה         </v>
          </cell>
          <cell r="G2825" t="str">
            <v>שכר</v>
          </cell>
          <cell r="H2825">
            <v>0</v>
          </cell>
          <cell r="I2825">
            <v>304500</v>
          </cell>
          <cell r="J2825">
            <v>304500</v>
          </cell>
          <cell r="K2825">
            <v>304058.45</v>
          </cell>
          <cell r="L2825">
            <v>304500</v>
          </cell>
          <cell r="M2825">
            <v>298763.90999999997</v>
          </cell>
        </row>
        <row r="2826">
          <cell r="A2826">
            <v>1815730130</v>
          </cell>
          <cell r="B2826">
            <v>130</v>
          </cell>
          <cell r="C2826">
            <v>815730</v>
          </cell>
          <cell r="D2826">
            <v>1</v>
          </cell>
          <cell r="F2826" t="str">
            <v xml:space="preserve">שעות נוספות       </v>
          </cell>
          <cell r="G2826" t="str">
            <v>שכר</v>
          </cell>
          <cell r="H2826">
            <v>2.7906976744186047</v>
          </cell>
          <cell r="I2826">
            <v>163000</v>
          </cell>
          <cell r="J2826">
            <v>43000</v>
          </cell>
          <cell r="K2826">
            <v>46705.05</v>
          </cell>
          <cell r="L2826">
            <v>50000</v>
          </cell>
          <cell r="M2826">
            <v>62578.28</v>
          </cell>
        </row>
        <row r="2827">
          <cell r="A2827">
            <v>1815730140</v>
          </cell>
          <cell r="B2827">
            <v>140</v>
          </cell>
          <cell r="C2827">
            <v>815730</v>
          </cell>
          <cell r="D2827">
            <v>1</v>
          </cell>
          <cell r="F2827" t="str">
            <v>השתתפות באחזקת רכב</v>
          </cell>
          <cell r="G2827" t="str">
            <v>שכר</v>
          </cell>
          <cell r="H2827">
            <v>0</v>
          </cell>
          <cell r="I2827">
            <v>127000</v>
          </cell>
          <cell r="J2827">
            <v>127000</v>
          </cell>
          <cell r="K2827">
            <v>113076.71</v>
          </cell>
          <cell r="L2827">
            <v>127000</v>
          </cell>
          <cell r="M2827">
            <v>137114.42000000001</v>
          </cell>
        </row>
        <row r="2828">
          <cell r="A2828">
            <v>1815730216</v>
          </cell>
          <cell r="B2828">
            <v>216</v>
          </cell>
          <cell r="C2828">
            <v>815730</v>
          </cell>
          <cell r="D2828">
            <v>1</v>
          </cell>
          <cell r="F2828" t="str">
            <v>פרוייקט גימלאים</v>
          </cell>
          <cell r="G2828" t="str">
            <v>שכר</v>
          </cell>
          <cell r="I2828">
            <v>0</v>
          </cell>
          <cell r="J2828">
            <v>0</v>
          </cell>
          <cell r="K2828">
            <v>14928.46</v>
          </cell>
          <cell r="L2828">
            <v>20000</v>
          </cell>
          <cell r="M2828">
            <v>0</v>
          </cell>
        </row>
        <row r="2829">
          <cell r="A2829">
            <v>1815730250</v>
          </cell>
          <cell r="B2829">
            <v>250</v>
          </cell>
          <cell r="C2829">
            <v>815730</v>
          </cell>
          <cell r="D2829">
            <v>1</v>
          </cell>
          <cell r="F2829" t="str">
            <v>שעות השאלה למשה"ח</v>
          </cell>
          <cell r="G2829" t="str">
            <v>שכר</v>
          </cell>
          <cell r="H2829">
            <v>-1</v>
          </cell>
          <cell r="I2829">
            <v>0</v>
          </cell>
          <cell r="J2829">
            <v>495600</v>
          </cell>
          <cell r="K2829">
            <v>122275</v>
          </cell>
          <cell r="L2829">
            <v>449300</v>
          </cell>
          <cell r="M2829">
            <v>231802.06</v>
          </cell>
        </row>
        <row r="2830">
          <cell r="A2830">
            <v>1815730420</v>
          </cell>
          <cell r="B2830">
            <v>420</v>
          </cell>
          <cell r="C2830">
            <v>815730</v>
          </cell>
          <cell r="D2830">
            <v>1</v>
          </cell>
          <cell r="F2830" t="str">
            <v xml:space="preserve">כיבוי אש          </v>
          </cell>
          <cell r="G2830" t="str">
            <v>קשיח</v>
          </cell>
          <cell r="H2830">
            <v>-1</v>
          </cell>
          <cell r="I2830">
            <v>0</v>
          </cell>
          <cell r="J2830">
            <v>13500</v>
          </cell>
          <cell r="K2830">
            <v>11228.07</v>
          </cell>
          <cell r="L2830">
            <v>15000</v>
          </cell>
          <cell r="M2830">
            <v>13036.36</v>
          </cell>
        </row>
        <row r="2831">
          <cell r="A2831">
            <v>1815730423</v>
          </cell>
          <cell r="B2831">
            <v>423</v>
          </cell>
          <cell r="C2831">
            <v>815730</v>
          </cell>
          <cell r="D2831">
            <v>1</v>
          </cell>
          <cell r="F2831" t="str">
            <v xml:space="preserve">תחזוקת מבנה       </v>
          </cell>
          <cell r="G2831" t="str">
            <v>קשיח</v>
          </cell>
          <cell r="H2831">
            <v>0.31333333333333324</v>
          </cell>
          <cell r="I2831">
            <v>59100</v>
          </cell>
          <cell r="J2831">
            <v>45000</v>
          </cell>
          <cell r="K2831">
            <v>0</v>
          </cell>
          <cell r="L2831">
            <v>45000</v>
          </cell>
          <cell r="M2831">
            <v>45000</v>
          </cell>
        </row>
        <row r="2832">
          <cell r="A2832">
            <v>1815730431</v>
          </cell>
          <cell r="B2832">
            <v>431</v>
          </cell>
          <cell r="C2832">
            <v>815730</v>
          </cell>
          <cell r="D2832">
            <v>1</v>
          </cell>
          <cell r="F2832" t="str">
            <v xml:space="preserve">חשמל              </v>
          </cell>
          <cell r="G2832" t="str">
            <v>קשיח</v>
          </cell>
          <cell r="H2832">
            <v>-1</v>
          </cell>
          <cell r="I2832">
            <v>0</v>
          </cell>
          <cell r="J2832">
            <v>148400</v>
          </cell>
          <cell r="K2832">
            <v>96791</v>
          </cell>
          <cell r="L2832">
            <v>147000</v>
          </cell>
          <cell r="M2832">
            <v>129167</v>
          </cell>
        </row>
        <row r="2833">
          <cell r="A2833">
            <v>1815730432</v>
          </cell>
          <cell r="B2833">
            <v>432</v>
          </cell>
          <cell r="C2833">
            <v>815730</v>
          </cell>
          <cell r="D2833">
            <v>1</v>
          </cell>
          <cell r="F2833" t="str">
            <v xml:space="preserve">מים               </v>
          </cell>
          <cell r="G2833" t="str">
            <v>קשיח</v>
          </cell>
          <cell r="H2833">
            <v>-1</v>
          </cell>
          <cell r="I2833">
            <v>0</v>
          </cell>
          <cell r="J2833">
            <v>36400</v>
          </cell>
          <cell r="K2833">
            <v>23980</v>
          </cell>
          <cell r="L2833">
            <v>36500</v>
          </cell>
          <cell r="M2833">
            <v>32001</v>
          </cell>
        </row>
        <row r="2834">
          <cell r="A2834">
            <v>1815730437</v>
          </cell>
          <cell r="B2834">
            <v>437</v>
          </cell>
          <cell r="C2834">
            <v>815730</v>
          </cell>
          <cell r="D2834">
            <v>1</v>
          </cell>
          <cell r="F2834" t="str">
            <v xml:space="preserve">אחזקת אזעקה       </v>
          </cell>
          <cell r="G2834" t="str">
            <v>קשיח</v>
          </cell>
          <cell r="H2834">
            <v>-1</v>
          </cell>
          <cell r="I2834">
            <v>0</v>
          </cell>
          <cell r="J2834">
            <v>2500</v>
          </cell>
          <cell r="K2834">
            <v>615.96</v>
          </cell>
          <cell r="L2834">
            <v>2500</v>
          </cell>
          <cell r="M2834">
            <v>1832.22</v>
          </cell>
        </row>
        <row r="2835">
          <cell r="A2835">
            <v>1815730450</v>
          </cell>
          <cell r="B2835">
            <v>450</v>
          </cell>
          <cell r="C2835">
            <v>815730</v>
          </cell>
          <cell r="D2835">
            <v>1</v>
          </cell>
          <cell r="F2835" t="str">
            <v xml:space="preserve">ריהוט ואחזקתו     </v>
          </cell>
          <cell r="G2835" t="str">
            <v>גמיש</v>
          </cell>
          <cell r="H2835">
            <v>-1</v>
          </cell>
          <cell r="I2835">
            <v>0</v>
          </cell>
          <cell r="J2835">
            <v>11970</v>
          </cell>
          <cell r="K2835">
            <v>7706</v>
          </cell>
          <cell r="L2835">
            <v>11700</v>
          </cell>
          <cell r="M2835">
            <v>9033</v>
          </cell>
        </row>
        <row r="2836">
          <cell r="A2836">
            <v>1815730451</v>
          </cell>
          <cell r="B2836">
            <v>451</v>
          </cell>
          <cell r="C2836">
            <v>815730</v>
          </cell>
          <cell r="D2836">
            <v>1</v>
          </cell>
          <cell r="F2836" t="str">
            <v>הוצאות גפ"ן בית ספרי</v>
          </cell>
          <cell r="G2836" t="str">
            <v>קשיח</v>
          </cell>
          <cell r="H2836">
            <v>-1</v>
          </cell>
          <cell r="I2836">
            <v>0</v>
          </cell>
          <cell r="J2836">
            <v>225000</v>
          </cell>
          <cell r="K2836">
            <v>0</v>
          </cell>
          <cell r="L2836">
            <v>0</v>
          </cell>
          <cell r="M2836">
            <v>0</v>
          </cell>
        </row>
        <row r="2837">
          <cell r="A2837">
            <v>1815730452</v>
          </cell>
          <cell r="B2837">
            <v>452</v>
          </cell>
          <cell r="C2837">
            <v>815730</v>
          </cell>
          <cell r="D2837">
            <v>1</v>
          </cell>
          <cell r="F2837" t="str">
            <v>השתתפות עירונית בגפ"ן</v>
          </cell>
          <cell r="G2837" t="str">
            <v>קשיח</v>
          </cell>
          <cell r="H2837">
            <v>-1</v>
          </cell>
          <cell r="I2837">
            <v>0</v>
          </cell>
          <cell r="J2837">
            <v>273400</v>
          </cell>
          <cell r="K2837">
            <v>252383</v>
          </cell>
          <cell r="L2837">
            <v>0</v>
          </cell>
          <cell r="M2837">
            <v>0</v>
          </cell>
        </row>
        <row r="2838">
          <cell r="A2838">
            <v>1815730511</v>
          </cell>
          <cell r="B2838">
            <v>511</v>
          </cell>
          <cell r="C2838">
            <v>815730</v>
          </cell>
          <cell r="D2838">
            <v>1</v>
          </cell>
          <cell r="F2838" t="str">
            <v xml:space="preserve">אירוח וכיבוד      </v>
          </cell>
          <cell r="G2838" t="str">
            <v>גמיש</v>
          </cell>
          <cell r="H2838">
            <v>-1</v>
          </cell>
          <cell r="I2838">
            <v>0</v>
          </cell>
          <cell r="J2838">
            <v>10890</v>
          </cell>
          <cell r="K2838">
            <v>0</v>
          </cell>
          <cell r="L2838">
            <v>11700</v>
          </cell>
          <cell r="M2838">
            <v>10991.94</v>
          </cell>
        </row>
        <row r="2839">
          <cell r="A2839">
            <v>1815730721</v>
          </cell>
          <cell r="B2839">
            <v>721</v>
          </cell>
          <cell r="C2839">
            <v>815730</v>
          </cell>
          <cell r="D2839">
            <v>1</v>
          </cell>
          <cell r="F2839" t="str">
            <v>חמרים-תחזוקת מבנים</v>
          </cell>
          <cell r="G2839" t="str">
            <v>גמיש</v>
          </cell>
          <cell r="I2839">
            <v>0</v>
          </cell>
          <cell r="J2839">
            <v>0</v>
          </cell>
          <cell r="K2839">
            <v>0</v>
          </cell>
          <cell r="L2839">
            <v>4500</v>
          </cell>
          <cell r="M2839">
            <v>0</v>
          </cell>
        </row>
        <row r="2840">
          <cell r="A2840">
            <v>1815730742</v>
          </cell>
          <cell r="B2840">
            <v>742</v>
          </cell>
          <cell r="C2840">
            <v>815730</v>
          </cell>
          <cell r="D2840">
            <v>1</v>
          </cell>
          <cell r="F2840" t="str">
            <v xml:space="preserve">כלים וציוד        </v>
          </cell>
          <cell r="G2840" t="str">
            <v>גמיש</v>
          </cell>
          <cell r="H2840">
            <v>-1</v>
          </cell>
          <cell r="I2840">
            <v>0</v>
          </cell>
          <cell r="J2840">
            <v>70290</v>
          </cell>
          <cell r="K2840">
            <v>52072</v>
          </cell>
          <cell r="L2840">
            <v>58700</v>
          </cell>
          <cell r="M2840">
            <v>64059</v>
          </cell>
        </row>
        <row r="2841">
          <cell r="A2841">
            <v>1815730750</v>
          </cell>
          <cell r="B2841">
            <v>750</v>
          </cell>
          <cell r="C2841">
            <v>815730</v>
          </cell>
          <cell r="D2841">
            <v>1</v>
          </cell>
          <cell r="F2841" t="str">
            <v>אחזקת מוסדות</v>
          </cell>
          <cell r="G2841" t="str">
            <v>קשיח</v>
          </cell>
          <cell r="H2841">
            <v>-1</v>
          </cell>
          <cell r="I2841">
            <v>0</v>
          </cell>
          <cell r="J2841">
            <v>337400</v>
          </cell>
          <cell r="K2841">
            <v>218675</v>
          </cell>
          <cell r="L2841">
            <v>378800</v>
          </cell>
          <cell r="M2841">
            <v>251199</v>
          </cell>
        </row>
        <row r="2842">
          <cell r="A2842">
            <v>1815730752</v>
          </cell>
          <cell r="B2842">
            <v>752</v>
          </cell>
          <cell r="C2842">
            <v>815730</v>
          </cell>
          <cell r="D2842">
            <v>1</v>
          </cell>
          <cell r="F2842" t="str">
            <v xml:space="preserve">נקיון בקבלנות     </v>
          </cell>
          <cell r="G2842" t="str">
            <v>קשיח</v>
          </cell>
          <cell r="H2842">
            <v>-1</v>
          </cell>
          <cell r="I2842">
            <v>0</v>
          </cell>
          <cell r="J2842">
            <v>949500</v>
          </cell>
          <cell r="K2842">
            <v>515450.46</v>
          </cell>
          <cell r="L2842">
            <v>797500</v>
          </cell>
          <cell r="M2842">
            <v>797499.67</v>
          </cell>
        </row>
        <row r="2843">
          <cell r="A2843">
            <v>1815730759</v>
          </cell>
          <cell r="B2843">
            <v>759</v>
          </cell>
          <cell r="C2843">
            <v>815730</v>
          </cell>
          <cell r="D2843">
            <v>1</v>
          </cell>
          <cell r="F2843" t="str">
            <v>שרותי סייעות</v>
          </cell>
          <cell r="G2843" t="str">
            <v>שכר</v>
          </cell>
          <cell r="H2843">
            <v>7.2635135135135087E-2</v>
          </cell>
          <cell r="I2843">
            <v>444500</v>
          </cell>
          <cell r="J2843">
            <v>414400</v>
          </cell>
          <cell r="K2843">
            <v>197116.08</v>
          </cell>
          <cell r="L2843">
            <v>95500</v>
          </cell>
          <cell r="M2843">
            <v>283913.46000000002</v>
          </cell>
        </row>
        <row r="2844">
          <cell r="A2844">
            <v>1815730762</v>
          </cell>
          <cell r="B2844">
            <v>762</v>
          </cell>
          <cell r="C2844">
            <v>815730</v>
          </cell>
          <cell r="D2844">
            <v>1</v>
          </cell>
          <cell r="F2844" t="str">
            <v xml:space="preserve">שאילת מורים       </v>
          </cell>
          <cell r="G2844" t="str">
            <v>שכר</v>
          </cell>
          <cell r="H2844">
            <v>-1</v>
          </cell>
          <cell r="I2844">
            <v>0</v>
          </cell>
          <cell r="J2844">
            <v>825900</v>
          </cell>
          <cell r="K2844">
            <v>574851.83999999997</v>
          </cell>
          <cell r="L2844">
            <v>919900</v>
          </cell>
          <cell r="M2844">
            <v>876958.38</v>
          </cell>
        </row>
        <row r="2845">
          <cell r="A2845">
            <v>1815730780</v>
          </cell>
          <cell r="B2845">
            <v>780</v>
          </cell>
          <cell r="C2845">
            <v>815730</v>
          </cell>
          <cell r="D2845">
            <v>1</v>
          </cell>
          <cell r="F2845" t="str">
            <v xml:space="preserve">חינוך חברתי       </v>
          </cell>
          <cell r="G2845" t="str">
            <v>קשיח</v>
          </cell>
          <cell r="H2845">
            <v>-1</v>
          </cell>
          <cell r="I2845">
            <v>0</v>
          </cell>
          <cell r="J2845">
            <v>15400</v>
          </cell>
          <cell r="K2845">
            <v>10225</v>
          </cell>
          <cell r="L2845">
            <v>12500</v>
          </cell>
          <cell r="M2845">
            <v>12372</v>
          </cell>
        </row>
        <row r="2846">
          <cell r="A2846">
            <v>1815730794</v>
          </cell>
          <cell r="B2846">
            <v>794</v>
          </cell>
          <cell r="C2846">
            <v>815730</v>
          </cell>
          <cell r="D2846">
            <v>1</v>
          </cell>
          <cell r="F2846" t="str">
            <v xml:space="preserve">השתתפות בעזר 094  </v>
          </cell>
          <cell r="G2846" t="str">
            <v>קשיח</v>
          </cell>
          <cell r="H2846">
            <v>0.10588235294117654</v>
          </cell>
          <cell r="I2846">
            <v>9400</v>
          </cell>
          <cell r="J2846">
            <v>8500</v>
          </cell>
          <cell r="K2846">
            <v>4016</v>
          </cell>
          <cell r="L2846">
            <v>16700</v>
          </cell>
          <cell r="M2846">
            <v>19920</v>
          </cell>
        </row>
        <row r="2847">
          <cell r="A2847">
            <v>1815730810</v>
          </cell>
          <cell r="B2847">
            <v>810</v>
          </cell>
          <cell r="C2847">
            <v>815730</v>
          </cell>
          <cell r="D2847">
            <v>1</v>
          </cell>
          <cell r="F2847" t="str">
            <v>הקצבה לניהול עצמי</v>
          </cell>
          <cell r="G2847" t="str">
            <v>גמיש</v>
          </cell>
          <cell r="H2847">
            <v>-1</v>
          </cell>
          <cell r="I2847">
            <v>0</v>
          </cell>
          <cell r="J2847">
            <v>111780</v>
          </cell>
          <cell r="K2847">
            <v>0</v>
          </cell>
          <cell r="L2847">
            <v>124300</v>
          </cell>
          <cell r="M2847">
            <v>100000</v>
          </cell>
        </row>
        <row r="2848">
          <cell r="A2848">
            <v>1815730812</v>
          </cell>
          <cell r="B2848">
            <v>812</v>
          </cell>
          <cell r="C2848">
            <v>815730</v>
          </cell>
          <cell r="D2848">
            <v>1</v>
          </cell>
          <cell r="F2848" t="str">
            <v>מסיבות כיתתיות</v>
          </cell>
          <cell r="G2848" t="str">
            <v>קשיח</v>
          </cell>
          <cell r="H2848">
            <v>-0.57957957957957951</v>
          </cell>
          <cell r="I2848">
            <v>7000</v>
          </cell>
          <cell r="J2848">
            <v>16650</v>
          </cell>
          <cell r="K2848">
            <v>6800</v>
          </cell>
          <cell r="L2848">
            <v>18500</v>
          </cell>
          <cell r="M2848">
            <v>19690</v>
          </cell>
        </row>
        <row r="2849">
          <cell r="A2849">
            <v>1815730953</v>
          </cell>
          <cell r="B2849">
            <v>953</v>
          </cell>
          <cell r="C2849">
            <v>815730</v>
          </cell>
          <cell r="D2849">
            <v>1</v>
          </cell>
          <cell r="F2849" t="str">
            <v>מערכת גפ"ן</v>
          </cell>
          <cell r="G2849" t="str">
            <v>קשיח</v>
          </cell>
          <cell r="H2849">
            <v>-1</v>
          </cell>
          <cell r="I2849">
            <v>0</v>
          </cell>
          <cell r="J2849">
            <v>1093600</v>
          </cell>
          <cell r="K2849">
            <v>495144.9</v>
          </cell>
          <cell r="L2849">
            <v>1305200</v>
          </cell>
          <cell r="M2849">
            <v>1135041.7</v>
          </cell>
        </row>
        <row r="2850">
          <cell r="A2850">
            <v>1815730989</v>
          </cell>
          <cell r="B2850">
            <v>989</v>
          </cell>
          <cell r="C2850">
            <v>815730</v>
          </cell>
          <cell r="D2850">
            <v>1</v>
          </cell>
          <cell r="F2850" t="str">
            <v xml:space="preserve">תקורה             </v>
          </cell>
          <cell r="G2850" t="str">
            <v>קשיח</v>
          </cell>
          <cell r="H2850">
            <v>-0.51194082101706262</v>
          </cell>
          <cell r="I2850">
            <v>641300</v>
          </cell>
          <cell r="J2850">
            <v>1313980</v>
          </cell>
          <cell r="K2850">
            <v>0</v>
          </cell>
          <cell r="L2850">
            <v>1165200</v>
          </cell>
          <cell r="M2850">
            <v>1113872</v>
          </cell>
        </row>
        <row r="2851">
          <cell r="A2851" t="e">
            <v>#VALUE!</v>
          </cell>
          <cell r="B2851" t="str">
            <v>815730  סך הכל</v>
          </cell>
          <cell r="F2851" t="str">
            <v xml:space="preserve">גמנסיה ע"ש הרצוג  </v>
          </cell>
          <cell r="H2851">
            <v>-0.51194172716291686</v>
          </cell>
          <cell r="I2851">
            <v>11329570</v>
          </cell>
          <cell r="J2851">
            <v>23213560</v>
          </cell>
          <cell r="K2851">
            <v>12576768.060000004</v>
          </cell>
          <cell r="L2851">
            <v>21520200</v>
          </cell>
          <cell r="M2851">
            <v>20820112.870000001</v>
          </cell>
        </row>
        <row r="2852">
          <cell r="A2852">
            <v>18157400</v>
          </cell>
          <cell r="B2852">
            <v>0</v>
          </cell>
          <cell r="C2852">
            <v>815740</v>
          </cell>
          <cell r="D2852">
            <v>1</v>
          </cell>
          <cell r="F2852" t="str">
            <v xml:space="preserve">בי"ס מקיף ק' שרת  </v>
          </cell>
          <cell r="G2852" t="str">
            <v xml:space="preserve"> </v>
          </cell>
        </row>
        <row r="2853">
          <cell r="A2853">
            <v>1815740110</v>
          </cell>
          <cell r="B2853">
            <v>110</v>
          </cell>
          <cell r="C2853">
            <v>815740</v>
          </cell>
          <cell r="D2853">
            <v>1</v>
          </cell>
          <cell r="F2853" t="str">
            <v>השכר הקובע-תקציבית</v>
          </cell>
          <cell r="G2853" t="str">
            <v>שכר</v>
          </cell>
          <cell r="H2853">
            <v>2.4985994397758837E-2</v>
          </cell>
          <cell r="I2853">
            <v>182959.99999999997</v>
          </cell>
          <cell r="J2853">
            <v>178500</v>
          </cell>
          <cell r="K2853">
            <v>102117.62</v>
          </cell>
          <cell r="L2853">
            <v>175000</v>
          </cell>
          <cell r="M2853">
            <v>170041.21</v>
          </cell>
        </row>
        <row r="2854">
          <cell r="A2854">
            <v>1815740118</v>
          </cell>
          <cell r="B2854">
            <v>118</v>
          </cell>
          <cell r="C2854">
            <v>815740</v>
          </cell>
          <cell r="D2854">
            <v>1</v>
          </cell>
          <cell r="F2854" t="str">
            <v xml:space="preserve">שכר עובדי הוראה   </v>
          </cell>
          <cell r="G2854" t="str">
            <v>שכר</v>
          </cell>
          <cell r="H2854">
            <v>5.6103649114465748E-2</v>
          </cell>
          <cell r="I2854">
            <v>28432000</v>
          </cell>
          <cell r="J2854">
            <v>26921600</v>
          </cell>
          <cell r="K2854">
            <v>16433919.83</v>
          </cell>
          <cell r="L2854">
            <v>30661000</v>
          </cell>
          <cell r="M2854">
            <v>27098172.449999999</v>
          </cell>
        </row>
        <row r="2855">
          <cell r="A2855">
            <v>1815740119</v>
          </cell>
          <cell r="B2855">
            <v>119</v>
          </cell>
          <cell r="C2855">
            <v>815740</v>
          </cell>
          <cell r="D2855">
            <v>1</v>
          </cell>
          <cell r="F2855" t="str">
            <v xml:space="preserve">השכר הקובע-צוברת  </v>
          </cell>
          <cell r="G2855" t="str">
            <v>שכר</v>
          </cell>
          <cell r="H2855">
            <v>2.5000728889536639E-2</v>
          </cell>
          <cell r="I2855">
            <v>2812499.4999999995</v>
          </cell>
          <cell r="J2855">
            <v>2743900</v>
          </cell>
          <cell r="K2855">
            <v>2065754.73</v>
          </cell>
          <cell r="L2855">
            <v>2690100</v>
          </cell>
          <cell r="M2855">
            <v>3372783.27</v>
          </cell>
        </row>
        <row r="2856">
          <cell r="A2856">
            <v>1815740122</v>
          </cell>
          <cell r="B2856">
            <v>122</v>
          </cell>
          <cell r="C2856">
            <v>815740</v>
          </cell>
          <cell r="D2856">
            <v>1</v>
          </cell>
          <cell r="F2856" t="str">
            <v xml:space="preserve">ביגוד             </v>
          </cell>
          <cell r="G2856" t="str">
            <v>שכר</v>
          </cell>
          <cell r="H2856">
            <v>0</v>
          </cell>
          <cell r="I2856">
            <v>281000</v>
          </cell>
          <cell r="J2856">
            <v>281000</v>
          </cell>
          <cell r="K2856">
            <v>287270.99</v>
          </cell>
          <cell r="L2856">
            <v>255900</v>
          </cell>
          <cell r="M2856">
            <v>284095.77</v>
          </cell>
        </row>
        <row r="2857">
          <cell r="A2857">
            <v>1815740126</v>
          </cell>
          <cell r="B2857">
            <v>126</v>
          </cell>
          <cell r="C2857">
            <v>815740</v>
          </cell>
          <cell r="D2857">
            <v>1</v>
          </cell>
          <cell r="F2857" t="str">
            <v xml:space="preserve">דמי הבראה         </v>
          </cell>
          <cell r="G2857" t="str">
            <v>שכר</v>
          </cell>
          <cell r="H2857">
            <v>0</v>
          </cell>
          <cell r="I2857">
            <v>615000</v>
          </cell>
          <cell r="J2857">
            <v>615000</v>
          </cell>
          <cell r="K2857">
            <v>612744.30000000005</v>
          </cell>
          <cell r="L2857">
            <v>605500</v>
          </cell>
          <cell r="M2857">
            <v>617092.68000000005</v>
          </cell>
        </row>
        <row r="2858">
          <cell r="A2858">
            <v>1815740130</v>
          </cell>
          <cell r="B2858">
            <v>130</v>
          </cell>
          <cell r="C2858">
            <v>815740</v>
          </cell>
          <cell r="D2858">
            <v>1</v>
          </cell>
          <cell r="F2858" t="str">
            <v xml:space="preserve">שעות נוספות       </v>
          </cell>
          <cell r="G2858" t="str">
            <v>שכר</v>
          </cell>
          <cell r="H2858">
            <v>0</v>
          </cell>
          <cell r="I2858">
            <v>10660</v>
          </cell>
          <cell r="J2858">
            <v>10660</v>
          </cell>
          <cell r="K2858">
            <v>1959.98</v>
          </cell>
          <cell r="L2858">
            <v>12400</v>
          </cell>
          <cell r="M2858">
            <v>0</v>
          </cell>
        </row>
        <row r="2859">
          <cell r="A2859">
            <v>1815740140</v>
          </cell>
          <cell r="B2859">
            <v>140</v>
          </cell>
          <cell r="C2859">
            <v>815740</v>
          </cell>
          <cell r="D2859">
            <v>1</v>
          </cell>
          <cell r="F2859" t="str">
            <v>השתתפות באחזקת רכב</v>
          </cell>
          <cell r="G2859" t="str">
            <v>שכר</v>
          </cell>
          <cell r="H2859">
            <v>0</v>
          </cell>
          <cell r="I2859">
            <v>170000</v>
          </cell>
          <cell r="J2859">
            <v>170000</v>
          </cell>
          <cell r="K2859">
            <v>196021.05</v>
          </cell>
          <cell r="L2859">
            <v>140000</v>
          </cell>
          <cell r="M2859">
            <v>261396.61</v>
          </cell>
        </row>
        <row r="2860">
          <cell r="A2860">
            <v>1815740210</v>
          </cell>
          <cell r="B2860">
            <v>210</v>
          </cell>
          <cell r="C2860">
            <v>815740</v>
          </cell>
          <cell r="D2860">
            <v>1</v>
          </cell>
          <cell r="F2860" t="str">
            <v xml:space="preserve">השכר הקובע        </v>
          </cell>
          <cell r="G2860" t="str">
            <v>שכר</v>
          </cell>
          <cell r="I2860">
            <v>0</v>
          </cell>
          <cell r="J2860">
            <v>0</v>
          </cell>
          <cell r="K2860">
            <v>68241.679999999993</v>
          </cell>
          <cell r="L2860">
            <v>0</v>
          </cell>
          <cell r="M2860">
            <v>73274.39</v>
          </cell>
        </row>
        <row r="2861">
          <cell r="A2861">
            <v>1815740213</v>
          </cell>
          <cell r="B2861">
            <v>213</v>
          </cell>
          <cell r="C2861">
            <v>815740</v>
          </cell>
          <cell r="D2861">
            <v>1</v>
          </cell>
          <cell r="F2861" t="str">
            <v xml:space="preserve">שעורי עזר לנכים   </v>
          </cell>
          <cell r="G2861" t="str">
            <v>שכר</v>
          </cell>
          <cell r="I2861">
            <v>0</v>
          </cell>
          <cell r="J2861">
            <v>0</v>
          </cell>
          <cell r="K2861">
            <v>43066.25</v>
          </cell>
          <cell r="L2861">
            <v>0</v>
          </cell>
          <cell r="M2861">
            <v>3432.64</v>
          </cell>
        </row>
        <row r="2862">
          <cell r="A2862">
            <v>1815740214</v>
          </cell>
          <cell r="B2862">
            <v>214</v>
          </cell>
          <cell r="C2862">
            <v>815740</v>
          </cell>
          <cell r="D2862">
            <v>1</v>
          </cell>
          <cell r="F2862" t="str">
            <v>שעורי עזר לתלמידים</v>
          </cell>
          <cell r="G2862" t="str">
            <v>שכר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M2862">
            <v>21389.49</v>
          </cell>
        </row>
        <row r="2863">
          <cell r="A2863">
            <v>1815740216</v>
          </cell>
          <cell r="B2863">
            <v>216</v>
          </cell>
          <cell r="C2863">
            <v>815740</v>
          </cell>
          <cell r="D2863">
            <v>1</v>
          </cell>
          <cell r="F2863" t="str">
            <v>פרוייקט קשישים-ק"ש</v>
          </cell>
          <cell r="G2863" t="str">
            <v>שכר</v>
          </cell>
          <cell r="H2863">
            <v>0</v>
          </cell>
          <cell r="I2863">
            <v>70000</v>
          </cell>
          <cell r="J2863">
            <v>70000</v>
          </cell>
          <cell r="K2863">
            <v>47312.21</v>
          </cell>
          <cell r="L2863">
            <v>70000</v>
          </cell>
          <cell r="M2863">
            <v>50369.23</v>
          </cell>
        </row>
        <row r="2864">
          <cell r="A2864">
            <v>1815740250</v>
          </cell>
          <cell r="B2864">
            <v>250</v>
          </cell>
          <cell r="C2864">
            <v>815740</v>
          </cell>
          <cell r="D2864">
            <v>1</v>
          </cell>
          <cell r="F2864" t="str">
            <v>שעות השאלה למשה"ח</v>
          </cell>
          <cell r="G2864" t="str">
            <v>שכר</v>
          </cell>
          <cell r="H2864">
            <v>-0.48400412796697623</v>
          </cell>
          <cell r="I2864">
            <v>200000</v>
          </cell>
          <cell r="J2864">
            <v>387600</v>
          </cell>
          <cell r="K2864">
            <v>116817.4</v>
          </cell>
          <cell r="L2864">
            <v>198500</v>
          </cell>
          <cell r="M2864">
            <v>241071.09</v>
          </cell>
        </row>
        <row r="2865">
          <cell r="A2865">
            <v>1815740413</v>
          </cell>
          <cell r="B2865">
            <v>413</v>
          </cell>
          <cell r="C2865">
            <v>815740</v>
          </cell>
          <cell r="D2865">
            <v>1</v>
          </cell>
          <cell r="F2865" t="str">
            <v xml:space="preserve">דמי שימוש באולם   </v>
          </cell>
          <cell r="G2865" t="str">
            <v>קשיח</v>
          </cell>
          <cell r="H2865">
            <v>0</v>
          </cell>
          <cell r="I2865">
            <v>210000</v>
          </cell>
          <cell r="J2865">
            <v>210000</v>
          </cell>
          <cell r="K2865">
            <v>0</v>
          </cell>
          <cell r="L2865">
            <v>210000</v>
          </cell>
          <cell r="M2865">
            <v>210000</v>
          </cell>
        </row>
        <row r="2866">
          <cell r="A2866">
            <v>1815740420</v>
          </cell>
          <cell r="B2866">
            <v>420</v>
          </cell>
          <cell r="C2866">
            <v>815740</v>
          </cell>
          <cell r="D2866">
            <v>1</v>
          </cell>
          <cell r="F2866" t="str">
            <v xml:space="preserve">כיבוי אש          </v>
          </cell>
          <cell r="G2866" t="str">
            <v>קשיח</v>
          </cell>
          <cell r="H2866">
            <v>0.11111111111111116</v>
          </cell>
          <cell r="I2866">
            <v>20000</v>
          </cell>
          <cell r="J2866">
            <v>18000</v>
          </cell>
          <cell r="K2866">
            <v>16454.849999999999</v>
          </cell>
          <cell r="L2866">
            <v>20000</v>
          </cell>
          <cell r="M2866">
            <v>18152.8</v>
          </cell>
        </row>
        <row r="2867">
          <cell r="A2867">
            <v>1815740431</v>
          </cell>
          <cell r="B2867">
            <v>431</v>
          </cell>
          <cell r="C2867">
            <v>815740</v>
          </cell>
          <cell r="D2867">
            <v>1</v>
          </cell>
          <cell r="F2867" t="str">
            <v xml:space="preserve">חשמל              </v>
          </cell>
          <cell r="G2867" t="str">
            <v>קשיח</v>
          </cell>
          <cell r="H2867">
            <v>0</v>
          </cell>
          <cell r="I2867">
            <v>387800</v>
          </cell>
          <cell r="J2867">
            <v>387800</v>
          </cell>
          <cell r="K2867">
            <v>250524</v>
          </cell>
          <cell r="L2867">
            <v>405300</v>
          </cell>
          <cell r="M2867">
            <v>355775</v>
          </cell>
        </row>
        <row r="2868">
          <cell r="A2868">
            <v>1815740432</v>
          </cell>
          <cell r="B2868">
            <v>432</v>
          </cell>
          <cell r="C2868">
            <v>815740</v>
          </cell>
          <cell r="D2868">
            <v>1</v>
          </cell>
          <cell r="F2868" t="str">
            <v xml:space="preserve">מים               </v>
          </cell>
          <cell r="G2868" t="str">
            <v>קשיח</v>
          </cell>
          <cell r="H2868">
            <v>3.1678986272438703E-3</v>
          </cell>
          <cell r="I2868">
            <v>95000</v>
          </cell>
          <cell r="J2868">
            <v>94700</v>
          </cell>
          <cell r="K2868">
            <v>61755</v>
          </cell>
          <cell r="L2868">
            <v>100000</v>
          </cell>
          <cell r="M2868">
            <v>87700</v>
          </cell>
        </row>
        <row r="2869">
          <cell r="A2869">
            <v>1815740437</v>
          </cell>
          <cell r="B2869">
            <v>437</v>
          </cell>
          <cell r="C2869">
            <v>815740</v>
          </cell>
          <cell r="D2869">
            <v>1</v>
          </cell>
          <cell r="F2869" t="str">
            <v xml:space="preserve">אחזקת אזעקה       </v>
          </cell>
          <cell r="G2869" t="str">
            <v>קשיח</v>
          </cell>
          <cell r="H2869">
            <v>0</v>
          </cell>
          <cell r="I2869">
            <v>3800</v>
          </cell>
          <cell r="J2869">
            <v>3800</v>
          </cell>
          <cell r="K2869">
            <v>1847.88</v>
          </cell>
          <cell r="L2869">
            <v>3800</v>
          </cell>
          <cell r="M2869">
            <v>3664.44</v>
          </cell>
        </row>
        <row r="2870">
          <cell r="A2870">
            <v>1815740450</v>
          </cell>
          <cell r="B2870">
            <v>450</v>
          </cell>
          <cell r="C2870">
            <v>815740</v>
          </cell>
          <cell r="D2870">
            <v>1</v>
          </cell>
          <cell r="F2870" t="str">
            <v xml:space="preserve">ריהוט ואחזקתו     </v>
          </cell>
          <cell r="G2870" t="str">
            <v>גמיש</v>
          </cell>
          <cell r="H2870">
            <v>3.7573805689747886E-3</v>
          </cell>
          <cell r="I2870">
            <v>18700</v>
          </cell>
          <cell r="J2870">
            <v>18630</v>
          </cell>
          <cell r="K2870">
            <v>13591</v>
          </cell>
          <cell r="L2870">
            <v>19600</v>
          </cell>
          <cell r="M2870">
            <v>19040</v>
          </cell>
        </row>
        <row r="2871">
          <cell r="A2871">
            <v>1815740451</v>
          </cell>
          <cell r="B2871">
            <v>451</v>
          </cell>
          <cell r="C2871">
            <v>815740</v>
          </cell>
          <cell r="D2871">
            <v>1</v>
          </cell>
          <cell r="F2871" t="str">
            <v>הוצאות גפ"ן בית ספרי</v>
          </cell>
          <cell r="G2871" t="str">
            <v>קשיח</v>
          </cell>
          <cell r="H2871">
            <v>0</v>
          </cell>
          <cell r="I2871">
            <v>400000</v>
          </cell>
          <cell r="J2871">
            <v>400000</v>
          </cell>
          <cell r="K2871">
            <v>0</v>
          </cell>
          <cell r="L2871">
            <v>0</v>
          </cell>
          <cell r="M2871">
            <v>0</v>
          </cell>
        </row>
        <row r="2872">
          <cell r="A2872">
            <v>1815740452</v>
          </cell>
          <cell r="B2872">
            <v>452</v>
          </cell>
          <cell r="C2872">
            <v>815740</v>
          </cell>
          <cell r="D2872">
            <v>1</v>
          </cell>
          <cell r="F2872" t="str">
            <v>השתתפות עירונית בגפ"ן</v>
          </cell>
          <cell r="G2872" t="str">
            <v>קשיח</v>
          </cell>
          <cell r="H2872">
            <v>-5.601158860453892E-2</v>
          </cell>
          <cell r="I2872">
            <v>391000</v>
          </cell>
          <cell r="J2872">
            <v>414200</v>
          </cell>
          <cell r="K2872">
            <v>402693</v>
          </cell>
          <cell r="L2872">
            <v>0</v>
          </cell>
          <cell r="M2872">
            <v>0</v>
          </cell>
        </row>
        <row r="2873">
          <cell r="A2873">
            <v>1815740511</v>
          </cell>
          <cell r="B2873">
            <v>511</v>
          </cell>
          <cell r="C2873">
            <v>815740</v>
          </cell>
          <cell r="D2873">
            <v>1</v>
          </cell>
          <cell r="F2873" t="str">
            <v xml:space="preserve">אירוח וכיבוד      </v>
          </cell>
          <cell r="G2873" t="str">
            <v>גמיש</v>
          </cell>
          <cell r="H2873">
            <v>0.19375573921028466</v>
          </cell>
          <cell r="I2873">
            <v>26000</v>
          </cell>
          <cell r="J2873">
            <v>21780</v>
          </cell>
          <cell r="K2873">
            <v>0</v>
          </cell>
          <cell r="L2873">
            <v>23400</v>
          </cell>
          <cell r="M2873">
            <v>24759.99</v>
          </cell>
        </row>
        <row r="2874">
          <cell r="A2874">
            <v>1815740580</v>
          </cell>
          <cell r="B2874">
            <v>580</v>
          </cell>
          <cell r="C2874">
            <v>815740</v>
          </cell>
          <cell r="D2874">
            <v>1</v>
          </cell>
          <cell r="F2874" t="str">
            <v>ניהול חשבונאי</v>
          </cell>
          <cell r="G2874" t="str">
            <v>גמיש</v>
          </cell>
          <cell r="H2874">
            <v>0</v>
          </cell>
          <cell r="I2874">
            <v>60000</v>
          </cell>
          <cell r="J2874">
            <v>60000</v>
          </cell>
          <cell r="K2874">
            <v>40000</v>
          </cell>
          <cell r="L2874">
            <v>60000</v>
          </cell>
          <cell r="M2874">
            <v>55000</v>
          </cell>
        </row>
        <row r="2875">
          <cell r="A2875">
            <v>1815740742</v>
          </cell>
          <cell r="B2875">
            <v>742</v>
          </cell>
          <cell r="C2875">
            <v>815740</v>
          </cell>
          <cell r="D2875">
            <v>1</v>
          </cell>
          <cell r="F2875" t="str">
            <v xml:space="preserve">כלים וציוד        </v>
          </cell>
          <cell r="G2875" t="str">
            <v>גמיש</v>
          </cell>
          <cell r="H2875">
            <v>0.11593154977102915</v>
          </cell>
          <cell r="I2875">
            <v>92600</v>
          </cell>
          <cell r="J2875">
            <v>82980</v>
          </cell>
          <cell r="K2875">
            <v>61467</v>
          </cell>
          <cell r="L2875">
            <v>85700</v>
          </cell>
          <cell r="M2875">
            <v>86234</v>
          </cell>
        </row>
        <row r="2876">
          <cell r="A2876">
            <v>1815740750</v>
          </cell>
          <cell r="B2876">
            <v>750</v>
          </cell>
          <cell r="C2876">
            <v>815740</v>
          </cell>
          <cell r="D2876">
            <v>1</v>
          </cell>
          <cell r="F2876" t="str">
            <v>אחזקת מוסדות</v>
          </cell>
          <cell r="G2876" t="str">
            <v>קשיח</v>
          </cell>
          <cell r="H2876">
            <v>1.9205435762324141E-2</v>
          </cell>
          <cell r="I2876">
            <v>1470000</v>
          </cell>
          <cell r="J2876">
            <v>1442300</v>
          </cell>
          <cell r="K2876">
            <v>857667</v>
          </cell>
          <cell r="L2876">
            <v>1092000</v>
          </cell>
          <cell r="M2876">
            <v>1162591</v>
          </cell>
        </row>
        <row r="2877">
          <cell r="A2877">
            <v>1815740752</v>
          </cell>
          <cell r="B2877">
            <v>752</v>
          </cell>
          <cell r="C2877">
            <v>815740</v>
          </cell>
          <cell r="D2877">
            <v>1</v>
          </cell>
          <cell r="F2877" t="str">
            <v xml:space="preserve">נקיון בקבלנות     </v>
          </cell>
          <cell r="G2877" t="str">
            <v>קשיח</v>
          </cell>
          <cell r="H2877">
            <v>-5.6609035136642505E-2</v>
          </cell>
          <cell r="I2877">
            <v>1691500</v>
          </cell>
          <cell r="J2877">
            <v>1793000</v>
          </cell>
          <cell r="K2877">
            <v>851352.89</v>
          </cell>
          <cell r="L2877">
            <v>1437000</v>
          </cell>
          <cell r="M2877">
            <v>1436999.11</v>
          </cell>
        </row>
        <row r="2878">
          <cell r="A2878">
            <v>1815740759</v>
          </cell>
          <cell r="B2878">
            <v>759</v>
          </cell>
          <cell r="C2878">
            <v>815740</v>
          </cell>
          <cell r="D2878">
            <v>1</v>
          </cell>
          <cell r="F2878" t="str">
            <v>שרותי סייעות</v>
          </cell>
          <cell r="G2878" t="str">
            <v>שכר</v>
          </cell>
          <cell r="H2878">
            <v>7.2821124714671059E-2</v>
          </cell>
          <cell r="I2878">
            <v>2067970</v>
          </cell>
          <cell r="J2878">
            <v>1927600</v>
          </cell>
          <cell r="K2878">
            <v>1021282.55</v>
          </cell>
          <cell r="L2878">
            <v>1853400</v>
          </cell>
          <cell r="M2878">
            <v>1585288.83</v>
          </cell>
        </row>
        <row r="2879">
          <cell r="A2879">
            <v>1815740762</v>
          </cell>
          <cell r="B2879">
            <v>762</v>
          </cell>
          <cell r="C2879">
            <v>815740</v>
          </cell>
          <cell r="D2879">
            <v>1</v>
          </cell>
          <cell r="F2879" t="str">
            <v xml:space="preserve">שאילת מורים       </v>
          </cell>
          <cell r="G2879" t="str">
            <v>שכר</v>
          </cell>
          <cell r="H2879">
            <v>0.10537951363301401</v>
          </cell>
          <cell r="I2879">
            <v>300000</v>
          </cell>
          <cell r="J2879">
            <v>271400</v>
          </cell>
          <cell r="K2879">
            <v>180014.66</v>
          </cell>
          <cell r="L2879">
            <v>276900</v>
          </cell>
          <cell r="M2879">
            <v>280294.3</v>
          </cell>
        </row>
        <row r="2880">
          <cell r="A2880">
            <v>1815740780</v>
          </cell>
          <cell r="B2880">
            <v>780</v>
          </cell>
          <cell r="C2880">
            <v>815740</v>
          </cell>
          <cell r="D2880">
            <v>1</v>
          </cell>
          <cell r="F2880" t="str">
            <v xml:space="preserve">חינוך חברתי       </v>
          </cell>
          <cell r="G2880" t="str">
            <v>קשיח</v>
          </cell>
          <cell r="H2880">
            <v>6.2893081761006275E-3</v>
          </cell>
          <cell r="I2880">
            <v>32000</v>
          </cell>
          <cell r="J2880">
            <v>31800</v>
          </cell>
          <cell r="K2880">
            <v>21201</v>
          </cell>
          <cell r="L2880">
            <v>32700</v>
          </cell>
          <cell r="M2880">
            <v>29637</v>
          </cell>
        </row>
        <row r="2881">
          <cell r="A2881">
            <v>1815740794</v>
          </cell>
          <cell r="B2881">
            <v>794</v>
          </cell>
          <cell r="C2881">
            <v>815740</v>
          </cell>
          <cell r="D2881">
            <v>1</v>
          </cell>
          <cell r="F2881" t="str">
            <v xml:space="preserve">השתתפות בעזר 094  </v>
          </cell>
          <cell r="G2881" t="str">
            <v>קשיח</v>
          </cell>
          <cell r="H2881">
            <v>0.10588235294117654</v>
          </cell>
          <cell r="I2881">
            <v>9400</v>
          </cell>
          <cell r="J2881">
            <v>8500</v>
          </cell>
          <cell r="K2881">
            <v>4016</v>
          </cell>
          <cell r="L2881">
            <v>16700</v>
          </cell>
          <cell r="M2881">
            <v>19920</v>
          </cell>
        </row>
        <row r="2882">
          <cell r="A2882">
            <v>1815740810</v>
          </cell>
          <cell r="B2882">
            <v>810</v>
          </cell>
          <cell r="C2882">
            <v>815740</v>
          </cell>
          <cell r="D2882">
            <v>1</v>
          </cell>
          <cell r="F2882" t="str">
            <v>הקצבה לניהול עצמי</v>
          </cell>
          <cell r="G2882" t="str">
            <v>גמיש</v>
          </cell>
          <cell r="H2882">
            <v>-1</v>
          </cell>
          <cell r="I2882">
            <v>0</v>
          </cell>
          <cell r="J2882">
            <v>121320</v>
          </cell>
          <cell r="K2882">
            <v>0</v>
          </cell>
          <cell r="L2882">
            <v>256300</v>
          </cell>
          <cell r="M2882">
            <v>0</v>
          </cell>
        </row>
        <row r="2883">
          <cell r="A2883">
            <v>1815740812</v>
          </cell>
          <cell r="B2883">
            <v>812</v>
          </cell>
          <cell r="C2883">
            <v>815740</v>
          </cell>
          <cell r="D2883">
            <v>1</v>
          </cell>
          <cell r="F2883" t="str">
            <v>מסיבות כיתתיות</v>
          </cell>
          <cell r="G2883" t="str">
            <v>קשיח</v>
          </cell>
          <cell r="H2883">
            <v>0.2592592592592593</v>
          </cell>
          <cell r="I2883">
            <v>51000</v>
          </cell>
          <cell r="J2883">
            <v>40500</v>
          </cell>
          <cell r="K2883">
            <v>17000</v>
          </cell>
          <cell r="L2883">
            <v>45000</v>
          </cell>
          <cell r="M2883">
            <v>45760</v>
          </cell>
        </row>
        <row r="2884">
          <cell r="A2884">
            <v>1815740953</v>
          </cell>
          <cell r="B2884">
            <v>953</v>
          </cell>
          <cell r="C2884">
            <v>815740</v>
          </cell>
          <cell r="D2884">
            <v>1</v>
          </cell>
          <cell r="F2884" t="str">
            <v>מערכת גפ"ן</v>
          </cell>
          <cell r="G2884" t="str">
            <v>קשיח</v>
          </cell>
          <cell r="H2884">
            <v>-3.4282955094157463E-2</v>
          </cell>
          <cell r="I2884">
            <v>1600000</v>
          </cell>
          <cell r="J2884">
            <v>1656800</v>
          </cell>
          <cell r="K2884">
            <v>825662.7</v>
          </cell>
          <cell r="L2884">
            <v>2534700</v>
          </cell>
          <cell r="M2884">
            <v>1949795.19</v>
          </cell>
        </row>
        <row r="2885">
          <cell r="A2885">
            <v>1815740989</v>
          </cell>
          <cell r="B2885">
            <v>989</v>
          </cell>
          <cell r="C2885">
            <v>815740</v>
          </cell>
          <cell r="D2885">
            <v>1</v>
          </cell>
          <cell r="F2885" t="str">
            <v xml:space="preserve">תקורה             </v>
          </cell>
          <cell r="G2885" t="str">
            <v>קשיח</v>
          </cell>
          <cell r="H2885">
            <v>3.2624845233182098E-2</v>
          </cell>
          <cell r="I2885">
            <v>2502050</v>
          </cell>
          <cell r="J2885">
            <v>2423000</v>
          </cell>
          <cell r="K2885">
            <v>0</v>
          </cell>
          <cell r="L2885">
            <v>2521900</v>
          </cell>
          <cell r="M2885">
            <v>2309255</v>
          </cell>
        </row>
        <row r="2886">
          <cell r="A2886" t="e">
            <v>#VALUE!</v>
          </cell>
          <cell r="B2886" t="str">
            <v>815740  סך הכל</v>
          </cell>
          <cell r="F2886" t="str">
            <v xml:space="preserve">בי"ס מקיף ק' שרת  </v>
          </cell>
          <cell r="H2886">
            <v>3.2625272827385254E-2</v>
          </cell>
          <cell r="I2886">
            <v>44202939.5</v>
          </cell>
          <cell r="J2886">
            <v>42806370</v>
          </cell>
          <cell r="K2886">
            <v>24601755.57</v>
          </cell>
          <cell r="L2886">
            <v>45802800</v>
          </cell>
          <cell r="M2886">
            <v>41872985.489999995</v>
          </cell>
        </row>
        <row r="2887">
          <cell r="A2887">
            <v>18157500</v>
          </cell>
          <cell r="B2887">
            <v>0</v>
          </cell>
          <cell r="C2887">
            <v>815750</v>
          </cell>
          <cell r="D2887">
            <v>1</v>
          </cell>
          <cell r="F2887" t="str">
            <v xml:space="preserve">תיכון אילון       </v>
          </cell>
          <cell r="G2887" t="str">
            <v xml:space="preserve"> </v>
          </cell>
        </row>
        <row r="2888">
          <cell r="A2888">
            <v>1815750110</v>
          </cell>
          <cell r="B2888">
            <v>110</v>
          </cell>
          <cell r="C2888">
            <v>815750</v>
          </cell>
          <cell r="D2888">
            <v>1</v>
          </cell>
          <cell r="F2888" t="str">
            <v>השכר הקובע-תקציבית</v>
          </cell>
          <cell r="G2888" t="str">
            <v>שכר</v>
          </cell>
          <cell r="H2888">
            <v>2.4999999999999911E-2</v>
          </cell>
          <cell r="I2888">
            <v>272650</v>
          </cell>
          <cell r="J2888">
            <v>266000</v>
          </cell>
          <cell r="K2888">
            <v>159401.4</v>
          </cell>
          <cell r="L2888">
            <v>226300</v>
          </cell>
          <cell r="M2888">
            <v>274498.71999999997</v>
          </cell>
        </row>
        <row r="2889">
          <cell r="A2889">
            <v>1815750118</v>
          </cell>
          <cell r="B2889">
            <v>118</v>
          </cell>
          <cell r="C2889">
            <v>815750</v>
          </cell>
          <cell r="D2889">
            <v>1</v>
          </cell>
          <cell r="F2889" t="str">
            <v xml:space="preserve">שכר עובדי הוראה   </v>
          </cell>
          <cell r="G2889" t="str">
            <v>שכר</v>
          </cell>
          <cell r="H2889">
            <v>-4.5981123249222655E-2</v>
          </cell>
          <cell r="I2889">
            <v>20802000</v>
          </cell>
          <cell r="J2889">
            <v>21804600</v>
          </cell>
          <cell r="K2889">
            <v>12752100.859999999</v>
          </cell>
          <cell r="L2889">
            <v>22096000</v>
          </cell>
          <cell r="M2889">
            <v>21240961.559999999</v>
          </cell>
        </row>
        <row r="2890">
          <cell r="A2890">
            <v>1815750119</v>
          </cell>
          <cell r="B2890">
            <v>119</v>
          </cell>
          <cell r="C2890">
            <v>815750</v>
          </cell>
          <cell r="D2890">
            <v>1</v>
          </cell>
          <cell r="F2890" t="str">
            <v xml:space="preserve">השכר הקובע-צוברת  </v>
          </cell>
          <cell r="G2890" t="str">
            <v>שכר</v>
          </cell>
          <cell r="H2890">
            <v>9.0353873479983582E-2</v>
          </cell>
          <cell r="I2890">
            <v>2394090</v>
          </cell>
          <cell r="J2890">
            <v>2195700</v>
          </cell>
          <cell r="K2890">
            <v>1241001.1499999999</v>
          </cell>
          <cell r="L2890">
            <v>1552600</v>
          </cell>
          <cell r="M2890">
            <v>1851898.47</v>
          </cell>
        </row>
        <row r="2891">
          <cell r="A2891">
            <v>1815750122</v>
          </cell>
          <cell r="B2891">
            <v>122</v>
          </cell>
          <cell r="C2891">
            <v>815750</v>
          </cell>
          <cell r="D2891">
            <v>1</v>
          </cell>
          <cell r="F2891" t="str">
            <v xml:space="preserve">ביגוד             </v>
          </cell>
          <cell r="G2891" t="str">
            <v>שכר</v>
          </cell>
          <cell r="H2891">
            <v>1.4296895896817041E-3</v>
          </cell>
          <cell r="I2891">
            <v>210300.23481383317</v>
          </cell>
          <cell r="J2891">
            <v>210000</v>
          </cell>
          <cell r="K2891">
            <v>205263.69</v>
          </cell>
          <cell r="L2891">
            <v>202700</v>
          </cell>
          <cell r="M2891">
            <v>209626.2</v>
          </cell>
        </row>
        <row r="2892">
          <cell r="A2892">
            <v>1815750126</v>
          </cell>
          <cell r="B2892">
            <v>126</v>
          </cell>
          <cell r="C2892">
            <v>815750</v>
          </cell>
          <cell r="D2892">
            <v>1</v>
          </cell>
          <cell r="F2892" t="str">
            <v xml:space="preserve">דמי הבראה         </v>
          </cell>
          <cell r="G2892" t="str">
            <v>שכר</v>
          </cell>
          <cell r="H2892">
            <v>1.4338962947855194E-3</v>
          </cell>
          <cell r="I2892">
            <v>446639.51774747431</v>
          </cell>
          <cell r="J2892">
            <v>446000</v>
          </cell>
          <cell r="K2892">
            <v>435248.88</v>
          </cell>
          <cell r="L2892">
            <v>423500</v>
          </cell>
          <cell r="M2892">
            <v>450287.08</v>
          </cell>
        </row>
        <row r="2893">
          <cell r="A2893">
            <v>1815750130</v>
          </cell>
          <cell r="B2893">
            <v>130</v>
          </cell>
          <cell r="C2893">
            <v>815750</v>
          </cell>
          <cell r="D2893">
            <v>1</v>
          </cell>
          <cell r="F2893" t="str">
            <v xml:space="preserve">שעות נוספות       </v>
          </cell>
          <cell r="G2893" t="str">
            <v>שכר</v>
          </cell>
          <cell r="H2893">
            <v>0</v>
          </cell>
          <cell r="I2893">
            <v>13160</v>
          </cell>
          <cell r="J2893">
            <v>13160</v>
          </cell>
          <cell r="K2893">
            <v>5214.32</v>
          </cell>
          <cell r="L2893">
            <v>15300</v>
          </cell>
          <cell r="M2893">
            <v>5355.16</v>
          </cell>
        </row>
        <row r="2894">
          <cell r="A2894">
            <v>1815750140</v>
          </cell>
          <cell r="B2894">
            <v>140</v>
          </cell>
          <cell r="C2894">
            <v>815750</v>
          </cell>
          <cell r="D2894">
            <v>1</v>
          </cell>
          <cell r="F2894" t="str">
            <v>השתתפות באחזקת רכב</v>
          </cell>
          <cell r="G2894" t="str">
            <v>שכר</v>
          </cell>
          <cell r="H2894">
            <v>0</v>
          </cell>
          <cell r="I2894">
            <v>132700</v>
          </cell>
          <cell r="J2894">
            <v>132700</v>
          </cell>
          <cell r="K2894">
            <v>94731.94</v>
          </cell>
          <cell r="L2894">
            <v>132700</v>
          </cell>
          <cell r="M2894">
            <v>173643.53</v>
          </cell>
        </row>
        <row r="2895">
          <cell r="A2895">
            <v>1815750210</v>
          </cell>
          <cell r="B2895">
            <v>210</v>
          </cell>
          <cell r="C2895">
            <v>815750</v>
          </cell>
          <cell r="D2895">
            <v>1</v>
          </cell>
          <cell r="F2895" t="str">
            <v xml:space="preserve">השכר הקובע        </v>
          </cell>
          <cell r="G2895" t="str">
            <v>שכר</v>
          </cell>
          <cell r="I2895">
            <v>0</v>
          </cell>
          <cell r="J2895">
            <v>0</v>
          </cell>
          <cell r="K2895">
            <v>18804.54</v>
          </cell>
          <cell r="L2895">
            <v>0</v>
          </cell>
          <cell r="M2895">
            <v>4581.53</v>
          </cell>
        </row>
        <row r="2896">
          <cell r="A2896">
            <v>1815750212</v>
          </cell>
          <cell r="B2896">
            <v>212</v>
          </cell>
          <cell r="C2896">
            <v>815750</v>
          </cell>
          <cell r="D2896">
            <v>1</v>
          </cell>
          <cell r="F2896" t="str">
            <v xml:space="preserve">שעורי עזר לעולים  </v>
          </cell>
          <cell r="G2896" t="str">
            <v>שכר</v>
          </cell>
          <cell r="I2896">
            <v>0</v>
          </cell>
          <cell r="J2896">
            <v>0</v>
          </cell>
          <cell r="K2896">
            <v>0</v>
          </cell>
          <cell r="L2896">
            <v>0</v>
          </cell>
          <cell r="M2896">
            <v>0</v>
          </cell>
        </row>
        <row r="2897">
          <cell r="A2897">
            <v>1815750213</v>
          </cell>
          <cell r="B2897">
            <v>213</v>
          </cell>
          <cell r="C2897">
            <v>815750</v>
          </cell>
          <cell r="D2897">
            <v>1</v>
          </cell>
          <cell r="F2897" t="str">
            <v xml:space="preserve">שעורי עזר לנכים   </v>
          </cell>
          <cell r="G2897" t="str">
            <v>שכר</v>
          </cell>
          <cell r="I2897">
            <v>0</v>
          </cell>
          <cell r="J2897">
            <v>0</v>
          </cell>
          <cell r="K2897">
            <v>24222.62</v>
          </cell>
          <cell r="L2897">
            <v>0</v>
          </cell>
          <cell r="M2897">
            <v>135614.81</v>
          </cell>
        </row>
        <row r="2898">
          <cell r="A2898">
            <v>1815750216</v>
          </cell>
          <cell r="B2898">
            <v>216</v>
          </cell>
          <cell r="C2898">
            <v>815750</v>
          </cell>
          <cell r="D2898">
            <v>1</v>
          </cell>
          <cell r="F2898" t="str">
            <v>קשישים - שוויון חברתי</v>
          </cell>
          <cell r="G2898" t="str">
            <v>שכר</v>
          </cell>
          <cell r="H2898">
            <v>0</v>
          </cell>
          <cell r="I2898">
            <v>30000</v>
          </cell>
          <cell r="J2898">
            <v>30000</v>
          </cell>
          <cell r="K2898">
            <v>11521.89</v>
          </cell>
          <cell r="L2898">
            <v>30000</v>
          </cell>
          <cell r="M2898">
            <v>13328.24</v>
          </cell>
        </row>
        <row r="2899">
          <cell r="A2899">
            <v>1815750250</v>
          </cell>
          <cell r="B2899">
            <v>250</v>
          </cell>
          <cell r="C2899">
            <v>815750</v>
          </cell>
          <cell r="D2899">
            <v>1</v>
          </cell>
          <cell r="F2899" t="str">
            <v>שעות השאלה למשה"ח</v>
          </cell>
          <cell r="G2899" t="str">
            <v>שכר</v>
          </cell>
          <cell r="H2899">
            <v>-0.50073421439060206</v>
          </cell>
          <cell r="I2899">
            <v>170000</v>
          </cell>
          <cell r="J2899">
            <v>340500</v>
          </cell>
          <cell r="K2899">
            <v>108218.08</v>
          </cell>
          <cell r="L2899">
            <v>167700</v>
          </cell>
          <cell r="M2899">
            <v>279019.53999999998</v>
          </cell>
        </row>
        <row r="2900">
          <cell r="A2900">
            <v>1815750420</v>
          </cell>
          <cell r="B2900">
            <v>420</v>
          </cell>
          <cell r="C2900">
            <v>815750</v>
          </cell>
          <cell r="D2900">
            <v>1</v>
          </cell>
          <cell r="F2900" t="str">
            <v xml:space="preserve">כיבוי אש          </v>
          </cell>
          <cell r="G2900" t="str">
            <v>קשיח</v>
          </cell>
          <cell r="H2900">
            <v>0.11111111111111116</v>
          </cell>
          <cell r="I2900">
            <v>9000</v>
          </cell>
          <cell r="J2900">
            <v>8100</v>
          </cell>
          <cell r="K2900">
            <v>11738.28</v>
          </cell>
          <cell r="L2900">
            <v>9000</v>
          </cell>
          <cell r="M2900">
            <v>9536.39</v>
          </cell>
        </row>
        <row r="2901">
          <cell r="A2901">
            <v>1815750423</v>
          </cell>
          <cell r="B2901">
            <v>423</v>
          </cell>
          <cell r="C2901">
            <v>815750</v>
          </cell>
          <cell r="D2901">
            <v>1</v>
          </cell>
          <cell r="F2901" t="str">
            <v xml:space="preserve">תחזוקת מבנה       </v>
          </cell>
          <cell r="G2901" t="str">
            <v>קשיח</v>
          </cell>
          <cell r="H2901">
            <v>0.23529411764705888</v>
          </cell>
          <cell r="I2901">
            <v>42000</v>
          </cell>
          <cell r="J2901">
            <v>34000</v>
          </cell>
          <cell r="K2901">
            <v>0</v>
          </cell>
          <cell r="L2901">
            <v>30700</v>
          </cell>
          <cell r="M2901">
            <v>30700</v>
          </cell>
        </row>
        <row r="2902">
          <cell r="A2902">
            <v>1815750431</v>
          </cell>
          <cell r="B2902">
            <v>431</v>
          </cell>
          <cell r="C2902">
            <v>815750</v>
          </cell>
          <cell r="D2902">
            <v>1</v>
          </cell>
          <cell r="F2902" t="str">
            <v xml:space="preserve">חשמל              </v>
          </cell>
          <cell r="G2902" t="str">
            <v>קשיח</v>
          </cell>
          <cell r="H2902">
            <v>0</v>
          </cell>
          <cell r="I2902">
            <v>247100</v>
          </cell>
          <cell r="J2902">
            <v>247100</v>
          </cell>
          <cell r="K2902">
            <v>162235</v>
          </cell>
          <cell r="L2902">
            <v>260000</v>
          </cell>
          <cell r="M2902">
            <v>228125</v>
          </cell>
        </row>
        <row r="2903">
          <cell r="A2903">
            <v>1815750432</v>
          </cell>
          <cell r="B2903">
            <v>432</v>
          </cell>
          <cell r="C2903">
            <v>815750</v>
          </cell>
          <cell r="D2903">
            <v>1</v>
          </cell>
          <cell r="F2903" t="str">
            <v xml:space="preserve">מים               </v>
          </cell>
          <cell r="G2903" t="str">
            <v>קשיח</v>
          </cell>
          <cell r="H2903">
            <v>-5.1282051282051322E-2</v>
          </cell>
          <cell r="I2903">
            <v>37000</v>
          </cell>
          <cell r="J2903">
            <v>39000</v>
          </cell>
          <cell r="K2903">
            <v>25870</v>
          </cell>
          <cell r="L2903">
            <v>41500</v>
          </cell>
          <cell r="M2903">
            <v>36377</v>
          </cell>
        </row>
        <row r="2904">
          <cell r="A2904">
            <v>1815750437</v>
          </cell>
          <cell r="B2904">
            <v>437</v>
          </cell>
          <cell r="C2904">
            <v>815750</v>
          </cell>
          <cell r="D2904">
            <v>1</v>
          </cell>
          <cell r="F2904" t="str">
            <v xml:space="preserve">אחזקת אזעקה       </v>
          </cell>
          <cell r="G2904" t="str">
            <v>קשיח</v>
          </cell>
          <cell r="H2904">
            <v>0</v>
          </cell>
          <cell r="I2904">
            <v>3800</v>
          </cell>
          <cell r="J2904">
            <v>3800</v>
          </cell>
          <cell r="K2904">
            <v>1847.88</v>
          </cell>
          <cell r="L2904">
            <v>3800</v>
          </cell>
          <cell r="M2904">
            <v>3664.45</v>
          </cell>
        </row>
        <row r="2905">
          <cell r="A2905">
            <v>1815750450</v>
          </cell>
          <cell r="B2905">
            <v>450</v>
          </cell>
          <cell r="C2905">
            <v>815750</v>
          </cell>
          <cell r="D2905">
            <v>1</v>
          </cell>
          <cell r="F2905" t="str">
            <v xml:space="preserve">ריהוט ואחזקתו     </v>
          </cell>
          <cell r="G2905" t="str">
            <v>גמיש</v>
          </cell>
          <cell r="H2905">
            <v>5.2910052910053018E-2</v>
          </cell>
          <cell r="I2905">
            <v>19900</v>
          </cell>
          <cell r="J2905">
            <v>18900</v>
          </cell>
          <cell r="K2905">
            <v>15710</v>
          </cell>
          <cell r="L2905">
            <v>20100</v>
          </cell>
          <cell r="M2905">
            <v>17698</v>
          </cell>
        </row>
        <row r="2906">
          <cell r="A2906">
            <v>1815750451</v>
          </cell>
          <cell r="B2906">
            <v>451</v>
          </cell>
          <cell r="C2906">
            <v>815750</v>
          </cell>
          <cell r="D2906">
            <v>1</v>
          </cell>
          <cell r="F2906" t="str">
            <v>הוצאות גפ"ן בית ספרי</v>
          </cell>
          <cell r="G2906" t="str">
            <v>קשיח</v>
          </cell>
          <cell r="H2906">
            <v>0</v>
          </cell>
          <cell r="I2906">
            <v>200000</v>
          </cell>
          <cell r="J2906">
            <v>200000</v>
          </cell>
          <cell r="K2906">
            <v>107259</v>
          </cell>
          <cell r="L2906">
            <v>0</v>
          </cell>
          <cell r="M2906">
            <v>0</v>
          </cell>
        </row>
        <row r="2907">
          <cell r="A2907">
            <v>1815750452</v>
          </cell>
          <cell r="B2907">
            <v>452</v>
          </cell>
          <cell r="C2907">
            <v>815750</v>
          </cell>
          <cell r="D2907">
            <v>1</v>
          </cell>
          <cell r="F2907" t="str">
            <v>השתתפות עירונית בגפ"ן</v>
          </cell>
          <cell r="G2907" t="str">
            <v>קשיח</v>
          </cell>
          <cell r="H2907">
            <v>-4.1533546325878579E-2</v>
          </cell>
          <cell r="I2907">
            <v>300000</v>
          </cell>
          <cell r="J2907">
            <v>313000</v>
          </cell>
          <cell r="K2907">
            <v>163801</v>
          </cell>
          <cell r="L2907">
            <v>0</v>
          </cell>
          <cell r="M2907">
            <v>0</v>
          </cell>
        </row>
        <row r="2908">
          <cell r="A2908">
            <v>1815750511</v>
          </cell>
          <cell r="B2908">
            <v>511</v>
          </cell>
          <cell r="C2908">
            <v>815750</v>
          </cell>
          <cell r="D2908">
            <v>1</v>
          </cell>
          <cell r="F2908" t="str">
            <v xml:space="preserve">אירוח וכיבוד      </v>
          </cell>
          <cell r="G2908" t="str">
            <v>גמיש</v>
          </cell>
          <cell r="H2908">
            <v>0.15740740740740744</v>
          </cell>
          <cell r="I2908">
            <v>20000</v>
          </cell>
          <cell r="J2908">
            <v>17280</v>
          </cell>
          <cell r="K2908">
            <v>0</v>
          </cell>
          <cell r="L2908">
            <v>19800</v>
          </cell>
          <cell r="M2908">
            <v>19503.900000000001</v>
          </cell>
        </row>
        <row r="2909">
          <cell r="A2909">
            <v>1815750721</v>
          </cell>
          <cell r="B2909">
            <v>721</v>
          </cell>
          <cell r="C2909">
            <v>815750</v>
          </cell>
          <cell r="D2909">
            <v>1</v>
          </cell>
          <cell r="F2909" t="str">
            <v>חמרים-תחזוקת מבנים</v>
          </cell>
          <cell r="G2909" t="str">
            <v>גמיש</v>
          </cell>
          <cell r="I2909">
            <v>0</v>
          </cell>
          <cell r="J2909">
            <v>0</v>
          </cell>
          <cell r="K2909">
            <v>0</v>
          </cell>
          <cell r="L2909">
            <v>2700</v>
          </cell>
          <cell r="M2909">
            <v>0</v>
          </cell>
        </row>
        <row r="2910">
          <cell r="A2910">
            <v>1815750742</v>
          </cell>
          <cell r="B2910">
            <v>742</v>
          </cell>
          <cell r="C2910">
            <v>815750</v>
          </cell>
          <cell r="D2910">
            <v>1</v>
          </cell>
          <cell r="F2910" t="str">
            <v xml:space="preserve">כלים וציוד        </v>
          </cell>
          <cell r="G2910" t="str">
            <v>גמיש</v>
          </cell>
          <cell r="H2910">
            <v>0.26079447322970628</v>
          </cell>
          <cell r="I2910">
            <v>65700</v>
          </cell>
          <cell r="J2910">
            <v>52110</v>
          </cell>
          <cell r="K2910">
            <v>38537</v>
          </cell>
          <cell r="L2910">
            <v>52100</v>
          </cell>
          <cell r="M2910">
            <v>53020</v>
          </cell>
        </row>
        <row r="2911">
          <cell r="A2911">
            <v>1815750750</v>
          </cell>
          <cell r="B2911">
            <v>750</v>
          </cell>
          <cell r="C2911">
            <v>815750</v>
          </cell>
          <cell r="D2911">
            <v>1</v>
          </cell>
          <cell r="F2911" t="str">
            <v>אחזקת מוסדות</v>
          </cell>
          <cell r="G2911" t="str">
            <v>קשיח</v>
          </cell>
          <cell r="H2911">
            <v>1.5479876160990669E-2</v>
          </cell>
          <cell r="I2911">
            <v>656000</v>
          </cell>
          <cell r="J2911">
            <v>646000</v>
          </cell>
          <cell r="K2911">
            <v>382687</v>
          </cell>
          <cell r="L2911">
            <v>508700</v>
          </cell>
          <cell r="M2911">
            <v>527521</v>
          </cell>
        </row>
        <row r="2912">
          <cell r="A2912">
            <v>1815750751</v>
          </cell>
          <cell r="B2912">
            <v>751</v>
          </cell>
          <cell r="C2912">
            <v>815750</v>
          </cell>
          <cell r="D2912">
            <v>1</v>
          </cell>
          <cell r="F2912" t="str">
            <v xml:space="preserve">עבודות קבלניות    </v>
          </cell>
          <cell r="G2912" t="str">
            <v>קשיח</v>
          </cell>
          <cell r="I2912">
            <v>0</v>
          </cell>
          <cell r="J2912">
            <v>0</v>
          </cell>
          <cell r="K2912">
            <v>0</v>
          </cell>
          <cell r="L2912">
            <v>25000</v>
          </cell>
          <cell r="M2912">
            <v>9061</v>
          </cell>
        </row>
        <row r="2913">
          <cell r="A2913">
            <v>1815750752</v>
          </cell>
          <cell r="B2913">
            <v>752</v>
          </cell>
          <cell r="C2913">
            <v>815750</v>
          </cell>
          <cell r="D2913">
            <v>1</v>
          </cell>
          <cell r="F2913" t="str">
            <v xml:space="preserve">נקיון בקבלנות     </v>
          </cell>
          <cell r="G2913" t="str">
            <v>קשיח</v>
          </cell>
          <cell r="H2913">
            <v>-5.8942113852356703E-2</v>
          </cell>
          <cell r="I2913">
            <v>980300</v>
          </cell>
          <cell r="J2913">
            <v>1041700</v>
          </cell>
          <cell r="K2913">
            <v>555155.96</v>
          </cell>
          <cell r="L2913">
            <v>838200</v>
          </cell>
          <cell r="M2913">
            <v>838199.49</v>
          </cell>
        </row>
        <row r="2914">
          <cell r="A2914">
            <v>1815750759</v>
          </cell>
          <cell r="B2914">
            <v>759</v>
          </cell>
          <cell r="C2914">
            <v>815750</v>
          </cell>
          <cell r="D2914">
            <v>1</v>
          </cell>
          <cell r="F2914" t="str">
            <v>שרותי סייעות</v>
          </cell>
          <cell r="G2914" t="str">
            <v>שכר</v>
          </cell>
          <cell r="H2914">
            <v>7.2824956672443708E-2</v>
          </cell>
          <cell r="I2914">
            <v>3095100</v>
          </cell>
          <cell r="J2914">
            <v>2885000</v>
          </cell>
          <cell r="K2914">
            <v>1600372.13</v>
          </cell>
          <cell r="L2914">
            <v>3411600</v>
          </cell>
          <cell r="M2914">
            <v>2495858.69</v>
          </cell>
        </row>
        <row r="2915">
          <cell r="A2915">
            <v>1815750762</v>
          </cell>
          <cell r="B2915">
            <v>762</v>
          </cell>
          <cell r="C2915">
            <v>815750</v>
          </cell>
          <cell r="D2915">
            <v>1</v>
          </cell>
          <cell r="F2915" t="str">
            <v xml:space="preserve">שאילת מורים       </v>
          </cell>
          <cell r="G2915" t="str">
            <v>שכר</v>
          </cell>
          <cell r="H2915">
            <v>0.5514809590973202</v>
          </cell>
          <cell r="I2915">
            <v>660000</v>
          </cell>
          <cell r="J2915">
            <v>425400</v>
          </cell>
          <cell r="K2915">
            <v>393865.83</v>
          </cell>
          <cell r="L2915">
            <v>280400</v>
          </cell>
          <cell r="M2915">
            <v>498653.27</v>
          </cell>
        </row>
        <row r="2916">
          <cell r="A2916">
            <v>1815750780</v>
          </cell>
          <cell r="B2916">
            <v>780</v>
          </cell>
          <cell r="C2916">
            <v>815750</v>
          </cell>
          <cell r="D2916">
            <v>1</v>
          </cell>
          <cell r="F2916" t="str">
            <v xml:space="preserve">חינוך חברתי       </v>
          </cell>
          <cell r="G2916" t="str">
            <v>קשיח</v>
          </cell>
          <cell r="H2916">
            <v>-3.5087719298245612E-2</v>
          </cell>
          <cell r="I2916">
            <v>22000</v>
          </cell>
          <cell r="J2916">
            <v>22800</v>
          </cell>
          <cell r="K2916">
            <v>15170</v>
          </cell>
          <cell r="L2916">
            <v>24000</v>
          </cell>
          <cell r="M2916">
            <v>21556</v>
          </cell>
        </row>
        <row r="2917">
          <cell r="A2917">
            <v>1815750794</v>
          </cell>
          <cell r="B2917">
            <v>794</v>
          </cell>
          <cell r="C2917">
            <v>815750</v>
          </cell>
          <cell r="D2917">
            <v>1</v>
          </cell>
          <cell r="F2917" t="str">
            <v xml:space="preserve">השתתפות בעזר 094  </v>
          </cell>
          <cell r="G2917" t="str">
            <v>קשיח</v>
          </cell>
          <cell r="H2917">
            <v>0.10588235294117654</v>
          </cell>
          <cell r="I2917">
            <v>9400</v>
          </cell>
          <cell r="J2917">
            <v>8500</v>
          </cell>
          <cell r="K2917">
            <v>4016</v>
          </cell>
          <cell r="L2917">
            <v>16700</v>
          </cell>
          <cell r="M2917">
            <v>19920</v>
          </cell>
        </row>
        <row r="2918">
          <cell r="A2918">
            <v>1815750810</v>
          </cell>
          <cell r="B2918">
            <v>810</v>
          </cell>
          <cell r="C2918">
            <v>815750</v>
          </cell>
          <cell r="D2918">
            <v>1</v>
          </cell>
          <cell r="F2918" t="str">
            <v>הקצבה לניהול עצמי</v>
          </cell>
          <cell r="G2918" t="str">
            <v>קשיח</v>
          </cell>
          <cell r="H2918">
            <v>-1</v>
          </cell>
          <cell r="I2918">
            <v>0</v>
          </cell>
          <cell r="J2918">
            <v>91980</v>
          </cell>
          <cell r="K2918">
            <v>0</v>
          </cell>
          <cell r="L2918">
            <v>108600</v>
          </cell>
          <cell r="M2918">
            <v>0</v>
          </cell>
        </row>
        <row r="2919">
          <cell r="A2919">
            <v>1815750811</v>
          </cell>
          <cell r="B2919">
            <v>811</v>
          </cell>
          <cell r="C2919">
            <v>815750</v>
          </cell>
          <cell r="D2919">
            <v>1</v>
          </cell>
          <cell r="F2919" t="str">
            <v>העשרת מחוננים</v>
          </cell>
          <cell r="G2919" t="str">
            <v>קשיח</v>
          </cell>
          <cell r="H2919">
            <v>0.11111111111111116</v>
          </cell>
          <cell r="I2919">
            <v>250000</v>
          </cell>
          <cell r="J2919">
            <v>225000</v>
          </cell>
          <cell r="K2919">
            <v>99554.6</v>
          </cell>
          <cell r="L2919">
            <v>250000</v>
          </cell>
          <cell r="M2919">
            <v>244482.2</v>
          </cell>
        </row>
        <row r="2920">
          <cell r="A2920">
            <v>1815750812</v>
          </cell>
          <cell r="B2920">
            <v>812</v>
          </cell>
          <cell r="C2920">
            <v>815750</v>
          </cell>
          <cell r="D2920">
            <v>1</v>
          </cell>
          <cell r="F2920" t="str">
            <v>מסיבות כיתתיות</v>
          </cell>
          <cell r="G2920" t="str">
            <v>קשיח</v>
          </cell>
          <cell r="H2920">
            <v>0.59111111111111114</v>
          </cell>
          <cell r="I2920">
            <v>35800</v>
          </cell>
          <cell r="J2920">
            <v>22500</v>
          </cell>
          <cell r="K2920">
            <v>10750</v>
          </cell>
          <cell r="L2920">
            <v>25000</v>
          </cell>
          <cell r="M2920">
            <v>24706</v>
          </cell>
        </row>
        <row r="2921">
          <cell r="A2921">
            <v>1815750953</v>
          </cell>
          <cell r="B2921">
            <v>953</v>
          </cell>
          <cell r="C2921">
            <v>815750</v>
          </cell>
          <cell r="D2921">
            <v>1</v>
          </cell>
          <cell r="F2921" t="str">
            <v>מערכת גפ"ן</v>
          </cell>
          <cell r="G2921" t="str">
            <v>קשיח</v>
          </cell>
          <cell r="H2921">
            <v>-9.5846645367412275E-3</v>
          </cell>
          <cell r="I2921">
            <v>1240000</v>
          </cell>
          <cell r="J2921">
            <v>1252000</v>
          </cell>
          <cell r="K2921">
            <v>548749.1</v>
          </cell>
          <cell r="L2921">
            <v>1365600</v>
          </cell>
          <cell r="M2921">
            <v>1459166.03</v>
          </cell>
        </row>
        <row r="2922">
          <cell r="A2922">
            <v>1815750989</v>
          </cell>
          <cell r="B2922">
            <v>989</v>
          </cell>
          <cell r="C2922">
            <v>815750</v>
          </cell>
          <cell r="D2922">
            <v>1</v>
          </cell>
          <cell r="F2922" t="str">
            <v xml:space="preserve">תקורה             </v>
          </cell>
          <cell r="G2922" t="str">
            <v>קשיח</v>
          </cell>
          <cell r="H2922">
            <v>-1.9039488373737701E-2</v>
          </cell>
          <cell r="I2922">
            <v>1941880</v>
          </cell>
          <cell r="J2922">
            <v>1979570</v>
          </cell>
          <cell r="K2922">
            <v>0</v>
          </cell>
          <cell r="L2922">
            <v>1872000</v>
          </cell>
          <cell r="M2922">
            <v>1801468</v>
          </cell>
        </row>
        <row r="2923">
          <cell r="A2923" t="e">
            <v>#VALUE!</v>
          </cell>
          <cell r="B2923" t="str">
            <v>815750  סך הכל</v>
          </cell>
          <cell r="F2923" t="str">
            <v xml:space="preserve">תיכון אילון       </v>
          </cell>
          <cell r="H2923">
            <v>-1.9040164456505693E-2</v>
          </cell>
          <cell r="I2923">
            <v>34306519.752561301</v>
          </cell>
          <cell r="J2923">
            <v>34972400</v>
          </cell>
          <cell r="K2923">
            <v>19193048.149999999</v>
          </cell>
          <cell r="L2923">
            <v>34012300</v>
          </cell>
          <cell r="M2923">
            <v>32978031.25999999</v>
          </cell>
        </row>
        <row r="2924">
          <cell r="A2924">
            <v>18157600</v>
          </cell>
          <cell r="B2924">
            <v>0</v>
          </cell>
          <cell r="C2924">
            <v>815760</v>
          </cell>
          <cell r="D2924">
            <v>1</v>
          </cell>
          <cell r="F2924" t="str">
            <v xml:space="preserve">תיכון יבנה        </v>
          </cell>
          <cell r="G2924" t="str">
            <v xml:space="preserve"> </v>
          </cell>
        </row>
        <row r="2925">
          <cell r="A2925">
            <v>1815760110</v>
          </cell>
          <cell r="B2925">
            <v>110</v>
          </cell>
          <cell r="C2925">
            <v>815760</v>
          </cell>
          <cell r="D2925">
            <v>1</v>
          </cell>
          <cell r="F2925" t="str">
            <v>השכר הקובע-תקציבית</v>
          </cell>
          <cell r="G2925" t="str">
            <v>שכר</v>
          </cell>
          <cell r="H2925">
            <v>2.4999999999999911E-2</v>
          </cell>
          <cell r="I2925">
            <v>374329.99999999994</v>
          </cell>
          <cell r="J2925">
            <v>365200</v>
          </cell>
          <cell r="K2925">
            <v>217387.23</v>
          </cell>
          <cell r="L2925">
            <v>358000</v>
          </cell>
          <cell r="M2925">
            <v>370592.44</v>
          </cell>
        </row>
        <row r="2926">
          <cell r="A2926">
            <v>1815760118</v>
          </cell>
          <cell r="B2926">
            <v>118</v>
          </cell>
          <cell r="C2926">
            <v>815760</v>
          </cell>
          <cell r="D2926">
            <v>1</v>
          </cell>
          <cell r="F2926" t="str">
            <v xml:space="preserve">שכר עובדי הוראה   </v>
          </cell>
          <cell r="G2926" t="str">
            <v>שכר</v>
          </cell>
          <cell r="H2926">
            <v>0.40795402599098796</v>
          </cell>
          <cell r="I2926">
            <v>4312000</v>
          </cell>
          <cell r="J2926">
            <v>3062600</v>
          </cell>
          <cell r="K2926">
            <v>2811871.87</v>
          </cell>
          <cell r="L2926">
            <v>3723000</v>
          </cell>
          <cell r="M2926">
            <v>4698077.4800000004</v>
          </cell>
        </row>
        <row r="2927">
          <cell r="A2927">
            <v>1815760119</v>
          </cell>
          <cell r="B2927">
            <v>119</v>
          </cell>
          <cell r="C2927">
            <v>815760</v>
          </cell>
          <cell r="D2927">
            <v>1</v>
          </cell>
          <cell r="F2927" t="str">
            <v xml:space="preserve">השכר הקובע-צוברת  </v>
          </cell>
          <cell r="G2927" t="str">
            <v>שכר</v>
          </cell>
          <cell r="H2927">
            <v>5.6736438679245049E-2</v>
          </cell>
          <cell r="I2927">
            <v>716889.99999999988</v>
          </cell>
          <cell r="J2927">
            <v>678400</v>
          </cell>
          <cell r="K2927">
            <v>472687.74</v>
          </cell>
          <cell r="L2927">
            <v>665100</v>
          </cell>
          <cell r="M2927">
            <v>714749.98</v>
          </cell>
        </row>
        <row r="2928">
          <cell r="A2928">
            <v>1815760122</v>
          </cell>
          <cell r="B2928">
            <v>122</v>
          </cell>
          <cell r="C2928">
            <v>815760</v>
          </cell>
          <cell r="D2928">
            <v>1</v>
          </cell>
          <cell r="F2928" t="str">
            <v xml:space="preserve">ביגוד             </v>
          </cell>
          <cell r="G2928" t="str">
            <v>שכר</v>
          </cell>
          <cell r="H2928">
            <v>1.7793377343244821E-4</v>
          </cell>
          <cell r="I2928">
            <v>56009.964291312222</v>
          </cell>
          <cell r="J2928">
            <v>56000</v>
          </cell>
          <cell r="K2928">
            <v>58521.22</v>
          </cell>
          <cell r="L2928">
            <v>68700</v>
          </cell>
          <cell r="M2928">
            <v>54560.69</v>
          </cell>
        </row>
        <row r="2929">
          <cell r="A2929">
            <v>1815760126</v>
          </cell>
          <cell r="B2929">
            <v>126</v>
          </cell>
          <cell r="C2929">
            <v>815760</v>
          </cell>
          <cell r="D2929">
            <v>1</v>
          </cell>
          <cell r="F2929" t="str">
            <v xml:space="preserve">דמי הבראה         </v>
          </cell>
          <cell r="G2929" t="str">
            <v>שכר</v>
          </cell>
          <cell r="H2929">
            <v>2.41425836924547E-4</v>
          </cell>
          <cell r="I2929">
            <v>126030.4196554525</v>
          </cell>
          <cell r="J2929">
            <v>126000</v>
          </cell>
          <cell r="K2929">
            <v>125012.17</v>
          </cell>
          <cell r="L2929">
            <v>119500</v>
          </cell>
          <cell r="M2929">
            <v>125385.26</v>
          </cell>
        </row>
        <row r="2930">
          <cell r="A2930">
            <v>1815760130</v>
          </cell>
          <cell r="B2930">
            <v>130</v>
          </cell>
          <cell r="C2930">
            <v>815760</v>
          </cell>
          <cell r="D2930">
            <v>1</v>
          </cell>
          <cell r="F2930" t="str">
            <v xml:space="preserve">שעות נוספות       </v>
          </cell>
          <cell r="G2930" t="str">
            <v>שכר</v>
          </cell>
          <cell r="H2930">
            <v>0</v>
          </cell>
          <cell r="I2930">
            <v>23900</v>
          </cell>
          <cell r="J2930">
            <v>23900</v>
          </cell>
          <cell r="K2930">
            <v>38464.11</v>
          </cell>
          <cell r="L2930">
            <v>27800</v>
          </cell>
          <cell r="M2930">
            <v>61615.9</v>
          </cell>
        </row>
        <row r="2931">
          <cell r="A2931">
            <v>1815760140</v>
          </cell>
          <cell r="B2931">
            <v>140</v>
          </cell>
          <cell r="C2931">
            <v>815760</v>
          </cell>
          <cell r="D2931">
            <v>1</v>
          </cell>
          <cell r="F2931" t="str">
            <v>השתתפות באחזקת רכב</v>
          </cell>
          <cell r="G2931" t="str">
            <v>שכר</v>
          </cell>
          <cell r="H2931">
            <v>0</v>
          </cell>
          <cell r="I2931">
            <v>95900</v>
          </cell>
          <cell r="J2931">
            <v>95900</v>
          </cell>
          <cell r="K2931">
            <v>63977.09</v>
          </cell>
          <cell r="L2931">
            <v>95900</v>
          </cell>
          <cell r="M2931">
            <v>111366.28</v>
          </cell>
        </row>
        <row r="2932">
          <cell r="A2932">
            <v>1815760212</v>
          </cell>
          <cell r="B2932">
            <v>212</v>
          </cell>
          <cell r="C2932">
            <v>815760</v>
          </cell>
          <cell r="D2932">
            <v>1</v>
          </cell>
          <cell r="F2932" t="str">
            <v xml:space="preserve">שעורי עזר לעולים  </v>
          </cell>
          <cell r="G2932" t="str">
            <v>שכר</v>
          </cell>
          <cell r="I2932">
            <v>0</v>
          </cell>
          <cell r="J2932">
            <v>0</v>
          </cell>
          <cell r="K2932">
            <v>0</v>
          </cell>
          <cell r="L2932">
            <v>0</v>
          </cell>
          <cell r="M2932">
            <v>0</v>
          </cell>
        </row>
        <row r="2933">
          <cell r="A2933">
            <v>1815760213</v>
          </cell>
          <cell r="B2933">
            <v>213</v>
          </cell>
          <cell r="C2933">
            <v>815760</v>
          </cell>
          <cell r="D2933">
            <v>1</v>
          </cell>
          <cell r="F2933" t="str">
            <v xml:space="preserve">שעורי עזר לנכים   </v>
          </cell>
          <cell r="G2933" t="str">
            <v>שכר</v>
          </cell>
          <cell r="I2933">
            <v>0</v>
          </cell>
          <cell r="J2933">
            <v>0</v>
          </cell>
          <cell r="K2933">
            <v>0</v>
          </cell>
          <cell r="L2933">
            <v>0</v>
          </cell>
          <cell r="M2933">
            <v>0</v>
          </cell>
        </row>
        <row r="2934">
          <cell r="A2934">
            <v>1815760216</v>
          </cell>
          <cell r="B2934">
            <v>216</v>
          </cell>
          <cell r="C2934">
            <v>815760</v>
          </cell>
          <cell r="D2934">
            <v>1</v>
          </cell>
          <cell r="F2934" t="str">
            <v>פרוייקט גימלאים</v>
          </cell>
          <cell r="G2934" t="str">
            <v>שכר</v>
          </cell>
          <cell r="I2934">
            <v>0</v>
          </cell>
          <cell r="J2934">
            <v>0</v>
          </cell>
          <cell r="K2934">
            <v>0</v>
          </cell>
          <cell r="L2934">
            <v>20000</v>
          </cell>
          <cell r="M2934">
            <v>0</v>
          </cell>
        </row>
        <row r="2935">
          <cell r="A2935">
            <v>1815760250</v>
          </cell>
          <cell r="B2935">
            <v>250</v>
          </cell>
          <cell r="C2935">
            <v>815760</v>
          </cell>
          <cell r="D2935">
            <v>1</v>
          </cell>
          <cell r="F2935" t="str">
            <v>שעות השאלה למשה"ח</v>
          </cell>
          <cell r="G2935" t="str">
            <v>שכר</v>
          </cell>
          <cell r="H2935">
            <v>-0.81678270428728472</v>
          </cell>
          <cell r="I2935">
            <v>50000</v>
          </cell>
          <cell r="J2935">
            <v>272900</v>
          </cell>
          <cell r="K2935">
            <v>10484.36</v>
          </cell>
          <cell r="L2935">
            <v>214500</v>
          </cell>
          <cell r="M2935">
            <v>162239.20000000001</v>
          </cell>
        </row>
        <row r="2936">
          <cell r="A2936">
            <v>1815760420</v>
          </cell>
          <cell r="B2936">
            <v>420</v>
          </cell>
          <cell r="C2936">
            <v>815760</v>
          </cell>
          <cell r="D2936">
            <v>1</v>
          </cell>
          <cell r="F2936" t="str">
            <v xml:space="preserve">כיבוי אש          </v>
          </cell>
          <cell r="G2936" t="str">
            <v>קשיח</v>
          </cell>
          <cell r="H2936">
            <v>0.11111111111111116</v>
          </cell>
          <cell r="I2936">
            <v>7000</v>
          </cell>
          <cell r="J2936">
            <v>6300</v>
          </cell>
          <cell r="K2936">
            <v>0</v>
          </cell>
          <cell r="L2936">
            <v>7000</v>
          </cell>
          <cell r="M2936">
            <v>4430.42</v>
          </cell>
        </row>
        <row r="2937">
          <cell r="A2937">
            <v>1815760423</v>
          </cell>
          <cell r="B2937">
            <v>423</v>
          </cell>
          <cell r="C2937">
            <v>815760</v>
          </cell>
          <cell r="D2937">
            <v>1</v>
          </cell>
          <cell r="F2937" t="str">
            <v xml:space="preserve">תחזוקת מבנה       </v>
          </cell>
          <cell r="G2937" t="str">
            <v>קשיח</v>
          </cell>
          <cell r="H2937">
            <v>0.49132947976878616</v>
          </cell>
          <cell r="I2937">
            <v>51600</v>
          </cell>
          <cell r="J2937">
            <v>34600</v>
          </cell>
          <cell r="K2937">
            <v>0</v>
          </cell>
          <cell r="L2937">
            <v>34600</v>
          </cell>
          <cell r="M2937">
            <v>34600</v>
          </cell>
        </row>
        <row r="2938">
          <cell r="A2938">
            <v>1815760431</v>
          </cell>
          <cell r="B2938">
            <v>431</v>
          </cell>
          <cell r="C2938">
            <v>815760</v>
          </cell>
          <cell r="D2938">
            <v>1</v>
          </cell>
          <cell r="F2938" t="str">
            <v xml:space="preserve">חשמל              </v>
          </cell>
          <cell r="G2938" t="str">
            <v>קשיח</v>
          </cell>
          <cell r="H2938">
            <v>0</v>
          </cell>
          <cell r="I2938">
            <v>46600</v>
          </cell>
          <cell r="J2938">
            <v>46600</v>
          </cell>
          <cell r="K2938">
            <v>30630</v>
          </cell>
          <cell r="L2938">
            <v>44900</v>
          </cell>
          <cell r="M2938">
            <v>41026</v>
          </cell>
        </row>
        <row r="2939">
          <cell r="A2939">
            <v>1815760432</v>
          </cell>
          <cell r="B2939">
            <v>432</v>
          </cell>
          <cell r="C2939">
            <v>815760</v>
          </cell>
          <cell r="D2939">
            <v>1</v>
          </cell>
          <cell r="F2939" t="str">
            <v xml:space="preserve">מים               </v>
          </cell>
          <cell r="G2939" t="str">
            <v>קשיח</v>
          </cell>
          <cell r="H2939">
            <v>-1.9607843137254943E-2</v>
          </cell>
          <cell r="I2939">
            <v>20000</v>
          </cell>
          <cell r="J2939">
            <v>20400</v>
          </cell>
          <cell r="K2939">
            <v>13565</v>
          </cell>
          <cell r="L2939">
            <v>20000</v>
          </cell>
          <cell r="M2939">
            <v>18168</v>
          </cell>
        </row>
        <row r="2940">
          <cell r="A2940">
            <v>1815760437</v>
          </cell>
          <cell r="B2940">
            <v>437</v>
          </cell>
          <cell r="C2940">
            <v>815760</v>
          </cell>
          <cell r="D2940">
            <v>1</v>
          </cell>
          <cell r="F2940" t="str">
            <v xml:space="preserve">אחזקת אזעקה       </v>
          </cell>
          <cell r="G2940" t="str">
            <v>קשיח</v>
          </cell>
          <cell r="H2940">
            <v>0</v>
          </cell>
          <cell r="I2940">
            <v>1300</v>
          </cell>
          <cell r="J2940">
            <v>1300</v>
          </cell>
          <cell r="K2940">
            <v>615.96</v>
          </cell>
          <cell r="L2940">
            <v>1300</v>
          </cell>
          <cell r="M2940">
            <v>1221.48</v>
          </cell>
        </row>
        <row r="2941">
          <cell r="A2941">
            <v>1815760450</v>
          </cell>
          <cell r="B2941">
            <v>450</v>
          </cell>
          <cell r="C2941">
            <v>815760</v>
          </cell>
          <cell r="D2941">
            <v>1</v>
          </cell>
          <cell r="F2941" t="str">
            <v xml:space="preserve">ריהוט ואחזקתו     </v>
          </cell>
          <cell r="G2941" t="str">
            <v>קשיח</v>
          </cell>
          <cell r="H2941">
            <v>0.15890083632019114</v>
          </cell>
          <cell r="I2941">
            <v>9700</v>
          </cell>
          <cell r="J2941">
            <v>8370</v>
          </cell>
          <cell r="K2941">
            <v>4599</v>
          </cell>
          <cell r="L2941">
            <v>8100</v>
          </cell>
          <cell r="M2941">
            <v>9750</v>
          </cell>
        </row>
        <row r="2942">
          <cell r="A2942">
            <v>1815760451</v>
          </cell>
          <cell r="B2942">
            <v>451</v>
          </cell>
          <cell r="C2942">
            <v>815760</v>
          </cell>
          <cell r="D2942">
            <v>1</v>
          </cell>
          <cell r="F2942" t="str">
            <v>הוצאות גפ"ן בית ספרי</v>
          </cell>
          <cell r="G2942" t="str">
            <v>קשיח</v>
          </cell>
          <cell r="H2942">
            <v>5.4137664346480818E-3</v>
          </cell>
          <cell r="I2942">
            <v>130000</v>
          </cell>
          <cell r="J2942">
            <v>129300</v>
          </cell>
          <cell r="K2942">
            <v>0</v>
          </cell>
          <cell r="L2942">
            <v>0</v>
          </cell>
          <cell r="M2942">
            <v>0</v>
          </cell>
        </row>
        <row r="2943">
          <cell r="A2943">
            <v>1815760452</v>
          </cell>
          <cell r="B2943">
            <v>452</v>
          </cell>
          <cell r="C2943">
            <v>815760</v>
          </cell>
          <cell r="D2943">
            <v>1</v>
          </cell>
          <cell r="F2943" t="str">
            <v>השתתפות עירונית בגפ"ן</v>
          </cell>
          <cell r="G2943" t="str">
            <v>קשיח</v>
          </cell>
          <cell r="H2943">
            <v>3.8681948424068802E-2</v>
          </cell>
          <cell r="I2943">
            <v>145000</v>
          </cell>
          <cell r="J2943">
            <v>139600</v>
          </cell>
          <cell r="K2943">
            <v>140000</v>
          </cell>
          <cell r="L2943">
            <v>0</v>
          </cell>
          <cell r="M2943">
            <v>0</v>
          </cell>
        </row>
        <row r="2944">
          <cell r="A2944">
            <v>1815760511</v>
          </cell>
          <cell r="B2944">
            <v>511</v>
          </cell>
          <cell r="C2944">
            <v>815760</v>
          </cell>
          <cell r="D2944">
            <v>1</v>
          </cell>
          <cell r="F2944" t="str">
            <v xml:space="preserve">אירוח וכיבוד      </v>
          </cell>
          <cell r="G2944" t="str">
            <v>גמיש</v>
          </cell>
          <cell r="H2944">
            <v>0.17845117845117842</v>
          </cell>
          <cell r="I2944">
            <v>7000</v>
          </cell>
          <cell r="J2944">
            <v>5940</v>
          </cell>
          <cell r="K2944">
            <v>0</v>
          </cell>
          <cell r="L2944">
            <v>7700</v>
          </cell>
          <cell r="M2944">
            <v>6847.3</v>
          </cell>
        </row>
        <row r="2945">
          <cell r="A2945">
            <v>1815760721</v>
          </cell>
          <cell r="B2945">
            <v>721</v>
          </cell>
          <cell r="C2945">
            <v>815760</v>
          </cell>
          <cell r="D2945">
            <v>1</v>
          </cell>
          <cell r="F2945" t="str">
            <v>חמרים-תחזוקת מבנים</v>
          </cell>
          <cell r="G2945" t="str">
            <v>קשיח</v>
          </cell>
          <cell r="I2945">
            <v>0</v>
          </cell>
          <cell r="J2945">
            <v>0</v>
          </cell>
          <cell r="K2945">
            <v>0</v>
          </cell>
          <cell r="L2945">
            <v>2700</v>
          </cell>
          <cell r="M2945">
            <v>0</v>
          </cell>
        </row>
        <row r="2946">
          <cell r="A2946">
            <v>1815760742</v>
          </cell>
          <cell r="B2946">
            <v>742</v>
          </cell>
          <cell r="C2946">
            <v>815760</v>
          </cell>
          <cell r="D2946">
            <v>1</v>
          </cell>
          <cell r="F2946" t="str">
            <v xml:space="preserve">כלים וציוד        </v>
          </cell>
          <cell r="G2946" t="str">
            <v>קשיח</v>
          </cell>
          <cell r="H2946">
            <v>0.73469387755102034</v>
          </cell>
          <cell r="I2946">
            <v>15300</v>
          </cell>
          <cell r="J2946">
            <v>8820</v>
          </cell>
          <cell r="K2946">
            <v>6493</v>
          </cell>
          <cell r="L2946">
            <v>1800</v>
          </cell>
          <cell r="M2946">
            <v>4253</v>
          </cell>
        </row>
        <row r="2947">
          <cell r="A2947">
            <v>1815760750</v>
          </cell>
          <cell r="B2947">
            <v>750</v>
          </cell>
          <cell r="C2947">
            <v>815760</v>
          </cell>
          <cell r="D2947">
            <v>1</v>
          </cell>
          <cell r="F2947" t="str">
            <v>אחזקת מוסדות</v>
          </cell>
          <cell r="G2947" t="str">
            <v>קשיח</v>
          </cell>
          <cell r="H2947">
            <v>8.3690987124463545E-2</v>
          </cell>
          <cell r="I2947">
            <v>404000</v>
          </cell>
          <cell r="J2947">
            <v>372800</v>
          </cell>
          <cell r="K2947">
            <v>235764</v>
          </cell>
          <cell r="L2947">
            <v>249500</v>
          </cell>
          <cell r="M2947">
            <v>253098</v>
          </cell>
        </row>
        <row r="2948">
          <cell r="A2948">
            <v>1815760751</v>
          </cell>
          <cell r="B2948">
            <v>751</v>
          </cell>
          <cell r="C2948">
            <v>815760</v>
          </cell>
          <cell r="D2948">
            <v>1</v>
          </cell>
          <cell r="F2948" t="str">
            <v xml:space="preserve">עבודות קבלניות    </v>
          </cell>
          <cell r="G2948" t="str">
            <v>קשיח</v>
          </cell>
          <cell r="I2948">
            <v>0</v>
          </cell>
          <cell r="J2948">
            <v>0</v>
          </cell>
          <cell r="K2948">
            <v>0</v>
          </cell>
          <cell r="L2948">
            <v>23000</v>
          </cell>
          <cell r="M2948">
            <v>6646</v>
          </cell>
        </row>
        <row r="2949">
          <cell r="A2949">
            <v>1815760752</v>
          </cell>
          <cell r="B2949">
            <v>752</v>
          </cell>
          <cell r="C2949">
            <v>815760</v>
          </cell>
          <cell r="D2949">
            <v>1</v>
          </cell>
          <cell r="F2949" t="str">
            <v xml:space="preserve">נקיון בקבלנות     </v>
          </cell>
          <cell r="G2949" t="str">
            <v>קשיח</v>
          </cell>
          <cell r="H2949">
            <v>-6.7450058754406572E-2</v>
          </cell>
          <cell r="I2949">
            <v>396800</v>
          </cell>
          <cell r="J2949">
            <v>425500</v>
          </cell>
          <cell r="K2949">
            <v>217334.66</v>
          </cell>
          <cell r="L2949">
            <v>320000</v>
          </cell>
          <cell r="M2949">
            <v>319999.03999999998</v>
          </cell>
        </row>
        <row r="2950">
          <cell r="A2950">
            <v>1815760759</v>
          </cell>
          <cell r="B2950">
            <v>759</v>
          </cell>
          <cell r="C2950">
            <v>815760</v>
          </cell>
          <cell r="D2950">
            <v>1</v>
          </cell>
          <cell r="F2950" t="str">
            <v>שרותי סייעות</v>
          </cell>
          <cell r="G2950" t="str">
            <v>קשיח</v>
          </cell>
          <cell r="H2950">
            <v>7.2789896670493626E-2</v>
          </cell>
          <cell r="I2950">
            <v>467200</v>
          </cell>
          <cell r="J2950">
            <v>435500</v>
          </cell>
          <cell r="K2950">
            <v>221590.05</v>
          </cell>
          <cell r="L2950">
            <v>135300</v>
          </cell>
          <cell r="M2950">
            <v>295408.99</v>
          </cell>
        </row>
        <row r="2951">
          <cell r="A2951">
            <v>1815760762</v>
          </cell>
          <cell r="B2951">
            <v>762</v>
          </cell>
          <cell r="C2951">
            <v>815760</v>
          </cell>
          <cell r="D2951">
            <v>1</v>
          </cell>
          <cell r="F2951" t="str">
            <v xml:space="preserve">שאילת מורים       </v>
          </cell>
          <cell r="G2951" t="str">
            <v>שכר</v>
          </cell>
          <cell r="H2951">
            <v>0.33118864052360086</v>
          </cell>
          <cell r="I2951">
            <v>2400000</v>
          </cell>
          <cell r="J2951">
            <v>1802900</v>
          </cell>
          <cell r="K2951">
            <v>1395307.51</v>
          </cell>
          <cell r="L2951">
            <v>1683000</v>
          </cell>
          <cell r="M2951">
            <v>1876477</v>
          </cell>
        </row>
        <row r="2952">
          <cell r="A2952">
            <v>1815760780</v>
          </cell>
          <cell r="B2952">
            <v>780</v>
          </cell>
          <cell r="C2952">
            <v>815760</v>
          </cell>
          <cell r="D2952">
            <v>1</v>
          </cell>
          <cell r="F2952" t="str">
            <v xml:space="preserve">חינוך חברתי       </v>
          </cell>
          <cell r="G2952" t="str">
            <v>קשיח</v>
          </cell>
          <cell r="H2952">
            <v>0.16666666666666674</v>
          </cell>
          <cell r="I2952">
            <v>7000</v>
          </cell>
          <cell r="J2952">
            <v>6000</v>
          </cell>
          <cell r="K2952">
            <v>3980</v>
          </cell>
          <cell r="L2952">
            <v>5300</v>
          </cell>
          <cell r="M2952">
            <v>5031</v>
          </cell>
        </row>
        <row r="2953">
          <cell r="A2953">
            <v>1815760794</v>
          </cell>
          <cell r="B2953">
            <v>794</v>
          </cell>
          <cell r="C2953">
            <v>815760</v>
          </cell>
          <cell r="D2953">
            <v>1</v>
          </cell>
          <cell r="F2953" t="str">
            <v xml:space="preserve">השתתפות בעזר 094  </v>
          </cell>
          <cell r="G2953" t="str">
            <v>קשיח</v>
          </cell>
          <cell r="H2953">
            <v>0.10588235294117654</v>
          </cell>
          <cell r="I2953">
            <v>9400</v>
          </cell>
          <cell r="J2953">
            <v>8500</v>
          </cell>
          <cell r="K2953">
            <v>4016</v>
          </cell>
          <cell r="L2953">
            <v>16700</v>
          </cell>
          <cell r="M2953">
            <v>19920</v>
          </cell>
        </row>
        <row r="2954">
          <cell r="A2954">
            <v>1815760810</v>
          </cell>
          <cell r="B2954">
            <v>810</v>
          </cell>
          <cell r="C2954">
            <v>815760</v>
          </cell>
          <cell r="D2954">
            <v>1</v>
          </cell>
          <cell r="F2954" t="str">
            <v>הקצבה לניהול עצמי</v>
          </cell>
          <cell r="G2954" t="str">
            <v>קשיח</v>
          </cell>
          <cell r="H2954">
            <v>-0.48698698698698695</v>
          </cell>
          <cell r="I2954">
            <v>41000</v>
          </cell>
          <cell r="J2954">
            <v>79920</v>
          </cell>
          <cell r="K2954">
            <v>40810</v>
          </cell>
          <cell r="L2954">
            <v>86300</v>
          </cell>
          <cell r="M2954">
            <v>86300</v>
          </cell>
        </row>
        <row r="2955">
          <cell r="A2955">
            <v>1815760812</v>
          </cell>
          <cell r="B2955">
            <v>812</v>
          </cell>
          <cell r="C2955">
            <v>815760</v>
          </cell>
          <cell r="D2955">
            <v>1</v>
          </cell>
          <cell r="F2955" t="str">
            <v>מסיבות כיתתיות</v>
          </cell>
          <cell r="G2955" t="str">
            <v>קשיח</v>
          </cell>
          <cell r="H2955">
            <v>0.81481481481481488</v>
          </cell>
          <cell r="I2955">
            <v>14700</v>
          </cell>
          <cell r="J2955">
            <v>8100</v>
          </cell>
          <cell r="K2955">
            <v>3700</v>
          </cell>
          <cell r="L2955">
            <v>9000</v>
          </cell>
          <cell r="M2955">
            <v>10186</v>
          </cell>
        </row>
        <row r="2956">
          <cell r="A2956">
            <v>1815760953</v>
          </cell>
          <cell r="B2956">
            <v>953</v>
          </cell>
          <cell r="C2956">
            <v>815760</v>
          </cell>
          <cell r="D2956">
            <v>1</v>
          </cell>
          <cell r="F2956" t="str">
            <v>מערכת גפ"ן</v>
          </cell>
          <cell r="G2956" t="str">
            <v>קשיח</v>
          </cell>
          <cell r="H2956">
            <v>2.0773638968481389E-2</v>
          </cell>
          <cell r="I2956">
            <v>570000</v>
          </cell>
          <cell r="J2956">
            <v>558400</v>
          </cell>
          <cell r="K2956">
            <v>314207.53000000003</v>
          </cell>
          <cell r="L2956">
            <v>613900</v>
          </cell>
          <cell r="M2956">
            <v>608819.6</v>
          </cell>
        </row>
        <row r="2957">
          <cell r="A2957">
            <v>1815760989</v>
          </cell>
          <cell r="B2957">
            <v>989</v>
          </cell>
          <cell r="C2957">
            <v>815760</v>
          </cell>
          <cell r="D2957">
            <v>1</v>
          </cell>
          <cell r="F2957" t="str">
            <v xml:space="preserve">תקורה             </v>
          </cell>
          <cell r="G2957" t="str">
            <v>קשיח</v>
          </cell>
          <cell r="H2957">
            <v>0.1957933103003151</v>
          </cell>
          <cell r="I2957">
            <v>629920</v>
          </cell>
          <cell r="J2957">
            <v>526780</v>
          </cell>
          <cell r="K2957">
            <v>0</v>
          </cell>
          <cell r="L2957">
            <v>518800</v>
          </cell>
          <cell r="M2957">
            <v>588099</v>
          </cell>
        </row>
        <row r="2958">
          <cell r="A2958" t="e">
            <v>#VALUE!</v>
          </cell>
          <cell r="B2958" t="str">
            <v>815760  סך הכל</v>
          </cell>
          <cell r="F2958" t="str">
            <v xml:space="preserve">תיכון יבנה        </v>
          </cell>
          <cell r="H2958">
            <v>0.19578192773748815</v>
          </cell>
          <cell r="I2958">
            <v>11128580.383946765</v>
          </cell>
          <cell r="J2958">
            <v>9306530</v>
          </cell>
          <cell r="K2958">
            <v>6431018.5</v>
          </cell>
          <cell r="L2958">
            <v>9081400</v>
          </cell>
          <cell r="M2958">
            <v>10488868.060000001</v>
          </cell>
        </row>
        <row r="2959">
          <cell r="A2959">
            <v>18157700</v>
          </cell>
          <cell r="B2959">
            <v>0</v>
          </cell>
          <cell r="C2959">
            <v>815770</v>
          </cell>
          <cell r="D2959">
            <v>1</v>
          </cell>
          <cell r="F2959" t="str">
            <v>גמנסיה למדעים-קציר</v>
          </cell>
          <cell r="G2959" t="str">
            <v xml:space="preserve"> </v>
          </cell>
        </row>
        <row r="2960">
          <cell r="A2960">
            <v>1815770110</v>
          </cell>
          <cell r="B2960">
            <v>110</v>
          </cell>
          <cell r="C2960">
            <v>815770</v>
          </cell>
          <cell r="D2960">
            <v>1</v>
          </cell>
          <cell r="F2960" t="str">
            <v>השכר הקובע-תקציבית</v>
          </cell>
          <cell r="G2960" t="str">
            <v>שכר</v>
          </cell>
          <cell r="I2960">
            <v>0</v>
          </cell>
          <cell r="J2960">
            <v>0</v>
          </cell>
          <cell r="K2960">
            <v>0</v>
          </cell>
          <cell r="L2960">
            <v>0</v>
          </cell>
          <cell r="M2960">
            <v>0</v>
          </cell>
        </row>
        <row r="2961">
          <cell r="A2961">
            <v>1815770118</v>
          </cell>
          <cell r="B2961">
            <v>118</v>
          </cell>
          <cell r="C2961">
            <v>815770</v>
          </cell>
          <cell r="D2961">
            <v>1</v>
          </cell>
          <cell r="F2961" t="str">
            <v xml:space="preserve">שכר עובדי הוראה   </v>
          </cell>
          <cell r="G2961" t="str">
            <v>שכר</v>
          </cell>
          <cell r="H2961">
            <v>5.7102521662934391E-2</v>
          </cell>
          <cell r="I2961">
            <v>17372000</v>
          </cell>
          <cell r="J2961">
            <v>16433600</v>
          </cell>
          <cell r="K2961">
            <v>8695783.9700000007</v>
          </cell>
          <cell r="L2961">
            <v>17079000</v>
          </cell>
          <cell r="M2961">
            <v>15046099.369999999</v>
          </cell>
        </row>
        <row r="2962">
          <cell r="A2962">
            <v>1815770119</v>
          </cell>
          <cell r="B2962">
            <v>119</v>
          </cell>
          <cell r="C2962">
            <v>815770</v>
          </cell>
          <cell r="D2962">
            <v>1</v>
          </cell>
          <cell r="F2962" t="str">
            <v xml:space="preserve">השכר הקובע-צוברת  </v>
          </cell>
          <cell r="G2962" t="str">
            <v>שכר</v>
          </cell>
          <cell r="H2962">
            <v>3.4465699208443112E-2</v>
          </cell>
          <cell r="I2962">
            <v>1568249.9999999998</v>
          </cell>
          <cell r="J2962">
            <v>1516000</v>
          </cell>
          <cell r="K2962">
            <v>1329924.56</v>
          </cell>
          <cell r="L2962">
            <v>1486300</v>
          </cell>
          <cell r="M2962">
            <v>2050821.77</v>
          </cell>
        </row>
        <row r="2963">
          <cell r="A2963">
            <v>1815770122</v>
          </cell>
          <cell r="B2963">
            <v>122</v>
          </cell>
          <cell r="C2963">
            <v>815770</v>
          </cell>
          <cell r="D2963">
            <v>1</v>
          </cell>
          <cell r="F2963" t="str">
            <v xml:space="preserve">ביגוד             </v>
          </cell>
          <cell r="G2963" t="str">
            <v>שכר</v>
          </cell>
          <cell r="H2963">
            <v>0</v>
          </cell>
          <cell r="I2963">
            <v>163000</v>
          </cell>
          <cell r="J2963">
            <v>163000</v>
          </cell>
          <cell r="K2963">
            <v>153470.29</v>
          </cell>
          <cell r="L2963">
            <v>189300</v>
          </cell>
          <cell r="M2963">
            <v>161974.44</v>
          </cell>
        </row>
        <row r="2964">
          <cell r="A2964">
            <v>1815770126</v>
          </cell>
          <cell r="B2964">
            <v>126</v>
          </cell>
          <cell r="C2964">
            <v>815770</v>
          </cell>
          <cell r="D2964">
            <v>1</v>
          </cell>
          <cell r="F2964" t="str">
            <v xml:space="preserve">דמי הבראה         </v>
          </cell>
          <cell r="G2964" t="str">
            <v>שכר</v>
          </cell>
          <cell r="H2964">
            <v>2.849002849003579E-4</v>
          </cell>
          <cell r="I2964">
            <v>351100</v>
          </cell>
          <cell r="J2964">
            <v>351000</v>
          </cell>
          <cell r="K2964">
            <v>323362.02</v>
          </cell>
          <cell r="L2964">
            <v>350000</v>
          </cell>
          <cell r="M2964">
            <v>350376.18</v>
          </cell>
        </row>
        <row r="2965">
          <cell r="A2965">
            <v>1815770130</v>
          </cell>
          <cell r="B2965">
            <v>130</v>
          </cell>
          <cell r="C2965">
            <v>815770</v>
          </cell>
          <cell r="D2965">
            <v>1</v>
          </cell>
          <cell r="F2965" t="str">
            <v xml:space="preserve">שעות נוספות       </v>
          </cell>
          <cell r="G2965" t="str">
            <v>שכר</v>
          </cell>
          <cell r="H2965">
            <v>0</v>
          </cell>
          <cell r="I2965">
            <v>8510</v>
          </cell>
          <cell r="J2965">
            <v>8510</v>
          </cell>
          <cell r="K2965">
            <v>5879.99</v>
          </cell>
          <cell r="L2965">
            <v>9900</v>
          </cell>
          <cell r="M2965">
            <v>270.45999999999998</v>
          </cell>
        </row>
        <row r="2966">
          <cell r="A2966">
            <v>1815770140</v>
          </cell>
          <cell r="B2966">
            <v>140</v>
          </cell>
          <cell r="C2966">
            <v>815770</v>
          </cell>
          <cell r="D2966">
            <v>1</v>
          </cell>
          <cell r="F2966" t="str">
            <v>השתתפות באחזקת רכב</v>
          </cell>
          <cell r="G2966" t="str">
            <v>שכר</v>
          </cell>
          <cell r="H2966">
            <v>0</v>
          </cell>
          <cell r="I2966">
            <v>107000</v>
          </cell>
          <cell r="J2966">
            <v>107000</v>
          </cell>
          <cell r="K2966">
            <v>121621.19</v>
          </cell>
          <cell r="L2966">
            <v>107000</v>
          </cell>
          <cell r="M2966">
            <v>146169.79</v>
          </cell>
        </row>
        <row r="2967">
          <cell r="A2967">
            <v>1815770214</v>
          </cell>
          <cell r="B2967">
            <v>214</v>
          </cell>
          <cell r="C2967">
            <v>815770</v>
          </cell>
          <cell r="D2967">
            <v>1</v>
          </cell>
          <cell r="F2967" t="str">
            <v>שעורי עזר לתלמידים</v>
          </cell>
          <cell r="G2967" t="str">
            <v>שכר</v>
          </cell>
          <cell r="I2967">
            <v>0</v>
          </cell>
          <cell r="J2967">
            <v>0</v>
          </cell>
          <cell r="K2967">
            <v>10236.6</v>
          </cell>
          <cell r="L2967">
            <v>0</v>
          </cell>
          <cell r="M2967">
            <v>1234.1300000000001</v>
          </cell>
        </row>
        <row r="2968">
          <cell r="A2968">
            <v>1815770250</v>
          </cell>
          <cell r="B2968">
            <v>250</v>
          </cell>
          <cell r="C2968">
            <v>815770</v>
          </cell>
          <cell r="D2968">
            <v>1</v>
          </cell>
          <cell r="F2968" t="str">
            <v>שעות השאלה למשה"ח</v>
          </cell>
          <cell r="G2968" t="str">
            <v>שכר</v>
          </cell>
          <cell r="H2968">
            <v>-1</v>
          </cell>
          <cell r="I2968">
            <v>0</v>
          </cell>
          <cell r="J2968">
            <v>46900</v>
          </cell>
          <cell r="K2968">
            <v>0</v>
          </cell>
          <cell r="L2968">
            <v>78200</v>
          </cell>
          <cell r="M2968">
            <v>-447.5</v>
          </cell>
        </row>
        <row r="2969">
          <cell r="A2969">
            <v>1815770413</v>
          </cell>
          <cell r="B2969">
            <v>413</v>
          </cell>
          <cell r="C2969">
            <v>815770</v>
          </cell>
          <cell r="D2969">
            <v>1</v>
          </cell>
          <cell r="F2969" t="str">
            <v xml:space="preserve">דמי שימוש באולם   </v>
          </cell>
          <cell r="G2969" t="str">
            <v>קשיח</v>
          </cell>
          <cell r="H2969">
            <v>0</v>
          </cell>
          <cell r="I2969">
            <v>210000</v>
          </cell>
          <cell r="J2969">
            <v>210000</v>
          </cell>
          <cell r="K2969">
            <v>0</v>
          </cell>
          <cell r="L2969">
            <v>210000</v>
          </cell>
          <cell r="M2969">
            <v>210000</v>
          </cell>
        </row>
        <row r="2970">
          <cell r="A2970">
            <v>1815770420</v>
          </cell>
          <cell r="B2970">
            <v>420</v>
          </cell>
          <cell r="C2970">
            <v>815770</v>
          </cell>
          <cell r="D2970">
            <v>1</v>
          </cell>
          <cell r="F2970" t="str">
            <v xml:space="preserve">כיבוי אש          </v>
          </cell>
          <cell r="G2970" t="str">
            <v>קשיח</v>
          </cell>
          <cell r="H2970">
            <v>0</v>
          </cell>
          <cell r="I2970">
            <v>8100</v>
          </cell>
          <cell r="J2970">
            <v>8100</v>
          </cell>
          <cell r="K2970">
            <v>5829.24</v>
          </cell>
          <cell r="L2970">
            <v>9000</v>
          </cell>
          <cell r="M2970">
            <v>12148.71</v>
          </cell>
        </row>
        <row r="2971">
          <cell r="A2971">
            <v>1815770423</v>
          </cell>
          <cell r="B2971">
            <v>423</v>
          </cell>
          <cell r="C2971">
            <v>815770</v>
          </cell>
          <cell r="D2971">
            <v>1</v>
          </cell>
          <cell r="F2971" t="str">
            <v xml:space="preserve">תחזוקת מבנה       </v>
          </cell>
          <cell r="G2971" t="str">
            <v>קשיח</v>
          </cell>
          <cell r="H2971">
            <v>0.35555555555555562</v>
          </cell>
          <cell r="I2971">
            <v>61000</v>
          </cell>
          <cell r="J2971">
            <v>45000</v>
          </cell>
          <cell r="K2971">
            <v>0</v>
          </cell>
          <cell r="L2971">
            <v>41200</v>
          </cell>
          <cell r="M2971">
            <v>41200</v>
          </cell>
        </row>
        <row r="2972">
          <cell r="A2972">
            <v>1815770431</v>
          </cell>
          <cell r="B2972">
            <v>431</v>
          </cell>
          <cell r="C2972">
            <v>815770</v>
          </cell>
          <cell r="D2972">
            <v>1</v>
          </cell>
          <cell r="F2972" t="str">
            <v xml:space="preserve">חשמל              </v>
          </cell>
          <cell r="G2972" t="str">
            <v>קשיח</v>
          </cell>
          <cell r="H2972">
            <v>0</v>
          </cell>
          <cell r="I2972">
            <v>286200</v>
          </cell>
          <cell r="J2972">
            <v>286200</v>
          </cell>
          <cell r="K2972">
            <v>189672</v>
          </cell>
          <cell r="L2972">
            <v>289200</v>
          </cell>
          <cell r="M2972">
            <v>259062</v>
          </cell>
        </row>
        <row r="2973">
          <cell r="A2973">
            <v>1815770432</v>
          </cell>
          <cell r="B2973">
            <v>432</v>
          </cell>
          <cell r="C2973">
            <v>815770</v>
          </cell>
          <cell r="D2973">
            <v>1</v>
          </cell>
          <cell r="F2973" t="str">
            <v xml:space="preserve">מים               </v>
          </cell>
          <cell r="G2973" t="str">
            <v>קשיח</v>
          </cell>
          <cell r="H2973">
            <v>0</v>
          </cell>
          <cell r="I2973">
            <v>76700</v>
          </cell>
          <cell r="J2973">
            <v>76700</v>
          </cell>
          <cell r="K2973">
            <v>51340</v>
          </cell>
          <cell r="L2973">
            <v>78300</v>
          </cell>
          <cell r="M2973">
            <v>70123</v>
          </cell>
        </row>
        <row r="2974">
          <cell r="A2974">
            <v>1815770437</v>
          </cell>
          <cell r="B2974">
            <v>437</v>
          </cell>
          <cell r="C2974">
            <v>815770</v>
          </cell>
          <cell r="D2974">
            <v>1</v>
          </cell>
          <cell r="F2974" t="str">
            <v xml:space="preserve">אחזקת אזעקה       </v>
          </cell>
          <cell r="G2974" t="str">
            <v>קשיח</v>
          </cell>
          <cell r="H2974">
            <v>0</v>
          </cell>
          <cell r="I2974">
            <v>5000</v>
          </cell>
          <cell r="J2974">
            <v>5000</v>
          </cell>
          <cell r="K2974">
            <v>2463.84</v>
          </cell>
          <cell r="L2974">
            <v>5000</v>
          </cell>
          <cell r="M2974">
            <v>4885.92</v>
          </cell>
        </row>
        <row r="2975">
          <cell r="A2975">
            <v>1815770450</v>
          </cell>
          <cell r="B2975">
            <v>450</v>
          </cell>
          <cell r="C2975">
            <v>815770</v>
          </cell>
          <cell r="D2975">
            <v>1</v>
          </cell>
          <cell r="F2975" t="str">
            <v xml:space="preserve">ריהוט ואחזקתו     </v>
          </cell>
          <cell r="G2975" t="str">
            <v>קשיח</v>
          </cell>
          <cell r="H2975">
            <v>5.6041464204729552E-2</v>
          </cell>
          <cell r="I2975">
            <v>32600</v>
          </cell>
          <cell r="J2975">
            <v>30870</v>
          </cell>
          <cell r="K2975">
            <v>24630</v>
          </cell>
          <cell r="L2975">
            <v>31500</v>
          </cell>
          <cell r="M2975">
            <v>29687</v>
          </cell>
        </row>
        <row r="2976">
          <cell r="A2976">
            <v>1815770451</v>
          </cell>
          <cell r="B2976">
            <v>451</v>
          </cell>
          <cell r="C2976">
            <v>815770</v>
          </cell>
          <cell r="D2976">
            <v>1</v>
          </cell>
          <cell r="F2976" t="str">
            <v>הוצאות גפ"ן בית ספרי</v>
          </cell>
          <cell r="G2976" t="str">
            <v>קשיח</v>
          </cell>
          <cell r="H2976">
            <v>-9.0909090909090939E-2</v>
          </cell>
          <cell r="I2976">
            <v>300000</v>
          </cell>
          <cell r="J2976">
            <v>330000</v>
          </cell>
          <cell r="K2976">
            <v>0</v>
          </cell>
          <cell r="L2976">
            <v>0</v>
          </cell>
          <cell r="M2976">
            <v>0</v>
          </cell>
        </row>
        <row r="2977">
          <cell r="A2977">
            <v>1815770452</v>
          </cell>
          <cell r="B2977">
            <v>452</v>
          </cell>
          <cell r="C2977">
            <v>815770</v>
          </cell>
          <cell r="D2977">
            <v>1</v>
          </cell>
          <cell r="F2977" t="str">
            <v>השתתפות עירונית בגפ"ן</v>
          </cell>
          <cell r="G2977" t="str">
            <v>קשיח</v>
          </cell>
          <cell r="H2977">
            <v>0</v>
          </cell>
          <cell r="I2977">
            <v>400000</v>
          </cell>
          <cell r="J2977">
            <v>400000</v>
          </cell>
          <cell r="K2977">
            <v>394929</v>
          </cell>
          <cell r="L2977">
            <v>0</v>
          </cell>
          <cell r="M2977">
            <v>0</v>
          </cell>
        </row>
        <row r="2978">
          <cell r="A2978">
            <v>1815770511</v>
          </cell>
          <cell r="B2978">
            <v>511</v>
          </cell>
          <cell r="C2978">
            <v>815770</v>
          </cell>
          <cell r="D2978">
            <v>1</v>
          </cell>
          <cell r="F2978" t="str">
            <v xml:space="preserve">אירוח וכיבוד      </v>
          </cell>
          <cell r="G2978" t="str">
            <v>גמיש</v>
          </cell>
          <cell r="H2978">
            <v>0.14379084967320255</v>
          </cell>
          <cell r="I2978">
            <v>14000</v>
          </cell>
          <cell r="J2978">
            <v>12240</v>
          </cell>
          <cell r="K2978">
            <v>0</v>
          </cell>
          <cell r="L2978">
            <v>12600</v>
          </cell>
          <cell r="M2978">
            <v>13795.47</v>
          </cell>
        </row>
        <row r="2979">
          <cell r="A2979">
            <v>1815770742</v>
          </cell>
          <cell r="B2979">
            <v>742</v>
          </cell>
          <cell r="C2979">
            <v>815770</v>
          </cell>
          <cell r="D2979">
            <v>1</v>
          </cell>
          <cell r="F2979" t="str">
            <v xml:space="preserve">כלים וציוד        </v>
          </cell>
          <cell r="G2979" t="str">
            <v>קשיח</v>
          </cell>
          <cell r="H2979">
            <v>0.15147438053593443</v>
          </cell>
          <cell r="I2979">
            <v>102700</v>
          </cell>
          <cell r="J2979">
            <v>89190</v>
          </cell>
          <cell r="K2979">
            <v>66053</v>
          </cell>
          <cell r="L2979">
            <v>95400</v>
          </cell>
          <cell r="M2979">
            <v>94815</v>
          </cell>
        </row>
        <row r="2980">
          <cell r="A2980">
            <v>1815770750</v>
          </cell>
          <cell r="B2980">
            <v>750</v>
          </cell>
          <cell r="C2980">
            <v>815770</v>
          </cell>
          <cell r="D2980">
            <v>1</v>
          </cell>
          <cell r="F2980" t="str">
            <v>אחזקת מוסדות</v>
          </cell>
          <cell r="G2980" t="str">
            <v>קשיח</v>
          </cell>
          <cell r="H2980">
            <v>-0.20648360953187372</v>
          </cell>
          <cell r="I2980">
            <v>656000</v>
          </cell>
          <cell r="J2980">
            <v>826700</v>
          </cell>
          <cell r="K2980">
            <v>380570</v>
          </cell>
          <cell r="L2980">
            <v>630000</v>
          </cell>
          <cell r="M2980">
            <v>649199</v>
          </cell>
        </row>
        <row r="2981">
          <cell r="A2981">
            <v>1815770752</v>
          </cell>
          <cell r="B2981">
            <v>752</v>
          </cell>
          <cell r="C2981">
            <v>815770</v>
          </cell>
          <cell r="D2981">
            <v>1</v>
          </cell>
          <cell r="F2981" t="str">
            <v xml:space="preserve">נקיון בקבלנות     </v>
          </cell>
          <cell r="G2981" t="str">
            <v>קשיח</v>
          </cell>
          <cell r="H2981">
            <v>-2.9408359384045402E-2</v>
          </cell>
          <cell r="I2981">
            <v>838300</v>
          </cell>
          <cell r="J2981">
            <v>863700</v>
          </cell>
          <cell r="K2981">
            <v>473317.11</v>
          </cell>
          <cell r="L2981">
            <v>682000</v>
          </cell>
          <cell r="M2981">
            <v>681999.53</v>
          </cell>
        </row>
        <row r="2982">
          <cell r="A2982">
            <v>1815770759</v>
          </cell>
          <cell r="B2982">
            <v>759</v>
          </cell>
          <cell r="C2982">
            <v>815770</v>
          </cell>
          <cell r="D2982">
            <v>1</v>
          </cell>
          <cell r="F2982" t="str">
            <v>שרותי סייעות</v>
          </cell>
          <cell r="G2982" t="str">
            <v>שכר</v>
          </cell>
          <cell r="H2982">
            <v>7.2792265821756352E-2</v>
          </cell>
          <cell r="I2982">
            <v>1320500</v>
          </cell>
          <cell r="J2982">
            <v>1230900</v>
          </cell>
          <cell r="K2982">
            <v>757441.58</v>
          </cell>
          <cell r="L2982">
            <v>797000</v>
          </cell>
          <cell r="M2982">
            <v>1024669.65</v>
          </cell>
        </row>
        <row r="2983">
          <cell r="A2983">
            <v>1815770762</v>
          </cell>
          <cell r="B2983">
            <v>762</v>
          </cell>
          <cell r="C2983">
            <v>815770</v>
          </cell>
          <cell r="D2983">
            <v>1</v>
          </cell>
          <cell r="F2983" t="str">
            <v xml:space="preserve">שאילת מורים       </v>
          </cell>
          <cell r="G2983" t="str">
            <v>שכר</v>
          </cell>
          <cell r="H2983">
            <v>1.2321428571428572</v>
          </cell>
          <cell r="I2983">
            <v>1000000</v>
          </cell>
          <cell r="J2983">
            <v>448000</v>
          </cell>
          <cell r="K2983">
            <v>600817.51</v>
          </cell>
          <cell r="L2983">
            <v>604000</v>
          </cell>
          <cell r="M2983">
            <v>622252.81999999995</v>
          </cell>
        </row>
        <row r="2984">
          <cell r="A2984">
            <v>1815770780</v>
          </cell>
          <cell r="B2984">
            <v>780</v>
          </cell>
          <cell r="C2984">
            <v>815770</v>
          </cell>
          <cell r="D2984">
            <v>1</v>
          </cell>
          <cell r="F2984" t="str">
            <v xml:space="preserve">חינוך חברתי       </v>
          </cell>
          <cell r="G2984" t="str">
            <v>קשיח</v>
          </cell>
          <cell r="H2984">
            <v>7.344632768361592E-2</v>
          </cell>
          <cell r="I2984">
            <v>19000</v>
          </cell>
          <cell r="J2984">
            <v>17700</v>
          </cell>
          <cell r="K2984">
            <v>11782</v>
          </cell>
          <cell r="L2984">
            <v>20200</v>
          </cell>
          <cell r="M2984">
            <v>17675</v>
          </cell>
        </row>
        <row r="2985">
          <cell r="A2985">
            <v>1815770781</v>
          </cell>
          <cell r="B2985">
            <v>781</v>
          </cell>
          <cell r="C2985">
            <v>815770</v>
          </cell>
          <cell r="D2985">
            <v>1</v>
          </cell>
          <cell r="F2985" t="str">
            <v xml:space="preserve">הפעלת אשכולות פיס </v>
          </cell>
          <cell r="G2985" t="str">
            <v>קשיח</v>
          </cell>
          <cell r="H2985">
            <v>0</v>
          </cell>
          <cell r="I2985">
            <v>150000</v>
          </cell>
          <cell r="J2985">
            <v>150000</v>
          </cell>
          <cell r="K2985">
            <v>100000</v>
          </cell>
          <cell r="L2985">
            <v>150000</v>
          </cell>
          <cell r="M2985">
            <v>137500</v>
          </cell>
        </row>
        <row r="2986">
          <cell r="A2986">
            <v>1815770782</v>
          </cell>
          <cell r="B2986">
            <v>782</v>
          </cell>
          <cell r="C2986">
            <v>815770</v>
          </cell>
          <cell r="D2986">
            <v>1</v>
          </cell>
          <cell r="F2986" t="str">
            <v xml:space="preserve">אחזקת אשכול פיס   </v>
          </cell>
          <cell r="G2986" t="str">
            <v>קשיח</v>
          </cell>
          <cell r="H2986">
            <v>0</v>
          </cell>
          <cell r="I2986">
            <v>40000</v>
          </cell>
          <cell r="J2986">
            <v>40000</v>
          </cell>
          <cell r="K2986">
            <v>0</v>
          </cell>
          <cell r="L2986">
            <v>40000</v>
          </cell>
          <cell r="M2986">
            <v>1001</v>
          </cell>
        </row>
        <row r="2987">
          <cell r="A2987">
            <v>1815770794</v>
          </cell>
          <cell r="B2987">
            <v>794</v>
          </cell>
          <cell r="C2987">
            <v>815770</v>
          </cell>
          <cell r="D2987">
            <v>1</v>
          </cell>
          <cell r="F2987" t="str">
            <v xml:space="preserve">השתתפות בעזר 094  </v>
          </cell>
          <cell r="G2987" t="str">
            <v>קשיח</v>
          </cell>
          <cell r="H2987">
            <v>0.10588235294117654</v>
          </cell>
          <cell r="I2987">
            <v>9400</v>
          </cell>
          <cell r="J2987">
            <v>8500</v>
          </cell>
          <cell r="K2987">
            <v>4016</v>
          </cell>
          <cell r="L2987">
            <v>16700</v>
          </cell>
          <cell r="M2987">
            <v>19920</v>
          </cell>
        </row>
        <row r="2988">
          <cell r="A2988">
            <v>1815770810</v>
          </cell>
          <cell r="B2988">
            <v>810</v>
          </cell>
          <cell r="C2988">
            <v>815770</v>
          </cell>
          <cell r="D2988">
            <v>1</v>
          </cell>
          <cell r="F2988" t="str">
            <v>הקצבה לניהול עצמי</v>
          </cell>
          <cell r="G2988" t="str">
            <v>קשיח</v>
          </cell>
          <cell r="H2988">
            <v>-1</v>
          </cell>
          <cell r="I2988">
            <v>0</v>
          </cell>
          <cell r="J2988">
            <v>124830</v>
          </cell>
          <cell r="K2988">
            <v>0</v>
          </cell>
          <cell r="L2988">
            <v>141500</v>
          </cell>
          <cell r="M2988">
            <v>0</v>
          </cell>
        </row>
        <row r="2989">
          <cell r="A2989">
            <v>1815770812</v>
          </cell>
          <cell r="B2989">
            <v>812</v>
          </cell>
          <cell r="C2989">
            <v>815770</v>
          </cell>
          <cell r="D2989">
            <v>1</v>
          </cell>
          <cell r="F2989" t="str">
            <v>מסיבות כיתתיות</v>
          </cell>
          <cell r="G2989" t="str">
            <v>קשיח</v>
          </cell>
          <cell r="H2989">
            <v>0.67407407407407405</v>
          </cell>
          <cell r="I2989">
            <v>45200</v>
          </cell>
          <cell r="J2989">
            <v>27000</v>
          </cell>
          <cell r="K2989">
            <v>11200</v>
          </cell>
          <cell r="L2989">
            <v>30000</v>
          </cell>
          <cell r="M2989">
            <v>33484</v>
          </cell>
        </row>
        <row r="2990">
          <cell r="A2990">
            <v>1815770953</v>
          </cell>
          <cell r="B2990">
            <v>953</v>
          </cell>
          <cell r="C2990">
            <v>815770</v>
          </cell>
          <cell r="D2990">
            <v>1</v>
          </cell>
          <cell r="F2990" t="str">
            <v>מערכת גפ"ן</v>
          </cell>
          <cell r="G2990" t="str">
            <v>קשיח</v>
          </cell>
          <cell r="H2990">
            <v>6.25E-2</v>
          </cell>
          <cell r="I2990">
            <v>1700000</v>
          </cell>
          <cell r="J2990">
            <v>1600000</v>
          </cell>
          <cell r="K2990">
            <v>794756.9</v>
          </cell>
          <cell r="L2990">
            <v>1693000</v>
          </cell>
          <cell r="M2990">
            <v>1868030.7</v>
          </cell>
        </row>
        <row r="2991">
          <cell r="A2991">
            <v>1815770989</v>
          </cell>
          <cell r="B2991">
            <v>989</v>
          </cell>
          <cell r="C2991">
            <v>815770</v>
          </cell>
          <cell r="D2991">
            <v>1</v>
          </cell>
          <cell r="F2991" t="str">
            <v xml:space="preserve">תקורה             </v>
          </cell>
          <cell r="G2991" t="str">
            <v>קשיח</v>
          </cell>
          <cell r="H2991">
            <v>5.4517480686133268E-2</v>
          </cell>
          <cell r="I2991">
            <v>1610670</v>
          </cell>
          <cell r="J2991">
            <v>1527400</v>
          </cell>
          <cell r="K2991">
            <v>0</v>
          </cell>
          <cell r="L2991">
            <v>1432600</v>
          </cell>
          <cell r="M2991">
            <v>1353289</v>
          </cell>
        </row>
        <row r="2992">
          <cell r="A2992" t="e">
            <v>#VALUE!</v>
          </cell>
          <cell r="B2992" t="str">
            <v>815770  סך הכל</v>
          </cell>
          <cell r="F2992" t="str">
            <v>גמנסיה למדעים-קציר</v>
          </cell>
          <cell r="H2992">
            <v>5.4520746337464621E-2</v>
          </cell>
          <cell r="I2992">
            <v>28455230</v>
          </cell>
          <cell r="J2992">
            <v>26984040</v>
          </cell>
          <cell r="K2992">
            <v>14509096.799999999</v>
          </cell>
          <cell r="L2992">
            <v>26308900</v>
          </cell>
          <cell r="M2992">
            <v>24901236.440000001</v>
          </cell>
        </row>
        <row r="2993">
          <cell r="A2993">
            <v>18157800</v>
          </cell>
          <cell r="B2993">
            <v>0</v>
          </cell>
          <cell r="C2993">
            <v>815780</v>
          </cell>
          <cell r="D2993">
            <v>1</v>
          </cell>
          <cell r="F2993" t="str">
            <v xml:space="preserve">תיכון כרם שלמה    </v>
          </cell>
          <cell r="G2993" t="str">
            <v xml:space="preserve"> </v>
          </cell>
        </row>
        <row r="2994">
          <cell r="A2994">
            <v>1815780781</v>
          </cell>
          <cell r="B2994">
            <v>781</v>
          </cell>
          <cell r="C2994">
            <v>815780</v>
          </cell>
          <cell r="D2994">
            <v>1</v>
          </cell>
          <cell r="F2994" t="str">
            <v>ישיבת בני עקיבא</v>
          </cell>
          <cell r="G2994" t="str">
            <v>קשיח</v>
          </cell>
          <cell r="H2994">
            <v>0.11638537271448657</v>
          </cell>
          <cell r="I2994">
            <v>635000</v>
          </cell>
          <cell r="J2994">
            <v>568800</v>
          </cell>
          <cell r="K2994">
            <v>86463.360000000001</v>
          </cell>
          <cell r="L2994">
            <v>500000</v>
          </cell>
          <cell r="M2994">
            <v>635310.56000000006</v>
          </cell>
        </row>
        <row r="2995">
          <cell r="A2995" t="e">
            <v>#VALUE!</v>
          </cell>
          <cell r="B2995" t="str">
            <v>815780  סך הכל</v>
          </cell>
          <cell r="F2995" t="str">
            <v xml:space="preserve">תיכון כרם שלמה    </v>
          </cell>
          <cell r="H2995">
            <v>0.11638537271448657</v>
          </cell>
          <cell r="I2995">
            <v>635000</v>
          </cell>
          <cell r="J2995">
            <v>568800</v>
          </cell>
          <cell r="K2995">
            <v>86463.360000000001</v>
          </cell>
          <cell r="L2995">
            <v>500000</v>
          </cell>
          <cell r="M2995">
            <v>635310.56000000006</v>
          </cell>
        </row>
        <row r="2996">
          <cell r="A2996">
            <v>18157900</v>
          </cell>
          <cell r="B2996">
            <v>0</v>
          </cell>
          <cell r="C2996">
            <v>815790</v>
          </cell>
          <cell r="D2996">
            <v>1</v>
          </cell>
          <cell r="F2996" t="str">
            <v>תיכון דמוקרטי (יחד)</v>
          </cell>
          <cell r="G2996" t="str">
            <v xml:space="preserve"> </v>
          </cell>
        </row>
        <row r="2997">
          <cell r="A2997">
            <v>1815790119</v>
          </cell>
          <cell r="B2997">
            <v>119</v>
          </cell>
          <cell r="C2997">
            <v>815790</v>
          </cell>
          <cell r="D2997">
            <v>1</v>
          </cell>
          <cell r="F2997" t="str">
            <v xml:space="preserve">השכר הקובע-צוברת  </v>
          </cell>
          <cell r="G2997" t="str">
            <v>שכר</v>
          </cell>
          <cell r="H2997">
            <v>2.4999999999999911E-2</v>
          </cell>
          <cell r="I2997">
            <v>177939.99999999997</v>
          </cell>
          <cell r="J2997">
            <v>173600</v>
          </cell>
          <cell r="K2997">
            <v>40966.82</v>
          </cell>
          <cell r="L2997">
            <v>170200</v>
          </cell>
          <cell r="M2997">
            <v>67354.75</v>
          </cell>
        </row>
        <row r="2998">
          <cell r="A2998">
            <v>1815790122</v>
          </cell>
          <cell r="B2998">
            <v>122</v>
          </cell>
          <cell r="C2998">
            <v>815790</v>
          </cell>
          <cell r="D2998">
            <v>1</v>
          </cell>
          <cell r="F2998" t="str">
            <v xml:space="preserve">ביגוד             </v>
          </cell>
          <cell r="G2998" t="str">
            <v>שכר</v>
          </cell>
          <cell r="H2998">
            <v>0</v>
          </cell>
          <cell r="I2998">
            <v>1000</v>
          </cell>
          <cell r="J2998">
            <v>1000</v>
          </cell>
          <cell r="K2998">
            <v>991.6</v>
          </cell>
          <cell r="L2998">
            <v>2000</v>
          </cell>
          <cell r="M2998">
            <v>962</v>
          </cell>
        </row>
        <row r="2999">
          <cell r="A2999">
            <v>1815790126</v>
          </cell>
          <cell r="B2999">
            <v>126</v>
          </cell>
          <cell r="C2999">
            <v>815790</v>
          </cell>
          <cell r="D2999">
            <v>1</v>
          </cell>
          <cell r="F2999" t="str">
            <v xml:space="preserve">דמי הבראה         </v>
          </cell>
          <cell r="G2999" t="str">
            <v>שכר</v>
          </cell>
          <cell r="I2999">
            <v>2300</v>
          </cell>
          <cell r="J2999">
            <v>0</v>
          </cell>
          <cell r="K2999">
            <v>0</v>
          </cell>
          <cell r="L2999">
            <v>2200</v>
          </cell>
          <cell r="M2999">
            <v>0</v>
          </cell>
        </row>
        <row r="3000">
          <cell r="A3000" t="e">
            <v>#VALUE!</v>
          </cell>
          <cell r="B3000" t="str">
            <v>815790  סך הכל</v>
          </cell>
          <cell r="F3000" t="str">
            <v>תיכון דמוקרטי (יחד)</v>
          </cell>
          <cell r="H3000">
            <v>3.8029782359679132E-2</v>
          </cell>
          <cell r="I3000">
            <v>181239.99999999997</v>
          </cell>
          <cell r="J3000">
            <v>174600</v>
          </cell>
          <cell r="K3000">
            <v>41958.42</v>
          </cell>
          <cell r="L3000">
            <v>174400</v>
          </cell>
          <cell r="M3000">
            <v>68316.75</v>
          </cell>
        </row>
        <row r="3001">
          <cell r="A3001">
            <v>18158000</v>
          </cell>
          <cell r="B3001">
            <v>0</v>
          </cell>
          <cell r="C3001">
            <v>815800</v>
          </cell>
          <cell r="D3001">
            <v>1</v>
          </cell>
          <cell r="F3001" t="str">
            <v>בי"ס תיכון עתידים</v>
          </cell>
          <cell r="G3001" t="str">
            <v xml:space="preserve"> </v>
          </cell>
        </row>
        <row r="3002">
          <cell r="A3002">
            <v>1815800110</v>
          </cell>
          <cell r="B3002">
            <v>110</v>
          </cell>
          <cell r="C3002">
            <v>815800</v>
          </cell>
          <cell r="D3002">
            <v>1</v>
          </cell>
          <cell r="F3002" t="str">
            <v>השכר הקובע-תקציבית</v>
          </cell>
          <cell r="G3002" t="str">
            <v>שכר</v>
          </cell>
          <cell r="H3002">
            <v>2.4999999999999911E-2</v>
          </cell>
          <cell r="I3002">
            <v>252149.99999999997</v>
          </cell>
          <cell r="J3002">
            <v>246000</v>
          </cell>
          <cell r="K3002">
            <v>99141.58</v>
          </cell>
          <cell r="L3002">
            <v>121000</v>
          </cell>
          <cell r="M3002">
            <v>163782.75</v>
          </cell>
        </row>
        <row r="3003">
          <cell r="A3003">
            <v>1815800118</v>
          </cell>
          <cell r="B3003">
            <v>118</v>
          </cell>
          <cell r="C3003">
            <v>815800</v>
          </cell>
          <cell r="D3003">
            <v>1</v>
          </cell>
          <cell r="F3003" t="str">
            <v xml:space="preserve">שכר עובדי הוראה   </v>
          </cell>
          <cell r="G3003" t="str">
            <v>שכר</v>
          </cell>
          <cell r="H3003">
            <v>-4.3802952222901537E-2</v>
          </cell>
          <cell r="I3003">
            <v>13137000</v>
          </cell>
          <cell r="J3003">
            <v>13738800</v>
          </cell>
          <cell r="K3003">
            <v>8718430.1199999992</v>
          </cell>
          <cell r="L3003">
            <v>12300000</v>
          </cell>
          <cell r="M3003">
            <v>13927255.35</v>
          </cell>
        </row>
        <row r="3004">
          <cell r="A3004">
            <v>1815800119</v>
          </cell>
          <cell r="B3004">
            <v>119</v>
          </cell>
          <cell r="C3004">
            <v>815800</v>
          </cell>
          <cell r="D3004">
            <v>1</v>
          </cell>
          <cell r="F3004" t="str">
            <v xml:space="preserve">השכר הקובע-צוברת  </v>
          </cell>
          <cell r="G3004" t="str">
            <v>שכר</v>
          </cell>
          <cell r="H3004">
            <v>4.1641446894365108E-2</v>
          </cell>
          <cell r="I3004">
            <v>1445590</v>
          </cell>
          <cell r="J3004">
            <v>1387800</v>
          </cell>
          <cell r="K3004">
            <v>819700.96</v>
          </cell>
          <cell r="L3004">
            <v>1242900</v>
          </cell>
          <cell r="M3004">
            <v>1419993.51</v>
          </cell>
        </row>
        <row r="3005">
          <cell r="A3005">
            <v>1815800122</v>
          </cell>
          <cell r="B3005">
            <v>122</v>
          </cell>
          <cell r="C3005">
            <v>815800</v>
          </cell>
          <cell r="D3005">
            <v>1</v>
          </cell>
          <cell r="F3005" t="str">
            <v xml:space="preserve">ביגוד             </v>
          </cell>
          <cell r="G3005" t="str">
            <v>שכר</v>
          </cell>
          <cell r="H3005">
            <v>0</v>
          </cell>
          <cell r="I3005">
            <v>144000</v>
          </cell>
          <cell r="J3005">
            <v>144000</v>
          </cell>
          <cell r="K3005">
            <v>148746.22</v>
          </cell>
          <cell r="L3005">
            <v>140700</v>
          </cell>
          <cell r="M3005">
            <v>145204.31</v>
          </cell>
        </row>
        <row r="3006">
          <cell r="A3006">
            <v>1815800126</v>
          </cell>
          <cell r="B3006">
            <v>126</v>
          </cell>
          <cell r="C3006">
            <v>815800</v>
          </cell>
          <cell r="D3006">
            <v>1</v>
          </cell>
          <cell r="F3006" t="str">
            <v xml:space="preserve">דמי הבראה         </v>
          </cell>
          <cell r="G3006" t="str">
            <v>שכר</v>
          </cell>
          <cell r="H3006">
            <v>0</v>
          </cell>
          <cell r="I3006">
            <v>295100</v>
          </cell>
          <cell r="J3006">
            <v>295100</v>
          </cell>
          <cell r="K3006">
            <v>306247.88</v>
          </cell>
          <cell r="L3006">
            <v>262000</v>
          </cell>
          <cell r="M3006">
            <v>294719.37</v>
          </cell>
        </row>
        <row r="3007">
          <cell r="A3007">
            <v>1815800130</v>
          </cell>
          <cell r="B3007">
            <v>130</v>
          </cell>
          <cell r="C3007">
            <v>815800</v>
          </cell>
          <cell r="D3007">
            <v>1</v>
          </cell>
          <cell r="F3007" t="str">
            <v xml:space="preserve">שעות נוספות       </v>
          </cell>
          <cell r="G3007" t="str">
            <v>שכר</v>
          </cell>
          <cell r="H3007">
            <v>0</v>
          </cell>
          <cell r="I3007">
            <v>10320</v>
          </cell>
          <cell r="J3007">
            <v>10320</v>
          </cell>
          <cell r="K3007">
            <v>21895.34</v>
          </cell>
          <cell r="L3007">
            <v>12000</v>
          </cell>
          <cell r="M3007">
            <v>6533.77</v>
          </cell>
        </row>
        <row r="3008">
          <cell r="A3008">
            <v>1815800140</v>
          </cell>
          <cell r="B3008">
            <v>140</v>
          </cell>
          <cell r="C3008">
            <v>815800</v>
          </cell>
          <cell r="D3008">
            <v>1</v>
          </cell>
          <cell r="F3008" t="str">
            <v>השתתפות באחזקת רכב</v>
          </cell>
          <cell r="G3008" t="str">
            <v>שכר</v>
          </cell>
          <cell r="H3008">
            <v>0</v>
          </cell>
          <cell r="I3008">
            <v>56000</v>
          </cell>
          <cell r="J3008">
            <v>56000</v>
          </cell>
          <cell r="K3008">
            <v>57608.97</v>
          </cell>
          <cell r="L3008">
            <v>35000</v>
          </cell>
          <cell r="M3008">
            <v>57118.26</v>
          </cell>
        </row>
        <row r="3009">
          <cell r="A3009">
            <v>1815800212</v>
          </cell>
          <cell r="B3009">
            <v>212</v>
          </cell>
          <cell r="C3009">
            <v>815800</v>
          </cell>
          <cell r="D3009">
            <v>1</v>
          </cell>
          <cell r="F3009" t="str">
            <v>שעורי עזר לעולים</v>
          </cell>
          <cell r="G3009" t="str">
            <v>שכר</v>
          </cell>
          <cell r="I3009">
            <v>0</v>
          </cell>
          <cell r="J3009">
            <v>0</v>
          </cell>
          <cell r="K3009">
            <v>5187.6899999999996</v>
          </cell>
          <cell r="L3009">
            <v>0</v>
          </cell>
          <cell r="M3009">
            <v>9807.26</v>
          </cell>
        </row>
        <row r="3010">
          <cell r="A3010">
            <v>1815800213</v>
          </cell>
          <cell r="B3010">
            <v>213</v>
          </cell>
          <cell r="C3010">
            <v>815800</v>
          </cell>
          <cell r="D3010">
            <v>1</v>
          </cell>
          <cell r="F3010" t="str">
            <v xml:space="preserve">שעורי עזר לנכים   </v>
          </cell>
          <cell r="G3010" t="str">
            <v>שכר</v>
          </cell>
          <cell r="I3010">
            <v>0</v>
          </cell>
          <cell r="J3010">
            <v>0</v>
          </cell>
          <cell r="K3010">
            <v>1.59</v>
          </cell>
          <cell r="L3010">
            <v>0</v>
          </cell>
          <cell r="M3010">
            <v>2.2999999999999998</v>
          </cell>
        </row>
        <row r="3011">
          <cell r="A3011">
            <v>1815800214</v>
          </cell>
          <cell r="B3011">
            <v>214</v>
          </cell>
          <cell r="C3011">
            <v>815800</v>
          </cell>
          <cell r="D3011">
            <v>1</v>
          </cell>
          <cell r="F3011" t="str">
            <v>שעורי עזר לתלמידים</v>
          </cell>
          <cell r="G3011" t="str">
            <v>שכר</v>
          </cell>
          <cell r="I3011">
            <v>0</v>
          </cell>
          <cell r="J3011">
            <v>0</v>
          </cell>
          <cell r="K3011">
            <v>6864.97</v>
          </cell>
          <cell r="L3011">
            <v>0</v>
          </cell>
          <cell r="M3011">
            <v>6495.41</v>
          </cell>
        </row>
        <row r="3012">
          <cell r="A3012">
            <v>1815800216</v>
          </cell>
          <cell r="B3012">
            <v>216</v>
          </cell>
          <cell r="C3012">
            <v>815800</v>
          </cell>
          <cell r="D3012">
            <v>1</v>
          </cell>
          <cell r="F3012" t="str">
            <v>פרוייקט גימלאים</v>
          </cell>
          <cell r="G3012" t="str">
            <v>שכר</v>
          </cell>
          <cell r="H3012">
            <v>0</v>
          </cell>
          <cell r="I3012">
            <v>30000</v>
          </cell>
          <cell r="J3012">
            <v>30000</v>
          </cell>
          <cell r="K3012">
            <v>13026.8</v>
          </cell>
          <cell r="L3012">
            <v>30000</v>
          </cell>
          <cell r="M3012">
            <v>10250.17</v>
          </cell>
        </row>
        <row r="3013">
          <cell r="A3013">
            <v>1815800250</v>
          </cell>
          <cell r="B3013">
            <v>250</v>
          </cell>
          <cell r="C3013">
            <v>815800</v>
          </cell>
          <cell r="D3013">
            <v>1</v>
          </cell>
          <cell r="F3013" t="str">
            <v>שעות השאלה למשה"ח</v>
          </cell>
          <cell r="G3013" t="str">
            <v>שכר</v>
          </cell>
          <cell r="H3013">
            <v>-0.80996621621621623</v>
          </cell>
          <cell r="I3013">
            <v>90000</v>
          </cell>
          <cell r="J3013">
            <v>473600</v>
          </cell>
          <cell r="K3013">
            <v>57966.53</v>
          </cell>
          <cell r="L3013">
            <v>189400</v>
          </cell>
          <cell r="M3013">
            <v>196046.3</v>
          </cell>
        </row>
        <row r="3014">
          <cell r="A3014">
            <v>1815800350</v>
          </cell>
          <cell r="B3014">
            <v>350</v>
          </cell>
          <cell r="C3014">
            <v>815800</v>
          </cell>
          <cell r="D3014">
            <v>1</v>
          </cell>
          <cell r="F3014" t="str">
            <v>ליסינג- 320-65-103</v>
          </cell>
          <cell r="G3014" t="str">
            <v>שכר</v>
          </cell>
          <cell r="H3014">
            <v>8.666666666666667E-2</v>
          </cell>
          <cell r="I3014">
            <v>55420</v>
          </cell>
          <cell r="J3014">
            <v>51000</v>
          </cell>
          <cell r="K3014">
            <v>27295.15</v>
          </cell>
          <cell r="L3014">
            <v>51000</v>
          </cell>
          <cell r="M3014">
            <v>53711.63</v>
          </cell>
        </row>
        <row r="3015">
          <cell r="A3015">
            <v>1815800351</v>
          </cell>
          <cell r="B3015">
            <v>351</v>
          </cell>
          <cell r="C3015">
            <v>815800</v>
          </cell>
          <cell r="D3015">
            <v>1</v>
          </cell>
          <cell r="F3015" t="str">
            <v>הוצאות- 320-65-103</v>
          </cell>
          <cell r="G3015" t="str">
            <v>שכר</v>
          </cell>
          <cell r="H3015">
            <v>2.3622047244094446E-2</v>
          </cell>
          <cell r="I3015">
            <v>26000</v>
          </cell>
          <cell r="J3015">
            <v>25400</v>
          </cell>
          <cell r="K3015">
            <v>13701.38</v>
          </cell>
          <cell r="L3015">
            <v>25400</v>
          </cell>
          <cell r="M3015">
            <v>19620.099999999999</v>
          </cell>
        </row>
        <row r="3016">
          <cell r="A3016">
            <v>1815800420</v>
          </cell>
          <cell r="B3016">
            <v>420</v>
          </cell>
          <cell r="C3016">
            <v>815800</v>
          </cell>
          <cell r="D3016">
            <v>1</v>
          </cell>
          <cell r="F3016" t="str">
            <v xml:space="preserve">כיבוי אש          </v>
          </cell>
          <cell r="G3016" t="str">
            <v>קשיח</v>
          </cell>
          <cell r="H3016">
            <v>0</v>
          </cell>
          <cell r="I3016">
            <v>7200</v>
          </cell>
          <cell r="J3016">
            <v>7200</v>
          </cell>
          <cell r="K3016">
            <v>4381.7299999999996</v>
          </cell>
          <cell r="L3016">
            <v>8000</v>
          </cell>
          <cell r="M3016">
            <v>7072.14</v>
          </cell>
        </row>
        <row r="3017">
          <cell r="A3017">
            <v>1815800431</v>
          </cell>
          <cell r="B3017">
            <v>431</v>
          </cell>
          <cell r="C3017">
            <v>815800</v>
          </cell>
          <cell r="D3017">
            <v>1</v>
          </cell>
          <cell r="F3017" t="str">
            <v xml:space="preserve">חשמל              </v>
          </cell>
          <cell r="G3017" t="str">
            <v>קשיח</v>
          </cell>
          <cell r="H3017">
            <v>0</v>
          </cell>
          <cell r="I3017">
            <v>140700</v>
          </cell>
          <cell r="J3017">
            <v>140700</v>
          </cell>
          <cell r="K3017">
            <v>99402</v>
          </cell>
          <cell r="L3017">
            <v>142900</v>
          </cell>
          <cell r="M3017">
            <v>127983</v>
          </cell>
        </row>
        <row r="3018">
          <cell r="A3018">
            <v>1815800432</v>
          </cell>
          <cell r="B3018">
            <v>432</v>
          </cell>
          <cell r="C3018">
            <v>815800</v>
          </cell>
          <cell r="D3018">
            <v>1</v>
          </cell>
          <cell r="F3018" t="str">
            <v xml:space="preserve">מים               </v>
          </cell>
          <cell r="G3018" t="str">
            <v>קשיח</v>
          </cell>
          <cell r="H3018">
            <v>0</v>
          </cell>
          <cell r="I3018">
            <v>82100</v>
          </cell>
          <cell r="J3018">
            <v>82100</v>
          </cell>
          <cell r="K3018">
            <v>58601</v>
          </cell>
          <cell r="L3018">
            <v>84300</v>
          </cell>
          <cell r="M3018">
            <v>75451</v>
          </cell>
        </row>
        <row r="3019">
          <cell r="A3019">
            <v>1815800437</v>
          </cell>
          <cell r="B3019">
            <v>437</v>
          </cell>
          <cell r="C3019">
            <v>815800</v>
          </cell>
          <cell r="D3019">
            <v>1</v>
          </cell>
          <cell r="F3019" t="str">
            <v>אחזקת אזעקה</v>
          </cell>
          <cell r="G3019" t="str">
            <v>קשיח</v>
          </cell>
          <cell r="H3019">
            <v>0</v>
          </cell>
          <cell r="I3019">
            <v>1300</v>
          </cell>
          <cell r="J3019">
            <v>1300</v>
          </cell>
          <cell r="K3019">
            <v>615.96</v>
          </cell>
          <cell r="L3019">
            <v>1300</v>
          </cell>
          <cell r="M3019">
            <v>1763.26</v>
          </cell>
        </row>
        <row r="3020">
          <cell r="A3020">
            <v>1815800450</v>
          </cell>
          <cell r="B3020">
            <v>450</v>
          </cell>
          <cell r="C3020">
            <v>815800</v>
          </cell>
          <cell r="D3020">
            <v>1</v>
          </cell>
          <cell r="F3020" t="str">
            <v xml:space="preserve">ריהוט ואחזקתו     </v>
          </cell>
          <cell r="G3020" t="str">
            <v>קשיח</v>
          </cell>
          <cell r="H3020">
            <v>9.8412698412698507E-2</v>
          </cell>
          <cell r="I3020">
            <v>17300</v>
          </cell>
          <cell r="J3020">
            <v>15750</v>
          </cell>
          <cell r="K3020">
            <v>12273</v>
          </cell>
          <cell r="L3020">
            <v>16100</v>
          </cell>
          <cell r="M3020">
            <v>16167</v>
          </cell>
        </row>
        <row r="3021">
          <cell r="A3021">
            <v>1815800451</v>
          </cell>
          <cell r="B3021">
            <v>451</v>
          </cell>
          <cell r="C3021">
            <v>815800</v>
          </cell>
          <cell r="D3021">
            <v>1</v>
          </cell>
          <cell r="F3021" t="str">
            <v>הוצאות גפ"ן בית ספרי</v>
          </cell>
          <cell r="G3021" t="str">
            <v>קשיח</v>
          </cell>
          <cell r="H3021">
            <v>-4.4585987261146487E-2</v>
          </cell>
          <cell r="I3021">
            <v>300000</v>
          </cell>
          <cell r="J3021">
            <v>314000</v>
          </cell>
          <cell r="K3021">
            <v>28283</v>
          </cell>
          <cell r="L3021">
            <v>0</v>
          </cell>
          <cell r="M3021">
            <v>0</v>
          </cell>
        </row>
        <row r="3022">
          <cell r="A3022">
            <v>1815800452</v>
          </cell>
          <cell r="B3022">
            <v>452</v>
          </cell>
          <cell r="C3022">
            <v>815800</v>
          </cell>
          <cell r="D3022">
            <v>1</v>
          </cell>
          <cell r="F3022" t="str">
            <v>השתתפות עירונית בגפ"ן</v>
          </cell>
          <cell r="G3022" t="str">
            <v>קשיח</v>
          </cell>
          <cell r="H3022">
            <v>2.3299748110831242E-2</v>
          </cell>
          <cell r="I3022">
            <v>325000</v>
          </cell>
          <cell r="J3022">
            <v>317600</v>
          </cell>
          <cell r="K3022">
            <v>279495</v>
          </cell>
          <cell r="L3022">
            <v>0</v>
          </cell>
          <cell r="M3022">
            <v>0</v>
          </cell>
        </row>
        <row r="3023">
          <cell r="A3023">
            <v>1815800511</v>
          </cell>
          <cell r="B3023">
            <v>511</v>
          </cell>
          <cell r="C3023">
            <v>815800</v>
          </cell>
          <cell r="D3023">
            <v>1</v>
          </cell>
          <cell r="F3023" t="str">
            <v xml:space="preserve">אירוח וכיבוד      </v>
          </cell>
          <cell r="G3023" t="str">
            <v>גמיש</v>
          </cell>
          <cell r="H3023">
            <v>0.1530398322851152</v>
          </cell>
          <cell r="I3023">
            <v>11000</v>
          </cell>
          <cell r="J3023">
            <v>9540</v>
          </cell>
          <cell r="K3023">
            <v>0</v>
          </cell>
          <cell r="L3023">
            <v>9900</v>
          </cell>
          <cell r="M3023">
            <v>10284.52</v>
          </cell>
        </row>
        <row r="3024">
          <cell r="A3024">
            <v>1815800721</v>
          </cell>
          <cell r="B3024">
            <v>721</v>
          </cell>
          <cell r="C3024">
            <v>815800</v>
          </cell>
          <cell r="D3024">
            <v>1</v>
          </cell>
          <cell r="F3024" t="str">
            <v>חמרים-תחזוקת מבנים</v>
          </cell>
          <cell r="G3024" t="str">
            <v>קשיח</v>
          </cell>
          <cell r="I3024">
            <v>0</v>
          </cell>
          <cell r="J3024">
            <v>0</v>
          </cell>
          <cell r="K3024">
            <v>0</v>
          </cell>
          <cell r="L3024">
            <v>2600</v>
          </cell>
          <cell r="M3024">
            <v>0</v>
          </cell>
        </row>
        <row r="3025">
          <cell r="A3025">
            <v>1815800742</v>
          </cell>
          <cell r="B3025">
            <v>742</v>
          </cell>
          <cell r="C3025">
            <v>815800</v>
          </cell>
          <cell r="D3025">
            <v>1</v>
          </cell>
          <cell r="F3025" t="str">
            <v xml:space="preserve">כלים וציוד        </v>
          </cell>
          <cell r="G3025" t="str">
            <v>קשיח</v>
          </cell>
          <cell r="H3025">
            <v>1.8970189701897011E-2</v>
          </cell>
          <cell r="I3025">
            <v>18800</v>
          </cell>
          <cell r="J3025">
            <v>18450</v>
          </cell>
          <cell r="K3025">
            <v>13678</v>
          </cell>
          <cell r="L3025">
            <v>41100</v>
          </cell>
          <cell r="M3025">
            <v>33489</v>
          </cell>
        </row>
        <row r="3026">
          <cell r="A3026">
            <v>1815800750</v>
          </cell>
          <cell r="B3026">
            <v>750</v>
          </cell>
          <cell r="C3026">
            <v>815800</v>
          </cell>
          <cell r="D3026">
            <v>1</v>
          </cell>
          <cell r="F3026" t="str">
            <v>אחזקת מוסדות</v>
          </cell>
          <cell r="G3026" t="str">
            <v>קשיח</v>
          </cell>
          <cell r="H3026">
            <v>0.12151748666271489</v>
          </cell>
          <cell r="I3026">
            <v>378400</v>
          </cell>
          <cell r="J3026">
            <v>337400</v>
          </cell>
          <cell r="K3026">
            <v>197396</v>
          </cell>
          <cell r="L3026">
            <v>378800</v>
          </cell>
          <cell r="M3026">
            <v>253098</v>
          </cell>
        </row>
        <row r="3027">
          <cell r="A3027">
            <v>1815800751</v>
          </cell>
          <cell r="B3027">
            <v>751</v>
          </cell>
          <cell r="C3027">
            <v>815800</v>
          </cell>
          <cell r="D3027">
            <v>1</v>
          </cell>
          <cell r="F3027" t="str">
            <v xml:space="preserve">עבודות קבלניות    </v>
          </cell>
          <cell r="G3027" t="str">
            <v>קשיח</v>
          </cell>
          <cell r="I3027">
            <v>0</v>
          </cell>
          <cell r="J3027">
            <v>0</v>
          </cell>
          <cell r="K3027">
            <v>0</v>
          </cell>
          <cell r="L3027">
            <v>8000</v>
          </cell>
          <cell r="M3027">
            <v>3231</v>
          </cell>
        </row>
        <row r="3028">
          <cell r="A3028">
            <v>1815800752</v>
          </cell>
          <cell r="B3028">
            <v>752</v>
          </cell>
          <cell r="C3028">
            <v>815800</v>
          </cell>
          <cell r="D3028">
            <v>1</v>
          </cell>
          <cell r="F3028" t="str">
            <v xml:space="preserve">נקיון בקבלנות     </v>
          </cell>
          <cell r="G3028" t="str">
            <v>קשיח</v>
          </cell>
          <cell r="H3028">
            <v>0.1961616161616162</v>
          </cell>
          <cell r="I3028">
            <v>592100</v>
          </cell>
          <cell r="J3028">
            <v>495000</v>
          </cell>
          <cell r="K3028">
            <v>270898.74</v>
          </cell>
          <cell r="L3028">
            <v>393800</v>
          </cell>
          <cell r="M3028">
            <v>393799.92</v>
          </cell>
        </row>
        <row r="3029">
          <cell r="A3029">
            <v>1815800759</v>
          </cell>
          <cell r="B3029">
            <v>759</v>
          </cell>
          <cell r="C3029">
            <v>815800</v>
          </cell>
          <cell r="D3029">
            <v>1</v>
          </cell>
          <cell r="F3029" t="str">
            <v>שרותי סייעות</v>
          </cell>
          <cell r="G3029" t="str">
            <v>שכר</v>
          </cell>
          <cell r="H3029">
            <v>7.2510822510822415E-2</v>
          </cell>
          <cell r="I3029">
            <v>198200</v>
          </cell>
          <cell r="J3029">
            <v>184800</v>
          </cell>
          <cell r="K3029">
            <v>43463.61</v>
          </cell>
          <cell r="L3029">
            <v>251400</v>
          </cell>
          <cell r="M3029">
            <v>156974.9</v>
          </cell>
        </row>
        <row r="3030">
          <cell r="A3030">
            <v>1815800762</v>
          </cell>
          <cell r="B3030">
            <v>762</v>
          </cell>
          <cell r="C3030">
            <v>815800</v>
          </cell>
          <cell r="D3030">
            <v>1</v>
          </cell>
          <cell r="F3030" t="str">
            <v>שעות שאילה - משה"ח</v>
          </cell>
          <cell r="G3030" t="str">
            <v>שכר</v>
          </cell>
          <cell r="H3030">
            <v>8.5383502170766956E-2</v>
          </cell>
          <cell r="I3030">
            <v>300000</v>
          </cell>
          <cell r="J3030">
            <v>276400</v>
          </cell>
          <cell r="K3030">
            <v>162719.84</v>
          </cell>
          <cell r="L3030">
            <v>222500</v>
          </cell>
          <cell r="M3030">
            <v>272751.38</v>
          </cell>
        </row>
        <row r="3031">
          <cell r="A3031">
            <v>1815800780</v>
          </cell>
          <cell r="B3031">
            <v>780</v>
          </cell>
          <cell r="C3031">
            <v>815800</v>
          </cell>
          <cell r="D3031">
            <v>1</v>
          </cell>
          <cell r="F3031" t="str">
            <v xml:space="preserve">חינוך חברתי       </v>
          </cell>
          <cell r="G3031" t="str">
            <v>קשיח</v>
          </cell>
          <cell r="H3031">
            <v>-2.5974025974025983E-2</v>
          </cell>
          <cell r="I3031">
            <v>15000</v>
          </cell>
          <cell r="J3031">
            <v>15400</v>
          </cell>
          <cell r="K3031">
            <v>10237</v>
          </cell>
          <cell r="L3031">
            <v>14800</v>
          </cell>
          <cell r="M3031">
            <v>13715</v>
          </cell>
        </row>
        <row r="3032">
          <cell r="A3032">
            <v>1815800794</v>
          </cell>
          <cell r="B3032">
            <v>794</v>
          </cell>
          <cell r="C3032">
            <v>815800</v>
          </cell>
          <cell r="D3032">
            <v>1</v>
          </cell>
          <cell r="F3032" t="str">
            <v xml:space="preserve">השתתפות בעזר 094  </v>
          </cell>
          <cell r="G3032" t="str">
            <v>קשיח</v>
          </cell>
          <cell r="H3032">
            <v>0.10588235294117654</v>
          </cell>
          <cell r="I3032">
            <v>9400</v>
          </cell>
          <cell r="J3032">
            <v>8500</v>
          </cell>
          <cell r="K3032">
            <v>4016</v>
          </cell>
          <cell r="L3032">
            <v>16700</v>
          </cell>
          <cell r="M3032">
            <v>19920</v>
          </cell>
        </row>
        <row r="3033">
          <cell r="A3033">
            <v>1815800810</v>
          </cell>
          <cell r="B3033">
            <v>810</v>
          </cell>
          <cell r="C3033">
            <v>815800</v>
          </cell>
          <cell r="D3033">
            <v>1</v>
          </cell>
          <cell r="F3033" t="str">
            <v>הקצבה לניהול עצמי</v>
          </cell>
          <cell r="G3033" t="str">
            <v>קשיח</v>
          </cell>
          <cell r="H3033">
            <v>-1</v>
          </cell>
          <cell r="I3033">
            <v>0</v>
          </cell>
          <cell r="J3033">
            <v>99810</v>
          </cell>
          <cell r="K3033">
            <v>0</v>
          </cell>
          <cell r="L3033">
            <v>113800</v>
          </cell>
          <cell r="M3033">
            <v>0</v>
          </cell>
        </row>
        <row r="3034">
          <cell r="A3034">
            <v>1815800812</v>
          </cell>
          <cell r="B3034">
            <v>812</v>
          </cell>
          <cell r="C3034">
            <v>815800</v>
          </cell>
          <cell r="D3034">
            <v>1</v>
          </cell>
          <cell r="F3034" t="str">
            <v>מסיבות כיתתיות</v>
          </cell>
          <cell r="G3034" t="str">
            <v>קשיח</v>
          </cell>
          <cell r="H3034">
            <v>0.64999999999999991</v>
          </cell>
          <cell r="I3034">
            <v>29700</v>
          </cell>
          <cell r="J3034">
            <v>18000</v>
          </cell>
          <cell r="K3034">
            <v>7650</v>
          </cell>
          <cell r="L3034">
            <v>20000</v>
          </cell>
          <cell r="M3034">
            <v>21164</v>
          </cell>
        </row>
        <row r="3035">
          <cell r="A3035">
            <v>1815800953</v>
          </cell>
          <cell r="B3035">
            <v>953</v>
          </cell>
          <cell r="C3035">
            <v>815800</v>
          </cell>
          <cell r="D3035">
            <v>1</v>
          </cell>
          <cell r="F3035" t="str">
            <v>מערכת גפ"ן</v>
          </cell>
          <cell r="G3035" t="str">
            <v>קשיח</v>
          </cell>
          <cell r="H3035">
            <v>-3.1486146095716094E-4</v>
          </cell>
          <cell r="I3035">
            <v>1270000</v>
          </cell>
          <cell r="J3035">
            <v>1270400</v>
          </cell>
          <cell r="K3035">
            <v>603342.9</v>
          </cell>
          <cell r="L3035">
            <v>1414700</v>
          </cell>
          <cell r="M3035">
            <v>1589636.77</v>
          </cell>
        </row>
        <row r="3036">
          <cell r="A3036">
            <v>1815800989</v>
          </cell>
          <cell r="B3036">
            <v>989</v>
          </cell>
          <cell r="C3036">
            <v>815800</v>
          </cell>
          <cell r="D3036">
            <v>1</v>
          </cell>
          <cell r="F3036" t="str">
            <v>תקורה</v>
          </cell>
          <cell r="G3036" t="str">
            <v>קשיח</v>
          </cell>
          <cell r="H3036">
            <v>-4.1463212091014778E-2</v>
          </cell>
          <cell r="I3036">
            <v>1154270</v>
          </cell>
          <cell r="J3036">
            <v>1204200</v>
          </cell>
          <cell r="K3036">
            <v>0</v>
          </cell>
          <cell r="L3036">
            <v>1055800</v>
          </cell>
          <cell r="M3036">
            <v>1158295</v>
          </cell>
        </row>
        <row r="3037">
          <cell r="A3037" t="e">
            <v>#VALUE!</v>
          </cell>
          <cell r="B3037" t="str">
            <v>815800  סך הכל</v>
          </cell>
          <cell r="F3037" t="str">
            <v>בי"ס תיכון עתידים</v>
          </cell>
          <cell r="H3037">
            <v>-4.1482389538307962E-2</v>
          </cell>
          <cell r="I3037">
            <v>20392050</v>
          </cell>
          <cell r="J3037">
            <v>21274570</v>
          </cell>
          <cell r="K3037">
            <v>12092268.960000005</v>
          </cell>
          <cell r="L3037">
            <v>18605900</v>
          </cell>
          <cell r="M3037">
            <v>20465336.379999999</v>
          </cell>
        </row>
        <row r="3038">
          <cell r="A3038">
            <v>18158100</v>
          </cell>
          <cell r="B3038">
            <v>0</v>
          </cell>
          <cell r="C3038">
            <v>815810</v>
          </cell>
          <cell r="D3038">
            <v>1</v>
          </cell>
          <cell r="F3038" t="str">
            <v>תיכון הייטק - היי</v>
          </cell>
          <cell r="G3038" t="str">
            <v xml:space="preserve"> </v>
          </cell>
        </row>
        <row r="3039">
          <cell r="A3039">
            <v>1815810118</v>
          </cell>
          <cell r="B3039">
            <v>118</v>
          </cell>
          <cell r="C3039">
            <v>815810</v>
          </cell>
          <cell r="D3039">
            <v>1</v>
          </cell>
          <cell r="F3039" t="str">
            <v xml:space="preserve">שכר עובדי הוראה   </v>
          </cell>
          <cell r="G3039" t="str">
            <v>שכר</v>
          </cell>
          <cell r="H3039">
            <v>7.5367273023236869E-2</v>
          </cell>
          <cell r="I3039">
            <v>10570000</v>
          </cell>
          <cell r="J3039">
            <v>9829200</v>
          </cell>
          <cell r="K3039">
            <v>6970981.1200000001</v>
          </cell>
          <cell r="L3039">
            <v>9097000</v>
          </cell>
          <cell r="M3039">
            <v>11058145.890000001</v>
          </cell>
        </row>
        <row r="3040">
          <cell r="A3040">
            <v>1815810119</v>
          </cell>
          <cell r="B3040">
            <v>119</v>
          </cell>
          <cell r="C3040">
            <v>815810</v>
          </cell>
          <cell r="D3040">
            <v>1</v>
          </cell>
          <cell r="F3040" t="str">
            <v xml:space="preserve">השכר הקובע-צוברת  </v>
          </cell>
          <cell r="G3040" t="str">
            <v>שכר</v>
          </cell>
          <cell r="H3040">
            <v>2.4999999999999911E-2</v>
          </cell>
          <cell r="I3040">
            <v>812209.99999999988</v>
          </cell>
          <cell r="J3040">
            <v>792400</v>
          </cell>
          <cell r="K3040">
            <v>721727.03</v>
          </cell>
          <cell r="L3040">
            <v>650400</v>
          </cell>
          <cell r="M3040">
            <v>985045.43</v>
          </cell>
        </row>
        <row r="3041">
          <cell r="A3041">
            <v>1815810122</v>
          </cell>
          <cell r="B3041">
            <v>122</v>
          </cell>
          <cell r="C3041">
            <v>815810</v>
          </cell>
          <cell r="D3041">
            <v>1</v>
          </cell>
          <cell r="F3041" t="str">
            <v xml:space="preserve">ביגוד             </v>
          </cell>
          <cell r="G3041" t="str">
            <v>שכר</v>
          </cell>
          <cell r="H3041">
            <v>0</v>
          </cell>
          <cell r="I3041">
            <v>116000</v>
          </cell>
          <cell r="J3041">
            <v>116000</v>
          </cell>
          <cell r="K3041">
            <v>126469.02</v>
          </cell>
          <cell r="L3041">
            <v>95600</v>
          </cell>
          <cell r="M3041">
            <v>114420.47</v>
          </cell>
        </row>
        <row r="3042">
          <cell r="A3042">
            <v>1815810126</v>
          </cell>
          <cell r="B3042">
            <v>126</v>
          </cell>
          <cell r="C3042">
            <v>815810</v>
          </cell>
          <cell r="D3042">
            <v>1</v>
          </cell>
          <cell r="F3042" t="str">
            <v xml:space="preserve">דמי הבראה         </v>
          </cell>
          <cell r="G3042" t="str">
            <v>שכר</v>
          </cell>
          <cell r="H3042">
            <v>0</v>
          </cell>
          <cell r="I3042">
            <v>225000</v>
          </cell>
          <cell r="J3042">
            <v>225000</v>
          </cell>
          <cell r="K3042">
            <v>246847.88</v>
          </cell>
          <cell r="L3042">
            <v>189000</v>
          </cell>
          <cell r="M3042">
            <v>220138.04</v>
          </cell>
        </row>
        <row r="3043">
          <cell r="A3043">
            <v>1815810140</v>
          </cell>
          <cell r="B3043">
            <v>140</v>
          </cell>
          <cell r="C3043">
            <v>815810</v>
          </cell>
          <cell r="D3043">
            <v>1</v>
          </cell>
          <cell r="F3043" t="str">
            <v>השתתפות באחזקת רכב</v>
          </cell>
          <cell r="G3043" t="str">
            <v>שכר</v>
          </cell>
          <cell r="H3043">
            <v>0</v>
          </cell>
          <cell r="I3043">
            <v>79800</v>
          </cell>
          <cell r="J3043">
            <v>79800</v>
          </cell>
          <cell r="K3043">
            <v>73505.67</v>
          </cell>
          <cell r="L3043">
            <v>64500</v>
          </cell>
          <cell r="M3043">
            <v>82966.61</v>
          </cell>
        </row>
        <row r="3044">
          <cell r="A3044">
            <v>1815810210</v>
          </cell>
          <cell r="B3044">
            <v>210</v>
          </cell>
          <cell r="C3044">
            <v>815810</v>
          </cell>
          <cell r="D3044">
            <v>1</v>
          </cell>
          <cell r="F3044" t="str">
            <v>השכר הקובע</v>
          </cell>
          <cell r="G3044" t="str">
            <v>שכר</v>
          </cell>
          <cell r="I3044">
            <v>0</v>
          </cell>
          <cell r="J3044">
            <v>0</v>
          </cell>
          <cell r="K3044">
            <v>0</v>
          </cell>
          <cell r="L3044">
            <v>0</v>
          </cell>
          <cell r="M3044">
            <v>0</v>
          </cell>
        </row>
        <row r="3045">
          <cell r="A3045">
            <v>1815810214</v>
          </cell>
          <cell r="B3045">
            <v>214</v>
          </cell>
          <cell r="C3045">
            <v>815810</v>
          </cell>
          <cell r="D3045">
            <v>1</v>
          </cell>
          <cell r="F3045" t="str">
            <v>שעורי עזר לתלמידים</v>
          </cell>
          <cell r="G3045" t="str">
            <v>קשיח</v>
          </cell>
          <cell r="I3045">
            <v>0</v>
          </cell>
          <cell r="J3045">
            <v>0</v>
          </cell>
          <cell r="K3045">
            <v>0.42</v>
          </cell>
          <cell r="L3045">
            <v>0</v>
          </cell>
          <cell r="M3045">
            <v>6214.6</v>
          </cell>
        </row>
        <row r="3046">
          <cell r="A3046">
            <v>1815810216</v>
          </cell>
          <cell r="B3046">
            <v>216</v>
          </cell>
          <cell r="C3046">
            <v>815810</v>
          </cell>
          <cell r="D3046">
            <v>1</v>
          </cell>
          <cell r="F3046" t="str">
            <v>פרויקט גימלאים</v>
          </cell>
          <cell r="G3046" t="str">
            <v>קשיח</v>
          </cell>
          <cell r="I3046">
            <v>0</v>
          </cell>
          <cell r="J3046">
            <v>0</v>
          </cell>
          <cell r="K3046">
            <v>0</v>
          </cell>
          <cell r="L3046">
            <v>0</v>
          </cell>
          <cell r="M3046">
            <v>0</v>
          </cell>
        </row>
        <row r="3047">
          <cell r="A3047">
            <v>1815810420</v>
          </cell>
          <cell r="B3047">
            <v>420</v>
          </cell>
          <cell r="C3047">
            <v>815810</v>
          </cell>
          <cell r="D3047">
            <v>1</v>
          </cell>
          <cell r="F3047" t="str">
            <v xml:space="preserve">כיבוי אש          </v>
          </cell>
          <cell r="G3047" t="str">
            <v>קשיח</v>
          </cell>
          <cell r="H3047">
            <v>0.11111111111111116</v>
          </cell>
          <cell r="I3047">
            <v>7000</v>
          </cell>
          <cell r="J3047">
            <v>6300</v>
          </cell>
          <cell r="K3047">
            <v>5993.93</v>
          </cell>
          <cell r="L3047">
            <v>7000</v>
          </cell>
          <cell r="M3047">
            <v>4730.53</v>
          </cell>
        </row>
        <row r="3048">
          <cell r="A3048">
            <v>1815810431</v>
          </cell>
          <cell r="B3048">
            <v>431</v>
          </cell>
          <cell r="C3048">
            <v>815810</v>
          </cell>
          <cell r="D3048">
            <v>1</v>
          </cell>
          <cell r="F3048" t="str">
            <v xml:space="preserve">חשמל              </v>
          </cell>
          <cell r="G3048" t="str">
            <v>קשיח</v>
          </cell>
          <cell r="H3048">
            <v>0</v>
          </cell>
          <cell r="I3048">
            <v>84100</v>
          </cell>
          <cell r="J3048">
            <v>84100</v>
          </cell>
          <cell r="K3048">
            <v>54532</v>
          </cell>
          <cell r="L3048">
            <v>84200</v>
          </cell>
          <cell r="M3048">
            <v>74446</v>
          </cell>
        </row>
        <row r="3049">
          <cell r="A3049">
            <v>1815810432</v>
          </cell>
          <cell r="B3049">
            <v>432</v>
          </cell>
          <cell r="C3049">
            <v>815810</v>
          </cell>
          <cell r="D3049">
            <v>1</v>
          </cell>
          <cell r="F3049" t="str">
            <v xml:space="preserve">מים               </v>
          </cell>
          <cell r="G3049" t="str">
            <v>קשיח</v>
          </cell>
          <cell r="H3049">
            <v>0</v>
          </cell>
          <cell r="I3049">
            <v>39000</v>
          </cell>
          <cell r="J3049">
            <v>39000</v>
          </cell>
          <cell r="K3049">
            <v>25562</v>
          </cell>
          <cell r="L3049">
            <v>39500</v>
          </cell>
          <cell r="M3049">
            <v>34896</v>
          </cell>
        </row>
        <row r="3050">
          <cell r="A3050">
            <v>1815810437</v>
          </cell>
          <cell r="B3050">
            <v>437</v>
          </cell>
          <cell r="C3050">
            <v>815810</v>
          </cell>
          <cell r="D3050">
            <v>1</v>
          </cell>
          <cell r="F3050" t="str">
            <v>אחזקת אזעקה</v>
          </cell>
          <cell r="G3050" t="str">
            <v>קשיח</v>
          </cell>
          <cell r="H3050">
            <v>0</v>
          </cell>
          <cell r="I3050">
            <v>5000</v>
          </cell>
          <cell r="J3050">
            <v>5000</v>
          </cell>
          <cell r="K3050">
            <v>2463.84</v>
          </cell>
          <cell r="L3050">
            <v>5000</v>
          </cell>
          <cell r="M3050">
            <v>4885.92</v>
          </cell>
        </row>
        <row r="3051">
          <cell r="A3051">
            <v>1815810450</v>
          </cell>
          <cell r="B3051">
            <v>450</v>
          </cell>
          <cell r="C3051">
            <v>815810</v>
          </cell>
          <cell r="D3051">
            <v>1</v>
          </cell>
          <cell r="F3051" t="str">
            <v xml:space="preserve">ריהוט ואחזקתו     </v>
          </cell>
          <cell r="G3051" t="str">
            <v>קשיח</v>
          </cell>
          <cell r="H3051">
            <v>6.8376068376068355E-2</v>
          </cell>
          <cell r="I3051">
            <v>15000</v>
          </cell>
          <cell r="J3051">
            <v>14040</v>
          </cell>
          <cell r="K3051">
            <v>7295</v>
          </cell>
          <cell r="L3051">
            <v>14200</v>
          </cell>
          <cell r="M3051">
            <v>16888</v>
          </cell>
        </row>
        <row r="3052">
          <cell r="A3052">
            <v>1815810451</v>
          </cell>
          <cell r="B3052">
            <v>451</v>
          </cell>
          <cell r="C3052">
            <v>815810</v>
          </cell>
          <cell r="D3052">
            <v>1</v>
          </cell>
          <cell r="F3052" t="str">
            <v>הוצאות גפ"ן בית ספרי</v>
          </cell>
          <cell r="G3052" t="str">
            <v>קשיח</v>
          </cell>
          <cell r="H3052">
            <v>0</v>
          </cell>
          <cell r="I3052">
            <v>143000</v>
          </cell>
          <cell r="J3052">
            <v>143000</v>
          </cell>
          <cell r="K3052">
            <v>0</v>
          </cell>
          <cell r="L3052">
            <v>0</v>
          </cell>
          <cell r="M3052">
            <v>0</v>
          </cell>
        </row>
        <row r="3053">
          <cell r="A3053">
            <v>1815810452</v>
          </cell>
          <cell r="B3053">
            <v>452</v>
          </cell>
          <cell r="C3053">
            <v>815810</v>
          </cell>
          <cell r="D3053">
            <v>1</v>
          </cell>
          <cell r="F3053" t="str">
            <v>השתתפות עירונית בגפ"ן</v>
          </cell>
          <cell r="G3053" t="str">
            <v>קשיח</v>
          </cell>
          <cell r="H3053">
            <v>5.1660516605166018E-2</v>
          </cell>
          <cell r="I3053">
            <v>171000</v>
          </cell>
          <cell r="J3053">
            <v>162600</v>
          </cell>
          <cell r="K3053">
            <v>137773</v>
          </cell>
          <cell r="L3053">
            <v>0</v>
          </cell>
          <cell r="M3053">
            <v>0</v>
          </cell>
        </row>
        <row r="3054">
          <cell r="A3054">
            <v>1815810511</v>
          </cell>
          <cell r="B3054">
            <v>511</v>
          </cell>
          <cell r="C3054">
            <v>815810</v>
          </cell>
          <cell r="D3054">
            <v>1</v>
          </cell>
          <cell r="F3054" t="str">
            <v xml:space="preserve">אירוח וכיבוד      </v>
          </cell>
          <cell r="G3054" t="str">
            <v>גמיש</v>
          </cell>
          <cell r="H3054">
            <v>-0.20634920634920639</v>
          </cell>
          <cell r="I3054">
            <v>9000</v>
          </cell>
          <cell r="J3054">
            <v>11340</v>
          </cell>
          <cell r="K3054">
            <v>0</v>
          </cell>
          <cell r="L3054">
            <v>9000</v>
          </cell>
          <cell r="M3054">
            <v>8118.96</v>
          </cell>
        </row>
        <row r="3055">
          <cell r="A3055">
            <v>1815810742</v>
          </cell>
          <cell r="B3055">
            <v>742</v>
          </cell>
          <cell r="C3055">
            <v>815810</v>
          </cell>
          <cell r="D3055">
            <v>1</v>
          </cell>
          <cell r="F3055" t="str">
            <v xml:space="preserve">כלים וציוד        </v>
          </cell>
          <cell r="G3055" t="str">
            <v>קשיח</v>
          </cell>
          <cell r="H3055">
            <v>0.77177177177177181</v>
          </cell>
          <cell r="I3055">
            <v>5900</v>
          </cell>
          <cell r="J3055">
            <v>3330</v>
          </cell>
          <cell r="K3055">
            <v>2446</v>
          </cell>
          <cell r="L3055">
            <v>37500</v>
          </cell>
          <cell r="M3055">
            <v>25537</v>
          </cell>
        </row>
        <row r="3056">
          <cell r="A3056">
            <v>1815810750</v>
          </cell>
          <cell r="B3056">
            <v>750</v>
          </cell>
          <cell r="C3056">
            <v>815810</v>
          </cell>
          <cell r="D3056">
            <v>1</v>
          </cell>
          <cell r="F3056" t="str">
            <v>אחזקת מוסדות</v>
          </cell>
          <cell r="G3056" t="str">
            <v>קשיח</v>
          </cell>
          <cell r="H3056">
            <v>0.12168362258128873</v>
          </cell>
          <cell r="I3056">
            <v>562300</v>
          </cell>
          <cell r="J3056">
            <v>501300</v>
          </cell>
          <cell r="K3056">
            <v>348000.14</v>
          </cell>
          <cell r="L3056">
            <v>505000</v>
          </cell>
          <cell r="M3056">
            <v>530900</v>
          </cell>
        </row>
        <row r="3057">
          <cell r="A3057">
            <v>1815810752</v>
          </cell>
          <cell r="B3057">
            <v>752</v>
          </cell>
          <cell r="C3057">
            <v>815810</v>
          </cell>
          <cell r="D3057">
            <v>1</v>
          </cell>
          <cell r="F3057" t="str">
            <v xml:space="preserve">נקיון בקבלנות     </v>
          </cell>
          <cell r="G3057" t="str">
            <v>קשיח</v>
          </cell>
          <cell r="H3057">
            <v>-9.8674351585014364E-2</v>
          </cell>
          <cell r="I3057">
            <v>781900</v>
          </cell>
          <cell r="J3057">
            <v>867500</v>
          </cell>
          <cell r="K3057">
            <v>404045.35</v>
          </cell>
          <cell r="L3057">
            <v>674500</v>
          </cell>
          <cell r="M3057">
            <v>674499.57</v>
          </cell>
        </row>
        <row r="3058">
          <cell r="A3058">
            <v>1815810759</v>
          </cell>
          <cell r="B3058">
            <v>759</v>
          </cell>
          <cell r="C3058">
            <v>815810</v>
          </cell>
          <cell r="D3058">
            <v>1</v>
          </cell>
          <cell r="F3058" t="str">
            <v>שרותי סייעות</v>
          </cell>
          <cell r="G3058" t="str">
            <v>שכר</v>
          </cell>
          <cell r="H3058">
            <v>7.2781726987334538E-2</v>
          </cell>
          <cell r="I3058">
            <v>2973000</v>
          </cell>
          <cell r="J3058">
            <v>2771300</v>
          </cell>
          <cell r="K3058">
            <v>1544422.74</v>
          </cell>
          <cell r="L3058">
            <v>2096800</v>
          </cell>
          <cell r="M3058">
            <v>2551159.04</v>
          </cell>
        </row>
        <row r="3059">
          <cell r="A3059">
            <v>1815810762</v>
          </cell>
          <cell r="B3059">
            <v>762</v>
          </cell>
          <cell r="C3059">
            <v>815810</v>
          </cell>
          <cell r="D3059">
            <v>1</v>
          </cell>
          <cell r="F3059" t="str">
            <v xml:space="preserve">שאילת מורים       </v>
          </cell>
          <cell r="G3059" t="str">
            <v>שכר</v>
          </cell>
          <cell r="H3059">
            <v>-1</v>
          </cell>
          <cell r="I3059">
            <v>0</v>
          </cell>
          <cell r="J3059">
            <v>76000</v>
          </cell>
          <cell r="K3059">
            <v>0</v>
          </cell>
          <cell r="L3059">
            <v>112900</v>
          </cell>
          <cell r="M3059">
            <v>0</v>
          </cell>
        </row>
        <row r="3060">
          <cell r="A3060">
            <v>1815810780</v>
          </cell>
          <cell r="B3060">
            <v>780</v>
          </cell>
          <cell r="C3060">
            <v>815810</v>
          </cell>
          <cell r="D3060">
            <v>1</v>
          </cell>
          <cell r="F3060" t="str">
            <v xml:space="preserve">חינוך חברתי       </v>
          </cell>
          <cell r="G3060" t="str">
            <v>קשיח</v>
          </cell>
          <cell r="H3060">
            <v>0.62162162162162171</v>
          </cell>
          <cell r="I3060">
            <v>18000</v>
          </cell>
          <cell r="J3060">
            <v>11100</v>
          </cell>
          <cell r="K3060">
            <v>7393</v>
          </cell>
          <cell r="L3060">
            <v>10500</v>
          </cell>
          <cell r="M3060">
            <v>9792</v>
          </cell>
        </row>
        <row r="3061">
          <cell r="A3061">
            <v>1815810810</v>
          </cell>
          <cell r="B3061">
            <v>810</v>
          </cell>
          <cell r="C3061">
            <v>815810</v>
          </cell>
          <cell r="D3061">
            <v>1</v>
          </cell>
          <cell r="F3061" t="str">
            <v>הקצבה לניהול עצמי</v>
          </cell>
          <cell r="G3061" t="str">
            <v>קשיח</v>
          </cell>
          <cell r="H3061">
            <v>0.11111111111111116</v>
          </cell>
          <cell r="I3061">
            <v>200000</v>
          </cell>
          <cell r="J3061">
            <v>180000</v>
          </cell>
          <cell r="K3061">
            <v>180000</v>
          </cell>
          <cell r="L3061">
            <v>94800</v>
          </cell>
          <cell r="M3061">
            <v>250000</v>
          </cell>
        </row>
        <row r="3062">
          <cell r="A3062">
            <v>1815810812</v>
          </cell>
          <cell r="B3062">
            <v>812</v>
          </cell>
          <cell r="C3062">
            <v>815810</v>
          </cell>
          <cell r="D3062">
            <v>1</v>
          </cell>
          <cell r="F3062" t="str">
            <v>מסיבות כיתתיות</v>
          </cell>
          <cell r="G3062" t="str">
            <v>קשיח</v>
          </cell>
          <cell r="H3062">
            <v>0.73333333333333339</v>
          </cell>
          <cell r="I3062">
            <v>19500</v>
          </cell>
          <cell r="J3062">
            <v>11250</v>
          </cell>
          <cell r="K3062">
            <v>4500</v>
          </cell>
          <cell r="L3062">
            <v>12500</v>
          </cell>
          <cell r="M3062">
            <v>14520</v>
          </cell>
        </row>
        <row r="3063">
          <cell r="A3063">
            <v>1815810953</v>
          </cell>
          <cell r="B3063">
            <v>953</v>
          </cell>
          <cell r="C3063">
            <v>815810</v>
          </cell>
          <cell r="D3063">
            <v>1</v>
          </cell>
          <cell r="F3063" t="str">
            <v>מערכת גפ"ן</v>
          </cell>
          <cell r="G3063" t="str">
            <v>קשיח</v>
          </cell>
          <cell r="H3063">
            <v>6.0885608856088513E-2</v>
          </cell>
          <cell r="I3063">
            <v>690000</v>
          </cell>
          <cell r="J3063">
            <v>650400</v>
          </cell>
          <cell r="K3063">
            <v>332108.7</v>
          </cell>
          <cell r="L3063">
            <v>690600</v>
          </cell>
          <cell r="M3063">
            <v>853993.26</v>
          </cell>
        </row>
        <row r="3064">
          <cell r="A3064">
            <v>1815810989</v>
          </cell>
          <cell r="B3064">
            <v>989</v>
          </cell>
          <cell r="C3064">
            <v>815810</v>
          </cell>
          <cell r="D3064">
            <v>1</v>
          </cell>
          <cell r="F3064" t="str">
            <v>תקורה</v>
          </cell>
          <cell r="G3064" t="str">
            <v>קשיח</v>
          </cell>
          <cell r="H3064">
            <v>-0.10486891385767794</v>
          </cell>
          <cell r="I3064">
            <v>1051600</v>
          </cell>
          <cell r="J3064">
            <v>1174800</v>
          </cell>
          <cell r="K3064">
            <v>0</v>
          </cell>
          <cell r="L3064">
            <v>868800</v>
          </cell>
          <cell r="M3064">
            <v>1032972</v>
          </cell>
        </row>
        <row r="3065">
          <cell r="A3065" t="e">
            <v>#VALUE!</v>
          </cell>
          <cell r="B3065" t="str">
            <v>815810  סך הכל</v>
          </cell>
          <cell r="F3065" t="str">
            <v>תיכון הייטק - היי</v>
          </cell>
          <cell r="H3065">
            <v>4.6384744147484946E-2</v>
          </cell>
          <cell r="I3065">
            <v>18578310</v>
          </cell>
          <cell r="J3065">
            <v>17754760</v>
          </cell>
          <cell r="K3065">
            <v>11196066.839999998</v>
          </cell>
          <cell r="L3065">
            <v>15359300</v>
          </cell>
          <cell r="M3065">
            <v>18554269.32</v>
          </cell>
        </row>
        <row r="3066">
          <cell r="A3066">
            <v>18158200</v>
          </cell>
          <cell r="B3066">
            <v>0</v>
          </cell>
          <cell r="C3066">
            <v>815820</v>
          </cell>
          <cell r="D3066">
            <v>1</v>
          </cell>
          <cell r="F3066" t="str">
            <v>תיכון חרדי לווית  חן</v>
          </cell>
          <cell r="G3066" t="str">
            <v xml:space="preserve"> </v>
          </cell>
        </row>
        <row r="3067">
          <cell r="A3067">
            <v>1815820118</v>
          </cell>
          <cell r="B3067">
            <v>118</v>
          </cell>
          <cell r="C3067">
            <v>815820</v>
          </cell>
          <cell r="D3067">
            <v>1</v>
          </cell>
          <cell r="F3067" t="str">
            <v xml:space="preserve">שכר עובדי הוראה   </v>
          </cell>
          <cell r="G3067" t="str">
            <v>שכר</v>
          </cell>
          <cell r="H3067">
            <v>3.1326715764756097E-2</v>
          </cell>
          <cell r="I3067">
            <v>7730000</v>
          </cell>
          <cell r="J3067">
            <v>7495200</v>
          </cell>
          <cell r="K3067">
            <v>4941548.08</v>
          </cell>
          <cell r="L3067">
            <v>6296000</v>
          </cell>
          <cell r="M3067">
            <v>7707444.1799999997</v>
          </cell>
        </row>
        <row r="3068">
          <cell r="A3068">
            <v>1815820119</v>
          </cell>
          <cell r="B3068">
            <v>119</v>
          </cell>
          <cell r="C3068">
            <v>815820</v>
          </cell>
          <cell r="D3068">
            <v>1</v>
          </cell>
          <cell r="F3068" t="str">
            <v xml:space="preserve">השכר הקובע-צוברת  </v>
          </cell>
          <cell r="G3068" t="str">
            <v>שכר</v>
          </cell>
          <cell r="H3068">
            <v>2.5010317787866221E-2</v>
          </cell>
          <cell r="I3068">
            <v>248360</v>
          </cell>
          <cell r="J3068">
            <v>242300</v>
          </cell>
          <cell r="K3068">
            <v>170430.2</v>
          </cell>
          <cell r="L3068">
            <v>214000</v>
          </cell>
          <cell r="M3068">
            <v>245323.31</v>
          </cell>
        </row>
        <row r="3069">
          <cell r="A3069">
            <v>1815820122</v>
          </cell>
          <cell r="B3069">
            <v>122</v>
          </cell>
          <cell r="C3069">
            <v>815820</v>
          </cell>
          <cell r="D3069">
            <v>1</v>
          </cell>
          <cell r="F3069" t="str">
            <v xml:space="preserve">ביגוד             </v>
          </cell>
          <cell r="G3069" t="str">
            <v>שכר</v>
          </cell>
          <cell r="H3069">
            <v>0</v>
          </cell>
          <cell r="I3069">
            <v>77000</v>
          </cell>
          <cell r="J3069">
            <v>77000</v>
          </cell>
          <cell r="K3069">
            <v>85843.39</v>
          </cell>
          <cell r="L3069">
            <v>68300</v>
          </cell>
          <cell r="M3069">
            <v>75634.41</v>
          </cell>
        </row>
        <row r="3070">
          <cell r="A3070">
            <v>1815820126</v>
          </cell>
          <cell r="B3070">
            <v>126</v>
          </cell>
          <cell r="C3070">
            <v>815820</v>
          </cell>
          <cell r="D3070">
            <v>1</v>
          </cell>
          <cell r="F3070" t="str">
            <v xml:space="preserve">דמי הבראה         </v>
          </cell>
          <cell r="G3070" t="str">
            <v>שכר</v>
          </cell>
          <cell r="H3070">
            <v>0</v>
          </cell>
          <cell r="I3070">
            <v>155000</v>
          </cell>
          <cell r="J3070">
            <v>155000</v>
          </cell>
          <cell r="K3070">
            <v>170698.58</v>
          </cell>
          <cell r="L3070">
            <v>139000</v>
          </cell>
          <cell r="M3070">
            <v>153842.43</v>
          </cell>
        </row>
        <row r="3071">
          <cell r="A3071">
            <v>1815820140</v>
          </cell>
          <cell r="B3071">
            <v>140</v>
          </cell>
          <cell r="C3071">
            <v>815820</v>
          </cell>
          <cell r="D3071">
            <v>1</v>
          </cell>
          <cell r="F3071" t="str">
            <v>השתתפות באחזקת רכב</v>
          </cell>
          <cell r="G3071" t="str">
            <v>שכר</v>
          </cell>
          <cell r="I3071">
            <v>0</v>
          </cell>
          <cell r="J3071">
            <v>0</v>
          </cell>
          <cell r="K3071">
            <v>89.75</v>
          </cell>
          <cell r="L3071">
            <v>0</v>
          </cell>
          <cell r="M3071">
            <v>880.53</v>
          </cell>
        </row>
        <row r="3072">
          <cell r="A3072">
            <v>1815820210</v>
          </cell>
          <cell r="B3072">
            <v>210</v>
          </cell>
          <cell r="C3072">
            <v>815820</v>
          </cell>
          <cell r="D3072">
            <v>1</v>
          </cell>
          <cell r="F3072" t="str">
            <v>השכר הקובע</v>
          </cell>
          <cell r="G3072" t="str">
            <v>שכר</v>
          </cell>
          <cell r="I3072">
            <v>0</v>
          </cell>
          <cell r="J3072">
            <v>0</v>
          </cell>
          <cell r="K3072">
            <v>3869.33</v>
          </cell>
          <cell r="L3072">
            <v>0</v>
          </cell>
          <cell r="M3072">
            <v>7378.86</v>
          </cell>
        </row>
        <row r="3073">
          <cell r="A3073">
            <v>1815820213</v>
          </cell>
          <cell r="B3073">
            <v>213</v>
          </cell>
          <cell r="C3073">
            <v>815820</v>
          </cell>
          <cell r="D3073">
            <v>1</v>
          </cell>
          <cell r="F3073" t="str">
            <v xml:space="preserve">שעורי עזר לנכים   </v>
          </cell>
          <cell r="G3073" t="str">
            <v>שכר</v>
          </cell>
          <cell r="I3073">
            <v>0</v>
          </cell>
          <cell r="J3073">
            <v>0</v>
          </cell>
          <cell r="K3073">
            <v>52566.59</v>
          </cell>
          <cell r="L3073">
            <v>0</v>
          </cell>
          <cell r="M3073">
            <v>76818.78</v>
          </cell>
        </row>
        <row r="3074">
          <cell r="A3074">
            <v>1815820214</v>
          </cell>
          <cell r="B3074">
            <v>214</v>
          </cell>
          <cell r="C3074">
            <v>815820</v>
          </cell>
          <cell r="D3074">
            <v>1</v>
          </cell>
          <cell r="F3074" t="str">
            <v>שעורי עזר לתלמידים</v>
          </cell>
          <cell r="G3074" t="str">
            <v>קשיח</v>
          </cell>
          <cell r="I3074">
            <v>0</v>
          </cell>
          <cell r="J3074">
            <v>0</v>
          </cell>
          <cell r="K3074">
            <v>0</v>
          </cell>
          <cell r="L3074">
            <v>0</v>
          </cell>
          <cell r="M3074">
            <v>0</v>
          </cell>
        </row>
        <row r="3075">
          <cell r="A3075">
            <v>1815820263</v>
          </cell>
          <cell r="B3075">
            <v>263</v>
          </cell>
          <cell r="C3075">
            <v>815820</v>
          </cell>
          <cell r="D3075">
            <v>1</v>
          </cell>
          <cell r="F3075" t="str">
            <v xml:space="preserve">עובדי חברה </v>
          </cell>
          <cell r="G3075" t="str">
            <v>שכר</v>
          </cell>
          <cell r="I3075">
            <v>0</v>
          </cell>
          <cell r="J3075">
            <v>0</v>
          </cell>
          <cell r="K3075">
            <v>0</v>
          </cell>
          <cell r="L3075">
            <v>0</v>
          </cell>
          <cell r="M3075">
            <v>35151.57</v>
          </cell>
        </row>
        <row r="3076">
          <cell r="A3076">
            <v>1815820420</v>
          </cell>
          <cell r="B3076">
            <v>420</v>
          </cell>
          <cell r="C3076">
            <v>815820</v>
          </cell>
          <cell r="D3076">
            <v>1</v>
          </cell>
          <cell r="F3076" t="str">
            <v xml:space="preserve">כיבוי אש          </v>
          </cell>
          <cell r="G3076" t="str">
            <v>קשיח</v>
          </cell>
          <cell r="H3076">
            <v>0.66666666666666674</v>
          </cell>
          <cell r="I3076">
            <v>3000</v>
          </cell>
          <cell r="J3076">
            <v>1800</v>
          </cell>
          <cell r="K3076">
            <v>2675.58</v>
          </cell>
          <cell r="L3076">
            <v>2000</v>
          </cell>
          <cell r="M3076">
            <v>0</v>
          </cell>
        </row>
        <row r="3077">
          <cell r="A3077">
            <v>1815820431</v>
          </cell>
          <cell r="B3077">
            <v>431</v>
          </cell>
          <cell r="C3077">
            <v>815820</v>
          </cell>
          <cell r="D3077">
            <v>1</v>
          </cell>
          <cell r="F3077" t="str">
            <v xml:space="preserve">חשמל              </v>
          </cell>
          <cell r="G3077" t="str">
            <v>קשיח</v>
          </cell>
          <cell r="H3077">
            <v>0</v>
          </cell>
          <cell r="I3077">
            <v>40400</v>
          </cell>
          <cell r="J3077">
            <v>40400</v>
          </cell>
          <cell r="K3077">
            <v>26667</v>
          </cell>
          <cell r="L3077">
            <v>40000</v>
          </cell>
          <cell r="M3077">
            <v>36665</v>
          </cell>
        </row>
        <row r="3078">
          <cell r="A3078">
            <v>1815820432</v>
          </cell>
          <cell r="B3078">
            <v>432</v>
          </cell>
          <cell r="C3078">
            <v>815820</v>
          </cell>
          <cell r="D3078">
            <v>1</v>
          </cell>
          <cell r="F3078" t="str">
            <v xml:space="preserve">מים               </v>
          </cell>
          <cell r="G3078" t="str">
            <v>קשיח</v>
          </cell>
          <cell r="H3078">
            <v>0</v>
          </cell>
          <cell r="I3078">
            <v>15000</v>
          </cell>
          <cell r="J3078">
            <v>15000</v>
          </cell>
          <cell r="K3078">
            <v>10000</v>
          </cell>
          <cell r="L3078">
            <v>15000</v>
          </cell>
          <cell r="M3078">
            <v>13750</v>
          </cell>
        </row>
        <row r="3079">
          <cell r="A3079">
            <v>1815820437</v>
          </cell>
          <cell r="B3079">
            <v>437</v>
          </cell>
          <cell r="C3079">
            <v>815820</v>
          </cell>
          <cell r="D3079">
            <v>1</v>
          </cell>
          <cell r="F3079" t="str">
            <v xml:space="preserve">אחזקת אזעקה       </v>
          </cell>
          <cell r="G3079" t="str">
            <v>קשיח</v>
          </cell>
          <cell r="H3079">
            <v>-7.1428571428571397E-2</v>
          </cell>
          <cell r="I3079">
            <v>1300</v>
          </cell>
          <cell r="J3079">
            <v>1400</v>
          </cell>
          <cell r="K3079">
            <v>615.96</v>
          </cell>
          <cell r="L3079">
            <v>1400</v>
          </cell>
          <cell r="M3079">
            <v>1221.48</v>
          </cell>
        </row>
        <row r="3080">
          <cell r="A3080">
            <v>1815820450</v>
          </cell>
          <cell r="B3080">
            <v>450</v>
          </cell>
          <cell r="C3080">
            <v>815820</v>
          </cell>
          <cell r="D3080">
            <v>1</v>
          </cell>
          <cell r="F3080" t="str">
            <v xml:space="preserve">ריהוט ואחזקתו     </v>
          </cell>
          <cell r="G3080" t="str">
            <v>קשיח</v>
          </cell>
          <cell r="H3080">
            <v>0.19047619047619047</v>
          </cell>
          <cell r="I3080">
            <v>7500</v>
          </cell>
          <cell r="J3080">
            <v>6300</v>
          </cell>
          <cell r="K3080">
            <v>3538</v>
          </cell>
          <cell r="L3080">
            <v>5700</v>
          </cell>
          <cell r="M3080">
            <v>7151</v>
          </cell>
        </row>
        <row r="3081">
          <cell r="A3081">
            <v>1815820451</v>
          </cell>
          <cell r="B3081">
            <v>451</v>
          </cell>
          <cell r="C3081">
            <v>815820</v>
          </cell>
          <cell r="D3081">
            <v>1</v>
          </cell>
          <cell r="F3081" t="str">
            <v>הוצאות גפ"ן בית ספרי</v>
          </cell>
          <cell r="G3081" t="str">
            <v>קשיח</v>
          </cell>
          <cell r="H3081">
            <v>-9.0909090909090939E-2</v>
          </cell>
          <cell r="I3081">
            <v>100000</v>
          </cell>
          <cell r="J3081">
            <v>110000</v>
          </cell>
          <cell r="K3081">
            <v>2761</v>
          </cell>
          <cell r="L3081">
            <v>0</v>
          </cell>
          <cell r="M3081">
            <v>0</v>
          </cell>
        </row>
        <row r="3082">
          <cell r="A3082">
            <v>1815820452</v>
          </cell>
          <cell r="B3082">
            <v>452</v>
          </cell>
          <cell r="C3082">
            <v>815820</v>
          </cell>
          <cell r="D3082">
            <v>1</v>
          </cell>
          <cell r="F3082" t="str">
            <v>השתתפות עירונית בגפ"ן</v>
          </cell>
          <cell r="G3082" t="str">
            <v>קשיח</v>
          </cell>
          <cell r="H3082">
            <v>0.14541832669322718</v>
          </cell>
          <cell r="I3082">
            <v>115000</v>
          </cell>
          <cell r="J3082">
            <v>100400</v>
          </cell>
          <cell r="K3082">
            <v>103488</v>
          </cell>
          <cell r="L3082">
            <v>0</v>
          </cell>
          <cell r="M3082">
            <v>0</v>
          </cell>
        </row>
        <row r="3083">
          <cell r="A3083">
            <v>1815820511</v>
          </cell>
          <cell r="B3083">
            <v>511</v>
          </cell>
          <cell r="C3083">
            <v>815820</v>
          </cell>
          <cell r="D3083">
            <v>1</v>
          </cell>
          <cell r="F3083" t="str">
            <v xml:space="preserve">אירוח וכיבוד      </v>
          </cell>
          <cell r="G3083" t="str">
            <v>גמיש</v>
          </cell>
          <cell r="H3083">
            <v>8.9324618736383421E-2</v>
          </cell>
          <cell r="I3083">
            <v>5000</v>
          </cell>
          <cell r="J3083">
            <v>4590</v>
          </cell>
          <cell r="K3083">
            <v>0</v>
          </cell>
          <cell r="L3083">
            <v>4100</v>
          </cell>
          <cell r="M3083">
            <v>4817.08</v>
          </cell>
        </row>
        <row r="3084">
          <cell r="A3084">
            <v>1815820742</v>
          </cell>
          <cell r="B3084">
            <v>742</v>
          </cell>
          <cell r="C3084">
            <v>815820</v>
          </cell>
          <cell r="D3084">
            <v>1</v>
          </cell>
          <cell r="F3084" t="str">
            <v xml:space="preserve">כלים וציוד        </v>
          </cell>
          <cell r="G3084" t="str">
            <v>קשיח</v>
          </cell>
          <cell r="H3084">
            <v>0.24090121317157709</v>
          </cell>
          <cell r="I3084">
            <v>71600</v>
          </cell>
          <cell r="J3084">
            <v>57700</v>
          </cell>
          <cell r="K3084">
            <v>42706</v>
          </cell>
          <cell r="L3084">
            <v>51000</v>
          </cell>
          <cell r="M3084">
            <v>54424</v>
          </cell>
        </row>
        <row r="3085">
          <cell r="A3085">
            <v>1815820750</v>
          </cell>
          <cell r="B3085">
            <v>750</v>
          </cell>
          <cell r="C3085">
            <v>815820</v>
          </cell>
          <cell r="D3085">
            <v>1</v>
          </cell>
          <cell r="F3085" t="str">
            <v>אחזקת מוסדות</v>
          </cell>
          <cell r="G3085" t="str">
            <v>קשיח</v>
          </cell>
          <cell r="H3085">
            <v>4.8470859780727071E-2</v>
          </cell>
          <cell r="I3085">
            <v>363400</v>
          </cell>
          <cell r="J3085">
            <v>346600</v>
          </cell>
          <cell r="K3085">
            <v>211995</v>
          </cell>
          <cell r="L3085">
            <v>226800</v>
          </cell>
          <cell r="M3085">
            <v>230646</v>
          </cell>
        </row>
        <row r="3086">
          <cell r="A3086">
            <v>1815820752</v>
          </cell>
          <cell r="B3086">
            <v>752</v>
          </cell>
          <cell r="C3086">
            <v>815820</v>
          </cell>
          <cell r="D3086">
            <v>1</v>
          </cell>
          <cell r="F3086" t="str">
            <v xml:space="preserve">נקיון בקבלנות     </v>
          </cell>
          <cell r="G3086" t="str">
            <v>קשיח</v>
          </cell>
          <cell r="H3086">
            <v>-2.7157360406091402E-2</v>
          </cell>
          <cell r="I3086">
            <v>383300</v>
          </cell>
          <cell r="J3086">
            <v>394000</v>
          </cell>
          <cell r="K3086">
            <v>193042.46</v>
          </cell>
          <cell r="L3086">
            <v>333500</v>
          </cell>
          <cell r="M3086">
            <v>333499.89</v>
          </cell>
        </row>
        <row r="3087">
          <cell r="A3087">
            <v>1815820780</v>
          </cell>
          <cell r="B3087">
            <v>780</v>
          </cell>
          <cell r="C3087">
            <v>815820</v>
          </cell>
          <cell r="D3087">
            <v>1</v>
          </cell>
          <cell r="F3087" t="str">
            <v xml:space="preserve">חינוך חברתי       </v>
          </cell>
          <cell r="G3087" t="str">
            <v>קשיח</v>
          </cell>
          <cell r="H3087">
            <v>6.3829787234042534E-2</v>
          </cell>
          <cell r="I3087">
            <v>10000</v>
          </cell>
          <cell r="J3087">
            <v>9400</v>
          </cell>
          <cell r="K3087">
            <v>6270</v>
          </cell>
          <cell r="L3087">
            <v>8300</v>
          </cell>
          <cell r="M3087">
            <v>7977</v>
          </cell>
        </row>
        <row r="3088">
          <cell r="A3088">
            <v>1815820810</v>
          </cell>
          <cell r="B3088">
            <v>810</v>
          </cell>
          <cell r="C3088">
            <v>815820</v>
          </cell>
          <cell r="D3088">
            <v>1</v>
          </cell>
          <cell r="F3088" t="str">
            <v>הקצבה לניהול עצמי</v>
          </cell>
          <cell r="G3088" t="str">
            <v>קשיח</v>
          </cell>
          <cell r="H3088">
            <v>-1</v>
          </cell>
          <cell r="I3088">
            <v>0</v>
          </cell>
          <cell r="J3088">
            <v>60570</v>
          </cell>
          <cell r="K3088">
            <v>20000</v>
          </cell>
          <cell r="L3088">
            <v>60500</v>
          </cell>
          <cell r="M3088">
            <v>0</v>
          </cell>
        </row>
        <row r="3089">
          <cell r="A3089">
            <v>1815820812</v>
          </cell>
          <cell r="B3089">
            <v>812</v>
          </cell>
          <cell r="C3089">
            <v>815820</v>
          </cell>
          <cell r="D3089">
            <v>1</v>
          </cell>
          <cell r="F3089" t="str">
            <v>מסיבות כיתתיות</v>
          </cell>
          <cell r="G3089" t="str">
            <v>קשיח</v>
          </cell>
          <cell r="H3089">
            <v>-1.2345679012345734E-2</v>
          </cell>
          <cell r="I3089">
            <v>8000</v>
          </cell>
          <cell r="J3089">
            <v>8100</v>
          </cell>
          <cell r="K3089">
            <v>0</v>
          </cell>
          <cell r="L3089">
            <v>9000</v>
          </cell>
          <cell r="M3089">
            <v>7524</v>
          </cell>
        </row>
        <row r="3090">
          <cell r="A3090">
            <v>1815820953</v>
          </cell>
          <cell r="B3090">
            <v>953</v>
          </cell>
          <cell r="C3090">
            <v>815820</v>
          </cell>
          <cell r="D3090">
            <v>1</v>
          </cell>
          <cell r="F3090" t="str">
            <v>מערכת גפ"ן</v>
          </cell>
          <cell r="G3090" t="str">
            <v>קשיח</v>
          </cell>
          <cell r="H3090">
            <v>0.1777888446215139</v>
          </cell>
          <cell r="I3090">
            <v>473000</v>
          </cell>
          <cell r="J3090">
            <v>401600</v>
          </cell>
          <cell r="K3090">
            <v>204862</v>
          </cell>
          <cell r="L3090">
            <v>372000</v>
          </cell>
          <cell r="M3090">
            <v>425474.45</v>
          </cell>
        </row>
        <row r="3091">
          <cell r="A3091">
            <v>1815820989</v>
          </cell>
          <cell r="B3091">
            <v>989</v>
          </cell>
          <cell r="C3091">
            <v>815820</v>
          </cell>
          <cell r="D3091">
            <v>1</v>
          </cell>
          <cell r="F3091" t="str">
            <v xml:space="preserve">תקורה             </v>
          </cell>
          <cell r="G3091" t="str">
            <v>קשיח</v>
          </cell>
          <cell r="H3091">
            <v>2.9336645441186748E-2</v>
          </cell>
          <cell r="I3091">
            <v>588410</v>
          </cell>
          <cell r="J3091">
            <v>571640</v>
          </cell>
          <cell r="K3091">
            <v>0</v>
          </cell>
          <cell r="L3091">
            <v>470500</v>
          </cell>
          <cell r="M3091">
            <v>563107</v>
          </cell>
        </row>
        <row r="3092">
          <cell r="A3092" t="e">
            <v>#VALUE!</v>
          </cell>
          <cell r="B3092" t="str">
            <v>815820  סך הכל</v>
          </cell>
          <cell r="F3092" t="str">
            <v>תיכון חרדי לווית  חן</v>
          </cell>
          <cell r="H3092">
            <v>2.9336567977027439E-2</v>
          </cell>
          <cell r="I3092">
            <v>10395270</v>
          </cell>
          <cell r="J3092">
            <v>10099000</v>
          </cell>
          <cell r="K3092">
            <v>6253666.9199999999</v>
          </cell>
          <cell r="L3092">
            <v>8317100</v>
          </cell>
          <cell r="M3092">
            <v>9988730.9700000007</v>
          </cell>
        </row>
        <row r="3093">
          <cell r="A3093">
            <v>18158300</v>
          </cell>
          <cell r="B3093">
            <v>0</v>
          </cell>
          <cell r="C3093">
            <v>815830</v>
          </cell>
          <cell r="D3093">
            <v>1</v>
          </cell>
          <cell r="F3093" t="str">
            <v>תיכון חנקין</v>
          </cell>
          <cell r="G3093" t="str">
            <v xml:space="preserve"> </v>
          </cell>
        </row>
        <row r="3094">
          <cell r="A3094">
            <v>1815830118</v>
          </cell>
          <cell r="B3094">
            <v>118</v>
          </cell>
          <cell r="C3094">
            <v>815830</v>
          </cell>
          <cell r="D3094">
            <v>1</v>
          </cell>
          <cell r="F3094" t="str">
            <v>שכר מורים</v>
          </cell>
          <cell r="G3094" t="str">
            <v>שכר</v>
          </cell>
          <cell r="I3094">
            <v>5663000</v>
          </cell>
          <cell r="J3094">
            <v>0</v>
          </cell>
          <cell r="K3094">
            <v>0</v>
          </cell>
          <cell r="L3094">
            <v>0</v>
          </cell>
          <cell r="M3094">
            <v>0</v>
          </cell>
        </row>
        <row r="3095">
          <cell r="A3095">
            <v>1815830119</v>
          </cell>
          <cell r="B3095">
            <v>119</v>
          </cell>
          <cell r="C3095">
            <v>815830</v>
          </cell>
          <cell r="D3095">
            <v>1</v>
          </cell>
          <cell r="F3095" t="str">
            <v xml:space="preserve">השכר הקובע-צוברת  </v>
          </cell>
          <cell r="G3095" t="str">
            <v>שכר</v>
          </cell>
          <cell r="H3095">
            <v>0.86881394467601369</v>
          </cell>
          <cell r="I3095">
            <v>986360</v>
          </cell>
          <cell r="J3095">
            <v>527800</v>
          </cell>
          <cell r="K3095">
            <v>252465.77</v>
          </cell>
          <cell r="L3095">
            <v>107600</v>
          </cell>
          <cell r="M3095">
            <v>218925.74</v>
          </cell>
        </row>
        <row r="3096">
          <cell r="A3096">
            <v>1815830122</v>
          </cell>
          <cell r="B3096">
            <v>122</v>
          </cell>
          <cell r="C3096">
            <v>815830</v>
          </cell>
          <cell r="D3096">
            <v>1</v>
          </cell>
          <cell r="F3096" t="str">
            <v xml:space="preserve">ביגוד             </v>
          </cell>
          <cell r="G3096" t="str">
            <v>שכר</v>
          </cell>
          <cell r="H3096">
            <v>4.0000000000000036E-3</v>
          </cell>
          <cell r="I3096">
            <v>5020</v>
          </cell>
          <cell r="J3096">
            <v>5000</v>
          </cell>
          <cell r="K3096">
            <v>3883.42</v>
          </cell>
          <cell r="L3096">
            <v>0</v>
          </cell>
          <cell r="M3096">
            <v>4349.3</v>
          </cell>
        </row>
        <row r="3097">
          <cell r="A3097">
            <v>1815830126</v>
          </cell>
          <cell r="B3097">
            <v>126</v>
          </cell>
          <cell r="C3097">
            <v>815830</v>
          </cell>
          <cell r="D3097">
            <v>1</v>
          </cell>
          <cell r="F3097" t="str">
            <v xml:space="preserve">דמי הבראה         </v>
          </cell>
          <cell r="G3097" t="str">
            <v>שכר</v>
          </cell>
          <cell r="H3097">
            <v>3.529411764705781E-3</v>
          </cell>
          <cell r="I3097">
            <v>17060</v>
          </cell>
          <cell r="J3097">
            <v>17000</v>
          </cell>
          <cell r="K3097">
            <v>10379.14</v>
          </cell>
          <cell r="L3097">
            <v>0</v>
          </cell>
          <cell r="M3097">
            <v>7057.31</v>
          </cell>
        </row>
        <row r="3098">
          <cell r="A3098">
            <v>1815830130</v>
          </cell>
          <cell r="B3098">
            <v>130</v>
          </cell>
          <cell r="C3098">
            <v>815830</v>
          </cell>
          <cell r="D3098">
            <v>1</v>
          </cell>
          <cell r="F3098" t="str">
            <v xml:space="preserve">שעות נוספות       </v>
          </cell>
          <cell r="G3098" t="str">
            <v>שכר</v>
          </cell>
          <cell r="I3098">
            <v>0</v>
          </cell>
          <cell r="J3098">
            <v>0</v>
          </cell>
          <cell r="K3098">
            <v>0</v>
          </cell>
          <cell r="L3098">
            <v>0</v>
          </cell>
          <cell r="M3098">
            <v>0</v>
          </cell>
        </row>
        <row r="3099">
          <cell r="A3099">
            <v>1815830140</v>
          </cell>
          <cell r="B3099">
            <v>140</v>
          </cell>
          <cell r="C3099">
            <v>815830</v>
          </cell>
          <cell r="D3099">
            <v>1</v>
          </cell>
          <cell r="F3099" t="str">
            <v>השתתפות באחזקת רכב</v>
          </cell>
          <cell r="G3099" t="str">
            <v>שכר</v>
          </cell>
          <cell r="I3099">
            <v>45200</v>
          </cell>
          <cell r="J3099">
            <v>0</v>
          </cell>
          <cell r="K3099">
            <v>22603.53</v>
          </cell>
          <cell r="L3099">
            <v>0</v>
          </cell>
          <cell r="M3099">
            <v>10176.39</v>
          </cell>
        </row>
        <row r="3100">
          <cell r="A3100">
            <v>1815830420</v>
          </cell>
          <cell r="B3100">
            <v>420</v>
          </cell>
          <cell r="C3100">
            <v>815830</v>
          </cell>
          <cell r="D3100">
            <v>1</v>
          </cell>
          <cell r="F3100" t="str">
            <v xml:space="preserve">כיבוי אש          </v>
          </cell>
          <cell r="G3100" t="str">
            <v>קשיח</v>
          </cell>
          <cell r="H3100">
            <v>0</v>
          </cell>
          <cell r="I3100">
            <v>900</v>
          </cell>
          <cell r="J3100">
            <v>900</v>
          </cell>
          <cell r="K3100">
            <v>0</v>
          </cell>
          <cell r="L3100">
            <v>1000</v>
          </cell>
          <cell r="M3100">
            <v>0</v>
          </cell>
        </row>
        <row r="3101">
          <cell r="A3101">
            <v>1815830431</v>
          </cell>
          <cell r="B3101">
            <v>431</v>
          </cell>
          <cell r="C3101">
            <v>815830</v>
          </cell>
          <cell r="D3101">
            <v>1</v>
          </cell>
          <cell r="F3101" t="str">
            <v xml:space="preserve">חשמל              </v>
          </cell>
          <cell r="G3101" t="str">
            <v>קשיח</v>
          </cell>
          <cell r="H3101">
            <v>0</v>
          </cell>
          <cell r="I3101">
            <v>45500</v>
          </cell>
          <cell r="J3101">
            <v>45500</v>
          </cell>
          <cell r="K3101">
            <v>30107</v>
          </cell>
          <cell r="L3101">
            <v>30300</v>
          </cell>
          <cell r="M3101">
            <v>32785</v>
          </cell>
        </row>
        <row r="3102">
          <cell r="A3102">
            <v>1815830432</v>
          </cell>
          <cell r="B3102">
            <v>432</v>
          </cell>
          <cell r="C3102">
            <v>815830</v>
          </cell>
          <cell r="D3102">
            <v>1</v>
          </cell>
          <cell r="F3102" t="str">
            <v xml:space="preserve">מים               </v>
          </cell>
          <cell r="G3102" t="str">
            <v>קשיח</v>
          </cell>
          <cell r="H3102">
            <v>0</v>
          </cell>
          <cell r="I3102">
            <v>20000</v>
          </cell>
          <cell r="J3102">
            <v>20000</v>
          </cell>
          <cell r="K3102">
            <v>13334</v>
          </cell>
          <cell r="L3102">
            <v>13400</v>
          </cell>
          <cell r="M3102">
            <v>14521</v>
          </cell>
        </row>
        <row r="3103">
          <cell r="A3103">
            <v>1815830450</v>
          </cell>
          <cell r="B3103">
            <v>450</v>
          </cell>
          <cell r="C3103">
            <v>815830</v>
          </cell>
          <cell r="D3103">
            <v>1</v>
          </cell>
          <cell r="F3103" t="str">
            <v xml:space="preserve">ריהוט ואחזקתו     </v>
          </cell>
          <cell r="G3103" t="str">
            <v>גמיש</v>
          </cell>
          <cell r="H3103">
            <v>0.35802469135802473</v>
          </cell>
          <cell r="I3103">
            <v>11000</v>
          </cell>
          <cell r="J3103">
            <v>8100</v>
          </cell>
          <cell r="K3103">
            <v>4530</v>
          </cell>
          <cell r="L3103">
            <v>6100</v>
          </cell>
          <cell r="M3103">
            <v>8065</v>
          </cell>
        </row>
        <row r="3104">
          <cell r="A3104">
            <v>1815830451</v>
          </cell>
          <cell r="B3104">
            <v>451</v>
          </cell>
          <cell r="C3104">
            <v>815830</v>
          </cell>
          <cell r="D3104">
            <v>1</v>
          </cell>
          <cell r="F3104" t="str">
            <v>הוצאות גפ"ן בית ספרי</v>
          </cell>
          <cell r="G3104" t="str">
            <v>קשיח</v>
          </cell>
          <cell r="I3104">
            <v>100000</v>
          </cell>
          <cell r="J3104">
            <v>0</v>
          </cell>
          <cell r="K3104">
            <v>0</v>
          </cell>
          <cell r="L3104">
            <v>0</v>
          </cell>
          <cell r="M3104">
            <v>0</v>
          </cell>
        </row>
        <row r="3105">
          <cell r="A3105">
            <v>1815830452</v>
          </cell>
          <cell r="B3105">
            <v>452</v>
          </cell>
          <cell r="C3105">
            <v>815830</v>
          </cell>
          <cell r="D3105">
            <v>1</v>
          </cell>
          <cell r="F3105" t="str">
            <v>השתתפות עירונית בגפ"ן</v>
          </cell>
          <cell r="G3105" t="str">
            <v>גמיש</v>
          </cell>
          <cell r="I3105">
            <v>120000</v>
          </cell>
          <cell r="J3105">
            <v>0</v>
          </cell>
          <cell r="K3105">
            <v>0</v>
          </cell>
          <cell r="L3105">
            <v>0</v>
          </cell>
          <cell r="M3105">
            <v>0</v>
          </cell>
        </row>
        <row r="3106">
          <cell r="A3106">
            <v>1815830511</v>
          </cell>
          <cell r="B3106">
            <v>511</v>
          </cell>
          <cell r="C3106">
            <v>815830</v>
          </cell>
          <cell r="D3106">
            <v>1</v>
          </cell>
          <cell r="F3106" t="str">
            <v xml:space="preserve">אירוח וכיבוד      </v>
          </cell>
          <cell r="G3106" t="str">
            <v>גמיש</v>
          </cell>
          <cell r="H3106">
            <v>0.66666666666666674</v>
          </cell>
          <cell r="I3106">
            <v>3000</v>
          </cell>
          <cell r="J3106">
            <v>1800</v>
          </cell>
          <cell r="K3106">
            <v>0</v>
          </cell>
          <cell r="L3106">
            <v>1000</v>
          </cell>
          <cell r="M3106">
            <v>2432.36</v>
          </cell>
        </row>
        <row r="3107">
          <cell r="A3107">
            <v>1815830742</v>
          </cell>
          <cell r="B3107">
            <v>742</v>
          </cell>
          <cell r="C3107">
            <v>815830</v>
          </cell>
          <cell r="D3107">
            <v>1</v>
          </cell>
          <cell r="F3107" t="str">
            <v xml:space="preserve">כלים וציוד        </v>
          </cell>
          <cell r="G3107" t="str">
            <v>גמיש</v>
          </cell>
          <cell r="I3107">
            <v>16200</v>
          </cell>
          <cell r="J3107">
            <v>0</v>
          </cell>
          <cell r="K3107">
            <v>0</v>
          </cell>
          <cell r="L3107">
            <v>0</v>
          </cell>
          <cell r="M3107">
            <v>1</v>
          </cell>
        </row>
        <row r="3108">
          <cell r="A3108">
            <v>1815830750</v>
          </cell>
          <cell r="B3108">
            <v>750</v>
          </cell>
          <cell r="C3108">
            <v>815830</v>
          </cell>
          <cell r="D3108">
            <v>1</v>
          </cell>
          <cell r="F3108" t="str">
            <v>אחזקת מוסדות</v>
          </cell>
          <cell r="G3108" t="str">
            <v>גמיש</v>
          </cell>
          <cell r="H3108">
            <v>5.0864962561322002E-2</v>
          </cell>
          <cell r="I3108">
            <v>407000</v>
          </cell>
          <cell r="J3108">
            <v>387300</v>
          </cell>
          <cell r="K3108">
            <v>237490</v>
          </cell>
          <cell r="L3108">
            <v>226800</v>
          </cell>
          <cell r="M3108">
            <v>230646</v>
          </cell>
        </row>
        <row r="3109">
          <cell r="A3109">
            <v>1815830752</v>
          </cell>
          <cell r="B3109">
            <v>752</v>
          </cell>
          <cell r="C3109">
            <v>815830</v>
          </cell>
          <cell r="D3109">
            <v>1</v>
          </cell>
          <cell r="F3109" t="str">
            <v xml:space="preserve">נקיון בקבלנות     </v>
          </cell>
          <cell r="G3109" t="str">
            <v>קשיח</v>
          </cell>
          <cell r="H3109">
            <v>0.89977220956719828</v>
          </cell>
          <cell r="I3109">
            <v>667200</v>
          </cell>
          <cell r="J3109">
            <v>351200</v>
          </cell>
          <cell r="K3109">
            <v>81922.600000000006</v>
          </cell>
          <cell r="L3109">
            <v>333700</v>
          </cell>
          <cell r="M3109">
            <v>333699.18</v>
          </cell>
        </row>
        <row r="3110">
          <cell r="A3110">
            <v>1815830759</v>
          </cell>
          <cell r="B3110">
            <v>759</v>
          </cell>
          <cell r="C3110">
            <v>815830</v>
          </cell>
          <cell r="D3110">
            <v>1</v>
          </cell>
          <cell r="F3110" t="str">
            <v>שרותי סייעות</v>
          </cell>
          <cell r="G3110" t="str">
            <v>קשיח</v>
          </cell>
          <cell r="H3110">
            <v>7.2841922156990702E-2</v>
          </cell>
          <cell r="I3110">
            <v>986800</v>
          </cell>
          <cell r="J3110">
            <v>919800</v>
          </cell>
          <cell r="K3110">
            <v>426033.73</v>
          </cell>
          <cell r="L3110">
            <v>375300</v>
          </cell>
          <cell r="M3110">
            <v>779933.49</v>
          </cell>
        </row>
        <row r="3111">
          <cell r="A3111">
            <v>1815830780</v>
          </cell>
          <cell r="B3111">
            <v>780</v>
          </cell>
          <cell r="C3111">
            <v>815830</v>
          </cell>
          <cell r="D3111">
            <v>1</v>
          </cell>
          <cell r="F3111" t="str">
            <v xml:space="preserve">חינוך חברתי       </v>
          </cell>
          <cell r="G3111" t="str">
            <v>קשיח</v>
          </cell>
          <cell r="I3111">
            <v>6000</v>
          </cell>
          <cell r="J3111">
            <v>0</v>
          </cell>
          <cell r="K3111">
            <v>0</v>
          </cell>
          <cell r="L3111">
            <v>0</v>
          </cell>
          <cell r="M3111">
            <v>0</v>
          </cell>
        </row>
        <row r="3112">
          <cell r="A3112">
            <v>1815830810</v>
          </cell>
          <cell r="B3112">
            <v>810</v>
          </cell>
          <cell r="C3112">
            <v>815830</v>
          </cell>
          <cell r="D3112">
            <v>1</v>
          </cell>
          <cell r="F3112" t="str">
            <v>הקצבה לניהול עצמי</v>
          </cell>
          <cell r="G3112" t="str">
            <v>קשיח</v>
          </cell>
          <cell r="H3112">
            <v>-0.30795847750865057</v>
          </cell>
          <cell r="I3112">
            <v>60000</v>
          </cell>
          <cell r="J3112">
            <v>86700</v>
          </cell>
          <cell r="K3112">
            <v>0</v>
          </cell>
          <cell r="L3112">
            <v>58200</v>
          </cell>
          <cell r="M3112">
            <v>0</v>
          </cell>
        </row>
        <row r="3113">
          <cell r="A3113">
            <v>1815830812</v>
          </cell>
          <cell r="B3113">
            <v>812</v>
          </cell>
          <cell r="C3113">
            <v>815830</v>
          </cell>
          <cell r="D3113">
            <v>1</v>
          </cell>
          <cell r="F3113" t="str">
            <v>מסיבות כיתתיות</v>
          </cell>
          <cell r="G3113" t="str">
            <v>גמיש</v>
          </cell>
          <cell r="H3113">
            <v>0.67958656330749356</v>
          </cell>
          <cell r="I3113">
            <v>13000</v>
          </cell>
          <cell r="J3113">
            <v>7740</v>
          </cell>
          <cell r="K3113">
            <v>0</v>
          </cell>
          <cell r="L3113">
            <v>8600</v>
          </cell>
          <cell r="M3113">
            <v>10032</v>
          </cell>
        </row>
        <row r="3114">
          <cell r="A3114">
            <v>1815830953</v>
          </cell>
          <cell r="B3114">
            <v>953</v>
          </cell>
          <cell r="C3114">
            <v>815830</v>
          </cell>
          <cell r="D3114">
            <v>1</v>
          </cell>
          <cell r="F3114" t="str">
            <v>מערכת גפ"ן</v>
          </cell>
          <cell r="G3114" t="str">
            <v>קשיח</v>
          </cell>
          <cell r="I3114">
            <v>463000</v>
          </cell>
          <cell r="J3114">
            <v>0</v>
          </cell>
          <cell r="K3114">
            <v>0</v>
          </cell>
          <cell r="L3114">
            <v>0</v>
          </cell>
          <cell r="M3114">
            <v>0</v>
          </cell>
        </row>
        <row r="3115">
          <cell r="A3115">
            <v>1815830989</v>
          </cell>
          <cell r="B3115">
            <v>989</v>
          </cell>
          <cell r="C3115">
            <v>815830</v>
          </cell>
          <cell r="D3115">
            <v>1</v>
          </cell>
          <cell r="F3115" t="str">
            <v xml:space="preserve">תקורה             </v>
          </cell>
          <cell r="G3115" t="str">
            <v>קשיח</v>
          </cell>
          <cell r="H3115">
            <v>3.0507952077348843</v>
          </cell>
          <cell r="I3115">
            <v>578170</v>
          </cell>
          <cell r="J3115">
            <v>142730</v>
          </cell>
          <cell r="K3115">
            <v>0</v>
          </cell>
          <cell r="L3115">
            <v>70400</v>
          </cell>
          <cell r="M3115">
            <v>98731</v>
          </cell>
        </row>
        <row r="3116">
          <cell r="A3116" t="e">
            <v>#VALUE!</v>
          </cell>
          <cell r="B3116" t="str">
            <v>815830  סך הכל</v>
          </cell>
          <cell r="F3116" t="str">
            <v>תיכון חנקין</v>
          </cell>
          <cell r="H3116">
            <v>3.0508135804280663</v>
          </cell>
          <cell r="I3116">
            <v>10214410</v>
          </cell>
          <cell r="J3116">
            <v>2521570</v>
          </cell>
          <cell r="K3116">
            <v>1082749.19</v>
          </cell>
          <cell r="L3116">
            <v>1232400</v>
          </cell>
          <cell r="M3116">
            <v>1751354.77</v>
          </cell>
        </row>
        <row r="3117">
          <cell r="A3117">
            <v>18154000</v>
          </cell>
          <cell r="B3117" t="str">
            <v>000</v>
          </cell>
          <cell r="C3117" t="str">
            <v>815840</v>
          </cell>
          <cell r="D3117">
            <v>1</v>
          </cell>
          <cell r="F3117" t="str">
            <v>בית ספר חרדי חב"ד</v>
          </cell>
          <cell r="L3117">
            <v>0</v>
          </cell>
        </row>
        <row r="3118">
          <cell r="A3118">
            <v>1815840118</v>
          </cell>
          <cell r="B3118" t="str">
            <v>118</v>
          </cell>
          <cell r="C3118" t="str">
            <v>815840</v>
          </cell>
          <cell r="D3118">
            <v>1</v>
          </cell>
          <cell r="F3118" t="str">
            <v xml:space="preserve">שכר עובדי הוראה   </v>
          </cell>
          <cell r="G3118" t="str">
            <v>שכר</v>
          </cell>
          <cell r="H3118">
            <v>9.1874999999999929E-2</v>
          </cell>
          <cell r="I3118">
            <v>1747000</v>
          </cell>
          <cell r="J3118">
            <v>1600000</v>
          </cell>
          <cell r="K3118">
            <v>864669.01</v>
          </cell>
          <cell r="L3118">
            <v>0</v>
          </cell>
          <cell r="M3118">
            <v>255905.43</v>
          </cell>
        </row>
        <row r="3119">
          <cell r="A3119">
            <v>1815840119</v>
          </cell>
          <cell r="B3119" t="str">
            <v>119</v>
          </cell>
          <cell r="C3119" t="str">
            <v>815840</v>
          </cell>
          <cell r="D3119">
            <v>1</v>
          </cell>
          <cell r="F3119" t="str">
            <v>השכר הקובע-צוברת</v>
          </cell>
          <cell r="G3119" t="str">
            <v>שכר</v>
          </cell>
          <cell r="I3119">
            <v>0</v>
          </cell>
          <cell r="J3119">
            <v>0</v>
          </cell>
          <cell r="K3119">
            <v>7787.02</v>
          </cell>
          <cell r="L3119">
            <v>0</v>
          </cell>
          <cell r="M3119">
            <v>0</v>
          </cell>
        </row>
        <row r="3120">
          <cell r="A3120">
            <v>1815840122</v>
          </cell>
          <cell r="B3120" t="str">
            <v>122</v>
          </cell>
          <cell r="C3120" t="str">
            <v>815840</v>
          </cell>
          <cell r="D3120">
            <v>1</v>
          </cell>
          <cell r="F3120" t="str">
            <v xml:space="preserve">ביגוד             </v>
          </cell>
          <cell r="G3120" t="str">
            <v>שכר</v>
          </cell>
          <cell r="I3120">
            <v>0</v>
          </cell>
          <cell r="J3120">
            <v>0</v>
          </cell>
          <cell r="K3120">
            <v>14279.45</v>
          </cell>
          <cell r="L3120">
            <v>0</v>
          </cell>
          <cell r="M3120">
            <v>0</v>
          </cell>
        </row>
        <row r="3121">
          <cell r="A3121">
            <v>1815840126</v>
          </cell>
          <cell r="B3121" t="str">
            <v>126</v>
          </cell>
          <cell r="C3121" t="str">
            <v>815840</v>
          </cell>
          <cell r="D3121">
            <v>1</v>
          </cell>
          <cell r="F3121" t="str">
            <v xml:space="preserve">דמי הבראה         </v>
          </cell>
          <cell r="G3121" t="str">
            <v>שכר</v>
          </cell>
          <cell r="I3121">
            <v>0</v>
          </cell>
          <cell r="J3121">
            <v>0</v>
          </cell>
          <cell r="K3121">
            <v>25258.720000000001</v>
          </cell>
          <cell r="L3121">
            <v>0</v>
          </cell>
          <cell r="M3121">
            <v>0</v>
          </cell>
        </row>
        <row r="3122">
          <cell r="A3122">
            <v>1815840140</v>
          </cell>
          <cell r="B3122" t="str">
            <v>140</v>
          </cell>
          <cell r="C3122" t="str">
            <v>815840</v>
          </cell>
          <cell r="D3122">
            <v>1</v>
          </cell>
          <cell r="F3122" t="str">
            <v>השתתפות באחזקת רכב</v>
          </cell>
          <cell r="G3122" t="str">
            <v>שכר</v>
          </cell>
          <cell r="I3122">
            <v>0</v>
          </cell>
          <cell r="J3122">
            <v>0</v>
          </cell>
          <cell r="K3122">
            <v>0</v>
          </cell>
          <cell r="L3122">
            <v>0</v>
          </cell>
          <cell r="M3122">
            <v>0</v>
          </cell>
        </row>
        <row r="3123">
          <cell r="A3123">
            <v>1815840431</v>
          </cell>
          <cell r="B3123" t="str">
            <v>431</v>
          </cell>
          <cell r="C3123" t="str">
            <v>815840</v>
          </cell>
          <cell r="D3123">
            <v>1</v>
          </cell>
          <cell r="F3123" t="str">
            <v xml:space="preserve">חשמל              </v>
          </cell>
          <cell r="G3123" t="str">
            <v>קשיח</v>
          </cell>
          <cell r="H3123">
            <v>0</v>
          </cell>
          <cell r="I3123">
            <v>20000</v>
          </cell>
          <cell r="J3123">
            <v>20000</v>
          </cell>
          <cell r="K3123">
            <v>4020.84</v>
          </cell>
          <cell r="L3123">
            <v>0</v>
          </cell>
          <cell r="M3123">
            <v>0</v>
          </cell>
        </row>
        <row r="3124">
          <cell r="A3124">
            <v>1815840432</v>
          </cell>
          <cell r="B3124" t="str">
            <v>432</v>
          </cell>
          <cell r="C3124" t="str">
            <v>815840</v>
          </cell>
          <cell r="D3124">
            <v>1</v>
          </cell>
          <cell r="F3124" t="str">
            <v xml:space="preserve">מים               </v>
          </cell>
          <cell r="G3124" t="str">
            <v>קשיח</v>
          </cell>
          <cell r="H3124">
            <v>0</v>
          </cell>
          <cell r="I3124">
            <v>10000</v>
          </cell>
          <cell r="J3124">
            <v>10000</v>
          </cell>
          <cell r="K3124">
            <v>1541.65</v>
          </cell>
          <cell r="L3124">
            <v>0</v>
          </cell>
          <cell r="M3124">
            <v>0</v>
          </cell>
        </row>
        <row r="3125">
          <cell r="A3125">
            <v>1815840440</v>
          </cell>
          <cell r="B3125" t="str">
            <v>440</v>
          </cell>
          <cell r="C3125" t="str">
            <v>815840</v>
          </cell>
          <cell r="D3125">
            <v>1</v>
          </cell>
          <cell r="F3125" t="str">
            <v>הכנסות גפ"ן בית ספרי</v>
          </cell>
          <cell r="G3125" t="str">
            <v>גמיש</v>
          </cell>
          <cell r="I3125">
            <v>10000</v>
          </cell>
          <cell r="J3125">
            <v>0</v>
          </cell>
          <cell r="K3125">
            <v>0</v>
          </cell>
          <cell r="L3125">
            <v>0</v>
          </cell>
          <cell r="M3125">
            <v>0</v>
          </cell>
        </row>
        <row r="3126">
          <cell r="A3126">
            <v>1815840450</v>
          </cell>
          <cell r="B3126" t="str">
            <v>450</v>
          </cell>
          <cell r="C3126" t="str">
            <v>815840</v>
          </cell>
          <cell r="D3126">
            <v>1</v>
          </cell>
          <cell r="F3126" t="str">
            <v xml:space="preserve">ריהוט ואחזקתו     </v>
          </cell>
          <cell r="G3126" t="str">
            <v>גמיש</v>
          </cell>
          <cell r="H3126">
            <v>-0.11111111111111116</v>
          </cell>
          <cell r="I3126">
            <v>1600</v>
          </cell>
          <cell r="J3126">
            <v>1800</v>
          </cell>
          <cell r="K3126">
            <v>805.43</v>
          </cell>
          <cell r="L3126">
            <v>0</v>
          </cell>
          <cell r="M3126">
            <v>0</v>
          </cell>
        </row>
        <row r="3127">
          <cell r="A3127">
            <v>1815840452</v>
          </cell>
          <cell r="B3127" t="str">
            <v>452</v>
          </cell>
          <cell r="C3127" t="str">
            <v>815840</v>
          </cell>
          <cell r="D3127">
            <v>1</v>
          </cell>
          <cell r="F3127" t="str">
            <v>השתתפות עירונית בגפ"ן</v>
          </cell>
          <cell r="G3127" t="str">
            <v>גמיש</v>
          </cell>
          <cell r="I3127">
            <v>6800</v>
          </cell>
          <cell r="J3127">
            <v>0</v>
          </cell>
          <cell r="K3127">
            <v>0</v>
          </cell>
          <cell r="L3127">
            <v>0</v>
          </cell>
          <cell r="M3127">
            <v>0</v>
          </cell>
        </row>
        <row r="3128">
          <cell r="A3128">
            <v>1815840511</v>
          </cell>
          <cell r="B3128" t="str">
            <v>511</v>
          </cell>
          <cell r="C3128" t="str">
            <v>815840</v>
          </cell>
          <cell r="D3128">
            <v>1</v>
          </cell>
          <cell r="F3128" t="str">
            <v xml:space="preserve">אירוח וכיבוד      </v>
          </cell>
          <cell r="G3128" t="str">
            <v>גמיש</v>
          </cell>
          <cell r="H3128">
            <v>0.11111111111111116</v>
          </cell>
          <cell r="I3128">
            <v>1000</v>
          </cell>
          <cell r="J3128">
            <v>900</v>
          </cell>
          <cell r="K3128">
            <v>0</v>
          </cell>
          <cell r="L3128">
            <v>0</v>
          </cell>
          <cell r="M3128">
            <v>0</v>
          </cell>
        </row>
        <row r="3129">
          <cell r="A3129">
            <v>1815840742</v>
          </cell>
          <cell r="B3129" t="str">
            <v>742</v>
          </cell>
          <cell r="C3129" t="str">
            <v>815840</v>
          </cell>
          <cell r="D3129">
            <v>1</v>
          </cell>
          <cell r="F3129" t="str">
            <v xml:space="preserve">כלים וציוד        </v>
          </cell>
          <cell r="G3129" t="str">
            <v>גמיש</v>
          </cell>
          <cell r="I3129">
            <v>600</v>
          </cell>
          <cell r="J3129">
            <v>0</v>
          </cell>
          <cell r="K3129">
            <v>0</v>
          </cell>
          <cell r="L3129">
            <v>0</v>
          </cell>
          <cell r="M3129">
            <v>0</v>
          </cell>
        </row>
        <row r="3130">
          <cell r="A3130">
            <v>1815840780</v>
          </cell>
          <cell r="B3130" t="str">
            <v>780</v>
          </cell>
          <cell r="C3130" t="str">
            <v>815840</v>
          </cell>
          <cell r="D3130">
            <v>1</v>
          </cell>
          <cell r="F3130" t="str">
            <v xml:space="preserve">חינוך חברתי       </v>
          </cell>
          <cell r="G3130" t="str">
            <v>קשיח</v>
          </cell>
          <cell r="H3130">
            <v>-0.6</v>
          </cell>
          <cell r="I3130">
            <v>2000</v>
          </cell>
          <cell r="J3130">
            <v>5000</v>
          </cell>
          <cell r="K3130">
            <v>0</v>
          </cell>
          <cell r="L3130">
            <v>0</v>
          </cell>
          <cell r="M3130">
            <v>0</v>
          </cell>
        </row>
        <row r="3131">
          <cell r="A3131">
            <v>1815840812</v>
          </cell>
          <cell r="B3131" t="str">
            <v>812</v>
          </cell>
          <cell r="C3131" t="str">
            <v>815840</v>
          </cell>
          <cell r="D3131">
            <v>1</v>
          </cell>
          <cell r="F3131" t="str">
            <v>מסיבות כיתתיות</v>
          </cell>
          <cell r="G3131" t="str">
            <v>גמיש</v>
          </cell>
          <cell r="I3131">
            <v>2000</v>
          </cell>
          <cell r="K3131">
            <v>462</v>
          </cell>
          <cell r="L3131">
            <v>0</v>
          </cell>
          <cell r="M3131">
            <v>0</v>
          </cell>
        </row>
        <row r="3132">
          <cell r="A3132">
            <v>1815840953</v>
          </cell>
          <cell r="B3132" t="str">
            <v>953</v>
          </cell>
          <cell r="C3132" t="str">
            <v>815840</v>
          </cell>
          <cell r="D3132">
            <v>1</v>
          </cell>
          <cell r="F3132" t="str">
            <v>מערכת גפ"ן</v>
          </cell>
          <cell r="G3132" t="str">
            <v>גמיש</v>
          </cell>
          <cell r="I3132">
            <v>31000</v>
          </cell>
          <cell r="K3132">
            <v>32537</v>
          </cell>
          <cell r="L3132">
            <v>0</v>
          </cell>
          <cell r="M3132">
            <v>0</v>
          </cell>
        </row>
        <row r="3133">
          <cell r="A3133">
            <v>1815840989</v>
          </cell>
          <cell r="B3133" t="str">
            <v>989</v>
          </cell>
          <cell r="C3133" t="str">
            <v>815840</v>
          </cell>
          <cell r="D3133">
            <v>1</v>
          </cell>
          <cell r="F3133" t="str">
            <v>תקורה</v>
          </cell>
          <cell r="G3133" t="str">
            <v>קשיח</v>
          </cell>
          <cell r="H3133">
            <v>-0.99888097660223807</v>
          </cell>
          <cell r="I3133">
            <v>110</v>
          </cell>
          <cell r="J3133">
            <v>98300</v>
          </cell>
          <cell r="K3133">
            <v>0</v>
          </cell>
          <cell r="L3133">
            <v>0</v>
          </cell>
          <cell r="M3133">
            <v>15288</v>
          </cell>
        </row>
        <row r="3134">
          <cell r="A3134" t="e">
            <v>#VALUE!</v>
          </cell>
          <cell r="B3134" t="str">
            <v>815840  סך הכל</v>
          </cell>
          <cell r="F3134" t="str">
            <v>בית ספר חרדי חב"ד</v>
          </cell>
          <cell r="H3134">
            <v>5.5362903225806503E-2</v>
          </cell>
          <cell r="I3134">
            <v>1832110</v>
          </cell>
          <cell r="J3134">
            <v>1736000</v>
          </cell>
          <cell r="K3134">
            <v>951361.12</v>
          </cell>
          <cell r="L3134">
            <v>0</v>
          </cell>
          <cell r="M3134">
            <v>271193.43</v>
          </cell>
        </row>
        <row r="3135">
          <cell r="A3135">
            <v>18170000</v>
          </cell>
          <cell r="B3135">
            <v>0</v>
          </cell>
          <cell r="C3135">
            <v>817000</v>
          </cell>
          <cell r="D3135">
            <v>1</v>
          </cell>
          <cell r="F3135" t="str">
            <v>שרותים נוספים למוס' חינוך</v>
          </cell>
          <cell r="G3135" t="str">
            <v xml:space="preserve"> </v>
          </cell>
        </row>
        <row r="3136">
          <cell r="A3136">
            <v>1817200872</v>
          </cell>
          <cell r="B3136">
            <v>872</v>
          </cell>
          <cell r="C3136">
            <v>817200</v>
          </cell>
          <cell r="D3136">
            <v>1</v>
          </cell>
          <cell r="F3136" t="str">
            <v>הפעלת חנקין</v>
          </cell>
          <cell r="G3136" t="str">
            <v>קשיח</v>
          </cell>
          <cell r="I3136">
            <v>0</v>
          </cell>
          <cell r="J3136">
            <v>0</v>
          </cell>
          <cell r="K3136">
            <v>0</v>
          </cell>
          <cell r="L3136">
            <v>0</v>
          </cell>
          <cell r="M3136">
            <v>0</v>
          </cell>
        </row>
        <row r="3137">
          <cell r="A3137" t="e">
            <v>#VALUE!</v>
          </cell>
          <cell r="B3137" t="str">
            <v>817200  סך הכל</v>
          </cell>
          <cell r="F3137" t="str">
            <v xml:space="preserve">מכללת חנקין       </v>
          </cell>
          <cell r="I3137">
            <v>0</v>
          </cell>
          <cell r="J3137">
            <v>0</v>
          </cell>
          <cell r="K3137">
            <v>0</v>
          </cell>
          <cell r="L3137">
            <v>0</v>
          </cell>
          <cell r="M3137">
            <v>0</v>
          </cell>
        </row>
        <row r="3138">
          <cell r="A3138">
            <v>18172100</v>
          </cell>
          <cell r="B3138">
            <v>0</v>
          </cell>
          <cell r="C3138">
            <v>817210</v>
          </cell>
          <cell r="D3138">
            <v>1</v>
          </cell>
          <cell r="F3138" t="str">
            <v xml:space="preserve">מרכזיה פדגוגית    </v>
          </cell>
          <cell r="G3138" t="str">
            <v xml:space="preserve"> </v>
          </cell>
        </row>
        <row r="3139">
          <cell r="A3139">
            <v>1817210110</v>
          </cell>
          <cell r="B3139">
            <v>110</v>
          </cell>
          <cell r="C3139">
            <v>817210</v>
          </cell>
          <cell r="D3139">
            <v>1</v>
          </cell>
          <cell r="F3139" t="str">
            <v>השכר הקובע-תקציבית</v>
          </cell>
          <cell r="G3139" t="str">
            <v>שכר</v>
          </cell>
          <cell r="H3139">
            <v>2.5039999999999951E-2</v>
          </cell>
          <cell r="I3139">
            <v>128129.99999999999</v>
          </cell>
          <cell r="J3139">
            <v>125000</v>
          </cell>
          <cell r="K3139">
            <v>63514.47</v>
          </cell>
          <cell r="L3139">
            <v>93000</v>
          </cell>
          <cell r="M3139">
            <v>110023.31</v>
          </cell>
        </row>
        <row r="3140">
          <cell r="A3140">
            <v>1817210119</v>
          </cell>
          <cell r="B3140">
            <v>119</v>
          </cell>
          <cell r="C3140">
            <v>817210</v>
          </cell>
          <cell r="D3140">
            <v>1</v>
          </cell>
          <cell r="F3140" t="str">
            <v xml:space="preserve">השכר הקובע-צוברת  </v>
          </cell>
          <cell r="G3140" t="str">
            <v>שכר</v>
          </cell>
          <cell r="H3140">
            <v>2.501529051987772E-2</v>
          </cell>
          <cell r="I3140">
            <v>335180</v>
          </cell>
          <cell r="J3140">
            <v>327000</v>
          </cell>
          <cell r="K3140">
            <v>134821.04</v>
          </cell>
          <cell r="L3140">
            <v>320600</v>
          </cell>
          <cell r="M3140">
            <v>212389.59</v>
          </cell>
        </row>
        <row r="3141">
          <cell r="A3141">
            <v>1817210122</v>
          </cell>
          <cell r="B3141">
            <v>122</v>
          </cell>
          <cell r="C3141">
            <v>817210</v>
          </cell>
          <cell r="D3141">
            <v>1</v>
          </cell>
          <cell r="F3141" t="str">
            <v xml:space="preserve">ביגוד             </v>
          </cell>
          <cell r="G3141" t="str">
            <v>שכר</v>
          </cell>
          <cell r="H3141">
            <v>0</v>
          </cell>
          <cell r="I3141">
            <v>5800</v>
          </cell>
          <cell r="J3141">
            <v>5800</v>
          </cell>
          <cell r="K3141">
            <v>4881.33</v>
          </cell>
          <cell r="L3141">
            <v>8000</v>
          </cell>
          <cell r="M3141">
            <v>5260.3</v>
          </cell>
        </row>
        <row r="3142">
          <cell r="A3142">
            <v>1817210126</v>
          </cell>
          <cell r="B3142">
            <v>126</v>
          </cell>
          <cell r="C3142">
            <v>817210</v>
          </cell>
          <cell r="D3142">
            <v>1</v>
          </cell>
          <cell r="F3142" t="str">
            <v xml:space="preserve">דמי הבראה         </v>
          </cell>
          <cell r="G3142" t="str">
            <v>שכר</v>
          </cell>
          <cell r="H3142">
            <v>0</v>
          </cell>
          <cell r="I3142">
            <v>13500</v>
          </cell>
          <cell r="J3142">
            <v>13500</v>
          </cell>
          <cell r="K3142">
            <v>9922.8700000000008</v>
          </cell>
          <cell r="L3142">
            <v>25500</v>
          </cell>
          <cell r="M3142">
            <v>12225.56</v>
          </cell>
        </row>
        <row r="3143">
          <cell r="A3143">
            <v>1817210130</v>
          </cell>
          <cell r="B3143">
            <v>130</v>
          </cell>
          <cell r="C3143">
            <v>817210</v>
          </cell>
          <cell r="D3143">
            <v>1</v>
          </cell>
          <cell r="F3143" t="str">
            <v xml:space="preserve">שעות נוספות       </v>
          </cell>
          <cell r="G3143" t="str">
            <v>שכר</v>
          </cell>
          <cell r="H3143">
            <v>0</v>
          </cell>
          <cell r="I3143">
            <v>1720</v>
          </cell>
          <cell r="J3143">
            <v>1720</v>
          </cell>
          <cell r="K3143">
            <v>0</v>
          </cell>
          <cell r="L3143">
            <v>2000</v>
          </cell>
          <cell r="M3143">
            <v>0</v>
          </cell>
        </row>
        <row r="3144">
          <cell r="A3144">
            <v>1817210140</v>
          </cell>
          <cell r="B3144">
            <v>140</v>
          </cell>
          <cell r="C3144">
            <v>817210</v>
          </cell>
          <cell r="D3144">
            <v>1</v>
          </cell>
          <cell r="F3144" t="str">
            <v>השתתפות באחזקת רכב</v>
          </cell>
          <cell r="G3144" t="str">
            <v>שכר</v>
          </cell>
          <cell r="H3144">
            <v>0</v>
          </cell>
          <cell r="I3144">
            <v>18450</v>
          </cell>
          <cell r="J3144">
            <v>18450</v>
          </cell>
          <cell r="K3144">
            <v>30780.639999999999</v>
          </cell>
          <cell r="L3144">
            <v>19900</v>
          </cell>
          <cell r="M3144">
            <v>38731.86</v>
          </cell>
        </row>
        <row r="3145">
          <cell r="A3145">
            <v>1817210423</v>
          </cell>
          <cell r="B3145">
            <v>423</v>
          </cell>
          <cell r="C3145">
            <v>817210</v>
          </cell>
          <cell r="D3145">
            <v>1</v>
          </cell>
          <cell r="F3145" t="str">
            <v xml:space="preserve">תחזוקת מבנה       </v>
          </cell>
          <cell r="G3145" t="str">
            <v>קשיח</v>
          </cell>
          <cell r="H3145">
            <v>1.5333333333333332</v>
          </cell>
          <cell r="I3145">
            <v>3800</v>
          </cell>
          <cell r="J3145">
            <v>1500</v>
          </cell>
          <cell r="K3145">
            <v>0</v>
          </cell>
          <cell r="L3145">
            <v>900</v>
          </cell>
          <cell r="M3145">
            <v>900</v>
          </cell>
        </row>
        <row r="3146">
          <cell r="A3146">
            <v>1817210721</v>
          </cell>
          <cell r="B3146">
            <v>721</v>
          </cell>
          <cell r="C3146">
            <v>817210</v>
          </cell>
          <cell r="D3146">
            <v>1</v>
          </cell>
          <cell r="F3146" t="str">
            <v>חמרים-תחזוקת מבנים</v>
          </cell>
          <cell r="G3146" t="str">
            <v>גמיש</v>
          </cell>
          <cell r="I3146">
            <v>0</v>
          </cell>
          <cell r="J3146">
            <v>0</v>
          </cell>
          <cell r="K3146">
            <v>0</v>
          </cell>
          <cell r="L3146">
            <v>800</v>
          </cell>
          <cell r="M3146">
            <v>0</v>
          </cell>
        </row>
        <row r="3147">
          <cell r="A3147">
            <v>1817210750</v>
          </cell>
          <cell r="B3147">
            <v>750</v>
          </cell>
          <cell r="C3147">
            <v>817210</v>
          </cell>
          <cell r="D3147">
            <v>1</v>
          </cell>
          <cell r="F3147" t="str">
            <v>אחזקת מוסדות</v>
          </cell>
          <cell r="G3147" t="str">
            <v>קשיח</v>
          </cell>
          <cell r="H3147">
            <v>2.405498281786933E-2</v>
          </cell>
          <cell r="I3147">
            <v>268200</v>
          </cell>
          <cell r="J3147">
            <v>261900</v>
          </cell>
          <cell r="K3147">
            <v>156542</v>
          </cell>
          <cell r="L3147">
            <v>129800</v>
          </cell>
          <cell r="M3147">
            <v>164237</v>
          </cell>
        </row>
        <row r="3148">
          <cell r="A3148">
            <v>1817210751</v>
          </cell>
          <cell r="B3148">
            <v>751</v>
          </cell>
          <cell r="C3148">
            <v>817210</v>
          </cell>
          <cell r="D3148">
            <v>1</v>
          </cell>
          <cell r="F3148" t="str">
            <v xml:space="preserve">עבודות קבלניות    </v>
          </cell>
          <cell r="G3148" t="str">
            <v>גמיש</v>
          </cell>
          <cell r="I3148">
            <v>0</v>
          </cell>
          <cell r="J3148">
            <v>0</v>
          </cell>
          <cell r="K3148">
            <v>0</v>
          </cell>
          <cell r="L3148">
            <v>11300</v>
          </cell>
          <cell r="M3148">
            <v>1639</v>
          </cell>
        </row>
        <row r="3149">
          <cell r="A3149">
            <v>1817210752</v>
          </cell>
          <cell r="B3149">
            <v>752</v>
          </cell>
          <cell r="C3149">
            <v>817210</v>
          </cell>
          <cell r="D3149">
            <v>1</v>
          </cell>
          <cell r="F3149" t="str">
            <v xml:space="preserve">נקיון בקבלנות     </v>
          </cell>
          <cell r="G3149" t="str">
            <v>קשיח</v>
          </cell>
          <cell r="H3149">
            <v>-4.7391304347826124E-2</v>
          </cell>
          <cell r="I3149">
            <v>219100</v>
          </cell>
          <cell r="J3149">
            <v>230000</v>
          </cell>
          <cell r="K3149">
            <v>-188009.32</v>
          </cell>
          <cell r="L3149">
            <v>421200</v>
          </cell>
          <cell r="M3149">
            <v>350043.19</v>
          </cell>
        </row>
        <row r="3150">
          <cell r="A3150">
            <v>1817210780</v>
          </cell>
          <cell r="B3150">
            <v>780</v>
          </cell>
          <cell r="C3150">
            <v>817210</v>
          </cell>
          <cell r="D3150">
            <v>1</v>
          </cell>
          <cell r="F3150" t="str">
            <v>הפעלת פסג"ה</v>
          </cell>
          <cell r="G3150" t="str">
            <v>גמיש</v>
          </cell>
          <cell r="H3150">
            <v>-1.5895724050229987E-4</v>
          </cell>
          <cell r="I3150">
            <v>62900</v>
          </cell>
          <cell r="J3150">
            <v>62910</v>
          </cell>
          <cell r="K3150">
            <v>48937.5</v>
          </cell>
          <cell r="L3150">
            <v>69900</v>
          </cell>
          <cell r="M3150">
            <v>69900</v>
          </cell>
        </row>
        <row r="3151">
          <cell r="A3151">
            <v>1817210783</v>
          </cell>
          <cell r="B3151">
            <v>783</v>
          </cell>
          <cell r="C3151">
            <v>817210</v>
          </cell>
          <cell r="D3151">
            <v>1</v>
          </cell>
          <cell r="F3151" t="str">
            <v>פסג"ה-הכנ' משרד</v>
          </cell>
          <cell r="G3151" t="str">
            <v>קשיח</v>
          </cell>
          <cell r="H3151">
            <v>0.11111111111111116</v>
          </cell>
          <cell r="I3151">
            <v>15000</v>
          </cell>
          <cell r="J3151">
            <v>13500</v>
          </cell>
          <cell r="K3151">
            <v>0</v>
          </cell>
          <cell r="L3151">
            <v>80000</v>
          </cell>
          <cell r="M3151">
            <v>5408</v>
          </cell>
        </row>
        <row r="3152">
          <cell r="A3152" t="e">
            <v>#VALUE!</v>
          </cell>
          <cell r="B3152" t="str">
            <v>817210  סך הכל</v>
          </cell>
          <cell r="F3152" t="str">
            <v xml:space="preserve">מרכזיה פדגוגית    </v>
          </cell>
          <cell r="H3152">
            <v>9.8937132519221205E-3</v>
          </cell>
          <cell r="I3152">
            <v>1071780</v>
          </cell>
          <cell r="J3152">
            <v>1061280</v>
          </cell>
          <cell r="K3152">
            <v>261390.52999999997</v>
          </cell>
          <cell r="L3152">
            <v>1182900</v>
          </cell>
          <cell r="M3152">
            <v>970757.81</v>
          </cell>
        </row>
        <row r="3153">
          <cell r="A3153">
            <v>18173000</v>
          </cell>
          <cell r="B3153">
            <v>0</v>
          </cell>
          <cell r="C3153">
            <v>817300</v>
          </cell>
          <cell r="D3153">
            <v>1</v>
          </cell>
          <cell r="F3153" t="str">
            <v>שרותים פסיכולוגיים</v>
          </cell>
          <cell r="G3153" t="str">
            <v xml:space="preserve"> </v>
          </cell>
        </row>
        <row r="3154">
          <cell r="A3154">
            <v>1817300110</v>
          </cell>
          <cell r="B3154">
            <v>110</v>
          </cell>
          <cell r="C3154">
            <v>817300</v>
          </cell>
          <cell r="D3154">
            <v>1</v>
          </cell>
          <cell r="F3154" t="str">
            <v>השכר הקובע-תקציבית</v>
          </cell>
          <cell r="G3154" t="str">
            <v>שכר</v>
          </cell>
          <cell r="H3154">
            <v>2.4992666471105762E-2</v>
          </cell>
          <cell r="I3154">
            <v>349419.99999999994</v>
          </cell>
          <cell r="J3154">
            <v>340900</v>
          </cell>
          <cell r="K3154">
            <v>260867.76</v>
          </cell>
          <cell r="L3154">
            <v>334200</v>
          </cell>
          <cell r="M3154">
            <v>389753.21</v>
          </cell>
        </row>
        <row r="3155">
          <cell r="A3155">
            <v>1817300119</v>
          </cell>
          <cell r="B3155">
            <v>119</v>
          </cell>
          <cell r="C3155">
            <v>817300</v>
          </cell>
          <cell r="D3155">
            <v>1</v>
          </cell>
          <cell r="F3155" t="str">
            <v xml:space="preserve">השכר הקובע-צוברת  </v>
          </cell>
          <cell r="G3155" t="str">
            <v>שכר</v>
          </cell>
          <cell r="H3155">
            <v>3.2428686801751816E-2</v>
          </cell>
          <cell r="I3155">
            <v>9971299.5</v>
          </cell>
          <cell r="J3155">
            <v>9658100</v>
          </cell>
          <cell r="K3155">
            <v>8649149.9600000009</v>
          </cell>
          <cell r="L3155">
            <v>9351100</v>
          </cell>
          <cell r="M3155">
            <v>10966845.76</v>
          </cell>
        </row>
        <row r="3156">
          <cell r="A3156">
            <v>1817300122</v>
          </cell>
          <cell r="B3156">
            <v>122</v>
          </cell>
          <cell r="C3156">
            <v>817300</v>
          </cell>
          <cell r="D3156">
            <v>1</v>
          </cell>
          <cell r="F3156" t="str">
            <v xml:space="preserve">ביגוד             </v>
          </cell>
          <cell r="G3156" t="str">
            <v>שכר</v>
          </cell>
          <cell r="H3156">
            <v>4.9693556402186534E-2</v>
          </cell>
          <cell r="I3156">
            <v>119140.21865164817</v>
          </cell>
          <cell r="J3156">
            <v>113500</v>
          </cell>
          <cell r="K3156">
            <v>127811.88</v>
          </cell>
          <cell r="L3156">
            <v>106600</v>
          </cell>
          <cell r="M3156">
            <v>127859.19</v>
          </cell>
        </row>
        <row r="3157">
          <cell r="A3157">
            <v>1817300126</v>
          </cell>
          <cell r="B3157">
            <v>126</v>
          </cell>
          <cell r="C3157">
            <v>817300</v>
          </cell>
          <cell r="D3157">
            <v>1</v>
          </cell>
          <cell r="F3157" t="str">
            <v xml:space="preserve">דמי הבראה         </v>
          </cell>
          <cell r="G3157" t="str">
            <v>שכר</v>
          </cell>
          <cell r="H3157">
            <v>4.9713964565451851E-2</v>
          </cell>
          <cell r="I3157">
            <v>257179.92131853569</v>
          </cell>
          <cell r="J3157">
            <v>245000</v>
          </cell>
          <cell r="K3157">
            <v>277229.15000000002</v>
          </cell>
          <cell r="L3157">
            <v>245000</v>
          </cell>
          <cell r="M3157">
            <v>255702.8</v>
          </cell>
        </row>
        <row r="3158">
          <cell r="A3158">
            <v>1817300130</v>
          </cell>
          <cell r="B3158">
            <v>130</v>
          </cell>
          <cell r="C3158">
            <v>817300</v>
          </cell>
          <cell r="D3158">
            <v>1</v>
          </cell>
          <cell r="F3158" t="str">
            <v xml:space="preserve">שעות נוספות       </v>
          </cell>
          <cell r="G3158" t="str">
            <v>שכר</v>
          </cell>
          <cell r="H3158">
            <v>0</v>
          </cell>
          <cell r="I3158">
            <v>17200</v>
          </cell>
          <cell r="J3158">
            <v>17200</v>
          </cell>
          <cell r="K3158">
            <v>62859.21</v>
          </cell>
          <cell r="L3158">
            <v>20000</v>
          </cell>
          <cell r="M3158">
            <v>169940.73</v>
          </cell>
        </row>
        <row r="3159">
          <cell r="A3159">
            <v>1817300140</v>
          </cell>
          <cell r="B3159">
            <v>140</v>
          </cell>
          <cell r="C3159">
            <v>817300</v>
          </cell>
          <cell r="D3159">
            <v>1</v>
          </cell>
          <cell r="F3159" t="str">
            <v>השתתפות באחזקת רכב</v>
          </cell>
          <cell r="G3159" t="str">
            <v>שכר</v>
          </cell>
          <cell r="H3159">
            <v>0</v>
          </cell>
          <cell r="I3159">
            <v>795000</v>
          </cell>
          <cell r="J3159">
            <v>795000</v>
          </cell>
          <cell r="K3159">
            <v>558745.81999999995</v>
          </cell>
          <cell r="L3159">
            <v>775000</v>
          </cell>
          <cell r="M3159">
            <v>883197.6</v>
          </cell>
        </row>
        <row r="3160">
          <cell r="A3160">
            <v>1817300212</v>
          </cell>
          <cell r="B3160">
            <v>212</v>
          </cell>
          <cell r="C3160">
            <v>817300</v>
          </cell>
          <cell r="D3160">
            <v>1</v>
          </cell>
          <cell r="F3160" t="str">
            <v>יוזמות כנגד הכנסות</v>
          </cell>
          <cell r="G3160" t="str">
            <v>שכר</v>
          </cell>
          <cell r="H3160">
            <v>-1</v>
          </cell>
          <cell r="I3160">
            <v>0</v>
          </cell>
          <cell r="J3160">
            <v>30000</v>
          </cell>
          <cell r="K3160">
            <v>0</v>
          </cell>
          <cell r="L3160">
            <v>30000</v>
          </cell>
          <cell r="M3160">
            <v>29895</v>
          </cell>
        </row>
        <row r="3161">
          <cell r="A3161">
            <v>1817300420</v>
          </cell>
          <cell r="B3161">
            <v>420</v>
          </cell>
          <cell r="C3161">
            <v>817300</v>
          </cell>
          <cell r="D3161">
            <v>1</v>
          </cell>
          <cell r="F3161" t="str">
            <v xml:space="preserve">כיבוי אש          </v>
          </cell>
          <cell r="G3161" t="str">
            <v>קשיח</v>
          </cell>
          <cell r="H3161">
            <v>0</v>
          </cell>
          <cell r="I3161">
            <v>2700</v>
          </cell>
          <cell r="J3161">
            <v>2700</v>
          </cell>
          <cell r="K3161">
            <v>1132.72</v>
          </cell>
          <cell r="L3161">
            <v>3000</v>
          </cell>
          <cell r="M3161">
            <v>1906.4</v>
          </cell>
        </row>
        <row r="3162">
          <cell r="A3162">
            <v>1817300423</v>
          </cell>
          <cell r="B3162">
            <v>423</v>
          </cell>
          <cell r="C3162">
            <v>817300</v>
          </cell>
          <cell r="D3162">
            <v>1</v>
          </cell>
          <cell r="F3162" t="str">
            <v xml:space="preserve">תחזוקת מבנה       </v>
          </cell>
          <cell r="G3162" t="str">
            <v>קשיח</v>
          </cell>
          <cell r="H3162">
            <v>0.21568627450980382</v>
          </cell>
          <cell r="I3162">
            <v>6200</v>
          </cell>
          <cell r="J3162">
            <v>5100</v>
          </cell>
          <cell r="K3162">
            <v>0</v>
          </cell>
          <cell r="L3162">
            <v>4600</v>
          </cell>
          <cell r="M3162">
            <v>4600</v>
          </cell>
        </row>
        <row r="3163">
          <cell r="A3163">
            <v>1817300431</v>
          </cell>
          <cell r="B3163">
            <v>431</v>
          </cell>
          <cell r="C3163">
            <v>817300</v>
          </cell>
          <cell r="D3163">
            <v>1</v>
          </cell>
          <cell r="F3163" t="str">
            <v xml:space="preserve">חשמל              </v>
          </cell>
          <cell r="G3163" t="str">
            <v>קשיח</v>
          </cell>
          <cell r="H3163">
            <v>0</v>
          </cell>
          <cell r="I3163">
            <v>6700</v>
          </cell>
          <cell r="J3163">
            <v>6700</v>
          </cell>
          <cell r="K3163">
            <v>0</v>
          </cell>
          <cell r="L3163">
            <v>6600</v>
          </cell>
          <cell r="M3163">
            <v>0</v>
          </cell>
        </row>
        <row r="3164">
          <cell r="A3164">
            <v>1817300433</v>
          </cell>
          <cell r="B3164">
            <v>433</v>
          </cell>
          <cell r="C3164">
            <v>817300</v>
          </cell>
          <cell r="D3164">
            <v>1</v>
          </cell>
          <cell r="F3164" t="str">
            <v xml:space="preserve">חומרי נקיון       </v>
          </cell>
          <cell r="G3164" t="str">
            <v>גמיש</v>
          </cell>
          <cell r="H3164">
            <v>0.57971014492753614</v>
          </cell>
          <cell r="I3164">
            <v>6540</v>
          </cell>
          <cell r="J3164">
            <v>4140</v>
          </cell>
          <cell r="K3164">
            <v>2569.41</v>
          </cell>
          <cell r="L3164">
            <v>4300</v>
          </cell>
          <cell r="M3164">
            <v>4070.83</v>
          </cell>
        </row>
        <row r="3165">
          <cell r="A3165">
            <v>1817300437</v>
          </cell>
          <cell r="B3165">
            <v>437</v>
          </cell>
          <cell r="C3165">
            <v>817300</v>
          </cell>
          <cell r="D3165">
            <v>1</v>
          </cell>
          <cell r="F3165" t="str">
            <v xml:space="preserve">אחזקת אזעקה       </v>
          </cell>
          <cell r="G3165" t="str">
            <v>קשיח</v>
          </cell>
          <cell r="H3165">
            <v>0</v>
          </cell>
          <cell r="I3165">
            <v>2500</v>
          </cell>
          <cell r="J3165">
            <v>2500</v>
          </cell>
          <cell r="K3165">
            <v>1231.92</v>
          </cell>
          <cell r="L3165">
            <v>2500</v>
          </cell>
          <cell r="M3165">
            <v>2442.96</v>
          </cell>
        </row>
        <row r="3166">
          <cell r="A3166">
            <v>1817300450</v>
          </cell>
          <cell r="B3166">
            <v>450</v>
          </cell>
          <cell r="C3166">
            <v>817300</v>
          </cell>
          <cell r="D3166">
            <v>1</v>
          </cell>
          <cell r="F3166" t="str">
            <v>אחזקת תמי 4</v>
          </cell>
          <cell r="G3166" t="str">
            <v>קשיח</v>
          </cell>
          <cell r="H3166">
            <v>0</v>
          </cell>
          <cell r="I3166">
            <v>1300</v>
          </cell>
          <cell r="J3166">
            <v>1300</v>
          </cell>
          <cell r="K3166">
            <v>0</v>
          </cell>
          <cell r="L3166">
            <v>1300</v>
          </cell>
          <cell r="M3166">
            <v>0</v>
          </cell>
        </row>
        <row r="3167">
          <cell r="A3167">
            <v>1817300470</v>
          </cell>
          <cell r="B3167">
            <v>470</v>
          </cell>
          <cell r="C3167">
            <v>817300</v>
          </cell>
          <cell r="D3167">
            <v>1</v>
          </cell>
          <cell r="F3167" t="str">
            <v xml:space="preserve">אחזקת מכונות משרד </v>
          </cell>
          <cell r="G3167" t="str">
            <v>גמיש</v>
          </cell>
          <cell r="H3167">
            <v>1.3071895424836555E-2</v>
          </cell>
          <cell r="I3167">
            <v>3100</v>
          </cell>
          <cell r="J3167">
            <v>3060</v>
          </cell>
          <cell r="K3167">
            <v>432.33</v>
          </cell>
          <cell r="L3167">
            <v>3400</v>
          </cell>
          <cell r="M3167">
            <v>256.64999999999998</v>
          </cell>
        </row>
        <row r="3168">
          <cell r="A3168">
            <v>1817300471</v>
          </cell>
          <cell r="B3168">
            <v>471</v>
          </cell>
          <cell r="C3168">
            <v>817300</v>
          </cell>
          <cell r="D3168">
            <v>1</v>
          </cell>
          <cell r="F3168" t="str">
            <v xml:space="preserve">מכשירי כתיבה      </v>
          </cell>
          <cell r="G3168" t="str">
            <v>גמיש</v>
          </cell>
          <cell r="H3168">
            <v>1.8993352326686086E-3</v>
          </cell>
          <cell r="I3168">
            <v>21100</v>
          </cell>
          <cell r="J3168">
            <v>21060</v>
          </cell>
          <cell r="K3168">
            <v>3789.6</v>
          </cell>
          <cell r="L3168">
            <v>23400</v>
          </cell>
          <cell r="M3168">
            <v>9940.07</v>
          </cell>
        </row>
        <row r="3169">
          <cell r="A3169">
            <v>1817300511</v>
          </cell>
          <cell r="B3169">
            <v>511</v>
          </cell>
          <cell r="C3169">
            <v>817300</v>
          </cell>
          <cell r="D3169">
            <v>1</v>
          </cell>
          <cell r="F3169" t="str">
            <v xml:space="preserve">אירוח וכיבוד      </v>
          </cell>
          <cell r="G3169" t="str">
            <v>גמיש</v>
          </cell>
          <cell r="H3169">
            <v>3.3670033670034627E-3</v>
          </cell>
          <cell r="I3169">
            <v>14900</v>
          </cell>
          <cell r="J3169">
            <v>14850</v>
          </cell>
          <cell r="K3169">
            <v>8083.43</v>
          </cell>
          <cell r="L3169">
            <v>16300</v>
          </cell>
          <cell r="M3169">
            <v>9817.5300000000007</v>
          </cell>
        </row>
        <row r="3170">
          <cell r="A3170">
            <v>1817300522</v>
          </cell>
          <cell r="B3170">
            <v>522</v>
          </cell>
          <cell r="C3170">
            <v>817300</v>
          </cell>
          <cell r="D3170">
            <v>1</v>
          </cell>
          <cell r="F3170" t="str">
            <v xml:space="preserve">ספרים ועיתונים    </v>
          </cell>
          <cell r="G3170" t="str">
            <v>גמיש</v>
          </cell>
          <cell r="H3170">
            <v>7.7519379844961378E-3</v>
          </cell>
          <cell r="I3170">
            <v>7800</v>
          </cell>
          <cell r="J3170">
            <v>7740</v>
          </cell>
          <cell r="K3170">
            <v>5272</v>
          </cell>
          <cell r="L3170">
            <v>8600</v>
          </cell>
          <cell r="M3170">
            <v>8539.75</v>
          </cell>
        </row>
        <row r="3171">
          <cell r="A3171">
            <v>1817300540</v>
          </cell>
          <cell r="B3171">
            <v>540</v>
          </cell>
          <cell r="C3171">
            <v>817300</v>
          </cell>
          <cell r="D3171">
            <v>1</v>
          </cell>
          <cell r="F3171" t="str">
            <v xml:space="preserve">הוצאות טלפון      </v>
          </cell>
          <cell r="G3171" t="str">
            <v>קשיח</v>
          </cell>
          <cell r="H3171">
            <v>0.56666666666666665</v>
          </cell>
          <cell r="I3171">
            <v>4700</v>
          </cell>
          <cell r="J3171">
            <v>3000</v>
          </cell>
          <cell r="K3171">
            <v>1026.73</v>
          </cell>
          <cell r="L3171">
            <v>3000</v>
          </cell>
          <cell r="M3171">
            <v>4679.9799999999996</v>
          </cell>
        </row>
        <row r="3172">
          <cell r="A3172">
            <v>1817300562</v>
          </cell>
          <cell r="B3172">
            <v>562</v>
          </cell>
          <cell r="C3172">
            <v>817300</v>
          </cell>
          <cell r="D3172">
            <v>1</v>
          </cell>
          <cell r="F3172" t="str">
            <v xml:space="preserve">הדפסות            </v>
          </cell>
          <cell r="G3172" t="str">
            <v>גמיש</v>
          </cell>
          <cell r="H3172">
            <v>1.3071895424836555E-2</v>
          </cell>
          <cell r="I3172">
            <v>3100</v>
          </cell>
          <cell r="J3172">
            <v>3060</v>
          </cell>
          <cell r="K3172">
            <v>2300.5</v>
          </cell>
          <cell r="L3172">
            <v>3400</v>
          </cell>
          <cell r="M3172">
            <v>3327</v>
          </cell>
        </row>
        <row r="3173">
          <cell r="A3173">
            <v>1817300571</v>
          </cell>
          <cell r="B3173">
            <v>571</v>
          </cell>
          <cell r="C3173">
            <v>817300</v>
          </cell>
          <cell r="D3173">
            <v>1</v>
          </cell>
          <cell r="F3173" t="str">
            <v xml:space="preserve">מיכון וענ"א       </v>
          </cell>
          <cell r="G3173" t="str">
            <v>קשיח</v>
          </cell>
          <cell r="H3173">
            <v>0.30052493438320216</v>
          </cell>
          <cell r="I3173">
            <v>99100</v>
          </cell>
          <cell r="J3173">
            <v>76200</v>
          </cell>
          <cell r="K3173">
            <v>38100</v>
          </cell>
          <cell r="L3173">
            <v>69200</v>
          </cell>
          <cell r="M3173">
            <v>69200</v>
          </cell>
        </row>
        <row r="3174">
          <cell r="A3174">
            <v>1817300583</v>
          </cell>
          <cell r="B3174">
            <v>583</v>
          </cell>
          <cell r="C3174">
            <v>817300</v>
          </cell>
          <cell r="D3174">
            <v>1</v>
          </cell>
          <cell r="F3174" t="str">
            <v xml:space="preserve">השתלמויות והדרכות </v>
          </cell>
          <cell r="G3174" t="str">
            <v>קשיח</v>
          </cell>
          <cell r="H3174">
            <v>6.8760027504000121E-4</v>
          </cell>
          <cell r="I3174">
            <v>436600</v>
          </cell>
          <cell r="J3174">
            <v>436300</v>
          </cell>
          <cell r="K3174">
            <v>230054.47</v>
          </cell>
          <cell r="L3174">
            <v>156300</v>
          </cell>
          <cell r="M3174">
            <v>236348.85</v>
          </cell>
        </row>
        <row r="3175">
          <cell r="A3175">
            <v>1817300721</v>
          </cell>
          <cell r="B3175">
            <v>721</v>
          </cell>
          <cell r="C3175">
            <v>817300</v>
          </cell>
          <cell r="D3175">
            <v>1</v>
          </cell>
          <cell r="F3175" t="str">
            <v>חמרים-תחזוקת מבנים</v>
          </cell>
          <cell r="G3175" t="str">
            <v>גמיש</v>
          </cell>
          <cell r="I3175">
            <v>0</v>
          </cell>
          <cell r="J3175">
            <v>0</v>
          </cell>
          <cell r="K3175">
            <v>0</v>
          </cell>
          <cell r="L3175">
            <v>900</v>
          </cell>
          <cell r="M3175">
            <v>0</v>
          </cell>
        </row>
        <row r="3176">
          <cell r="A3176">
            <v>1817300742</v>
          </cell>
          <cell r="B3176">
            <v>742</v>
          </cell>
          <cell r="C3176">
            <v>817300</v>
          </cell>
          <cell r="D3176">
            <v>1</v>
          </cell>
          <cell r="F3176" t="str">
            <v xml:space="preserve">כלים וציוד        </v>
          </cell>
          <cell r="G3176" t="str">
            <v>גמיש</v>
          </cell>
          <cell r="H3176">
            <v>0.61904761904761907</v>
          </cell>
          <cell r="I3176">
            <v>5100</v>
          </cell>
          <cell r="J3176">
            <v>3150</v>
          </cell>
          <cell r="K3176">
            <v>0</v>
          </cell>
          <cell r="L3176">
            <v>3500</v>
          </cell>
          <cell r="M3176">
            <v>2483.87</v>
          </cell>
        </row>
        <row r="3177">
          <cell r="A3177">
            <v>1817300751</v>
          </cell>
          <cell r="B3177">
            <v>751</v>
          </cell>
          <cell r="C3177">
            <v>817300</v>
          </cell>
          <cell r="D3177">
            <v>1</v>
          </cell>
          <cell r="F3177" t="str">
            <v xml:space="preserve">עבודות קבלניות    </v>
          </cell>
          <cell r="G3177" t="str">
            <v>גמיש</v>
          </cell>
          <cell r="I3177">
            <v>0</v>
          </cell>
          <cell r="J3177">
            <v>0</v>
          </cell>
          <cell r="K3177">
            <v>0</v>
          </cell>
          <cell r="L3177">
            <v>2200</v>
          </cell>
          <cell r="M3177">
            <v>1932</v>
          </cell>
        </row>
        <row r="3178">
          <cell r="A3178">
            <v>1817300752</v>
          </cell>
          <cell r="B3178">
            <v>752</v>
          </cell>
          <cell r="C3178">
            <v>817300</v>
          </cell>
          <cell r="D3178">
            <v>1</v>
          </cell>
          <cell r="F3178" t="str">
            <v xml:space="preserve">נקיון בקבלנות     </v>
          </cell>
          <cell r="G3178" t="str">
            <v>קשיח</v>
          </cell>
          <cell r="H3178">
            <v>-1</v>
          </cell>
          <cell r="I3178">
            <v>0</v>
          </cell>
          <cell r="J3178">
            <v>64000</v>
          </cell>
          <cell r="K3178">
            <v>0</v>
          </cell>
          <cell r="L3178">
            <v>64000</v>
          </cell>
          <cell r="M3178">
            <v>0</v>
          </cell>
        </row>
        <row r="3179">
          <cell r="A3179">
            <v>1817300756</v>
          </cell>
          <cell r="B3179">
            <v>756</v>
          </cell>
          <cell r="C3179">
            <v>817300</v>
          </cell>
          <cell r="D3179">
            <v>1</v>
          </cell>
          <cell r="F3179" t="str">
            <v>שמירה בקבלנות</v>
          </cell>
          <cell r="G3179" t="str">
            <v>קשיח</v>
          </cell>
          <cell r="H3179">
            <v>-0.19999999999999996</v>
          </cell>
          <cell r="I3179">
            <v>160000</v>
          </cell>
          <cell r="J3179">
            <v>200000</v>
          </cell>
          <cell r="K3179">
            <v>70345.14</v>
          </cell>
          <cell r="L3179">
            <v>175000</v>
          </cell>
          <cell r="M3179">
            <v>156949.1</v>
          </cell>
        </row>
        <row r="3180">
          <cell r="A3180">
            <v>1817300780</v>
          </cell>
          <cell r="B3180">
            <v>780</v>
          </cell>
          <cell r="C3180">
            <v>817300</v>
          </cell>
          <cell r="D3180">
            <v>1</v>
          </cell>
          <cell r="F3180" t="str">
            <v>פעולות</v>
          </cell>
          <cell r="G3180" t="str">
            <v>גמיש</v>
          </cell>
          <cell r="I3180">
            <v>30000</v>
          </cell>
          <cell r="J3180">
            <v>0</v>
          </cell>
          <cell r="K3180">
            <v>0</v>
          </cell>
          <cell r="L3180">
            <v>0</v>
          </cell>
          <cell r="M3180">
            <v>0</v>
          </cell>
        </row>
        <row r="3181">
          <cell r="A3181">
            <v>1817300782</v>
          </cell>
          <cell r="B3181">
            <v>782</v>
          </cell>
          <cell r="C3181">
            <v>817300</v>
          </cell>
          <cell r="D3181">
            <v>1</v>
          </cell>
          <cell r="F3181" t="str">
            <v xml:space="preserve">יוזמות (מהכנסות)  </v>
          </cell>
          <cell r="G3181" t="str">
            <v>קשיח</v>
          </cell>
          <cell r="H3181">
            <v>0</v>
          </cell>
          <cell r="I3181">
            <v>30000</v>
          </cell>
          <cell r="J3181">
            <v>30000</v>
          </cell>
          <cell r="K3181">
            <v>0</v>
          </cell>
          <cell r="L3181">
            <v>30000</v>
          </cell>
          <cell r="M3181">
            <v>28420</v>
          </cell>
        </row>
        <row r="3182">
          <cell r="A3182">
            <v>1817300783</v>
          </cell>
          <cell r="B3182">
            <v>783</v>
          </cell>
          <cell r="C3182">
            <v>817300</v>
          </cell>
          <cell r="D3182">
            <v>1</v>
          </cell>
          <cell r="F3182" t="str">
            <v>שרות משלים(הכנסות)</v>
          </cell>
          <cell r="G3182" t="str">
            <v>קשיח</v>
          </cell>
          <cell r="H3182">
            <v>0.22222222222222232</v>
          </cell>
          <cell r="I3182">
            <v>550000</v>
          </cell>
          <cell r="J3182">
            <v>450000</v>
          </cell>
          <cell r="K3182">
            <v>288166</v>
          </cell>
          <cell r="L3182">
            <v>300000</v>
          </cell>
          <cell r="M3182">
            <v>422362</v>
          </cell>
        </row>
        <row r="3183">
          <cell r="A3183">
            <v>1817300784</v>
          </cell>
          <cell r="B3183">
            <v>784</v>
          </cell>
          <cell r="C3183">
            <v>817300</v>
          </cell>
          <cell r="D3183">
            <v>1</v>
          </cell>
          <cell r="F3183" t="str">
            <v>הכלה שפ"מ</v>
          </cell>
          <cell r="G3183" t="str">
            <v>קשיח</v>
          </cell>
          <cell r="H3183">
            <v>0.19999999999999996</v>
          </cell>
          <cell r="I3183">
            <v>600000</v>
          </cell>
          <cell r="J3183">
            <v>500000</v>
          </cell>
          <cell r="K3183">
            <v>257267</v>
          </cell>
          <cell r="L3183">
            <v>494000</v>
          </cell>
          <cell r="M3183">
            <v>410997</v>
          </cell>
        </row>
        <row r="3184">
          <cell r="A3184">
            <v>1817300785</v>
          </cell>
          <cell r="B3184">
            <v>785</v>
          </cell>
          <cell r="C3184">
            <v>817300</v>
          </cell>
          <cell r="D3184">
            <v>1</v>
          </cell>
          <cell r="F3184" t="str">
            <v>מניעת אובדנות-פסיכיאטר</v>
          </cell>
          <cell r="G3184" t="str">
            <v>קשיח</v>
          </cell>
          <cell r="H3184">
            <v>0</v>
          </cell>
          <cell r="I3184">
            <v>280000</v>
          </cell>
          <cell r="J3184">
            <v>280000</v>
          </cell>
          <cell r="K3184">
            <v>159268</v>
          </cell>
          <cell r="L3184">
            <v>280000</v>
          </cell>
          <cell r="M3184">
            <v>266433</v>
          </cell>
        </row>
        <row r="3185">
          <cell r="A3185">
            <v>1817300786</v>
          </cell>
          <cell r="B3185">
            <v>786</v>
          </cell>
          <cell r="C3185">
            <v>817300</v>
          </cell>
          <cell r="D3185">
            <v>1</v>
          </cell>
          <cell r="F3185" t="str">
            <v>אבחונים ואפיונים</v>
          </cell>
          <cell r="G3185" t="str">
            <v>גמיש</v>
          </cell>
          <cell r="H3185">
            <v>0.11111111111111116</v>
          </cell>
          <cell r="I3185">
            <v>60000</v>
          </cell>
          <cell r="J3185">
            <v>54000</v>
          </cell>
          <cell r="K3185">
            <v>39344</v>
          </cell>
          <cell r="L3185">
            <v>60000</v>
          </cell>
          <cell r="M3185">
            <v>57037</v>
          </cell>
        </row>
        <row r="3186">
          <cell r="A3186">
            <v>1817300787</v>
          </cell>
          <cell r="B3186">
            <v>787</v>
          </cell>
          <cell r="C3186">
            <v>817300</v>
          </cell>
          <cell r="D3186">
            <v>1</v>
          </cell>
          <cell r="F3186" t="str">
            <v>גני ASD פסיכולוגים</v>
          </cell>
          <cell r="G3186" t="str">
            <v>גמיש</v>
          </cell>
          <cell r="I3186">
            <v>0</v>
          </cell>
          <cell r="J3186">
            <v>0</v>
          </cell>
          <cell r="K3186">
            <v>0</v>
          </cell>
          <cell r="L3186">
            <v>0</v>
          </cell>
          <cell r="M3186">
            <v>0</v>
          </cell>
        </row>
        <row r="3187">
          <cell r="A3187">
            <v>1817300788</v>
          </cell>
          <cell r="B3187">
            <v>788</v>
          </cell>
          <cell r="C3187">
            <v>817300</v>
          </cell>
          <cell r="D3187">
            <v>1</v>
          </cell>
          <cell r="F3187" t="str">
            <v>מרכז טראומה מרחבים</v>
          </cell>
          <cell r="G3187" t="str">
            <v>גמיש</v>
          </cell>
          <cell r="H3187">
            <v>0.32535419219049411</v>
          </cell>
          <cell r="I3187">
            <v>843800</v>
          </cell>
          <cell r="J3187">
            <v>636660</v>
          </cell>
          <cell r="K3187">
            <v>161594</v>
          </cell>
          <cell r="L3187">
            <v>0</v>
          </cell>
          <cell r="M3187">
            <v>112178</v>
          </cell>
        </row>
        <row r="3188">
          <cell r="A3188">
            <v>1817300789</v>
          </cell>
          <cell r="B3188">
            <v>789</v>
          </cell>
          <cell r="C3188">
            <v>817300</v>
          </cell>
          <cell r="D3188">
            <v>1</v>
          </cell>
          <cell r="F3188" t="str">
            <v>לקויות למידה שפ"ח</v>
          </cell>
          <cell r="G3188" t="str">
            <v>גמיש</v>
          </cell>
          <cell r="I3188">
            <v>0</v>
          </cell>
          <cell r="K3188">
            <v>3976</v>
          </cell>
          <cell r="L3188">
            <v>0</v>
          </cell>
        </row>
        <row r="3189">
          <cell r="A3189">
            <v>1817300931</v>
          </cell>
          <cell r="B3189">
            <v>931</v>
          </cell>
          <cell r="C3189">
            <v>817300</v>
          </cell>
          <cell r="D3189">
            <v>1</v>
          </cell>
          <cell r="F3189" t="str">
            <v>פעולות ורכישות שונות</v>
          </cell>
          <cell r="G3189" t="str">
            <v>גמיש</v>
          </cell>
          <cell r="H3189">
            <v>1.0576131687242798</v>
          </cell>
          <cell r="I3189">
            <v>50000</v>
          </cell>
          <cell r="J3189">
            <v>24300</v>
          </cell>
          <cell r="K3189">
            <v>15311.98</v>
          </cell>
          <cell r="L3189">
            <v>27000</v>
          </cell>
          <cell r="M3189">
            <v>27121.26</v>
          </cell>
        </row>
        <row r="3190">
          <cell r="A3190">
            <v>1817300961</v>
          </cell>
          <cell r="B3190">
            <v>961</v>
          </cell>
          <cell r="C3190">
            <v>817300</v>
          </cell>
          <cell r="D3190">
            <v>1</v>
          </cell>
          <cell r="F3190" t="str">
            <v>שירות פסיכולוגי-משרו</v>
          </cell>
          <cell r="G3190" t="str">
            <v>קשיח</v>
          </cell>
          <cell r="H3190">
            <v>0.11111111111111116</v>
          </cell>
          <cell r="I3190">
            <v>560000</v>
          </cell>
          <cell r="J3190">
            <v>504000</v>
          </cell>
          <cell r="K3190">
            <v>245355</v>
          </cell>
          <cell r="L3190">
            <v>610000</v>
          </cell>
          <cell r="M3190">
            <v>729810.36</v>
          </cell>
        </row>
        <row r="3191">
          <cell r="A3191" t="e">
            <v>#VALUE!</v>
          </cell>
          <cell r="B3191" t="str">
            <v>817300  סך הכל</v>
          </cell>
          <cell r="F3191" t="str">
            <v>שרותים פסיכולוגיים</v>
          </cell>
          <cell r="H3191">
            <v>5.2358935754736935E-2</v>
          </cell>
          <cell r="I3191">
            <v>15294479.639970183</v>
          </cell>
          <cell r="J3191">
            <v>14533520</v>
          </cell>
          <cell r="K3191">
            <v>11471284.010000005</v>
          </cell>
          <cell r="L3191">
            <v>13214400</v>
          </cell>
          <cell r="M3191">
            <v>15394047.9</v>
          </cell>
        </row>
        <row r="3192">
          <cell r="A3192">
            <v>18176000</v>
          </cell>
          <cell r="B3192">
            <v>0</v>
          </cell>
          <cell r="C3192">
            <v>817600</v>
          </cell>
          <cell r="D3192">
            <v>1</v>
          </cell>
          <cell r="F3192" t="str">
            <v xml:space="preserve">רווחה חינוכית     </v>
          </cell>
          <cell r="G3192" t="str">
            <v xml:space="preserve"> </v>
          </cell>
        </row>
        <row r="3193">
          <cell r="A3193">
            <v>1817600119</v>
          </cell>
          <cell r="B3193">
            <v>119</v>
          </cell>
          <cell r="C3193">
            <v>817600</v>
          </cell>
          <cell r="D3193">
            <v>1</v>
          </cell>
          <cell r="F3193" t="str">
            <v xml:space="preserve">השכר הקובע-צוברת  </v>
          </cell>
          <cell r="G3193" t="str">
            <v>שכר</v>
          </cell>
          <cell r="H3193">
            <v>2.4999999999999911E-2</v>
          </cell>
          <cell r="I3193">
            <v>421069.99999999994</v>
          </cell>
          <cell r="J3193">
            <v>410800</v>
          </cell>
          <cell r="K3193">
            <v>77371.929999999993</v>
          </cell>
          <cell r="L3193">
            <v>402700</v>
          </cell>
          <cell r="M3193">
            <v>123784.38</v>
          </cell>
        </row>
        <row r="3194">
          <cell r="A3194">
            <v>1817600122</v>
          </cell>
          <cell r="B3194">
            <v>122</v>
          </cell>
          <cell r="C3194">
            <v>817600</v>
          </cell>
          <cell r="D3194">
            <v>1</v>
          </cell>
          <cell r="F3194" t="str">
            <v xml:space="preserve">ביגוד             </v>
          </cell>
          <cell r="G3194" t="str">
            <v>שכר</v>
          </cell>
          <cell r="H3194">
            <v>0</v>
          </cell>
          <cell r="I3194">
            <v>1900</v>
          </cell>
          <cell r="J3194">
            <v>1900</v>
          </cell>
          <cell r="K3194">
            <v>1777</v>
          </cell>
          <cell r="L3194">
            <v>6100</v>
          </cell>
          <cell r="M3194">
            <v>1724</v>
          </cell>
        </row>
        <row r="3195">
          <cell r="A3195">
            <v>1817600126</v>
          </cell>
          <cell r="B3195">
            <v>126</v>
          </cell>
          <cell r="C3195">
            <v>817600</v>
          </cell>
          <cell r="D3195">
            <v>1</v>
          </cell>
          <cell r="F3195" t="str">
            <v xml:space="preserve">דמי הבראה         </v>
          </cell>
          <cell r="G3195" t="str">
            <v>שכר</v>
          </cell>
          <cell r="H3195">
            <v>0</v>
          </cell>
          <cell r="I3195">
            <v>5600</v>
          </cell>
          <cell r="J3195">
            <v>5600</v>
          </cell>
          <cell r="K3195">
            <v>5185.3999999999996</v>
          </cell>
          <cell r="L3195">
            <v>7000</v>
          </cell>
          <cell r="M3195">
            <v>5185.3999999999996</v>
          </cell>
        </row>
        <row r="3196">
          <cell r="A3196">
            <v>1817600130</v>
          </cell>
          <cell r="B3196">
            <v>130</v>
          </cell>
          <cell r="C3196">
            <v>817600</v>
          </cell>
          <cell r="D3196">
            <v>1</v>
          </cell>
          <cell r="F3196" t="str">
            <v xml:space="preserve">שעות נוספות       </v>
          </cell>
          <cell r="G3196" t="str">
            <v>שכר</v>
          </cell>
          <cell r="H3196">
            <v>0</v>
          </cell>
          <cell r="I3196">
            <v>13760</v>
          </cell>
          <cell r="J3196">
            <v>13760</v>
          </cell>
          <cell r="K3196">
            <v>0</v>
          </cell>
          <cell r="L3196">
            <v>16000</v>
          </cell>
          <cell r="M3196">
            <v>0</v>
          </cell>
        </row>
        <row r="3197">
          <cell r="A3197">
            <v>1817600140</v>
          </cell>
          <cell r="B3197">
            <v>140</v>
          </cell>
          <cell r="C3197">
            <v>817600</v>
          </cell>
          <cell r="D3197">
            <v>1</v>
          </cell>
          <cell r="F3197" t="str">
            <v>השתתפות באחזקת רכב</v>
          </cell>
          <cell r="G3197" t="str">
            <v>שכר</v>
          </cell>
          <cell r="H3197">
            <v>0</v>
          </cell>
          <cell r="I3197">
            <v>38500</v>
          </cell>
          <cell r="J3197">
            <v>38500</v>
          </cell>
          <cell r="K3197">
            <v>0</v>
          </cell>
          <cell r="L3197">
            <v>38500</v>
          </cell>
          <cell r="M3197">
            <v>0</v>
          </cell>
        </row>
        <row r="3198">
          <cell r="A3198">
            <v>1817600571</v>
          </cell>
          <cell r="B3198">
            <v>571</v>
          </cell>
          <cell r="C3198">
            <v>817600</v>
          </cell>
          <cell r="D3198">
            <v>1</v>
          </cell>
          <cell r="F3198" t="str">
            <v xml:space="preserve">מיכון וענ"א       </v>
          </cell>
          <cell r="G3198" t="str">
            <v>קשיח</v>
          </cell>
          <cell r="H3198">
            <v>1.3417266187050361</v>
          </cell>
          <cell r="I3198">
            <v>65100</v>
          </cell>
          <cell r="J3198">
            <v>27800</v>
          </cell>
          <cell r="K3198">
            <v>13900</v>
          </cell>
          <cell r="L3198">
            <v>18600</v>
          </cell>
          <cell r="M3198">
            <v>18600</v>
          </cell>
        </row>
        <row r="3199">
          <cell r="A3199">
            <v>1817600781</v>
          </cell>
          <cell r="B3199">
            <v>781</v>
          </cell>
          <cell r="C3199">
            <v>817600</v>
          </cell>
          <cell r="D3199">
            <v>1</v>
          </cell>
          <cell r="F3199" t="str">
            <v>ארועים ופע' תיגבור</v>
          </cell>
          <cell r="G3199" t="str">
            <v>קשיח</v>
          </cell>
          <cell r="I3199">
            <v>0</v>
          </cell>
          <cell r="J3199">
            <v>0</v>
          </cell>
          <cell r="K3199">
            <v>0</v>
          </cell>
          <cell r="L3199">
            <v>90000</v>
          </cell>
          <cell r="M3199">
            <v>0</v>
          </cell>
        </row>
        <row r="3200">
          <cell r="A3200">
            <v>1817600782</v>
          </cell>
          <cell r="B3200">
            <v>782</v>
          </cell>
          <cell r="C3200">
            <v>817600</v>
          </cell>
          <cell r="D3200">
            <v>1</v>
          </cell>
          <cell r="F3200" t="str">
            <v>פעולות רווחה חינוכית</v>
          </cell>
          <cell r="G3200" t="str">
            <v>קשיח</v>
          </cell>
          <cell r="H3200">
            <v>0</v>
          </cell>
          <cell r="I3200">
            <v>50000</v>
          </cell>
          <cell r="J3200">
            <v>50000</v>
          </cell>
          <cell r="K3200">
            <v>2400</v>
          </cell>
          <cell r="L3200">
            <v>45000</v>
          </cell>
          <cell r="M3200">
            <v>44378.96</v>
          </cell>
        </row>
        <row r="3201">
          <cell r="A3201">
            <v>1817600783</v>
          </cell>
          <cell r="B3201">
            <v>783</v>
          </cell>
          <cell r="C3201">
            <v>817600</v>
          </cell>
          <cell r="D3201">
            <v>1</v>
          </cell>
          <cell r="F3201" t="str">
            <v>אם לאם בקהילה</v>
          </cell>
          <cell r="G3201" t="str">
            <v>גמיש</v>
          </cell>
          <cell r="I3201">
            <v>0</v>
          </cell>
          <cell r="J3201">
            <v>0</v>
          </cell>
          <cell r="K3201">
            <v>0</v>
          </cell>
          <cell r="L3201">
            <v>0</v>
          </cell>
          <cell r="M3201">
            <v>0</v>
          </cell>
        </row>
        <row r="3202">
          <cell r="A3202" t="e">
            <v>#VALUE!</v>
          </cell>
          <cell r="B3202" t="str">
            <v>817600  סך הכל</v>
          </cell>
          <cell r="F3202" t="str">
            <v xml:space="preserve">רווחה חינוכית     </v>
          </cell>
          <cell r="H3202">
            <v>8.6749580567510476E-2</v>
          </cell>
          <cell r="I3202">
            <v>595930</v>
          </cell>
          <cell r="J3202">
            <v>548360</v>
          </cell>
          <cell r="K3202">
            <v>100634.32999999999</v>
          </cell>
          <cell r="L3202">
            <v>623900</v>
          </cell>
          <cell r="M3202">
            <v>193672.74</v>
          </cell>
        </row>
        <row r="3203">
          <cell r="A3203">
            <v>18178000</v>
          </cell>
          <cell r="B3203">
            <v>0</v>
          </cell>
          <cell r="C3203">
            <v>817800</v>
          </cell>
          <cell r="D3203">
            <v>1</v>
          </cell>
          <cell r="F3203" t="str">
            <v xml:space="preserve">הסעת ילדים        </v>
          </cell>
          <cell r="G3203" t="str">
            <v xml:space="preserve"> </v>
          </cell>
        </row>
        <row r="3204">
          <cell r="A3204">
            <v>1817800710</v>
          </cell>
          <cell r="B3204">
            <v>710</v>
          </cell>
          <cell r="C3204">
            <v>817800</v>
          </cell>
          <cell r="D3204">
            <v>1</v>
          </cell>
          <cell r="F3204" t="str">
            <v xml:space="preserve">הסעת תלמידים      </v>
          </cell>
          <cell r="G3204" t="str">
            <v>קשיח</v>
          </cell>
          <cell r="H3204">
            <v>0</v>
          </cell>
          <cell r="I3204">
            <v>49000000</v>
          </cell>
          <cell r="J3204">
            <v>49000000</v>
          </cell>
          <cell r="K3204">
            <v>24996915.390000001</v>
          </cell>
          <cell r="L3204">
            <v>40000000</v>
          </cell>
          <cell r="M3204">
            <v>48044739.700000003</v>
          </cell>
        </row>
        <row r="3205">
          <cell r="A3205">
            <v>1817800711</v>
          </cell>
          <cell r="B3205">
            <v>711</v>
          </cell>
          <cell r="C3205">
            <v>817800</v>
          </cell>
          <cell r="D3205">
            <v>1</v>
          </cell>
          <cell r="F3205" t="str">
            <v xml:space="preserve">השתתפות בכרטיסיות </v>
          </cell>
          <cell r="G3205" t="str">
            <v>קשיח</v>
          </cell>
          <cell r="H3205">
            <v>0</v>
          </cell>
          <cell r="I3205">
            <v>600000</v>
          </cell>
          <cell r="J3205">
            <v>600000</v>
          </cell>
          <cell r="K3205">
            <v>322857.13</v>
          </cell>
          <cell r="L3205">
            <v>550000</v>
          </cell>
          <cell r="M3205">
            <v>549999.19999999995</v>
          </cell>
        </row>
        <row r="3206">
          <cell r="A3206">
            <v>1817800712</v>
          </cell>
          <cell r="B3206">
            <v>712</v>
          </cell>
          <cell r="C3206">
            <v>817800</v>
          </cell>
          <cell r="D3206">
            <v>1</v>
          </cell>
          <cell r="F3206" t="str">
            <v>הסעות צרכים מיוחדים</v>
          </cell>
          <cell r="G3206" t="str">
            <v>קשיח</v>
          </cell>
          <cell r="I3206">
            <v>0</v>
          </cell>
          <cell r="J3206">
            <v>0</v>
          </cell>
          <cell r="K3206">
            <v>0</v>
          </cell>
          <cell r="L3206">
            <v>0</v>
          </cell>
          <cell r="M3206">
            <v>0</v>
          </cell>
        </row>
        <row r="3207">
          <cell r="A3207">
            <v>1817800713</v>
          </cell>
          <cell r="B3207">
            <v>713</v>
          </cell>
          <cell r="C3207">
            <v>817800</v>
          </cell>
          <cell r="D3207">
            <v>1</v>
          </cell>
          <cell r="F3207" t="str">
            <v>תוכנת בקרת היסעים</v>
          </cell>
          <cell r="G3207" t="str">
            <v>קשיח</v>
          </cell>
          <cell r="H3207">
            <v>0.11111111111111116</v>
          </cell>
          <cell r="I3207">
            <v>1250000</v>
          </cell>
          <cell r="J3207">
            <v>1125000</v>
          </cell>
          <cell r="K3207">
            <v>514825</v>
          </cell>
          <cell r="L3207">
            <v>1350000</v>
          </cell>
          <cell r="M3207">
            <v>1183341</v>
          </cell>
        </row>
        <row r="3208">
          <cell r="A3208">
            <v>1817800759</v>
          </cell>
          <cell r="B3208">
            <v>759</v>
          </cell>
          <cell r="C3208">
            <v>817800</v>
          </cell>
          <cell r="D3208">
            <v>1</v>
          </cell>
          <cell r="F3208" t="str">
            <v xml:space="preserve">מלווים בהסעים     </v>
          </cell>
          <cell r="G3208" t="str">
            <v>שכר</v>
          </cell>
          <cell r="H3208">
            <v>4.3707444118890049E-3</v>
          </cell>
          <cell r="I3208">
            <v>43500000</v>
          </cell>
          <cell r="J3208">
            <v>43310700</v>
          </cell>
          <cell r="K3208">
            <v>25104521</v>
          </cell>
          <cell r="L3208">
            <v>36336400</v>
          </cell>
          <cell r="M3208">
            <v>40881893.759999998</v>
          </cell>
        </row>
        <row r="3209">
          <cell r="A3209" t="e">
            <v>#VALUE!</v>
          </cell>
          <cell r="B3209" t="str">
            <v>817800  סך הכל</v>
          </cell>
          <cell r="F3209" t="str">
            <v xml:space="preserve">הסעת ילדים        </v>
          </cell>
          <cell r="H3209">
            <v>3.3423476403111607E-3</v>
          </cell>
          <cell r="I3209">
            <v>94350000</v>
          </cell>
          <cell r="J3209">
            <v>94035700</v>
          </cell>
          <cell r="K3209">
            <v>50939118.519999996</v>
          </cell>
          <cell r="L3209">
            <v>78236400</v>
          </cell>
          <cell r="M3209">
            <v>90659973.659999996</v>
          </cell>
        </row>
        <row r="3210">
          <cell r="A3210">
            <v>18179100</v>
          </cell>
          <cell r="B3210">
            <v>0</v>
          </cell>
          <cell r="C3210">
            <v>817910</v>
          </cell>
          <cell r="D3210">
            <v>1</v>
          </cell>
          <cell r="F3210" t="str">
            <v xml:space="preserve">אספקת ספרים וציוד </v>
          </cell>
          <cell r="G3210" t="str">
            <v xml:space="preserve"> </v>
          </cell>
        </row>
        <row r="3211">
          <cell r="A3211">
            <v>1817910441</v>
          </cell>
          <cell r="B3211">
            <v>441</v>
          </cell>
          <cell r="C3211">
            <v>817910</v>
          </cell>
          <cell r="D3211">
            <v>1</v>
          </cell>
          <cell r="F3211" t="str">
            <v>ביטוח תאונות לתלמ'</v>
          </cell>
          <cell r="G3211" t="str">
            <v>קשיח</v>
          </cell>
          <cell r="H3211">
            <v>0</v>
          </cell>
          <cell r="I3211">
            <v>2600000</v>
          </cell>
          <cell r="J3211">
            <v>2600000</v>
          </cell>
          <cell r="K3211">
            <v>2447544</v>
          </cell>
          <cell r="L3211">
            <v>2453000</v>
          </cell>
          <cell r="M3211">
            <v>2452329</v>
          </cell>
        </row>
        <row r="3212">
          <cell r="A3212">
            <v>1817910723</v>
          </cell>
          <cell r="B3212">
            <v>723</v>
          </cell>
          <cell r="C3212">
            <v>817910</v>
          </cell>
          <cell r="D3212">
            <v>1</v>
          </cell>
          <cell r="F3212" t="str">
            <v xml:space="preserve">אספקת חומרי מלאכה </v>
          </cell>
          <cell r="G3212" t="str">
            <v>קשיח</v>
          </cell>
          <cell r="I3212">
            <v>0</v>
          </cell>
          <cell r="J3212">
            <v>0</v>
          </cell>
          <cell r="K3212">
            <v>-6348.87</v>
          </cell>
          <cell r="L3212">
            <v>22000</v>
          </cell>
          <cell r="M3212">
            <v>22383.51</v>
          </cell>
        </row>
        <row r="3213">
          <cell r="A3213">
            <v>1817910725</v>
          </cell>
          <cell r="B3213">
            <v>725</v>
          </cell>
          <cell r="C3213">
            <v>817910</v>
          </cell>
          <cell r="D3213">
            <v>1</v>
          </cell>
          <cell r="F3213" t="str">
            <v>ח' מלאכה על- יסודי</v>
          </cell>
          <cell r="G3213" t="str">
            <v>קשיח</v>
          </cell>
          <cell r="I3213">
            <v>0</v>
          </cell>
          <cell r="J3213">
            <v>0</v>
          </cell>
          <cell r="K3213">
            <v>-11277.31</v>
          </cell>
          <cell r="L3213">
            <v>0</v>
          </cell>
          <cell r="M3213">
            <v>0</v>
          </cell>
        </row>
        <row r="3214">
          <cell r="A3214">
            <v>1817910742</v>
          </cell>
          <cell r="B3214">
            <v>742</v>
          </cell>
          <cell r="C3214">
            <v>817910</v>
          </cell>
          <cell r="D3214">
            <v>1</v>
          </cell>
          <cell r="F3214" t="str">
            <v xml:space="preserve">אספקת ספרים       </v>
          </cell>
          <cell r="G3214" t="str">
            <v>קשיח</v>
          </cell>
          <cell r="H3214">
            <v>0</v>
          </cell>
          <cell r="I3214">
            <v>4300000</v>
          </cell>
          <cell r="J3214">
            <v>4300000</v>
          </cell>
          <cell r="K3214">
            <v>166915</v>
          </cell>
          <cell r="L3214">
            <v>4300000</v>
          </cell>
          <cell r="M3214">
            <v>3875395.31</v>
          </cell>
        </row>
        <row r="3215">
          <cell r="A3215">
            <v>1817910756</v>
          </cell>
          <cell r="B3215">
            <v>756</v>
          </cell>
          <cell r="C3215">
            <v>817910</v>
          </cell>
          <cell r="D3215">
            <v>1</v>
          </cell>
          <cell r="F3215" t="str">
            <v>אבטחת מוסדות חינוך</v>
          </cell>
          <cell r="G3215" t="str">
            <v>קשיח</v>
          </cell>
          <cell r="H3215">
            <v>4.3478260869565188E-2</v>
          </cell>
          <cell r="I3215">
            <v>24000000</v>
          </cell>
          <cell r="J3215">
            <v>23000000</v>
          </cell>
          <cell r="K3215">
            <v>10166043.619999999</v>
          </cell>
          <cell r="L3215">
            <v>19500000</v>
          </cell>
          <cell r="M3215">
            <v>23657065.870000001</v>
          </cell>
        </row>
        <row r="3216">
          <cell r="A3216">
            <v>1817910782</v>
          </cell>
          <cell r="B3216">
            <v>782</v>
          </cell>
          <cell r="C3216">
            <v>817910</v>
          </cell>
          <cell r="D3216">
            <v>1</v>
          </cell>
          <cell r="F3216" t="str">
            <v xml:space="preserve">סל לעולים         </v>
          </cell>
          <cell r="G3216" t="str">
            <v>קשיח</v>
          </cell>
          <cell r="H3216">
            <v>-0.42528735632183912</v>
          </cell>
          <cell r="I3216">
            <v>100000</v>
          </cell>
          <cell r="J3216">
            <v>174000</v>
          </cell>
          <cell r="K3216">
            <v>2947.66</v>
          </cell>
          <cell r="L3216">
            <v>140000</v>
          </cell>
          <cell r="M3216">
            <v>90027.99</v>
          </cell>
        </row>
        <row r="3217">
          <cell r="A3217">
            <v>1817910783</v>
          </cell>
          <cell r="B3217">
            <v>783</v>
          </cell>
          <cell r="C3217">
            <v>817910</v>
          </cell>
          <cell r="D3217">
            <v>1</v>
          </cell>
          <cell r="F3217" t="str">
            <v xml:space="preserve">הקצבת שיכפול      </v>
          </cell>
          <cell r="G3217" t="str">
            <v>קשיח</v>
          </cell>
          <cell r="I3217">
            <v>0</v>
          </cell>
          <cell r="J3217">
            <v>0</v>
          </cell>
          <cell r="K3217">
            <v>-30780.46</v>
          </cell>
          <cell r="L3217">
            <v>113000</v>
          </cell>
          <cell r="M3217">
            <v>112168.36</v>
          </cell>
        </row>
        <row r="3218">
          <cell r="A3218">
            <v>1817910785</v>
          </cell>
          <cell r="B3218">
            <v>785</v>
          </cell>
          <cell r="C3218">
            <v>817910</v>
          </cell>
          <cell r="D3218">
            <v>1</v>
          </cell>
          <cell r="F3218" t="str">
            <v>תשלום ועד הורים</v>
          </cell>
          <cell r="G3218" t="str">
            <v>קשיח</v>
          </cell>
          <cell r="H3218">
            <v>-1</v>
          </cell>
          <cell r="I3218">
            <v>0</v>
          </cell>
          <cell r="J3218">
            <v>40000</v>
          </cell>
          <cell r="K3218">
            <v>0</v>
          </cell>
          <cell r="L3218">
            <v>35000</v>
          </cell>
          <cell r="M3218">
            <v>40808</v>
          </cell>
        </row>
        <row r="3219">
          <cell r="A3219">
            <v>1817910794</v>
          </cell>
          <cell r="B3219">
            <v>794</v>
          </cell>
          <cell r="C3219">
            <v>817910</v>
          </cell>
          <cell r="D3219">
            <v>1</v>
          </cell>
          <cell r="F3219" t="str">
            <v xml:space="preserve">השתתפות בעזר 094  </v>
          </cell>
          <cell r="G3219" t="str">
            <v>קשיח</v>
          </cell>
          <cell r="H3219">
            <v>0.38235294117647056</v>
          </cell>
          <cell r="I3219">
            <v>9400</v>
          </cell>
          <cell r="J3219">
            <v>6800</v>
          </cell>
          <cell r="K3219">
            <v>3212</v>
          </cell>
          <cell r="L3219">
            <v>6400</v>
          </cell>
          <cell r="M3219">
            <v>7634</v>
          </cell>
        </row>
        <row r="3220">
          <cell r="A3220" t="e">
            <v>#VALUE!</v>
          </cell>
          <cell r="B3220" t="str">
            <v>817910  סך הכל</v>
          </cell>
          <cell r="F3220" t="str">
            <v xml:space="preserve">אספקת ספרים וציוד </v>
          </cell>
          <cell r="H3220">
            <v>2.9501208467238582E-2</v>
          </cell>
          <cell r="I3220">
            <v>31009400</v>
          </cell>
          <cell r="J3220">
            <v>30120800</v>
          </cell>
          <cell r="K3220">
            <v>12738255.639999999</v>
          </cell>
          <cell r="L3220">
            <v>26569400</v>
          </cell>
          <cell r="M3220">
            <v>30257812.039999999</v>
          </cell>
        </row>
        <row r="3221">
          <cell r="A3221">
            <v>18179200</v>
          </cell>
          <cell r="B3221">
            <v>0</v>
          </cell>
          <cell r="C3221">
            <v>817920</v>
          </cell>
          <cell r="D3221">
            <v>1</v>
          </cell>
          <cell r="F3221" t="str">
            <v>תחנה לטיפול בדיבור</v>
          </cell>
          <cell r="G3221" t="str">
            <v xml:space="preserve"> </v>
          </cell>
        </row>
        <row r="3222">
          <cell r="A3222">
            <v>1817920119</v>
          </cell>
          <cell r="B3222">
            <v>119</v>
          </cell>
          <cell r="C3222">
            <v>817920</v>
          </cell>
          <cell r="D3222">
            <v>1</v>
          </cell>
          <cell r="F3222" t="str">
            <v xml:space="preserve">השכר הקובע-צוברת  </v>
          </cell>
          <cell r="G3222" t="str">
            <v>שכר</v>
          </cell>
          <cell r="H3222">
            <v>2.4999999999999911E-2</v>
          </cell>
          <cell r="I3222">
            <v>114799.99999999999</v>
          </cell>
          <cell r="J3222">
            <v>112000</v>
          </cell>
          <cell r="K3222">
            <v>78738.710000000006</v>
          </cell>
          <cell r="L3222">
            <v>3300</v>
          </cell>
          <cell r="M3222">
            <v>112364.84</v>
          </cell>
        </row>
        <row r="3223">
          <cell r="A3223">
            <v>1817920122</v>
          </cell>
          <cell r="B3223">
            <v>122</v>
          </cell>
          <cell r="C3223">
            <v>817920</v>
          </cell>
          <cell r="D3223">
            <v>1</v>
          </cell>
          <cell r="F3223" t="str">
            <v xml:space="preserve">ביגוד             </v>
          </cell>
          <cell r="G3223" t="str">
            <v>שכר</v>
          </cell>
          <cell r="H3223">
            <v>0</v>
          </cell>
          <cell r="I3223">
            <v>1100</v>
          </cell>
          <cell r="J3223">
            <v>1100</v>
          </cell>
          <cell r="K3223">
            <v>1599.3</v>
          </cell>
          <cell r="L3223">
            <v>3700</v>
          </cell>
          <cell r="M3223">
            <v>1003.23</v>
          </cell>
        </row>
        <row r="3224">
          <cell r="A3224">
            <v>1817920126</v>
          </cell>
          <cell r="B3224">
            <v>126</v>
          </cell>
          <cell r="C3224">
            <v>817920</v>
          </cell>
          <cell r="D3224">
            <v>1</v>
          </cell>
          <cell r="F3224" t="str">
            <v xml:space="preserve">דמי הבראה         </v>
          </cell>
          <cell r="G3224" t="str">
            <v>שכר</v>
          </cell>
          <cell r="H3224">
            <v>0</v>
          </cell>
          <cell r="I3224">
            <v>2900</v>
          </cell>
          <cell r="J3224">
            <v>2900</v>
          </cell>
          <cell r="K3224">
            <v>4666.8599999999997</v>
          </cell>
          <cell r="L3224">
            <v>2000</v>
          </cell>
          <cell r="M3224">
            <v>2743.16</v>
          </cell>
        </row>
        <row r="3225">
          <cell r="A3225">
            <v>1817920130</v>
          </cell>
          <cell r="B3225">
            <v>130</v>
          </cell>
          <cell r="C3225">
            <v>817920</v>
          </cell>
          <cell r="D3225">
            <v>1</v>
          </cell>
          <cell r="F3225" t="str">
            <v xml:space="preserve">שעות נוספות       </v>
          </cell>
          <cell r="G3225" t="str">
            <v>שכר</v>
          </cell>
          <cell r="I3225">
            <v>0</v>
          </cell>
          <cell r="J3225">
            <v>0</v>
          </cell>
          <cell r="K3225">
            <v>0</v>
          </cell>
          <cell r="L3225">
            <v>0</v>
          </cell>
          <cell r="M3225">
            <v>552.37</v>
          </cell>
        </row>
        <row r="3226">
          <cell r="A3226" t="e">
            <v>#VALUE!</v>
          </cell>
          <cell r="B3226" t="str">
            <v>817920  סך הכל</v>
          </cell>
          <cell r="F3226" t="str">
            <v>תחנה לטיפול בדיבור</v>
          </cell>
          <cell r="H3226">
            <v>2.4137931034482696E-2</v>
          </cell>
          <cell r="I3226">
            <v>118799.99999999999</v>
          </cell>
          <cell r="J3226">
            <v>116000</v>
          </cell>
          <cell r="K3226">
            <v>85004.87000000001</v>
          </cell>
          <cell r="L3226">
            <v>9000</v>
          </cell>
          <cell r="M3226">
            <v>116663.59999999999</v>
          </cell>
        </row>
        <row r="3227">
          <cell r="A3227">
            <v>18179300</v>
          </cell>
          <cell r="B3227">
            <v>0</v>
          </cell>
          <cell r="C3227">
            <v>817930</v>
          </cell>
          <cell r="D3227">
            <v>1</v>
          </cell>
          <cell r="F3227" t="str">
            <v xml:space="preserve">תיאטרון סל-תרבות  </v>
          </cell>
          <cell r="G3227" t="str">
            <v xml:space="preserve"> </v>
          </cell>
        </row>
        <row r="3228">
          <cell r="A3228">
            <v>1817930119</v>
          </cell>
          <cell r="B3228">
            <v>119</v>
          </cell>
          <cell r="C3228">
            <v>817930</v>
          </cell>
          <cell r="D3228">
            <v>1</v>
          </cell>
          <cell r="F3228" t="str">
            <v xml:space="preserve">השכר הקובע-צוברת  </v>
          </cell>
          <cell r="G3228" t="str">
            <v>שכר</v>
          </cell>
          <cell r="H3228">
            <v>2.499309551208273E-2</v>
          </cell>
          <cell r="I3228">
            <v>445359.49999999994</v>
          </cell>
          <cell r="J3228">
            <v>434500</v>
          </cell>
          <cell r="K3228">
            <v>133874.84</v>
          </cell>
          <cell r="L3228">
            <v>426000</v>
          </cell>
          <cell r="M3228">
            <v>301671.7</v>
          </cell>
        </row>
        <row r="3229">
          <cell r="A3229">
            <v>1817930122</v>
          </cell>
          <cell r="B3229">
            <v>122</v>
          </cell>
          <cell r="C3229">
            <v>817930</v>
          </cell>
          <cell r="D3229">
            <v>1</v>
          </cell>
          <cell r="F3229" t="str">
            <v xml:space="preserve">ביגוד             </v>
          </cell>
          <cell r="G3229" t="str">
            <v>שכר</v>
          </cell>
          <cell r="H3229">
            <v>0</v>
          </cell>
          <cell r="I3229">
            <v>3800</v>
          </cell>
          <cell r="J3229">
            <v>3800</v>
          </cell>
          <cell r="K3229">
            <v>2305.4699999999998</v>
          </cell>
          <cell r="L3229">
            <v>5600</v>
          </cell>
          <cell r="M3229">
            <v>3459.18</v>
          </cell>
        </row>
        <row r="3230">
          <cell r="A3230">
            <v>1817930126</v>
          </cell>
          <cell r="B3230">
            <v>126</v>
          </cell>
          <cell r="C3230">
            <v>817930</v>
          </cell>
          <cell r="D3230">
            <v>1</v>
          </cell>
          <cell r="F3230" t="str">
            <v xml:space="preserve">דמי הבראה         </v>
          </cell>
          <cell r="G3230" t="str">
            <v>שכר</v>
          </cell>
          <cell r="H3230">
            <v>0</v>
          </cell>
          <cell r="I3230">
            <v>8900</v>
          </cell>
          <cell r="J3230">
            <v>8900</v>
          </cell>
          <cell r="K3230">
            <v>5260.82</v>
          </cell>
          <cell r="L3230">
            <v>8000</v>
          </cell>
          <cell r="M3230">
            <v>8353.2000000000007</v>
          </cell>
        </row>
        <row r="3231">
          <cell r="A3231">
            <v>1817930130</v>
          </cell>
          <cell r="B3231">
            <v>130</v>
          </cell>
          <cell r="C3231">
            <v>817930</v>
          </cell>
          <cell r="D3231">
            <v>1</v>
          </cell>
          <cell r="F3231" t="str">
            <v xml:space="preserve">שעות נוספות       </v>
          </cell>
          <cell r="G3231" t="str">
            <v>שכר</v>
          </cell>
          <cell r="H3231">
            <v>0</v>
          </cell>
          <cell r="I3231">
            <v>3440</v>
          </cell>
          <cell r="J3231">
            <v>3440</v>
          </cell>
          <cell r="K3231">
            <v>2675.86</v>
          </cell>
          <cell r="L3231">
            <v>4000</v>
          </cell>
          <cell r="M3231">
            <v>837.23</v>
          </cell>
        </row>
        <row r="3232">
          <cell r="A3232">
            <v>1817930140</v>
          </cell>
          <cell r="B3232">
            <v>140</v>
          </cell>
          <cell r="C3232">
            <v>817930</v>
          </cell>
          <cell r="D3232">
            <v>1</v>
          </cell>
          <cell r="F3232" t="str">
            <v>השתתפות באחזקת רכב</v>
          </cell>
          <cell r="G3232" t="str">
            <v>שכר</v>
          </cell>
          <cell r="H3232">
            <v>0</v>
          </cell>
          <cell r="I3232">
            <v>43700</v>
          </cell>
          <cell r="J3232">
            <v>43700</v>
          </cell>
          <cell r="K3232">
            <v>16108.39</v>
          </cell>
          <cell r="L3232">
            <v>43700</v>
          </cell>
          <cell r="M3232">
            <v>30526.55</v>
          </cell>
        </row>
        <row r="3233">
          <cell r="A3233">
            <v>1817930471</v>
          </cell>
          <cell r="B3233">
            <v>471</v>
          </cell>
          <cell r="C3233">
            <v>817930</v>
          </cell>
          <cell r="D3233">
            <v>1</v>
          </cell>
          <cell r="F3233" t="str">
            <v xml:space="preserve">מכשירי כתיבה      </v>
          </cell>
          <cell r="G3233" t="str">
            <v>גמיש</v>
          </cell>
          <cell r="H3233">
            <v>0</v>
          </cell>
          <cell r="I3233">
            <v>3690</v>
          </cell>
          <cell r="J3233">
            <v>3690</v>
          </cell>
          <cell r="K3233">
            <v>1810</v>
          </cell>
          <cell r="L3233">
            <v>4100</v>
          </cell>
          <cell r="M3233">
            <v>3912.35</v>
          </cell>
        </row>
        <row r="3234">
          <cell r="A3234">
            <v>1817930571</v>
          </cell>
          <cell r="B3234">
            <v>571</v>
          </cell>
          <cell r="C3234">
            <v>817930</v>
          </cell>
          <cell r="D3234">
            <v>1</v>
          </cell>
          <cell r="F3234" t="str">
            <v xml:space="preserve">מיכון וענ"א       </v>
          </cell>
          <cell r="G3234" t="str">
            <v>קשיח</v>
          </cell>
          <cell r="H3234">
            <v>1.072289156626506</v>
          </cell>
          <cell r="I3234">
            <v>51600</v>
          </cell>
          <cell r="J3234">
            <v>24900</v>
          </cell>
          <cell r="K3234">
            <v>12450</v>
          </cell>
          <cell r="L3234">
            <v>23600</v>
          </cell>
          <cell r="M3234">
            <v>23600</v>
          </cell>
        </row>
        <row r="3235">
          <cell r="A3235">
            <v>1817930782</v>
          </cell>
          <cell r="B3235">
            <v>782</v>
          </cell>
          <cell r="C3235">
            <v>817930</v>
          </cell>
          <cell r="D3235">
            <v>1</v>
          </cell>
          <cell r="F3235" t="str">
            <v>השת' כרט' למוזיאון</v>
          </cell>
          <cell r="G3235" t="str">
            <v>קשיח</v>
          </cell>
          <cell r="H3235">
            <v>-0.31665983326499936</v>
          </cell>
          <cell r="I3235">
            <v>50000</v>
          </cell>
          <cell r="J3235">
            <v>73170</v>
          </cell>
          <cell r="K3235">
            <v>41060</v>
          </cell>
          <cell r="L3235">
            <v>81300</v>
          </cell>
          <cell r="M3235">
            <v>43430</v>
          </cell>
        </row>
        <row r="3236">
          <cell r="A3236">
            <v>1817930783</v>
          </cell>
          <cell r="B3236">
            <v>783</v>
          </cell>
          <cell r="C3236">
            <v>817930</v>
          </cell>
          <cell r="D3236">
            <v>1</v>
          </cell>
          <cell r="F3236" t="str">
            <v xml:space="preserve">תיאטרון ילדים  </v>
          </cell>
          <cell r="G3236" t="str">
            <v>קשיח</v>
          </cell>
          <cell r="H3236">
            <v>0</v>
          </cell>
          <cell r="I3236">
            <v>2000000</v>
          </cell>
          <cell r="J3236">
            <v>2000000</v>
          </cell>
          <cell r="K3236">
            <v>881161.85</v>
          </cell>
          <cell r="L3236">
            <v>2000000</v>
          </cell>
          <cell r="M3236">
            <v>1597194.52</v>
          </cell>
        </row>
        <row r="3237">
          <cell r="A3237" t="e">
            <v>#VALUE!</v>
          </cell>
          <cell r="B3237" t="str">
            <v>817930  סך הכל</v>
          </cell>
          <cell r="F3237" t="str">
            <v xml:space="preserve">תיאטרון סל-תרבות  </v>
          </cell>
          <cell r="H3237">
            <v>5.542737182697044E-3</v>
          </cell>
          <cell r="I3237">
            <v>2610489.5</v>
          </cell>
          <cell r="J3237">
            <v>2596100</v>
          </cell>
          <cell r="K3237">
            <v>1096707.23</v>
          </cell>
          <cell r="L3237">
            <v>2596300</v>
          </cell>
          <cell r="M3237">
            <v>2012984.73</v>
          </cell>
        </row>
        <row r="3238">
          <cell r="A3238">
            <v>1819999989</v>
          </cell>
          <cell r="B3238">
            <v>989</v>
          </cell>
          <cell r="C3238">
            <v>819999</v>
          </cell>
          <cell r="D3238">
            <v>1</v>
          </cell>
          <cell r="F3238" t="str">
            <v>קיזוז תקורות חינוך</v>
          </cell>
          <cell r="G3238" t="str">
            <v>קשיח</v>
          </cell>
          <cell r="H3238">
            <v>-2.0079076229628234E-2</v>
          </cell>
          <cell r="I3238">
            <v>-13718060</v>
          </cell>
          <cell r="J3238">
            <v>-13999150</v>
          </cell>
          <cell r="K3238">
            <v>0</v>
          </cell>
          <cell r="L3238">
            <v>-12754100</v>
          </cell>
          <cell r="M3238">
            <v>-12922409</v>
          </cell>
        </row>
        <row r="3239">
          <cell r="A3239" t="e">
            <v>#VALUE!</v>
          </cell>
          <cell r="B3239" t="str">
            <v>819999  סך הכל</v>
          </cell>
          <cell r="F3239" t="str">
            <v>קיזוז תקורות חינוך</v>
          </cell>
          <cell r="H3239">
            <v>-2.0079076229628234E-2</v>
          </cell>
          <cell r="I3239">
            <v>-13718060</v>
          </cell>
          <cell r="J3239">
            <v>-13999150</v>
          </cell>
          <cell r="K3239">
            <v>0</v>
          </cell>
          <cell r="L3239">
            <v>-12754100</v>
          </cell>
          <cell r="M3239">
            <v>-12922409</v>
          </cell>
        </row>
        <row r="3240">
          <cell r="A3240">
            <v>18200000</v>
          </cell>
          <cell r="B3240">
            <v>0</v>
          </cell>
          <cell r="C3240">
            <v>820000</v>
          </cell>
          <cell r="D3240">
            <v>1</v>
          </cell>
          <cell r="F3240" t="str">
            <v xml:space="preserve">תרבות             </v>
          </cell>
          <cell r="G3240" t="str">
            <v xml:space="preserve"> </v>
          </cell>
        </row>
        <row r="3241">
          <cell r="A3241">
            <v>1822200110</v>
          </cell>
          <cell r="B3241">
            <v>110</v>
          </cell>
          <cell r="C3241">
            <v>822200</v>
          </cell>
          <cell r="D3241">
            <v>1</v>
          </cell>
          <cell r="F3241" t="str">
            <v>שכר קובע - תקציבית</v>
          </cell>
          <cell r="G3241" t="str">
            <v>שכר</v>
          </cell>
          <cell r="I3241">
            <v>0</v>
          </cell>
          <cell r="J3241">
            <v>0</v>
          </cell>
          <cell r="K3241">
            <v>0</v>
          </cell>
          <cell r="L3241">
            <v>0</v>
          </cell>
        </row>
        <row r="3242">
          <cell r="A3242">
            <v>1822200119</v>
          </cell>
          <cell r="B3242">
            <v>119</v>
          </cell>
          <cell r="C3242">
            <v>822200</v>
          </cell>
          <cell r="D3242">
            <v>1</v>
          </cell>
          <cell r="F3242" t="str">
            <v xml:space="preserve">השכר הקובע-צוברת  </v>
          </cell>
          <cell r="G3242" t="str">
            <v>שכר</v>
          </cell>
          <cell r="H3242">
            <v>-1</v>
          </cell>
          <cell r="I3242">
            <v>0</v>
          </cell>
          <cell r="J3242">
            <v>196000</v>
          </cell>
          <cell r="K3242">
            <v>0</v>
          </cell>
          <cell r="L3242">
            <v>196000</v>
          </cell>
          <cell r="M3242">
            <v>0</v>
          </cell>
        </row>
        <row r="3243">
          <cell r="A3243">
            <v>1822200122</v>
          </cell>
          <cell r="B3243">
            <v>122</v>
          </cell>
          <cell r="C3243">
            <v>822200</v>
          </cell>
          <cell r="D3243">
            <v>1</v>
          </cell>
          <cell r="F3243" t="str">
            <v xml:space="preserve">ביגוד             </v>
          </cell>
          <cell r="G3243" t="str">
            <v>שכר</v>
          </cell>
          <cell r="H3243">
            <v>-1</v>
          </cell>
          <cell r="I3243">
            <v>0</v>
          </cell>
          <cell r="J3243">
            <v>700</v>
          </cell>
          <cell r="K3243">
            <v>0</v>
          </cell>
          <cell r="L3243">
            <v>700</v>
          </cell>
          <cell r="M3243">
            <v>0</v>
          </cell>
        </row>
        <row r="3244">
          <cell r="A3244">
            <v>1822200126</v>
          </cell>
          <cell r="B3244">
            <v>126</v>
          </cell>
          <cell r="C3244">
            <v>822200</v>
          </cell>
          <cell r="D3244">
            <v>1</v>
          </cell>
          <cell r="F3244" t="str">
            <v xml:space="preserve">דמי הבראה         </v>
          </cell>
          <cell r="G3244" t="str">
            <v>שכר</v>
          </cell>
          <cell r="H3244">
            <v>-1</v>
          </cell>
          <cell r="I3244">
            <v>0</v>
          </cell>
          <cell r="J3244">
            <v>15000</v>
          </cell>
          <cell r="K3244">
            <v>0</v>
          </cell>
          <cell r="L3244">
            <v>15000</v>
          </cell>
          <cell r="M3244">
            <v>0</v>
          </cell>
        </row>
        <row r="3245">
          <cell r="A3245">
            <v>1822200130</v>
          </cell>
          <cell r="B3245">
            <v>130</v>
          </cell>
          <cell r="C3245">
            <v>822200</v>
          </cell>
          <cell r="D3245">
            <v>1</v>
          </cell>
          <cell r="F3245" t="str">
            <v xml:space="preserve">שעות נוספות       </v>
          </cell>
          <cell r="G3245" t="str">
            <v>שכר</v>
          </cell>
          <cell r="H3245">
            <v>-1</v>
          </cell>
          <cell r="I3245">
            <v>0</v>
          </cell>
          <cell r="J3245">
            <v>17000</v>
          </cell>
          <cell r="K3245">
            <v>0</v>
          </cell>
          <cell r="L3245">
            <v>17000</v>
          </cell>
          <cell r="M3245">
            <v>0</v>
          </cell>
        </row>
        <row r="3246">
          <cell r="A3246">
            <v>1822200140</v>
          </cell>
          <cell r="B3246">
            <v>140</v>
          </cell>
          <cell r="C3246">
            <v>822200</v>
          </cell>
          <cell r="D3246">
            <v>1</v>
          </cell>
          <cell r="F3246" t="str">
            <v>השתתפות באחזקת רכב</v>
          </cell>
          <cell r="G3246" t="str">
            <v>שכר</v>
          </cell>
          <cell r="H3246">
            <v>-1</v>
          </cell>
          <cell r="I3246">
            <v>0</v>
          </cell>
          <cell r="J3246">
            <v>35700</v>
          </cell>
          <cell r="K3246">
            <v>0</v>
          </cell>
          <cell r="L3246">
            <v>35700</v>
          </cell>
          <cell r="M3246">
            <v>0</v>
          </cell>
        </row>
        <row r="3247">
          <cell r="A3247">
            <v>1822200423</v>
          </cell>
          <cell r="B3247">
            <v>423</v>
          </cell>
          <cell r="C3247">
            <v>822200</v>
          </cell>
          <cell r="D3247">
            <v>1</v>
          </cell>
          <cell r="F3247" t="str">
            <v xml:space="preserve">תחזוקת מבנה       </v>
          </cell>
          <cell r="G3247" t="str">
            <v>קשיח</v>
          </cell>
          <cell r="H3247">
            <v>2.4444444444444446</v>
          </cell>
          <cell r="I3247">
            <v>3100</v>
          </cell>
          <cell r="J3247">
            <v>900</v>
          </cell>
          <cell r="K3247">
            <v>0</v>
          </cell>
          <cell r="L3247">
            <v>900</v>
          </cell>
          <cell r="M3247">
            <v>900</v>
          </cell>
        </row>
        <row r="3248">
          <cell r="A3248">
            <v>1822200431</v>
          </cell>
          <cell r="B3248">
            <v>431</v>
          </cell>
          <cell r="C3248">
            <v>822200</v>
          </cell>
          <cell r="D3248">
            <v>1</v>
          </cell>
          <cell r="F3248" t="str">
            <v xml:space="preserve">חשמל              </v>
          </cell>
          <cell r="G3248" t="str">
            <v>קשיח</v>
          </cell>
          <cell r="H3248">
            <v>0</v>
          </cell>
          <cell r="I3248">
            <v>8600</v>
          </cell>
          <cell r="J3248">
            <v>8600</v>
          </cell>
          <cell r="K3248">
            <v>5009.54</v>
          </cell>
          <cell r="L3248">
            <v>8600</v>
          </cell>
          <cell r="M3248">
            <v>9635.0400000000009</v>
          </cell>
        </row>
        <row r="3249">
          <cell r="A3249">
            <v>1822200540</v>
          </cell>
          <cell r="B3249">
            <v>540</v>
          </cell>
          <cell r="C3249">
            <v>822200</v>
          </cell>
          <cell r="D3249">
            <v>1</v>
          </cell>
          <cell r="F3249" t="str">
            <v xml:space="preserve">הוצאות טלפון      </v>
          </cell>
          <cell r="G3249" t="str">
            <v>קשיח</v>
          </cell>
          <cell r="H3249">
            <v>-1</v>
          </cell>
          <cell r="I3249">
            <v>0</v>
          </cell>
          <cell r="J3249">
            <v>2000</v>
          </cell>
          <cell r="K3249">
            <v>0</v>
          </cell>
          <cell r="L3249">
            <v>2000</v>
          </cell>
          <cell r="M3249">
            <v>0</v>
          </cell>
        </row>
        <row r="3250">
          <cell r="A3250">
            <v>1822200571</v>
          </cell>
          <cell r="B3250">
            <v>571</v>
          </cell>
          <cell r="C3250">
            <v>822200</v>
          </cell>
          <cell r="D3250">
            <v>1</v>
          </cell>
          <cell r="F3250" t="str">
            <v xml:space="preserve">מיכון וענ"א       </v>
          </cell>
          <cell r="G3250" t="str">
            <v>קשיח</v>
          </cell>
          <cell r="H3250">
            <v>0.71381031613976709</v>
          </cell>
          <cell r="I3250">
            <v>103000</v>
          </cell>
          <cell r="J3250">
            <v>60100</v>
          </cell>
          <cell r="K3250">
            <v>30050</v>
          </cell>
          <cell r="L3250">
            <v>46000</v>
          </cell>
          <cell r="M3250">
            <v>46000</v>
          </cell>
        </row>
        <row r="3251">
          <cell r="A3251">
            <v>1822200721</v>
          </cell>
          <cell r="B3251">
            <v>721</v>
          </cell>
          <cell r="C3251">
            <v>822200</v>
          </cell>
          <cell r="D3251">
            <v>1</v>
          </cell>
          <cell r="F3251" t="str">
            <v>חמרים-תחזוקת מבנים</v>
          </cell>
          <cell r="G3251" t="str">
            <v>גמיש</v>
          </cell>
          <cell r="H3251">
            <v>-1</v>
          </cell>
          <cell r="I3251">
            <v>0</v>
          </cell>
          <cell r="J3251">
            <v>4500</v>
          </cell>
          <cell r="K3251">
            <v>0</v>
          </cell>
          <cell r="L3251">
            <v>4500</v>
          </cell>
          <cell r="M3251">
            <v>0</v>
          </cell>
        </row>
        <row r="3252">
          <cell r="A3252">
            <v>1822200751</v>
          </cell>
          <cell r="B3252">
            <v>751</v>
          </cell>
          <cell r="C3252">
            <v>822200</v>
          </cell>
          <cell r="D3252">
            <v>1</v>
          </cell>
          <cell r="F3252" t="str">
            <v xml:space="preserve">עבודות קבלניות    </v>
          </cell>
          <cell r="G3252" t="str">
            <v>גמיש</v>
          </cell>
          <cell r="H3252">
            <v>-1</v>
          </cell>
          <cell r="I3252">
            <v>0</v>
          </cell>
          <cell r="J3252">
            <v>6600</v>
          </cell>
          <cell r="K3252">
            <v>0</v>
          </cell>
          <cell r="L3252">
            <v>7300</v>
          </cell>
          <cell r="M3252">
            <v>687</v>
          </cell>
        </row>
        <row r="3253">
          <cell r="A3253">
            <v>1822200780</v>
          </cell>
          <cell r="B3253">
            <v>780</v>
          </cell>
          <cell r="C3253">
            <v>822200</v>
          </cell>
          <cell r="D3253">
            <v>1</v>
          </cell>
          <cell r="F3253" t="str">
            <v xml:space="preserve">תרבות תורנית      </v>
          </cell>
          <cell r="G3253" t="str">
            <v>גמיש</v>
          </cell>
          <cell r="H3253">
            <v>0</v>
          </cell>
          <cell r="I3253">
            <v>1371800</v>
          </cell>
          <cell r="J3253">
            <v>1371800</v>
          </cell>
          <cell r="K3253">
            <v>937393.04</v>
          </cell>
          <cell r="L3253">
            <v>1371800</v>
          </cell>
          <cell r="M3253">
            <v>1695025.7</v>
          </cell>
        </row>
        <row r="3254">
          <cell r="A3254">
            <v>1822200794</v>
          </cell>
          <cell r="B3254">
            <v>794</v>
          </cell>
          <cell r="C3254">
            <v>822200</v>
          </cell>
          <cell r="D3254">
            <v>1</v>
          </cell>
          <cell r="F3254" t="str">
            <v xml:space="preserve">השתתפות בעזר 094  </v>
          </cell>
          <cell r="G3254" t="str">
            <v>קשיח</v>
          </cell>
          <cell r="H3254">
            <v>0</v>
          </cell>
          <cell r="I3254">
            <v>14500</v>
          </cell>
          <cell r="J3254">
            <v>14500</v>
          </cell>
          <cell r="K3254">
            <v>6850</v>
          </cell>
          <cell r="L3254">
            <v>14000</v>
          </cell>
          <cell r="M3254">
            <v>16699</v>
          </cell>
        </row>
        <row r="3255">
          <cell r="A3255" t="e">
            <v>#VALUE!</v>
          </cell>
          <cell r="B3255" t="str">
            <v>822200  סך הכל</v>
          </cell>
          <cell r="F3255" t="str">
            <v xml:space="preserve">פעולות תרבותיות   </v>
          </cell>
          <cell r="H3255">
            <v>-0.13407176647052033</v>
          </cell>
          <cell r="I3255">
            <v>1501000</v>
          </cell>
          <cell r="J3255">
            <v>1733400</v>
          </cell>
          <cell r="K3255">
            <v>979302.58000000007</v>
          </cell>
          <cell r="L3255">
            <v>1719500</v>
          </cell>
          <cell r="M3255">
            <v>1768946.74</v>
          </cell>
        </row>
        <row r="3256">
          <cell r="A3256">
            <v>18227000</v>
          </cell>
          <cell r="B3256">
            <v>0</v>
          </cell>
          <cell r="C3256">
            <v>822700</v>
          </cell>
          <cell r="D3256">
            <v>1</v>
          </cell>
          <cell r="F3256" t="str">
            <v xml:space="preserve">חוגי העשרה        </v>
          </cell>
          <cell r="G3256" t="str">
            <v xml:space="preserve"> </v>
          </cell>
        </row>
        <row r="3257">
          <cell r="A3257">
            <v>1822700119</v>
          </cell>
          <cell r="B3257">
            <v>119</v>
          </cell>
          <cell r="C3257">
            <v>822700</v>
          </cell>
          <cell r="D3257">
            <v>1</v>
          </cell>
          <cell r="F3257" t="str">
            <v xml:space="preserve">השכר הקובע-צוברת  </v>
          </cell>
          <cell r="G3257" t="str">
            <v>שכר</v>
          </cell>
          <cell r="H3257">
            <v>2.4999999999999911E-2</v>
          </cell>
          <cell r="I3257">
            <v>317750</v>
          </cell>
          <cell r="J3257">
            <v>310000</v>
          </cell>
          <cell r="K3257">
            <v>105378.47</v>
          </cell>
          <cell r="L3257">
            <v>303900</v>
          </cell>
          <cell r="M3257">
            <v>165380.12</v>
          </cell>
        </row>
        <row r="3258">
          <cell r="A3258">
            <v>1822700122</v>
          </cell>
          <cell r="B3258">
            <v>122</v>
          </cell>
          <cell r="C3258">
            <v>822700</v>
          </cell>
          <cell r="D3258">
            <v>1</v>
          </cell>
          <cell r="F3258" t="str">
            <v xml:space="preserve">ביגוד             </v>
          </cell>
          <cell r="G3258" t="str">
            <v>שכר</v>
          </cell>
          <cell r="H3258">
            <v>0</v>
          </cell>
          <cell r="I3258">
            <v>1800</v>
          </cell>
          <cell r="J3258">
            <v>1800</v>
          </cell>
          <cell r="K3258">
            <v>2479</v>
          </cell>
          <cell r="L3258">
            <v>1200</v>
          </cell>
          <cell r="M3258">
            <v>1724</v>
          </cell>
        </row>
        <row r="3259">
          <cell r="A3259">
            <v>1822700126</v>
          </cell>
          <cell r="B3259">
            <v>126</v>
          </cell>
          <cell r="C3259">
            <v>822700</v>
          </cell>
          <cell r="D3259">
            <v>1</v>
          </cell>
          <cell r="F3259" t="str">
            <v xml:space="preserve">דמי הבראה         </v>
          </cell>
          <cell r="G3259" t="str">
            <v>שכר</v>
          </cell>
          <cell r="H3259">
            <v>0</v>
          </cell>
          <cell r="I3259">
            <v>6000</v>
          </cell>
          <cell r="J3259">
            <v>6000</v>
          </cell>
          <cell r="K3259">
            <v>5185.3999999999996</v>
          </cell>
          <cell r="L3259">
            <v>6000</v>
          </cell>
          <cell r="M3259">
            <v>5185.3999999999996</v>
          </cell>
        </row>
        <row r="3260">
          <cell r="A3260">
            <v>1822700130</v>
          </cell>
          <cell r="B3260">
            <v>130</v>
          </cell>
          <cell r="C3260">
            <v>822700</v>
          </cell>
          <cell r="D3260">
            <v>1</v>
          </cell>
          <cell r="F3260" t="str">
            <v xml:space="preserve">שעות נוספות       </v>
          </cell>
          <cell r="G3260" t="str">
            <v>שכר</v>
          </cell>
          <cell r="H3260">
            <v>0</v>
          </cell>
          <cell r="I3260">
            <v>11180</v>
          </cell>
          <cell r="J3260">
            <v>11180</v>
          </cell>
          <cell r="K3260">
            <v>98.36</v>
          </cell>
          <cell r="L3260">
            <v>13000</v>
          </cell>
          <cell r="M3260">
            <v>0</v>
          </cell>
        </row>
        <row r="3261">
          <cell r="A3261">
            <v>1822700140</v>
          </cell>
          <cell r="B3261">
            <v>140</v>
          </cell>
          <cell r="C3261">
            <v>822700</v>
          </cell>
          <cell r="D3261">
            <v>1</v>
          </cell>
          <cell r="F3261" t="str">
            <v>השתתפות באחזקת רכב</v>
          </cell>
          <cell r="G3261" t="str">
            <v>שכר</v>
          </cell>
          <cell r="H3261">
            <v>0</v>
          </cell>
          <cell r="I3261">
            <v>27700</v>
          </cell>
          <cell r="J3261">
            <v>27700</v>
          </cell>
          <cell r="K3261">
            <v>9072.76</v>
          </cell>
          <cell r="L3261">
            <v>27700</v>
          </cell>
          <cell r="M3261">
            <v>21814.03</v>
          </cell>
        </row>
        <row r="3262">
          <cell r="A3262">
            <v>1822700571</v>
          </cell>
          <cell r="B3262">
            <v>571</v>
          </cell>
          <cell r="C3262">
            <v>822700</v>
          </cell>
          <cell r="D3262">
            <v>1</v>
          </cell>
          <cell r="F3262" t="str">
            <v xml:space="preserve">מיכון וענ"א       </v>
          </cell>
          <cell r="G3262" t="str">
            <v>קשיח</v>
          </cell>
          <cell r="H3262">
            <v>0.30659025787965621</v>
          </cell>
          <cell r="I3262">
            <v>91200</v>
          </cell>
          <cell r="J3262">
            <v>69800</v>
          </cell>
          <cell r="K3262">
            <v>34900</v>
          </cell>
          <cell r="L3262">
            <v>51800</v>
          </cell>
          <cell r="M3262">
            <v>51800</v>
          </cell>
        </row>
        <row r="3263">
          <cell r="A3263">
            <v>1822700794</v>
          </cell>
          <cell r="B3263">
            <v>794</v>
          </cell>
          <cell r="C3263">
            <v>822700</v>
          </cell>
          <cell r="D3263">
            <v>1</v>
          </cell>
          <cell r="F3263" t="str">
            <v xml:space="preserve">השתתפות בעזר 094  </v>
          </cell>
          <cell r="G3263" t="str">
            <v>קשיח</v>
          </cell>
          <cell r="H3263">
            <v>1</v>
          </cell>
          <cell r="I3263">
            <v>4000</v>
          </cell>
          <cell r="J3263">
            <v>2000</v>
          </cell>
          <cell r="K3263">
            <v>945</v>
          </cell>
          <cell r="L3263">
            <v>2000</v>
          </cell>
          <cell r="M3263">
            <v>2386</v>
          </cell>
        </row>
        <row r="3264">
          <cell r="A3264" t="e">
            <v>#VALUE!</v>
          </cell>
          <cell r="B3264" t="str">
            <v>822700  סך הכל</v>
          </cell>
          <cell r="F3264" t="str">
            <v xml:space="preserve">חוגי העשרה        </v>
          </cell>
          <cell r="H3264">
            <v>7.2698842419716136E-2</v>
          </cell>
          <cell r="I3264">
            <v>459630</v>
          </cell>
          <cell r="J3264">
            <v>428480</v>
          </cell>
          <cell r="K3264">
            <v>158058.99</v>
          </cell>
          <cell r="L3264">
            <v>405600</v>
          </cell>
          <cell r="M3264">
            <v>248289.55</v>
          </cell>
        </row>
        <row r="3265">
          <cell r="A3265">
            <v>18230000</v>
          </cell>
          <cell r="B3265">
            <v>0</v>
          </cell>
          <cell r="C3265">
            <v>823000</v>
          </cell>
          <cell r="D3265">
            <v>1</v>
          </cell>
          <cell r="F3265" t="str">
            <v xml:space="preserve">ספריות            </v>
          </cell>
          <cell r="G3265" t="str">
            <v xml:space="preserve"> </v>
          </cell>
        </row>
        <row r="3266">
          <cell r="A3266">
            <v>1823000110</v>
          </cell>
          <cell r="B3266">
            <v>110</v>
          </cell>
          <cell r="C3266">
            <v>823000</v>
          </cell>
          <cell r="D3266">
            <v>1</v>
          </cell>
          <cell r="F3266" t="str">
            <v>השכר הקובע-תקציבית</v>
          </cell>
          <cell r="G3266" t="str">
            <v>שכר</v>
          </cell>
          <cell r="H3266">
            <v>-6.6341059602649022E-2</v>
          </cell>
          <cell r="I3266">
            <v>648519.5</v>
          </cell>
          <cell r="J3266">
            <v>694600</v>
          </cell>
          <cell r="K3266">
            <v>378604.21</v>
          </cell>
          <cell r="L3266">
            <v>681000</v>
          </cell>
          <cell r="M3266">
            <v>675254.57</v>
          </cell>
        </row>
        <row r="3267">
          <cell r="A3267">
            <v>1823000122</v>
          </cell>
          <cell r="B3267">
            <v>122</v>
          </cell>
          <cell r="C3267">
            <v>823000</v>
          </cell>
          <cell r="D3267">
            <v>1</v>
          </cell>
          <cell r="F3267" t="str">
            <v xml:space="preserve">ביגוד             </v>
          </cell>
          <cell r="G3267" t="str">
            <v>שכר</v>
          </cell>
          <cell r="H3267">
            <v>0</v>
          </cell>
          <cell r="I3267">
            <v>5000</v>
          </cell>
          <cell r="J3267">
            <v>5000</v>
          </cell>
          <cell r="K3267">
            <v>2600.1</v>
          </cell>
          <cell r="L3267">
            <v>5000</v>
          </cell>
          <cell r="M3267">
            <v>4755.21</v>
          </cell>
        </row>
        <row r="3268">
          <cell r="A3268">
            <v>1823000126</v>
          </cell>
          <cell r="B3268">
            <v>126</v>
          </cell>
          <cell r="C3268">
            <v>823000</v>
          </cell>
          <cell r="D3268">
            <v>1</v>
          </cell>
          <cell r="F3268" t="str">
            <v xml:space="preserve">דמי הבראה         </v>
          </cell>
          <cell r="G3268" t="str">
            <v>שכר</v>
          </cell>
          <cell r="H3268">
            <v>0</v>
          </cell>
          <cell r="I3268">
            <v>26000</v>
          </cell>
          <cell r="J3268">
            <v>26000</v>
          </cell>
          <cell r="K3268">
            <v>19935.04</v>
          </cell>
          <cell r="L3268">
            <v>42500</v>
          </cell>
          <cell r="M3268">
            <v>24436.91</v>
          </cell>
        </row>
        <row r="3269">
          <cell r="A3269">
            <v>1823000130</v>
          </cell>
          <cell r="B3269">
            <v>130</v>
          </cell>
          <cell r="C3269">
            <v>823000</v>
          </cell>
          <cell r="D3269">
            <v>1</v>
          </cell>
          <cell r="F3269" t="str">
            <v xml:space="preserve">שעות נוספות       </v>
          </cell>
          <cell r="G3269" t="str">
            <v>שכר</v>
          </cell>
          <cell r="H3269">
            <v>0</v>
          </cell>
          <cell r="I3269">
            <v>86000</v>
          </cell>
          <cell r="J3269">
            <v>86000</v>
          </cell>
          <cell r="K3269">
            <v>63998.06</v>
          </cell>
          <cell r="L3269">
            <v>100000</v>
          </cell>
          <cell r="M3269">
            <v>84208.14</v>
          </cell>
        </row>
        <row r="3270">
          <cell r="A3270">
            <v>1823000140</v>
          </cell>
          <cell r="B3270">
            <v>140</v>
          </cell>
          <cell r="C3270">
            <v>823000</v>
          </cell>
          <cell r="D3270">
            <v>1</v>
          </cell>
          <cell r="F3270" t="str">
            <v>השתתפות באחזקת רכב</v>
          </cell>
          <cell r="G3270" t="str">
            <v>שכר</v>
          </cell>
          <cell r="H3270">
            <v>0</v>
          </cell>
          <cell r="I3270">
            <v>21000</v>
          </cell>
          <cell r="J3270">
            <v>21000</v>
          </cell>
          <cell r="K3270">
            <v>14060.59</v>
          </cell>
          <cell r="L3270">
            <v>21000</v>
          </cell>
          <cell r="M3270">
            <v>18836.939999999999</v>
          </cell>
        </row>
        <row r="3271">
          <cell r="A3271">
            <v>1823000441</v>
          </cell>
          <cell r="B3271">
            <v>441</v>
          </cell>
          <cell r="C3271">
            <v>823000</v>
          </cell>
          <cell r="D3271">
            <v>1</v>
          </cell>
          <cell r="F3271" t="str">
            <v xml:space="preserve">ביטוח             </v>
          </cell>
          <cell r="G3271" t="str">
            <v>קשיח</v>
          </cell>
          <cell r="H3271">
            <v>0</v>
          </cell>
          <cell r="I3271">
            <v>50600</v>
          </cell>
          <cell r="J3271">
            <v>50600</v>
          </cell>
          <cell r="K3271">
            <v>0</v>
          </cell>
          <cell r="L3271">
            <v>50600</v>
          </cell>
          <cell r="M3271">
            <v>0</v>
          </cell>
        </row>
        <row r="3272">
          <cell r="A3272">
            <v>1823000780</v>
          </cell>
          <cell r="B3272">
            <v>780</v>
          </cell>
          <cell r="C3272">
            <v>823000</v>
          </cell>
          <cell r="D3272">
            <v>1</v>
          </cell>
          <cell r="F3272" t="str">
            <v>העונה הישראלית לעיצוב</v>
          </cell>
          <cell r="G3272" t="str">
            <v>גמיש</v>
          </cell>
          <cell r="H3272">
            <v>-1</v>
          </cell>
          <cell r="I3272">
            <v>0</v>
          </cell>
          <cell r="J3272">
            <v>95000</v>
          </cell>
          <cell r="K3272">
            <v>0</v>
          </cell>
          <cell r="L3272">
            <v>85500</v>
          </cell>
          <cell r="M3272">
            <v>3394.5</v>
          </cell>
        </row>
        <row r="3273">
          <cell r="A3273">
            <v>1823000781</v>
          </cell>
          <cell r="B3273">
            <v>781</v>
          </cell>
          <cell r="C3273">
            <v>823000</v>
          </cell>
          <cell r="D3273">
            <v>1</v>
          </cell>
          <cell r="F3273" t="str">
            <v>הפעלת רשת ספריות</v>
          </cell>
          <cell r="G3273" t="str">
            <v>גמיש</v>
          </cell>
          <cell r="I3273">
            <v>0</v>
          </cell>
          <cell r="J3273">
            <v>0</v>
          </cell>
          <cell r="K3273">
            <v>0</v>
          </cell>
          <cell r="L3273">
            <v>0</v>
          </cell>
          <cell r="M3273">
            <v>0</v>
          </cell>
        </row>
        <row r="3274">
          <cell r="A3274">
            <v>1823000782</v>
          </cell>
          <cell r="B3274">
            <v>782</v>
          </cell>
          <cell r="C3274">
            <v>823000</v>
          </cell>
          <cell r="D3274">
            <v>1</v>
          </cell>
          <cell r="F3274" t="str">
            <v>השת' בהסכם קיבוצי החב' לפיתוח תאטרון</v>
          </cell>
          <cell r="G3274" t="str">
            <v>קשיח</v>
          </cell>
          <cell r="I3274">
            <v>5500000</v>
          </cell>
          <cell r="J3274">
            <v>0</v>
          </cell>
          <cell r="K3274">
            <v>0</v>
          </cell>
          <cell r="L3274">
            <v>0</v>
          </cell>
          <cell r="M3274">
            <v>0</v>
          </cell>
        </row>
        <row r="3275">
          <cell r="A3275">
            <v>1823000783</v>
          </cell>
          <cell r="B3275">
            <v>783</v>
          </cell>
          <cell r="C3275">
            <v>823000</v>
          </cell>
          <cell r="D3275">
            <v>1</v>
          </cell>
          <cell r="F3275" t="str">
            <v>גלריות</v>
          </cell>
          <cell r="G3275" t="str">
            <v>גמיש</v>
          </cell>
          <cell r="I3275">
            <v>996000</v>
          </cell>
          <cell r="J3275">
            <v>0</v>
          </cell>
          <cell r="K3275">
            <v>0</v>
          </cell>
          <cell r="L3275">
            <v>0</v>
          </cell>
          <cell r="M3275">
            <v>0</v>
          </cell>
        </row>
        <row r="3276">
          <cell r="A3276">
            <v>1823000875</v>
          </cell>
          <cell r="B3276">
            <v>875</v>
          </cell>
          <cell r="C3276">
            <v>823000</v>
          </cell>
          <cell r="D3276">
            <v>1</v>
          </cell>
          <cell r="F3276" t="str">
            <v>השתתפות החברה לתאטרון</v>
          </cell>
          <cell r="G3276" t="str">
            <v>גמיש</v>
          </cell>
          <cell r="H3276">
            <v>0.37504454047930125</v>
          </cell>
          <cell r="I3276">
            <v>30100000</v>
          </cell>
          <cell r="J3276">
            <v>21890200</v>
          </cell>
          <cell r="K3276">
            <v>11727757.279999999</v>
          </cell>
          <cell r="L3276">
            <v>5944700</v>
          </cell>
          <cell r="M3276">
            <v>6164736.7599999998</v>
          </cell>
        </row>
        <row r="3277">
          <cell r="A3277">
            <v>1823000876</v>
          </cell>
          <cell r="B3277">
            <v>876</v>
          </cell>
          <cell r="C3277">
            <v>823000</v>
          </cell>
          <cell r="D3277">
            <v>1</v>
          </cell>
          <cell r="F3277" t="str">
            <v>הפעלת המדיטק</v>
          </cell>
          <cell r="G3277" t="str">
            <v>קשיח</v>
          </cell>
          <cell r="I3277">
            <v>0</v>
          </cell>
          <cell r="J3277">
            <v>0</v>
          </cell>
          <cell r="K3277">
            <v>0</v>
          </cell>
          <cell r="L3277">
            <v>5740100</v>
          </cell>
          <cell r="M3277">
            <v>5770099</v>
          </cell>
        </row>
        <row r="3278">
          <cell r="A3278">
            <v>1823000877</v>
          </cell>
          <cell r="B3278">
            <v>877</v>
          </cell>
          <cell r="C3278">
            <v>823000</v>
          </cell>
          <cell r="D3278">
            <v>1</v>
          </cell>
          <cell r="F3278" t="str">
            <v>השתתפות בסינימטק</v>
          </cell>
          <cell r="G3278" t="str">
            <v>גמיש</v>
          </cell>
          <cell r="I3278">
            <v>0</v>
          </cell>
          <cell r="J3278">
            <v>0</v>
          </cell>
          <cell r="K3278">
            <v>0</v>
          </cell>
          <cell r="L3278">
            <v>501600</v>
          </cell>
          <cell r="M3278">
            <v>531600</v>
          </cell>
        </row>
        <row r="3279">
          <cell r="A3279">
            <v>1823000878</v>
          </cell>
          <cell r="B3279">
            <v>878</v>
          </cell>
          <cell r="C3279">
            <v>823000</v>
          </cell>
          <cell r="D3279">
            <v>1</v>
          </cell>
          <cell r="F3279" t="str">
            <v>התחייבות הסכם קיבוצי - מדיטק</v>
          </cell>
          <cell r="G3279" t="str">
            <v>קשיח</v>
          </cell>
          <cell r="H3279">
            <v>-1</v>
          </cell>
          <cell r="I3279">
            <v>0</v>
          </cell>
          <cell r="J3279">
            <v>2185700</v>
          </cell>
          <cell r="K3279">
            <v>1274994</v>
          </cell>
          <cell r="L3279">
            <v>0</v>
          </cell>
          <cell r="M3279">
            <v>0</v>
          </cell>
        </row>
        <row r="3280">
          <cell r="A3280">
            <v>1823000879</v>
          </cell>
          <cell r="B3280">
            <v>879</v>
          </cell>
          <cell r="C3280">
            <v>823000</v>
          </cell>
          <cell r="D3280">
            <v>1</v>
          </cell>
          <cell r="F3280" t="str">
            <v>ביטוח כנגד הכנסות</v>
          </cell>
          <cell r="G3280" t="str">
            <v>קשיח</v>
          </cell>
          <cell r="H3280">
            <v>0</v>
          </cell>
          <cell r="I3280">
            <v>20600</v>
          </cell>
          <cell r="J3280">
            <v>20600</v>
          </cell>
          <cell r="K3280">
            <v>0</v>
          </cell>
          <cell r="L3280">
            <v>20600</v>
          </cell>
          <cell r="M3280">
            <v>20600</v>
          </cell>
        </row>
        <row r="3281">
          <cell r="A3281">
            <v>1823000888</v>
          </cell>
          <cell r="B3281">
            <v>888</v>
          </cell>
          <cell r="C3281">
            <v>823000</v>
          </cell>
          <cell r="D3281">
            <v>1</v>
          </cell>
          <cell r="F3281" t="str">
            <v>טקס פרסי קולנוע ו-TV לילדים</v>
          </cell>
          <cell r="G3281" t="str">
            <v>גמיש</v>
          </cell>
          <cell r="I3281">
            <v>0</v>
          </cell>
          <cell r="J3281">
            <v>0</v>
          </cell>
          <cell r="K3281">
            <v>0</v>
          </cell>
          <cell r="L3281">
            <v>150000</v>
          </cell>
          <cell r="M3281">
            <v>0</v>
          </cell>
        </row>
        <row r="3282">
          <cell r="A3282">
            <v>1823000960</v>
          </cell>
          <cell r="B3282">
            <v>960</v>
          </cell>
          <cell r="C3282">
            <v>823000</v>
          </cell>
          <cell r="D3282">
            <v>1</v>
          </cell>
          <cell r="F3282" t="str">
            <v>הוצאות ח"פ-מדיטק</v>
          </cell>
          <cell r="G3282" t="str">
            <v>גמיש</v>
          </cell>
          <cell r="I3282">
            <v>0</v>
          </cell>
          <cell r="J3282">
            <v>0</v>
          </cell>
          <cell r="K3282">
            <v>0</v>
          </cell>
          <cell r="L3282">
            <v>0</v>
          </cell>
          <cell r="M3282">
            <v>0</v>
          </cell>
        </row>
        <row r="3283">
          <cell r="A3283">
            <v>1823000981</v>
          </cell>
          <cell r="B3283">
            <v>981</v>
          </cell>
          <cell r="C3283">
            <v>823000</v>
          </cell>
          <cell r="D3283">
            <v>1</v>
          </cell>
          <cell r="F3283" t="str">
            <v>הוצאות שנים קודמות</v>
          </cell>
          <cell r="G3283" t="str">
            <v>קשיח</v>
          </cell>
          <cell r="I3283">
            <v>0</v>
          </cell>
          <cell r="J3283">
            <v>0</v>
          </cell>
          <cell r="K3283">
            <v>0</v>
          </cell>
          <cell r="L3283">
            <v>0</v>
          </cell>
          <cell r="M3283">
            <v>896000</v>
          </cell>
        </row>
        <row r="3284">
          <cell r="A3284" t="e">
            <v>#VALUE!</v>
          </cell>
          <cell r="B3284" t="str">
            <v>823000  סך הכל</v>
          </cell>
          <cell r="F3284" t="str">
            <v xml:space="preserve">ספריות            </v>
          </cell>
          <cell r="H3284">
            <v>0.49368564728590969</v>
          </cell>
          <cell r="I3284">
            <v>37453719.5</v>
          </cell>
          <cell r="J3284">
            <v>25074700</v>
          </cell>
          <cell r="K3284">
            <v>13481949.279999999</v>
          </cell>
          <cell r="L3284">
            <v>13342600</v>
          </cell>
          <cell r="M3284">
            <v>14193922.029999999</v>
          </cell>
        </row>
        <row r="3285">
          <cell r="A3285">
            <v>18250000</v>
          </cell>
          <cell r="B3285">
            <v>0</v>
          </cell>
          <cell r="C3285">
            <v>825000</v>
          </cell>
          <cell r="D3285">
            <v>1</v>
          </cell>
          <cell r="F3285" t="str">
            <v xml:space="preserve">מוסיקה ומחול      </v>
          </cell>
          <cell r="G3285" t="str">
            <v xml:space="preserve"> </v>
          </cell>
        </row>
        <row r="3286">
          <cell r="A3286">
            <v>1825500782</v>
          </cell>
          <cell r="B3286">
            <v>782</v>
          </cell>
          <cell r="C3286">
            <v>825500</v>
          </cell>
          <cell r="D3286">
            <v>1</v>
          </cell>
          <cell r="F3286" t="str">
            <v xml:space="preserve">פע' דרך רשת קהילה </v>
          </cell>
          <cell r="G3286" t="str">
            <v>גמיש</v>
          </cell>
          <cell r="I3286">
            <v>189100</v>
          </cell>
          <cell r="J3286">
            <v>0</v>
          </cell>
          <cell r="K3286">
            <v>78096.679999999993</v>
          </cell>
          <cell r="L3286">
            <v>189100</v>
          </cell>
          <cell r="M3286">
            <v>185136.89</v>
          </cell>
        </row>
        <row r="3287">
          <cell r="A3287">
            <v>1825500783</v>
          </cell>
          <cell r="B3287">
            <v>783</v>
          </cell>
          <cell r="C3287">
            <v>825500</v>
          </cell>
          <cell r="D3287">
            <v>1</v>
          </cell>
          <cell r="F3287" t="str">
            <v>שכר מנהלת להקות</v>
          </cell>
          <cell r="G3287" t="str">
            <v>גמיש</v>
          </cell>
          <cell r="I3287">
            <v>90000</v>
          </cell>
          <cell r="J3287">
            <v>0</v>
          </cell>
          <cell r="K3287">
            <v>54200</v>
          </cell>
          <cell r="L3287">
            <v>81300</v>
          </cell>
          <cell r="M3287">
            <v>81300</v>
          </cell>
        </row>
        <row r="3288">
          <cell r="A3288">
            <v>1825500786</v>
          </cell>
          <cell r="B3288">
            <v>786</v>
          </cell>
          <cell r="C3288">
            <v>825500</v>
          </cell>
          <cell r="D3288">
            <v>1</v>
          </cell>
          <cell r="F3288" t="str">
            <v xml:space="preserve">פעולות להקות      </v>
          </cell>
          <cell r="G3288" t="str">
            <v>גמיש</v>
          </cell>
          <cell r="I3288">
            <v>77900</v>
          </cell>
          <cell r="J3288">
            <v>0</v>
          </cell>
          <cell r="K3288">
            <v>51933.3</v>
          </cell>
          <cell r="L3288">
            <v>77900</v>
          </cell>
          <cell r="M3288">
            <v>22900</v>
          </cell>
        </row>
        <row r="3289">
          <cell r="A3289" t="e">
            <v>#VALUE!</v>
          </cell>
          <cell r="B3289" t="str">
            <v>825500  סך הכל</v>
          </cell>
          <cell r="F3289" t="str">
            <v xml:space="preserve">להקות  עירוניות   </v>
          </cell>
          <cell r="I3289">
            <v>357000</v>
          </cell>
          <cell r="J3289">
            <v>0</v>
          </cell>
          <cell r="K3289">
            <v>184229.97999999998</v>
          </cell>
          <cell r="L3289">
            <v>348300</v>
          </cell>
          <cell r="M3289">
            <v>289336.89</v>
          </cell>
        </row>
        <row r="3290">
          <cell r="A3290">
            <v>18260000</v>
          </cell>
          <cell r="B3290">
            <v>0</v>
          </cell>
          <cell r="C3290">
            <v>826000</v>
          </cell>
          <cell r="D3290">
            <v>1</v>
          </cell>
          <cell r="F3290" t="str">
            <v xml:space="preserve">מוקדי תרבות       </v>
          </cell>
          <cell r="G3290" t="str">
            <v xml:space="preserve"> </v>
          </cell>
        </row>
        <row r="3291">
          <cell r="A3291">
            <v>1826100431</v>
          </cell>
          <cell r="B3291">
            <v>431</v>
          </cell>
          <cell r="C3291">
            <v>826100</v>
          </cell>
          <cell r="D3291">
            <v>1</v>
          </cell>
          <cell r="F3291" t="str">
            <v xml:space="preserve">חשמל              </v>
          </cell>
          <cell r="G3291" t="str">
            <v>קשיח</v>
          </cell>
          <cell r="H3291">
            <v>0</v>
          </cell>
          <cell r="I3291">
            <v>2200</v>
          </cell>
          <cell r="J3291">
            <v>2200</v>
          </cell>
          <cell r="K3291">
            <v>231.57</v>
          </cell>
          <cell r="L3291">
            <v>2200</v>
          </cell>
          <cell r="M3291">
            <v>-105.57</v>
          </cell>
        </row>
        <row r="3292">
          <cell r="A3292">
            <v>1826100441</v>
          </cell>
          <cell r="B3292">
            <v>441</v>
          </cell>
          <cell r="C3292">
            <v>826100</v>
          </cell>
          <cell r="D3292">
            <v>1</v>
          </cell>
          <cell r="F3292" t="str">
            <v xml:space="preserve">ביטוח             </v>
          </cell>
          <cell r="G3292" t="str">
            <v>קשיח</v>
          </cell>
          <cell r="H3292">
            <v>0</v>
          </cell>
          <cell r="I3292">
            <v>72200</v>
          </cell>
          <cell r="J3292">
            <v>72200</v>
          </cell>
          <cell r="K3292">
            <v>0</v>
          </cell>
          <cell r="L3292">
            <v>72200</v>
          </cell>
          <cell r="M3292">
            <v>0</v>
          </cell>
        </row>
        <row r="3293">
          <cell r="A3293">
            <v>1826100870</v>
          </cell>
          <cell r="B3293">
            <v>870</v>
          </cell>
          <cell r="C3293">
            <v>826100</v>
          </cell>
          <cell r="D3293">
            <v>1</v>
          </cell>
          <cell r="F3293" t="str">
            <v xml:space="preserve">השתתפויות         </v>
          </cell>
          <cell r="G3293" t="str">
            <v>גמיש</v>
          </cell>
          <cell r="I3293">
            <v>0</v>
          </cell>
          <cell r="J3293">
            <v>0</v>
          </cell>
          <cell r="K3293">
            <v>72</v>
          </cell>
          <cell r="L3293">
            <v>3866800</v>
          </cell>
          <cell r="M3293">
            <v>3931799.97</v>
          </cell>
        </row>
        <row r="3294">
          <cell r="A3294">
            <v>1826100871</v>
          </cell>
          <cell r="B3294">
            <v>871</v>
          </cell>
          <cell r="C3294">
            <v>826100</v>
          </cell>
          <cell r="D3294">
            <v>1</v>
          </cell>
          <cell r="F3294" t="str">
            <v>הש'-פעולות מיוחדות</v>
          </cell>
          <cell r="G3294" t="str">
            <v>גמיש</v>
          </cell>
          <cell r="I3294">
            <v>0</v>
          </cell>
          <cell r="J3294">
            <v>0</v>
          </cell>
          <cell r="K3294">
            <v>0</v>
          </cell>
          <cell r="L3294">
            <v>1356100</v>
          </cell>
          <cell r="M3294">
            <v>1356100</v>
          </cell>
        </row>
        <row r="3295">
          <cell r="A3295">
            <v>1826100872</v>
          </cell>
          <cell r="B3295">
            <v>872</v>
          </cell>
          <cell r="C3295">
            <v>826100</v>
          </cell>
          <cell r="D3295">
            <v>1</v>
          </cell>
          <cell r="F3295" t="str">
            <v>ספר - ברטונוב</v>
          </cell>
          <cell r="G3295" t="str">
            <v>גמיש</v>
          </cell>
          <cell r="I3295">
            <v>0</v>
          </cell>
          <cell r="J3295">
            <v>0</v>
          </cell>
          <cell r="K3295">
            <v>0</v>
          </cell>
          <cell r="L3295">
            <v>0</v>
          </cell>
          <cell r="M3295">
            <v>0</v>
          </cell>
        </row>
        <row r="3296">
          <cell r="A3296">
            <v>1826100875</v>
          </cell>
          <cell r="B3296">
            <v>875</v>
          </cell>
          <cell r="C3296">
            <v>826100</v>
          </cell>
          <cell r="D3296">
            <v>1</v>
          </cell>
          <cell r="F3296" t="str">
            <v>פסטיבל צלילי ילדות</v>
          </cell>
          <cell r="G3296" t="str">
            <v>גמיש</v>
          </cell>
          <cell r="I3296">
            <v>0</v>
          </cell>
          <cell r="J3296">
            <v>0</v>
          </cell>
          <cell r="K3296">
            <v>0</v>
          </cell>
          <cell r="L3296">
            <v>0</v>
          </cell>
          <cell r="M3296">
            <v>0</v>
          </cell>
        </row>
        <row r="3297">
          <cell r="A3297">
            <v>1826100876</v>
          </cell>
          <cell r="B3297">
            <v>876</v>
          </cell>
          <cell r="C3297">
            <v>826100</v>
          </cell>
          <cell r="D3297">
            <v>1</v>
          </cell>
          <cell r="F3297" t="str">
            <v>מרכז לתינוקות</v>
          </cell>
          <cell r="G3297" t="str">
            <v>גמיש</v>
          </cell>
          <cell r="I3297">
            <v>649800</v>
          </cell>
          <cell r="J3297">
            <v>0</v>
          </cell>
          <cell r="K3297">
            <v>0</v>
          </cell>
          <cell r="L3297">
            <v>649800</v>
          </cell>
          <cell r="M3297">
            <v>649800</v>
          </cell>
        </row>
        <row r="3298">
          <cell r="A3298">
            <v>1826100878</v>
          </cell>
          <cell r="B3298">
            <v>878</v>
          </cell>
          <cell r="C3298">
            <v>826100</v>
          </cell>
          <cell r="D3298">
            <v>1</v>
          </cell>
          <cell r="F3298" t="str">
            <v xml:space="preserve">התחייבות הסכם קיבוצי </v>
          </cell>
          <cell r="G3298" t="str">
            <v>קשיח</v>
          </cell>
          <cell r="H3298">
            <v>-1</v>
          </cell>
          <cell r="I3298">
            <v>0</v>
          </cell>
          <cell r="J3298">
            <v>600000</v>
          </cell>
          <cell r="K3298">
            <v>350000</v>
          </cell>
          <cell r="L3298">
            <v>0</v>
          </cell>
          <cell r="M3298">
            <v>0</v>
          </cell>
        </row>
        <row r="3299">
          <cell r="A3299">
            <v>1826100879</v>
          </cell>
          <cell r="B3299">
            <v>879</v>
          </cell>
          <cell r="C3299">
            <v>826100</v>
          </cell>
          <cell r="D3299">
            <v>1</v>
          </cell>
          <cell r="F3299" t="str">
            <v>ביטוח-כנגד הכנסות</v>
          </cell>
          <cell r="G3299" t="str">
            <v>קשיח</v>
          </cell>
          <cell r="H3299">
            <v>0</v>
          </cell>
          <cell r="I3299">
            <v>29400</v>
          </cell>
          <cell r="J3299">
            <v>29400</v>
          </cell>
          <cell r="K3299">
            <v>0</v>
          </cell>
          <cell r="L3299">
            <v>29400</v>
          </cell>
          <cell r="M3299">
            <v>29400</v>
          </cell>
        </row>
        <row r="3300">
          <cell r="A3300">
            <v>1826100981</v>
          </cell>
          <cell r="B3300">
            <v>981</v>
          </cell>
          <cell r="C3300">
            <v>826100</v>
          </cell>
          <cell r="D3300">
            <v>1</v>
          </cell>
          <cell r="F3300" t="str">
            <v>הוצאות שנים קודמות</v>
          </cell>
          <cell r="G3300" t="str">
            <v>קשיח</v>
          </cell>
          <cell r="I3300">
            <v>0</v>
          </cell>
          <cell r="J3300">
            <v>0</v>
          </cell>
          <cell r="K3300">
            <v>0</v>
          </cell>
          <cell r="L3300">
            <v>0</v>
          </cell>
          <cell r="M3300">
            <v>605400</v>
          </cell>
        </row>
        <row r="3301">
          <cell r="A3301" t="e">
            <v>#VALUE!</v>
          </cell>
          <cell r="B3301" t="str">
            <v>826100  סך הכל</v>
          </cell>
          <cell r="F3301" t="str">
            <v xml:space="preserve">תיאטרון חולון     </v>
          </cell>
          <cell r="H3301">
            <v>7.0758738277919786E-2</v>
          </cell>
          <cell r="I3301">
            <v>753600</v>
          </cell>
          <cell r="J3301">
            <v>703800</v>
          </cell>
          <cell r="K3301">
            <v>350303.57</v>
          </cell>
          <cell r="L3301">
            <v>5976500</v>
          </cell>
          <cell r="M3301">
            <v>6572394.4000000004</v>
          </cell>
        </row>
        <row r="3302">
          <cell r="A3302">
            <v>18261200</v>
          </cell>
          <cell r="B3302">
            <v>0</v>
          </cell>
          <cell r="C3302">
            <v>826120</v>
          </cell>
          <cell r="D3302">
            <v>1</v>
          </cell>
          <cell r="F3302" t="str">
            <v>מוזיאון הקריקטורות</v>
          </cell>
        </row>
        <row r="3303">
          <cell r="A3303">
            <v>1826120872</v>
          </cell>
          <cell r="B3303">
            <v>872</v>
          </cell>
          <cell r="C3303">
            <v>826120</v>
          </cell>
          <cell r="D3303">
            <v>1</v>
          </cell>
          <cell r="F3303" t="str">
            <v>השתתפות בהפעלה</v>
          </cell>
          <cell r="G3303" t="str">
            <v>גמיש</v>
          </cell>
          <cell r="I3303">
            <v>0</v>
          </cell>
          <cell r="J3303">
            <v>0</v>
          </cell>
          <cell r="K3303">
            <v>0</v>
          </cell>
          <cell r="L3303">
            <v>675000</v>
          </cell>
          <cell r="M3303">
            <v>695000</v>
          </cell>
        </row>
        <row r="3304">
          <cell r="A3304" t="e">
            <v>#VALUE!</v>
          </cell>
          <cell r="B3304" t="str">
            <v>826120  סך הכל</v>
          </cell>
          <cell r="F3304" t="str">
            <v>מוזיאון הקריקטורות</v>
          </cell>
          <cell r="I3304">
            <v>0</v>
          </cell>
          <cell r="J3304">
            <v>0</v>
          </cell>
          <cell r="K3304">
            <v>0</v>
          </cell>
          <cell r="L3304">
            <v>675000</v>
          </cell>
          <cell r="M3304">
            <v>695000</v>
          </cell>
        </row>
        <row r="3305">
          <cell r="A3305">
            <v>18262000</v>
          </cell>
          <cell r="B3305">
            <v>0</v>
          </cell>
          <cell r="C3305">
            <v>826200</v>
          </cell>
          <cell r="D3305">
            <v>1</v>
          </cell>
          <cell r="F3305" t="str">
            <v xml:space="preserve">אומנויות ותערוכות  </v>
          </cell>
          <cell r="G3305" t="str">
            <v xml:space="preserve"> </v>
          </cell>
        </row>
        <row r="3306">
          <cell r="A3306">
            <v>1826200119</v>
          </cell>
          <cell r="B3306">
            <v>119</v>
          </cell>
          <cell r="C3306">
            <v>826200</v>
          </cell>
          <cell r="D3306">
            <v>1</v>
          </cell>
          <cell r="F3306" t="str">
            <v>השכר הקובע-צוברת</v>
          </cell>
          <cell r="G3306" t="str">
            <v>שכר</v>
          </cell>
          <cell r="H3306">
            <v>-1</v>
          </cell>
          <cell r="I3306">
            <v>0</v>
          </cell>
          <cell r="J3306">
            <v>135200</v>
          </cell>
          <cell r="K3306">
            <v>126733.58</v>
          </cell>
          <cell r="L3306">
            <v>132500</v>
          </cell>
          <cell r="M3306">
            <v>292451.99</v>
          </cell>
        </row>
        <row r="3307">
          <cell r="A3307">
            <v>1826200122</v>
          </cell>
          <cell r="B3307">
            <v>122</v>
          </cell>
          <cell r="C3307">
            <v>826200</v>
          </cell>
          <cell r="D3307">
            <v>1</v>
          </cell>
          <cell r="F3307" t="str">
            <v xml:space="preserve">ביגוד             </v>
          </cell>
          <cell r="G3307" t="str">
            <v>שכר</v>
          </cell>
          <cell r="H3307">
            <v>-1</v>
          </cell>
          <cell r="I3307">
            <v>0</v>
          </cell>
          <cell r="J3307">
            <v>4100</v>
          </cell>
          <cell r="K3307">
            <v>5286.41</v>
          </cell>
          <cell r="L3307">
            <v>2200</v>
          </cell>
          <cell r="M3307">
            <v>3888.5</v>
          </cell>
        </row>
        <row r="3308">
          <cell r="A3308">
            <v>1826200126</v>
          </cell>
          <cell r="B3308">
            <v>126</v>
          </cell>
          <cell r="C3308">
            <v>826200</v>
          </cell>
          <cell r="D3308">
            <v>1</v>
          </cell>
          <cell r="F3308" t="str">
            <v xml:space="preserve">דמי הבראה         </v>
          </cell>
          <cell r="G3308" t="str">
            <v>שכר</v>
          </cell>
          <cell r="H3308">
            <v>-1</v>
          </cell>
          <cell r="I3308">
            <v>0</v>
          </cell>
          <cell r="J3308">
            <v>10000</v>
          </cell>
          <cell r="K3308">
            <v>12186.66</v>
          </cell>
          <cell r="L3308">
            <v>2000</v>
          </cell>
          <cell r="M3308">
            <v>8956.6</v>
          </cell>
        </row>
        <row r="3309">
          <cell r="A3309">
            <v>1826200140</v>
          </cell>
          <cell r="B3309">
            <v>140</v>
          </cell>
          <cell r="C3309">
            <v>826200</v>
          </cell>
          <cell r="D3309">
            <v>1</v>
          </cell>
          <cell r="F3309" t="str">
            <v>השתתפות באחזקת רכב</v>
          </cell>
          <cell r="G3309" t="str">
            <v>שכר</v>
          </cell>
          <cell r="H3309">
            <v>-1</v>
          </cell>
          <cell r="I3309">
            <v>0</v>
          </cell>
          <cell r="J3309">
            <v>35800</v>
          </cell>
          <cell r="K3309">
            <v>15499.86</v>
          </cell>
          <cell r="L3309">
            <v>15800</v>
          </cell>
          <cell r="M3309">
            <v>46735.59</v>
          </cell>
        </row>
        <row r="3310">
          <cell r="A3310">
            <v>1826200423</v>
          </cell>
          <cell r="B3310">
            <v>423</v>
          </cell>
          <cell r="C3310">
            <v>826200</v>
          </cell>
          <cell r="D3310">
            <v>1</v>
          </cell>
          <cell r="F3310" t="str">
            <v xml:space="preserve">תחזוקת מבנה       </v>
          </cell>
          <cell r="G3310" t="str">
            <v>קשיח</v>
          </cell>
          <cell r="H3310">
            <v>0.8</v>
          </cell>
          <cell r="I3310">
            <v>207000</v>
          </cell>
          <cell r="J3310">
            <v>115000</v>
          </cell>
          <cell r="K3310">
            <v>0</v>
          </cell>
          <cell r="L3310">
            <v>193700</v>
          </cell>
          <cell r="M3310">
            <v>193700</v>
          </cell>
        </row>
        <row r="3311">
          <cell r="A3311">
            <v>1826200437</v>
          </cell>
          <cell r="B3311">
            <v>437</v>
          </cell>
          <cell r="C3311">
            <v>826200</v>
          </cell>
          <cell r="D3311">
            <v>1</v>
          </cell>
          <cell r="F3311" t="str">
            <v xml:space="preserve">אחזקת אזעקה       </v>
          </cell>
          <cell r="G3311" t="str">
            <v>קשיח</v>
          </cell>
          <cell r="H3311">
            <v>-1</v>
          </cell>
          <cell r="I3311">
            <v>0</v>
          </cell>
          <cell r="J3311">
            <v>3800</v>
          </cell>
          <cell r="K3311">
            <v>615.96</v>
          </cell>
          <cell r="L3311">
            <v>3800</v>
          </cell>
          <cell r="M3311">
            <v>3664.44</v>
          </cell>
        </row>
        <row r="3312">
          <cell r="A3312">
            <v>1826200441</v>
          </cell>
          <cell r="B3312">
            <v>441</v>
          </cell>
          <cell r="C3312">
            <v>826200</v>
          </cell>
          <cell r="D3312">
            <v>1</v>
          </cell>
          <cell r="F3312" t="str">
            <v>ביטוח</v>
          </cell>
          <cell r="G3312" t="str">
            <v>קשיח</v>
          </cell>
          <cell r="H3312">
            <v>0.50862068965517238</v>
          </cell>
          <cell r="I3312">
            <v>17500</v>
          </cell>
          <cell r="J3312">
            <v>11600</v>
          </cell>
          <cell r="K3312">
            <v>0</v>
          </cell>
          <cell r="L3312">
            <v>11600</v>
          </cell>
          <cell r="M3312">
            <v>2175</v>
          </cell>
        </row>
        <row r="3313">
          <cell r="A3313">
            <v>1826200450</v>
          </cell>
          <cell r="B3313">
            <v>450</v>
          </cell>
          <cell r="C3313">
            <v>826200</v>
          </cell>
          <cell r="D3313">
            <v>1</v>
          </cell>
          <cell r="F3313" t="str">
            <v>אחזקת תמי 4</v>
          </cell>
          <cell r="G3313" t="str">
            <v>קשיח</v>
          </cell>
          <cell r="H3313">
            <v>-1</v>
          </cell>
          <cell r="I3313">
            <v>0</v>
          </cell>
          <cell r="J3313">
            <v>1000</v>
          </cell>
          <cell r="K3313">
            <v>0</v>
          </cell>
          <cell r="L3313">
            <v>1000</v>
          </cell>
          <cell r="M3313">
            <v>530</v>
          </cell>
        </row>
        <row r="3314">
          <cell r="A3314">
            <v>1826200550</v>
          </cell>
          <cell r="B3314">
            <v>550</v>
          </cell>
          <cell r="C3314">
            <v>826200</v>
          </cell>
          <cell r="D3314">
            <v>1</v>
          </cell>
          <cell r="F3314" t="str">
            <v xml:space="preserve">פירסומים          </v>
          </cell>
          <cell r="G3314" t="str">
            <v>גמיש</v>
          </cell>
          <cell r="I3314">
            <v>0</v>
          </cell>
          <cell r="J3314">
            <v>0</v>
          </cell>
          <cell r="K3314">
            <v>0</v>
          </cell>
          <cell r="L3314">
            <v>162500</v>
          </cell>
          <cell r="M3314">
            <v>159679</v>
          </cell>
        </row>
        <row r="3315">
          <cell r="A3315">
            <v>1826200710</v>
          </cell>
          <cell r="B3315">
            <v>710</v>
          </cell>
          <cell r="C3315">
            <v>826200</v>
          </cell>
          <cell r="D3315">
            <v>1</v>
          </cell>
          <cell r="F3315" t="str">
            <v xml:space="preserve">הובלות והסעות     </v>
          </cell>
          <cell r="G3315" t="str">
            <v>גמיש</v>
          </cell>
          <cell r="H3315">
            <v>-1</v>
          </cell>
          <cell r="I3315">
            <v>0</v>
          </cell>
          <cell r="J3315">
            <v>13500</v>
          </cell>
          <cell r="K3315">
            <v>1534</v>
          </cell>
          <cell r="L3315">
            <v>32500</v>
          </cell>
          <cell r="M3315">
            <v>15551.3</v>
          </cell>
        </row>
        <row r="3316">
          <cell r="A3316">
            <v>1826200751</v>
          </cell>
          <cell r="B3316">
            <v>751</v>
          </cell>
          <cell r="C3316">
            <v>826200</v>
          </cell>
          <cell r="D3316">
            <v>1</v>
          </cell>
          <cell r="F3316" t="str">
            <v>אחזקה גלריית החווה</v>
          </cell>
          <cell r="G3316" t="str">
            <v>גמיש</v>
          </cell>
          <cell r="H3316">
            <v>-1</v>
          </cell>
          <cell r="I3316">
            <v>0</v>
          </cell>
          <cell r="J3316">
            <v>7290</v>
          </cell>
          <cell r="K3316">
            <v>0</v>
          </cell>
          <cell r="L3316">
            <v>8100</v>
          </cell>
          <cell r="M3316">
            <v>5952</v>
          </cell>
        </row>
        <row r="3317">
          <cell r="A3317">
            <v>1826200752</v>
          </cell>
          <cell r="B3317">
            <v>752</v>
          </cell>
          <cell r="C3317">
            <v>826200</v>
          </cell>
          <cell r="D3317">
            <v>1</v>
          </cell>
          <cell r="F3317" t="str">
            <v xml:space="preserve">נקיון בקבלנות     </v>
          </cell>
          <cell r="G3317" t="str">
            <v>קשיח</v>
          </cell>
          <cell r="H3317">
            <v>-1</v>
          </cell>
          <cell r="I3317">
            <v>0</v>
          </cell>
          <cell r="J3317">
            <v>25000</v>
          </cell>
          <cell r="K3317">
            <v>-7828.18</v>
          </cell>
          <cell r="L3317">
            <v>40100</v>
          </cell>
          <cell r="M3317">
            <v>39749.379999999997</v>
          </cell>
        </row>
        <row r="3318">
          <cell r="A3318">
            <v>1826200756</v>
          </cell>
          <cell r="B3318">
            <v>756</v>
          </cell>
          <cell r="C3318">
            <v>826200</v>
          </cell>
          <cell r="D3318">
            <v>1</v>
          </cell>
          <cell r="F3318" t="str">
            <v>שמירה בקבלנות</v>
          </cell>
          <cell r="G3318" t="str">
            <v>קשיח</v>
          </cell>
          <cell r="H3318">
            <v>-1</v>
          </cell>
          <cell r="I3318">
            <v>0</v>
          </cell>
          <cell r="J3318">
            <v>150000</v>
          </cell>
          <cell r="K3318">
            <v>36477.300000000003</v>
          </cell>
          <cell r="L3318">
            <v>130000</v>
          </cell>
          <cell r="M3318">
            <v>106058.13</v>
          </cell>
        </row>
        <row r="3319">
          <cell r="A3319">
            <v>1826200780</v>
          </cell>
          <cell r="B3319">
            <v>780</v>
          </cell>
          <cell r="C3319">
            <v>826200</v>
          </cell>
          <cell r="D3319">
            <v>1</v>
          </cell>
          <cell r="F3319" t="str">
            <v>אירוע פתיחת עונה</v>
          </cell>
          <cell r="G3319" t="str">
            <v>גמיש</v>
          </cell>
          <cell r="H3319">
            <v>-1</v>
          </cell>
          <cell r="I3319">
            <v>0</v>
          </cell>
          <cell r="J3319">
            <v>109710</v>
          </cell>
          <cell r="K3319">
            <v>4531.3900000000003</v>
          </cell>
          <cell r="L3319">
            <v>121900</v>
          </cell>
          <cell r="M3319">
            <v>118542.07</v>
          </cell>
        </row>
        <row r="3320">
          <cell r="A3320">
            <v>1826200781</v>
          </cell>
          <cell r="B3320">
            <v>781</v>
          </cell>
          <cell r="C3320">
            <v>826200</v>
          </cell>
          <cell r="D3320">
            <v>1</v>
          </cell>
          <cell r="F3320" t="str">
            <v xml:space="preserve">טכס יקיר חולון    </v>
          </cell>
          <cell r="G3320" t="str">
            <v>גמיש</v>
          </cell>
          <cell r="H3320">
            <v>-1</v>
          </cell>
          <cell r="I3320">
            <v>0</v>
          </cell>
          <cell r="J3320">
            <v>90000</v>
          </cell>
          <cell r="K3320">
            <v>89583.29</v>
          </cell>
          <cell r="L3320">
            <v>83200</v>
          </cell>
          <cell r="M3320">
            <v>19509.72</v>
          </cell>
        </row>
        <row r="3321">
          <cell r="A3321">
            <v>1826200782</v>
          </cell>
          <cell r="B3321">
            <v>782</v>
          </cell>
          <cell r="C3321">
            <v>826200</v>
          </cell>
          <cell r="D3321">
            <v>1</v>
          </cell>
          <cell r="F3321" t="str">
            <v>פעילות גלריות</v>
          </cell>
          <cell r="G3321" t="str">
            <v>גמיש</v>
          </cell>
          <cell r="I3321">
            <v>0</v>
          </cell>
          <cell r="J3321">
            <v>0</v>
          </cell>
          <cell r="K3321">
            <v>0</v>
          </cell>
          <cell r="L3321">
            <v>0</v>
          </cell>
          <cell r="M3321">
            <v>0</v>
          </cell>
        </row>
        <row r="3322">
          <cell r="A3322">
            <v>1826200784</v>
          </cell>
          <cell r="B3322">
            <v>784</v>
          </cell>
          <cell r="C3322">
            <v>826200</v>
          </cell>
          <cell r="D3322">
            <v>1</v>
          </cell>
          <cell r="F3322" t="str">
            <v>ספר קומיקס</v>
          </cell>
          <cell r="G3322" t="str">
            <v>גמיש</v>
          </cell>
          <cell r="I3322">
            <v>0</v>
          </cell>
          <cell r="J3322">
            <v>0</v>
          </cell>
          <cell r="K3322">
            <v>0</v>
          </cell>
          <cell r="L3322">
            <v>37400</v>
          </cell>
          <cell r="M3322">
            <v>23710</v>
          </cell>
        </row>
        <row r="3323">
          <cell r="A3323">
            <v>1826200786</v>
          </cell>
          <cell r="B3323">
            <v>786</v>
          </cell>
          <cell r="C3323">
            <v>826200</v>
          </cell>
          <cell r="D3323">
            <v>1</v>
          </cell>
          <cell r="F3323" t="str">
            <v>פעולות גלריית המשכן</v>
          </cell>
          <cell r="G3323" t="str">
            <v>גמיש</v>
          </cell>
          <cell r="H3323">
            <v>-1</v>
          </cell>
          <cell r="I3323">
            <v>0</v>
          </cell>
          <cell r="J3323">
            <v>39420</v>
          </cell>
          <cell r="K3323">
            <v>9419.64</v>
          </cell>
          <cell r="L3323">
            <v>43800</v>
          </cell>
          <cell r="M3323">
            <v>43248.72</v>
          </cell>
        </row>
        <row r="3324">
          <cell r="A3324">
            <v>1826200787</v>
          </cell>
          <cell r="B3324">
            <v>787</v>
          </cell>
          <cell r="C3324">
            <v>826200</v>
          </cell>
          <cell r="D3324">
            <v>1</v>
          </cell>
          <cell r="F3324" t="str">
            <v>תערוכה מרכזית</v>
          </cell>
          <cell r="G3324" t="str">
            <v>גמיש</v>
          </cell>
          <cell r="I3324">
            <v>0</v>
          </cell>
          <cell r="J3324">
            <v>0</v>
          </cell>
          <cell r="K3324">
            <v>0</v>
          </cell>
          <cell r="L3324">
            <v>8100</v>
          </cell>
          <cell r="M3324">
            <v>0</v>
          </cell>
        </row>
        <row r="3325">
          <cell r="A3325">
            <v>1826200788</v>
          </cell>
          <cell r="B3325">
            <v>788</v>
          </cell>
          <cell r="C3325">
            <v>826200</v>
          </cell>
          <cell r="D3325">
            <v>1</v>
          </cell>
          <cell r="F3325" t="str">
            <v>להקות שברולט</v>
          </cell>
          <cell r="G3325" t="str">
            <v>גמיש</v>
          </cell>
          <cell r="I3325">
            <v>0</v>
          </cell>
          <cell r="J3325">
            <v>0</v>
          </cell>
          <cell r="K3325">
            <v>0</v>
          </cell>
          <cell r="L3325">
            <v>0</v>
          </cell>
          <cell r="M3325">
            <v>30948.5</v>
          </cell>
        </row>
        <row r="3326">
          <cell r="A3326">
            <v>1826200791</v>
          </cell>
          <cell r="B3326">
            <v>791</v>
          </cell>
          <cell r="C3326">
            <v>826200</v>
          </cell>
          <cell r="D3326">
            <v>1</v>
          </cell>
          <cell r="F3326" t="str">
            <v>תערוכת חוצות גן המוזיאון</v>
          </cell>
          <cell r="G3326" t="str">
            <v>קשיח</v>
          </cell>
          <cell r="H3326">
            <v>-1</v>
          </cell>
          <cell r="I3326">
            <v>0</v>
          </cell>
          <cell r="J3326">
            <v>44640</v>
          </cell>
          <cell r="K3326">
            <v>4704</v>
          </cell>
          <cell r="L3326">
            <v>49600</v>
          </cell>
          <cell r="M3326">
            <v>25810</v>
          </cell>
        </row>
        <row r="3327">
          <cell r="A3327">
            <v>1826200792</v>
          </cell>
          <cell r="B3327">
            <v>792</v>
          </cell>
          <cell r="C3327">
            <v>826200</v>
          </cell>
          <cell r="D3327">
            <v>1</v>
          </cell>
          <cell r="F3327" t="str">
            <v>פעולות גלריית חנקין</v>
          </cell>
          <cell r="G3327" t="str">
            <v>גמיש</v>
          </cell>
          <cell r="I3327">
            <v>0</v>
          </cell>
          <cell r="J3327">
            <v>0</v>
          </cell>
          <cell r="K3327">
            <v>0</v>
          </cell>
          <cell r="L3327">
            <v>12200</v>
          </cell>
          <cell r="M3327">
            <v>4155.63</v>
          </cell>
        </row>
        <row r="3328">
          <cell r="A3328">
            <v>1826200793</v>
          </cell>
          <cell r="B3328">
            <v>793</v>
          </cell>
          <cell r="C3328">
            <v>826200</v>
          </cell>
          <cell r="D3328">
            <v>1</v>
          </cell>
          <cell r="F3328" t="str">
            <v>פעולות גלריית התיאטרון</v>
          </cell>
          <cell r="G3328" t="str">
            <v>גמיש</v>
          </cell>
          <cell r="I3328">
            <v>0</v>
          </cell>
          <cell r="J3328">
            <v>0</v>
          </cell>
          <cell r="K3328">
            <v>0</v>
          </cell>
          <cell r="L3328">
            <v>4100</v>
          </cell>
          <cell r="M3328">
            <v>0</v>
          </cell>
        </row>
        <row r="3329">
          <cell r="A3329">
            <v>1826200796</v>
          </cell>
          <cell r="B3329">
            <v>796</v>
          </cell>
          <cell r="C3329">
            <v>826200</v>
          </cell>
          <cell r="D3329">
            <v>1</v>
          </cell>
          <cell r="F3329" t="str">
            <v>פעולות גלריית החווה</v>
          </cell>
          <cell r="G3329" t="str">
            <v>גמיש</v>
          </cell>
          <cell r="H3329">
            <v>-1</v>
          </cell>
          <cell r="I3329">
            <v>0</v>
          </cell>
          <cell r="J3329">
            <v>43920</v>
          </cell>
          <cell r="K3329">
            <v>4649.2</v>
          </cell>
          <cell r="L3329">
            <v>48800</v>
          </cell>
          <cell r="M3329">
            <v>26072.15</v>
          </cell>
        </row>
        <row r="3330">
          <cell r="A3330" t="e">
            <v>#VALUE!</v>
          </cell>
          <cell r="B3330" t="str">
            <v>826200  סך הכל</v>
          </cell>
          <cell r="F3330" t="str">
            <v xml:space="preserve">אומנויות ותערוכות  </v>
          </cell>
          <cell r="H3330">
            <v>-0.73273173170789785</v>
          </cell>
          <cell r="I3330">
            <v>224500</v>
          </cell>
          <cell r="J3330">
            <v>839980</v>
          </cell>
          <cell r="K3330">
            <v>303393.11000000004</v>
          </cell>
          <cell r="L3330">
            <v>1144900</v>
          </cell>
          <cell r="M3330">
            <v>1171088.7199999997</v>
          </cell>
        </row>
        <row r="3331">
          <cell r="A3331">
            <v>18263000</v>
          </cell>
          <cell r="B3331">
            <v>0</v>
          </cell>
          <cell r="C3331">
            <v>826300</v>
          </cell>
          <cell r="D3331">
            <v>1</v>
          </cell>
          <cell r="F3331" t="str">
            <v>מוזיאון הילדים</v>
          </cell>
          <cell r="G3331" t="str">
            <v xml:space="preserve"> </v>
          </cell>
        </row>
        <row r="3332">
          <cell r="A3332">
            <v>1826300441</v>
          </cell>
          <cell r="B3332">
            <v>441</v>
          </cell>
          <cell r="C3332">
            <v>826300</v>
          </cell>
          <cell r="D3332">
            <v>1</v>
          </cell>
          <cell r="F3332" t="str">
            <v xml:space="preserve">ביטוח             </v>
          </cell>
          <cell r="G3332" t="str">
            <v>קשיח</v>
          </cell>
          <cell r="H3332">
            <v>0</v>
          </cell>
          <cell r="I3332">
            <v>99500</v>
          </cell>
          <cell r="J3332">
            <v>99500</v>
          </cell>
          <cell r="K3332">
            <v>0</v>
          </cell>
          <cell r="L3332">
            <v>99500</v>
          </cell>
          <cell r="M3332">
            <v>0</v>
          </cell>
        </row>
        <row r="3333">
          <cell r="A3333">
            <v>1826300870</v>
          </cell>
          <cell r="B3333">
            <v>870</v>
          </cell>
          <cell r="C3333">
            <v>826300</v>
          </cell>
          <cell r="D3333">
            <v>1</v>
          </cell>
          <cell r="F3333" t="str">
            <v xml:space="preserve">הקצבה לפעולות     </v>
          </cell>
          <cell r="G3333" t="str">
            <v>גמיש</v>
          </cell>
          <cell r="I3333">
            <v>0</v>
          </cell>
          <cell r="J3333">
            <v>0</v>
          </cell>
          <cell r="K3333">
            <v>0</v>
          </cell>
          <cell r="L3333">
            <v>3181800</v>
          </cell>
          <cell r="M3333">
            <v>3361800</v>
          </cell>
        </row>
        <row r="3334">
          <cell r="A3334">
            <v>1826300872</v>
          </cell>
          <cell r="B3334">
            <v>872</v>
          </cell>
          <cell r="C3334">
            <v>826300</v>
          </cell>
          <cell r="D3334">
            <v>1</v>
          </cell>
          <cell r="F3334" t="str">
            <v>בגובה העיניים</v>
          </cell>
          <cell r="G3334" t="str">
            <v>גמיש</v>
          </cell>
          <cell r="I3334">
            <v>0</v>
          </cell>
          <cell r="J3334">
            <v>0</v>
          </cell>
          <cell r="K3334">
            <v>0</v>
          </cell>
          <cell r="L3334">
            <v>757000</v>
          </cell>
          <cell r="M3334">
            <v>757000</v>
          </cell>
        </row>
        <row r="3335">
          <cell r="A3335">
            <v>1826300874</v>
          </cell>
          <cell r="B3335">
            <v>874</v>
          </cell>
          <cell r="C3335">
            <v>826300</v>
          </cell>
          <cell r="D3335">
            <v>1</v>
          </cell>
          <cell r="F3335" t="str">
            <v>שכר דירה</v>
          </cell>
          <cell r="G3335" t="str">
            <v>קשיח</v>
          </cell>
          <cell r="H3335">
            <v>0</v>
          </cell>
          <cell r="I3335">
            <v>40000</v>
          </cell>
          <cell r="J3335">
            <v>40000</v>
          </cell>
          <cell r="K3335">
            <v>0</v>
          </cell>
          <cell r="L3335">
            <v>40000</v>
          </cell>
          <cell r="M3335">
            <v>40000</v>
          </cell>
        </row>
        <row r="3336">
          <cell r="A3336">
            <v>1826300876</v>
          </cell>
          <cell r="B3336">
            <v>876</v>
          </cell>
          <cell r="C3336">
            <v>826300</v>
          </cell>
          <cell r="D3336">
            <v>1</v>
          </cell>
          <cell r="F3336" t="str">
            <v>השתתפות הזמנה לשקט</v>
          </cell>
          <cell r="G3336" t="str">
            <v>גמיש</v>
          </cell>
          <cell r="I3336">
            <v>0</v>
          </cell>
          <cell r="J3336">
            <v>0</v>
          </cell>
          <cell r="K3336">
            <v>0</v>
          </cell>
          <cell r="L3336">
            <v>450000</v>
          </cell>
          <cell r="M3336">
            <v>450000</v>
          </cell>
        </row>
        <row r="3337">
          <cell r="A3337">
            <v>1826300877</v>
          </cell>
          <cell r="B3337">
            <v>877</v>
          </cell>
          <cell r="C3337">
            <v>826300</v>
          </cell>
          <cell r="D3337">
            <v>1</v>
          </cell>
          <cell r="F3337" t="str">
            <v>השת' עד מאה ועשרים</v>
          </cell>
          <cell r="G3337" t="str">
            <v>גמיש</v>
          </cell>
          <cell r="I3337">
            <v>0</v>
          </cell>
          <cell r="J3337">
            <v>0</v>
          </cell>
          <cell r="K3337">
            <v>0</v>
          </cell>
          <cell r="L3337">
            <v>290800</v>
          </cell>
          <cell r="M3337">
            <v>290800</v>
          </cell>
        </row>
        <row r="3338">
          <cell r="A3338">
            <v>1826300878</v>
          </cell>
          <cell r="B3338">
            <v>878</v>
          </cell>
          <cell r="C3338">
            <v>826300</v>
          </cell>
          <cell r="D3338">
            <v>1</v>
          </cell>
          <cell r="F3338" t="str">
            <v>התחייבות הסכם קיבוצי</v>
          </cell>
          <cell r="G3338" t="str">
            <v>קשיח</v>
          </cell>
          <cell r="H3338">
            <v>-1</v>
          </cell>
          <cell r="I3338">
            <v>0</v>
          </cell>
          <cell r="J3338">
            <v>1714300</v>
          </cell>
          <cell r="K3338">
            <v>1000006</v>
          </cell>
          <cell r="L3338">
            <v>0</v>
          </cell>
          <cell r="M3338">
            <v>0</v>
          </cell>
        </row>
        <row r="3339">
          <cell r="A3339">
            <v>1826300879</v>
          </cell>
          <cell r="B3339">
            <v>879</v>
          </cell>
          <cell r="C3339">
            <v>826300</v>
          </cell>
          <cell r="D3339">
            <v>1</v>
          </cell>
          <cell r="F3339" t="str">
            <v>ביטוח-כנגד הכנסות</v>
          </cell>
          <cell r="G3339" t="str">
            <v>קשיח</v>
          </cell>
          <cell r="H3339">
            <v>0</v>
          </cell>
          <cell r="I3339">
            <v>40500</v>
          </cell>
          <cell r="J3339">
            <v>40500</v>
          </cell>
          <cell r="K3339">
            <v>0</v>
          </cell>
          <cell r="L3339">
            <v>40500</v>
          </cell>
          <cell r="M3339">
            <v>40500</v>
          </cell>
        </row>
        <row r="3340">
          <cell r="A3340">
            <v>1826300981</v>
          </cell>
          <cell r="B3340">
            <v>981</v>
          </cell>
          <cell r="C3340">
            <v>826300</v>
          </cell>
          <cell r="D3340">
            <v>1</v>
          </cell>
          <cell r="F3340" t="str">
            <v>הוצאות שנים קודמות</v>
          </cell>
          <cell r="G3340" t="str">
            <v>קשיח</v>
          </cell>
          <cell r="I3340">
            <v>0</v>
          </cell>
          <cell r="J3340">
            <v>0</v>
          </cell>
          <cell r="K3340">
            <v>0</v>
          </cell>
          <cell r="L3340">
            <v>0</v>
          </cell>
          <cell r="M3340">
            <v>1283600</v>
          </cell>
        </row>
        <row r="3341">
          <cell r="A3341" t="e">
            <v>#VALUE!</v>
          </cell>
          <cell r="B3341" t="str">
            <v>826300  סך הכל</v>
          </cell>
          <cell r="F3341" t="str">
            <v>מוזיאון הילדים</v>
          </cell>
          <cell r="H3341">
            <v>-0.90497809217125058</v>
          </cell>
          <cell r="I3341">
            <v>180000</v>
          </cell>
          <cell r="J3341">
            <v>1894300</v>
          </cell>
          <cell r="K3341">
            <v>1000006</v>
          </cell>
          <cell r="L3341">
            <v>4859600</v>
          </cell>
          <cell r="M3341">
            <v>6223700</v>
          </cell>
        </row>
        <row r="3342">
          <cell r="A3342">
            <v>18264000</v>
          </cell>
          <cell r="B3342">
            <v>0</v>
          </cell>
          <cell r="C3342">
            <v>826400</v>
          </cell>
          <cell r="D3342">
            <v>1</v>
          </cell>
          <cell r="F3342" t="str">
            <v>מתנ"ס ע"ש שטיינברג</v>
          </cell>
          <cell r="G3342" t="str">
            <v xml:space="preserve"> </v>
          </cell>
        </row>
        <row r="3343">
          <cell r="A3343">
            <v>1826400441</v>
          </cell>
          <cell r="B3343">
            <v>441</v>
          </cell>
          <cell r="C3343">
            <v>826400</v>
          </cell>
          <cell r="D3343">
            <v>1</v>
          </cell>
          <cell r="F3343" t="str">
            <v xml:space="preserve">ביטוח             </v>
          </cell>
          <cell r="G3343" t="str">
            <v>קשיח</v>
          </cell>
          <cell r="H3343">
            <v>0</v>
          </cell>
          <cell r="I3343">
            <v>33200</v>
          </cell>
          <cell r="J3343">
            <v>33200</v>
          </cell>
          <cell r="K3343">
            <v>0</v>
          </cell>
          <cell r="L3343">
            <v>33200</v>
          </cell>
          <cell r="M3343">
            <v>0</v>
          </cell>
        </row>
        <row r="3344">
          <cell r="A3344">
            <v>1826400786</v>
          </cell>
          <cell r="B3344">
            <v>786</v>
          </cell>
          <cell r="C3344">
            <v>826400</v>
          </cell>
          <cell r="D3344">
            <v>1</v>
          </cell>
          <cell r="F3344" t="str">
            <v>להקות ייצוגיות</v>
          </cell>
          <cell r="G3344" t="str">
            <v>גמיש</v>
          </cell>
          <cell r="H3344">
            <v>0.11111111111111116</v>
          </cell>
          <cell r="I3344">
            <v>200000</v>
          </cell>
          <cell r="J3344">
            <v>180000</v>
          </cell>
          <cell r="K3344">
            <v>180000</v>
          </cell>
          <cell r="L3344">
            <v>0</v>
          </cell>
          <cell r="M3344">
            <v>100000</v>
          </cell>
        </row>
        <row r="3345">
          <cell r="A3345">
            <v>1826400870</v>
          </cell>
          <cell r="B3345">
            <v>870</v>
          </cell>
          <cell r="C3345">
            <v>826400</v>
          </cell>
          <cell r="D3345">
            <v>1</v>
          </cell>
          <cell r="F3345" t="str">
            <v xml:space="preserve">השתתפויות         </v>
          </cell>
          <cell r="G3345" t="str">
            <v>גמיש</v>
          </cell>
          <cell r="I3345">
            <v>733100</v>
          </cell>
          <cell r="J3345">
            <v>0</v>
          </cell>
          <cell r="K3345">
            <v>488733.3</v>
          </cell>
          <cell r="L3345">
            <v>733100</v>
          </cell>
          <cell r="M3345">
            <v>733100</v>
          </cell>
        </row>
        <row r="3346">
          <cell r="A3346">
            <v>1826400875</v>
          </cell>
          <cell r="B3346">
            <v>875</v>
          </cell>
          <cell r="C3346">
            <v>826400</v>
          </cell>
          <cell r="D3346">
            <v>1</v>
          </cell>
          <cell r="F3346" t="str">
            <v>מנהל מוסיקלי</v>
          </cell>
          <cell r="G3346" t="str">
            <v>קשיח</v>
          </cell>
          <cell r="I3346">
            <v>243700</v>
          </cell>
          <cell r="J3346">
            <v>0</v>
          </cell>
          <cell r="K3346">
            <v>162466.6</v>
          </cell>
          <cell r="L3346">
            <v>243700</v>
          </cell>
          <cell r="M3346">
            <v>243700</v>
          </cell>
        </row>
        <row r="3347">
          <cell r="A3347">
            <v>1826400877</v>
          </cell>
          <cell r="B3347">
            <v>877</v>
          </cell>
          <cell r="C3347">
            <v>826400</v>
          </cell>
          <cell r="D3347">
            <v>1</v>
          </cell>
          <cell r="F3347" t="str">
            <v xml:space="preserve">חשמל              </v>
          </cell>
          <cell r="G3347" t="str">
            <v>קשיח</v>
          </cell>
          <cell r="I3347">
            <v>130000</v>
          </cell>
          <cell r="J3347">
            <v>0</v>
          </cell>
          <cell r="K3347">
            <v>133285.79999999999</v>
          </cell>
          <cell r="L3347">
            <v>126000</v>
          </cell>
          <cell r="M3347">
            <v>51426.41</v>
          </cell>
        </row>
        <row r="3348">
          <cell r="A3348">
            <v>1826400879</v>
          </cell>
          <cell r="B3348">
            <v>879</v>
          </cell>
          <cell r="C3348">
            <v>826400</v>
          </cell>
          <cell r="D3348">
            <v>1</v>
          </cell>
          <cell r="F3348" t="str">
            <v>ביטוח-כנגד הכנסות</v>
          </cell>
          <cell r="G3348" t="str">
            <v>קשיח</v>
          </cell>
          <cell r="H3348">
            <v>0</v>
          </cell>
          <cell r="I3348">
            <v>13500</v>
          </cell>
          <cell r="J3348">
            <v>13500</v>
          </cell>
          <cell r="K3348">
            <v>0</v>
          </cell>
          <cell r="L3348">
            <v>13500</v>
          </cell>
          <cell r="M3348">
            <v>13500</v>
          </cell>
        </row>
        <row r="3349">
          <cell r="A3349" t="e">
            <v>#VALUE!</v>
          </cell>
          <cell r="B3349" t="str">
            <v>826400  סך הכל</v>
          </cell>
          <cell r="F3349" t="str">
            <v>מתנ"ס ע"ש שטיינברג</v>
          </cell>
          <cell r="H3349">
            <v>4.970445522717247</v>
          </cell>
          <cell r="I3349">
            <v>1353500</v>
          </cell>
          <cell r="J3349">
            <v>226700</v>
          </cell>
          <cell r="K3349">
            <v>964485.7</v>
          </cell>
          <cell r="L3349">
            <v>1149500</v>
          </cell>
          <cell r="M3349">
            <v>1141726.4099999999</v>
          </cell>
        </row>
        <row r="3350">
          <cell r="A3350">
            <v>18265000</v>
          </cell>
          <cell r="B3350">
            <v>0</v>
          </cell>
          <cell r="C3350">
            <v>826500</v>
          </cell>
          <cell r="D3350">
            <v>1</v>
          </cell>
          <cell r="F3350" t="str">
            <v xml:space="preserve">המחלקה לאירועים   </v>
          </cell>
          <cell r="G3350" t="str">
            <v xml:space="preserve"> </v>
          </cell>
        </row>
        <row r="3351">
          <cell r="A3351">
            <v>1826500119</v>
          </cell>
          <cell r="B3351">
            <v>119</v>
          </cell>
          <cell r="C3351">
            <v>826500</v>
          </cell>
          <cell r="D3351">
            <v>1</v>
          </cell>
          <cell r="F3351" t="str">
            <v xml:space="preserve">השכר הקובע-צוברת  </v>
          </cell>
          <cell r="G3351" t="str">
            <v>שכר</v>
          </cell>
          <cell r="H3351">
            <v>-1</v>
          </cell>
          <cell r="I3351">
            <v>0</v>
          </cell>
          <cell r="J3351">
            <v>877200</v>
          </cell>
          <cell r="K3351">
            <v>376742.31</v>
          </cell>
          <cell r="L3351">
            <v>654100</v>
          </cell>
          <cell r="M3351">
            <v>556039.05000000005</v>
          </cell>
        </row>
        <row r="3352">
          <cell r="A3352">
            <v>1826500122</v>
          </cell>
          <cell r="B3352">
            <v>122</v>
          </cell>
          <cell r="C3352">
            <v>826500</v>
          </cell>
          <cell r="D3352">
            <v>1</v>
          </cell>
          <cell r="F3352" t="str">
            <v xml:space="preserve">ביגוד             </v>
          </cell>
          <cell r="G3352" t="str">
            <v>שכר</v>
          </cell>
          <cell r="H3352">
            <v>-1</v>
          </cell>
          <cell r="I3352">
            <v>0</v>
          </cell>
          <cell r="J3352">
            <v>5500</v>
          </cell>
          <cell r="K3352">
            <v>7108.51</v>
          </cell>
          <cell r="L3352">
            <v>6800</v>
          </cell>
          <cell r="M3352">
            <v>5394.05</v>
          </cell>
        </row>
        <row r="3353">
          <cell r="A3353">
            <v>1826500126</v>
          </cell>
          <cell r="B3353">
            <v>126</v>
          </cell>
          <cell r="C3353">
            <v>826500</v>
          </cell>
          <cell r="D3353">
            <v>1</v>
          </cell>
          <cell r="F3353" t="str">
            <v xml:space="preserve">דמי הבראה         </v>
          </cell>
          <cell r="G3353" t="str">
            <v>שכר</v>
          </cell>
          <cell r="H3353">
            <v>-1</v>
          </cell>
          <cell r="I3353">
            <v>0</v>
          </cell>
          <cell r="J3353">
            <v>12000</v>
          </cell>
          <cell r="K3353">
            <v>14049.01</v>
          </cell>
          <cell r="L3353">
            <v>21000</v>
          </cell>
          <cell r="M3353">
            <v>10842.2</v>
          </cell>
        </row>
        <row r="3354">
          <cell r="A3354">
            <v>1826500130</v>
          </cell>
          <cell r="B3354">
            <v>130</v>
          </cell>
          <cell r="C3354">
            <v>826500</v>
          </cell>
          <cell r="D3354">
            <v>1</v>
          </cell>
          <cell r="F3354" t="str">
            <v xml:space="preserve">שעות נוספות       </v>
          </cell>
          <cell r="G3354" t="str">
            <v>שכר</v>
          </cell>
          <cell r="H3354">
            <v>-1</v>
          </cell>
          <cell r="I3354">
            <v>0</v>
          </cell>
          <cell r="J3354">
            <v>25280</v>
          </cell>
          <cell r="K3354">
            <v>10040.07</v>
          </cell>
          <cell r="L3354">
            <v>29400</v>
          </cell>
          <cell r="M3354">
            <v>30695.74</v>
          </cell>
        </row>
        <row r="3355">
          <cell r="A3355">
            <v>1826500140</v>
          </cell>
          <cell r="B3355">
            <v>140</v>
          </cell>
          <cell r="C3355">
            <v>826500</v>
          </cell>
          <cell r="D3355">
            <v>1</v>
          </cell>
          <cell r="F3355" t="str">
            <v>השתתפות באחזקת רכב</v>
          </cell>
          <cell r="G3355" t="str">
            <v>שכר</v>
          </cell>
          <cell r="H3355">
            <v>-1</v>
          </cell>
          <cell r="I3355">
            <v>0</v>
          </cell>
          <cell r="J3355">
            <v>45500</v>
          </cell>
          <cell r="K3355">
            <v>17773.23</v>
          </cell>
          <cell r="L3355">
            <v>45500</v>
          </cell>
          <cell r="M3355">
            <v>25770.639999999999</v>
          </cell>
        </row>
        <row r="3356">
          <cell r="A3356">
            <v>1826500210</v>
          </cell>
          <cell r="B3356">
            <v>210</v>
          </cell>
          <cell r="C3356">
            <v>826500</v>
          </cell>
          <cell r="D3356">
            <v>1</v>
          </cell>
          <cell r="F3356" t="str">
            <v xml:space="preserve">השכר הקובע        </v>
          </cell>
          <cell r="G3356" t="str">
            <v>שכר</v>
          </cell>
          <cell r="H3356">
            <v>-1</v>
          </cell>
          <cell r="I3356">
            <v>0</v>
          </cell>
          <cell r="J3356">
            <v>24000</v>
          </cell>
          <cell r="K3356">
            <v>12270.72</v>
          </cell>
          <cell r="L3356">
            <v>24000</v>
          </cell>
          <cell r="M3356">
            <v>17550.29</v>
          </cell>
        </row>
        <row r="3357">
          <cell r="A3357">
            <v>1826500350</v>
          </cell>
          <cell r="B3357">
            <v>350</v>
          </cell>
          <cell r="C3357">
            <v>826500</v>
          </cell>
          <cell r="D3357">
            <v>1</v>
          </cell>
          <cell r="F3357" t="str">
            <v>ליסינג- 782-26-002</v>
          </cell>
          <cell r="G3357" t="str">
            <v>שכר</v>
          </cell>
          <cell r="H3357">
            <v>-1</v>
          </cell>
          <cell r="I3357">
            <v>0</v>
          </cell>
          <cell r="J3357">
            <v>46000</v>
          </cell>
          <cell r="K3357">
            <v>23705.71</v>
          </cell>
          <cell r="L3357">
            <v>44000</v>
          </cell>
          <cell r="M3357">
            <v>46050.96</v>
          </cell>
        </row>
        <row r="3358">
          <cell r="A3358">
            <v>1826500351</v>
          </cell>
          <cell r="B3358">
            <v>351</v>
          </cell>
          <cell r="C3358">
            <v>826500</v>
          </cell>
          <cell r="D3358">
            <v>1</v>
          </cell>
          <cell r="F3358" t="str">
            <v>הוצאות- 782-26-002</v>
          </cell>
          <cell r="G3358" t="str">
            <v>שכר</v>
          </cell>
          <cell r="H3358">
            <v>-1</v>
          </cell>
          <cell r="I3358">
            <v>0</v>
          </cell>
          <cell r="J3358">
            <v>30500</v>
          </cell>
          <cell r="K3358">
            <v>15270.02</v>
          </cell>
          <cell r="L3358">
            <v>30500</v>
          </cell>
          <cell r="M3358">
            <v>35499.980000000003</v>
          </cell>
        </row>
        <row r="3359">
          <cell r="A3359">
            <v>1826500471</v>
          </cell>
          <cell r="B3359">
            <v>471</v>
          </cell>
          <cell r="C3359">
            <v>826500</v>
          </cell>
          <cell r="D3359">
            <v>1</v>
          </cell>
          <cell r="F3359" t="str">
            <v xml:space="preserve">מכשירי כתיבה      </v>
          </cell>
          <cell r="G3359" t="str">
            <v>גמיש</v>
          </cell>
          <cell r="H3359">
            <v>-1</v>
          </cell>
          <cell r="I3359">
            <v>0</v>
          </cell>
          <cell r="J3359">
            <v>2160</v>
          </cell>
          <cell r="K3359">
            <v>41</v>
          </cell>
          <cell r="L3359">
            <v>2400</v>
          </cell>
          <cell r="M3359">
            <v>2215.39</v>
          </cell>
        </row>
        <row r="3360">
          <cell r="A3360">
            <v>1826500511</v>
          </cell>
          <cell r="B3360">
            <v>511</v>
          </cell>
          <cell r="C3360">
            <v>826500</v>
          </cell>
          <cell r="D3360">
            <v>1</v>
          </cell>
          <cell r="F3360" t="str">
            <v xml:space="preserve">אירוח וכיבוד      </v>
          </cell>
          <cell r="G3360" t="str">
            <v>גמיש</v>
          </cell>
          <cell r="H3360">
            <v>-1</v>
          </cell>
          <cell r="I3360">
            <v>0</v>
          </cell>
          <cell r="J3360">
            <v>1800</v>
          </cell>
          <cell r="K3360">
            <v>0</v>
          </cell>
          <cell r="L3360">
            <v>2000</v>
          </cell>
          <cell r="M3360">
            <v>1120.03</v>
          </cell>
        </row>
        <row r="3361">
          <cell r="A3361">
            <v>1826500571</v>
          </cell>
          <cell r="B3361">
            <v>571</v>
          </cell>
          <cell r="C3361">
            <v>826500</v>
          </cell>
          <cell r="D3361">
            <v>1</v>
          </cell>
          <cell r="F3361" t="str">
            <v xml:space="preserve">מיכון וענ"א       </v>
          </cell>
          <cell r="G3361" t="str">
            <v>קשיח</v>
          </cell>
          <cell r="H3361">
            <v>1.6411290322580645</v>
          </cell>
          <cell r="I3361">
            <v>131000</v>
          </cell>
          <cell r="J3361">
            <v>49600</v>
          </cell>
          <cell r="K3361">
            <v>24800</v>
          </cell>
          <cell r="L3361">
            <v>43600</v>
          </cell>
          <cell r="M3361">
            <v>43600</v>
          </cell>
        </row>
        <row r="3362">
          <cell r="A3362">
            <v>1826500782</v>
          </cell>
          <cell r="B3362">
            <v>782</v>
          </cell>
          <cell r="C3362">
            <v>826500</v>
          </cell>
          <cell r="D3362">
            <v>1</v>
          </cell>
          <cell r="F3362" t="str">
            <v xml:space="preserve">הפקת ארועים       </v>
          </cell>
          <cell r="G3362" t="str">
            <v>גמיש</v>
          </cell>
          <cell r="H3362">
            <v>0</v>
          </cell>
          <cell r="I3362">
            <v>5810000</v>
          </cell>
          <cell r="J3362">
            <v>5810000</v>
          </cell>
          <cell r="K3362">
            <v>2278269.52</v>
          </cell>
          <cell r="L3362">
            <v>5191200</v>
          </cell>
          <cell r="M3362">
            <v>6449705.8700000001</v>
          </cell>
        </row>
        <row r="3363">
          <cell r="A3363">
            <v>1826500783</v>
          </cell>
          <cell r="B3363">
            <v>783</v>
          </cell>
          <cell r="C3363">
            <v>826500</v>
          </cell>
          <cell r="D3363">
            <v>1</v>
          </cell>
          <cell r="F3363" t="str">
            <v>תוכנית סל"ע (כנגד הכנסות)</v>
          </cell>
          <cell r="G3363" t="str">
            <v>גמיש</v>
          </cell>
          <cell r="H3363">
            <v>0</v>
          </cell>
          <cell r="I3363">
            <v>360000</v>
          </cell>
          <cell r="J3363">
            <v>360000</v>
          </cell>
          <cell r="K3363">
            <v>0</v>
          </cell>
          <cell r="L3363">
            <v>0</v>
          </cell>
          <cell r="M3363">
            <v>394169.99</v>
          </cell>
        </row>
        <row r="3364">
          <cell r="A3364">
            <v>1826500784</v>
          </cell>
          <cell r="B3364">
            <v>784</v>
          </cell>
          <cell r="C3364">
            <v>826500</v>
          </cell>
          <cell r="D3364">
            <v>1</v>
          </cell>
          <cell r="F3364" t="str">
            <v>פרס קוגל  ואיילון</v>
          </cell>
          <cell r="G3364" t="str">
            <v>גמיש</v>
          </cell>
          <cell r="I3364">
            <v>0</v>
          </cell>
          <cell r="J3364">
            <v>0</v>
          </cell>
          <cell r="K3364">
            <v>0</v>
          </cell>
          <cell r="L3364">
            <v>65000</v>
          </cell>
          <cell r="M3364">
            <v>0</v>
          </cell>
        </row>
        <row r="3365">
          <cell r="A3365">
            <v>1826500785</v>
          </cell>
          <cell r="B3365">
            <v>785</v>
          </cell>
          <cell r="C3365">
            <v>826500</v>
          </cell>
          <cell r="D3365">
            <v>1</v>
          </cell>
          <cell r="F3365" t="str">
            <v>ארועים כנגד הכנסות</v>
          </cell>
          <cell r="G3365" t="str">
            <v>קשיח</v>
          </cell>
          <cell r="H3365">
            <v>-1</v>
          </cell>
          <cell r="I3365">
            <v>0</v>
          </cell>
          <cell r="J3365">
            <v>1000000</v>
          </cell>
          <cell r="K3365">
            <v>0</v>
          </cell>
          <cell r="L3365">
            <v>0</v>
          </cell>
          <cell r="M3365">
            <v>0</v>
          </cell>
        </row>
        <row r="3366">
          <cell r="A3366">
            <v>1826500788</v>
          </cell>
          <cell r="B3366">
            <v>788</v>
          </cell>
          <cell r="C3366">
            <v>826500</v>
          </cell>
          <cell r="D3366">
            <v>1</v>
          </cell>
          <cell r="F3366" t="str">
            <v>מופעי קיץ</v>
          </cell>
          <cell r="G3366" t="str">
            <v>גמיש</v>
          </cell>
          <cell r="H3366" t="e">
            <v>#DIV/0!</v>
          </cell>
          <cell r="I3366">
            <v>250000</v>
          </cell>
          <cell r="J3366">
            <v>0</v>
          </cell>
          <cell r="K3366">
            <v>0</v>
          </cell>
          <cell r="L3366">
            <v>0</v>
          </cell>
          <cell r="M3366">
            <v>0</v>
          </cell>
        </row>
        <row r="3367">
          <cell r="A3367">
            <v>1826500794</v>
          </cell>
          <cell r="B3367">
            <v>794</v>
          </cell>
          <cell r="C3367">
            <v>826500</v>
          </cell>
          <cell r="D3367">
            <v>1</v>
          </cell>
          <cell r="F3367" t="str">
            <v xml:space="preserve">השתתפות בעזר 094  </v>
          </cell>
          <cell r="G3367" t="str">
            <v>קשיח</v>
          </cell>
          <cell r="H3367">
            <v>0</v>
          </cell>
          <cell r="I3367">
            <v>11300</v>
          </cell>
          <cell r="J3367">
            <v>11300</v>
          </cell>
          <cell r="K3367">
            <v>5338</v>
          </cell>
          <cell r="L3367">
            <v>10200</v>
          </cell>
          <cell r="M3367">
            <v>12165</v>
          </cell>
        </row>
        <row r="3368">
          <cell r="A3368" t="e">
            <v>#VALUE!</v>
          </cell>
          <cell r="B3368" t="str">
            <v>826500  סך הכל</v>
          </cell>
          <cell r="F3368" t="str">
            <v xml:space="preserve">המחלקה לאירועים   </v>
          </cell>
          <cell r="H3368">
            <v>-0.2094414541178965</v>
          </cell>
          <cell r="I3368">
            <v>6562300</v>
          </cell>
          <cell r="J3368">
            <v>8300840</v>
          </cell>
          <cell r="K3368">
            <v>2785408.1</v>
          </cell>
          <cell r="L3368">
            <v>6169700</v>
          </cell>
          <cell r="M3368">
            <v>7630819.1900000004</v>
          </cell>
        </row>
        <row r="3369">
          <cell r="A3369">
            <v>18267000</v>
          </cell>
          <cell r="B3369">
            <v>0</v>
          </cell>
          <cell r="C3369">
            <v>826700</v>
          </cell>
          <cell r="D3369">
            <v>1</v>
          </cell>
          <cell r="F3369" t="str">
            <v>מרכז  סירקין</v>
          </cell>
          <cell r="G3369" t="str">
            <v xml:space="preserve"> </v>
          </cell>
        </row>
        <row r="3370">
          <cell r="A3370">
            <v>1826700780</v>
          </cell>
          <cell r="B3370">
            <v>780</v>
          </cell>
          <cell r="C3370">
            <v>826700</v>
          </cell>
          <cell r="D3370">
            <v>1</v>
          </cell>
          <cell r="F3370" t="str">
            <v>הוצאות (כנגד הכנסות)</v>
          </cell>
          <cell r="G3370" t="str">
            <v>קשיח</v>
          </cell>
          <cell r="H3370">
            <v>-1</v>
          </cell>
          <cell r="I3370">
            <v>0</v>
          </cell>
          <cell r="J3370">
            <v>315000</v>
          </cell>
          <cell r="K3370">
            <v>0</v>
          </cell>
          <cell r="L3370">
            <v>350000</v>
          </cell>
          <cell r="M3370">
            <v>180823</v>
          </cell>
        </row>
        <row r="3371">
          <cell r="A3371">
            <v>1826700870</v>
          </cell>
          <cell r="B3371">
            <v>870</v>
          </cell>
          <cell r="C3371">
            <v>826700</v>
          </cell>
          <cell r="D3371">
            <v>1</v>
          </cell>
          <cell r="F3371" t="str">
            <v>הפעלת סירקין</v>
          </cell>
          <cell r="G3371" t="str">
            <v>גמיש</v>
          </cell>
          <cell r="H3371">
            <v>-1</v>
          </cell>
          <cell r="I3371">
            <v>0</v>
          </cell>
          <cell r="J3371">
            <v>938250</v>
          </cell>
          <cell r="K3371">
            <v>703689</v>
          </cell>
          <cell r="L3371">
            <v>1042500</v>
          </cell>
          <cell r="M3371">
            <v>1042500</v>
          </cell>
        </row>
        <row r="3372">
          <cell r="A3372">
            <v>1826700871</v>
          </cell>
          <cell r="B3372">
            <v>871</v>
          </cell>
          <cell r="C3372">
            <v>826700</v>
          </cell>
          <cell r="D3372">
            <v>1</v>
          </cell>
          <cell r="F3372" t="str">
            <v xml:space="preserve">פסטיבל בובות      </v>
          </cell>
          <cell r="G3372" t="str">
            <v>גמיש</v>
          </cell>
          <cell r="I3372">
            <v>0</v>
          </cell>
          <cell r="J3372">
            <v>0</v>
          </cell>
          <cell r="K3372">
            <v>0</v>
          </cell>
          <cell r="L3372">
            <v>0</v>
          </cell>
          <cell r="M3372">
            <v>0.66</v>
          </cell>
        </row>
        <row r="3373">
          <cell r="A3373">
            <v>1826700872</v>
          </cell>
          <cell r="B3373">
            <v>872</v>
          </cell>
          <cell r="C3373">
            <v>826700</v>
          </cell>
          <cell r="D3373">
            <v>1</v>
          </cell>
          <cell r="F3373" t="str">
            <v>בי"ס לבובות</v>
          </cell>
          <cell r="G3373" t="str">
            <v>גמיש</v>
          </cell>
          <cell r="I3373">
            <v>0</v>
          </cell>
          <cell r="J3373">
            <v>0</v>
          </cell>
          <cell r="K3373">
            <v>0</v>
          </cell>
          <cell r="L3373">
            <v>332800</v>
          </cell>
          <cell r="M3373">
            <v>332801.68</v>
          </cell>
        </row>
        <row r="3374">
          <cell r="A3374">
            <v>1826700874</v>
          </cell>
          <cell r="B3374">
            <v>874</v>
          </cell>
          <cell r="C3374">
            <v>826700</v>
          </cell>
          <cell r="D3374">
            <v>1</v>
          </cell>
          <cell r="F3374" t="str">
            <v>פסטיבל קוסמים</v>
          </cell>
          <cell r="G3374" t="str">
            <v>גמיש</v>
          </cell>
          <cell r="H3374">
            <v>-1</v>
          </cell>
          <cell r="I3374">
            <v>0</v>
          </cell>
          <cell r="J3374">
            <v>55980</v>
          </cell>
          <cell r="K3374">
            <v>13995</v>
          </cell>
          <cell r="L3374">
            <v>62200</v>
          </cell>
          <cell r="M3374">
            <v>0.66</v>
          </cell>
        </row>
        <row r="3375">
          <cell r="A3375">
            <v>1826700875</v>
          </cell>
          <cell r="B3375">
            <v>875</v>
          </cell>
          <cell r="C3375">
            <v>826700</v>
          </cell>
          <cell r="D3375">
            <v>1</v>
          </cell>
          <cell r="F3375" t="str">
            <v>קורס אומנות הקרנבל</v>
          </cell>
          <cell r="G3375" t="str">
            <v>גמיש</v>
          </cell>
          <cell r="I3375">
            <v>0</v>
          </cell>
          <cell r="J3375">
            <v>0</v>
          </cell>
          <cell r="K3375">
            <v>0</v>
          </cell>
          <cell r="L3375">
            <v>46300</v>
          </cell>
          <cell r="M3375">
            <v>46300.32</v>
          </cell>
        </row>
        <row r="3376">
          <cell r="A3376" t="e">
            <v>#VALUE!</v>
          </cell>
          <cell r="B3376" t="str">
            <v>826700  סך הכל</v>
          </cell>
          <cell r="F3376" t="str">
            <v>מרכז סירקין</v>
          </cell>
          <cell r="H3376">
            <v>-1</v>
          </cell>
          <cell r="I3376">
            <v>0</v>
          </cell>
          <cell r="J3376">
            <v>1309230</v>
          </cell>
          <cell r="K3376">
            <v>717684</v>
          </cell>
          <cell r="L3376">
            <v>1833800</v>
          </cell>
          <cell r="M3376">
            <v>1602426.3199999998</v>
          </cell>
        </row>
        <row r="3377">
          <cell r="A3377">
            <v>18268000</v>
          </cell>
          <cell r="B3377">
            <v>0</v>
          </cell>
          <cell r="C3377">
            <v>826800</v>
          </cell>
          <cell r="D3377">
            <v>1</v>
          </cell>
          <cell r="F3377" t="str">
            <v>מוזיאון העיצוב</v>
          </cell>
          <cell r="G3377" t="str">
            <v xml:space="preserve"> </v>
          </cell>
          <cell r="L3377">
            <v>0</v>
          </cell>
        </row>
        <row r="3378">
          <cell r="A3378">
            <v>1826800441</v>
          </cell>
          <cell r="B3378">
            <v>441</v>
          </cell>
          <cell r="C3378">
            <v>826800</v>
          </cell>
          <cell r="D3378">
            <v>1</v>
          </cell>
          <cell r="F3378" t="str">
            <v>ביטוח</v>
          </cell>
          <cell r="G3378" t="str">
            <v>קשיח</v>
          </cell>
          <cell r="H3378">
            <v>0</v>
          </cell>
          <cell r="I3378">
            <v>110500</v>
          </cell>
          <cell r="J3378">
            <v>110500</v>
          </cell>
          <cell r="K3378">
            <v>0</v>
          </cell>
          <cell r="L3378">
            <v>110500</v>
          </cell>
          <cell r="M3378">
            <v>0</v>
          </cell>
        </row>
        <row r="3379">
          <cell r="A3379">
            <v>1826800870</v>
          </cell>
          <cell r="B3379">
            <v>870</v>
          </cell>
          <cell r="C3379">
            <v>826800</v>
          </cell>
          <cell r="D3379">
            <v>1</v>
          </cell>
          <cell r="F3379" t="str">
            <v>הפעלת מוז' העיצוב</v>
          </cell>
          <cell r="G3379" t="str">
            <v>גמיש</v>
          </cell>
          <cell r="I3379">
            <v>0</v>
          </cell>
          <cell r="J3379">
            <v>0</v>
          </cell>
          <cell r="K3379">
            <v>0</v>
          </cell>
          <cell r="L3379">
            <v>3858200</v>
          </cell>
          <cell r="M3379">
            <v>3938200</v>
          </cell>
        </row>
        <row r="3380">
          <cell r="A3380">
            <v>1826800879</v>
          </cell>
          <cell r="B3380">
            <v>879</v>
          </cell>
          <cell r="C3380">
            <v>826800</v>
          </cell>
          <cell r="D3380">
            <v>1</v>
          </cell>
          <cell r="F3380" t="str">
            <v>ביטוח כנגד הכנסות</v>
          </cell>
          <cell r="G3380" t="str">
            <v>קשיח</v>
          </cell>
          <cell r="H3380">
            <v>0</v>
          </cell>
          <cell r="I3380">
            <v>45000</v>
          </cell>
          <cell r="J3380">
            <v>45000</v>
          </cell>
          <cell r="K3380">
            <v>0</v>
          </cell>
          <cell r="L3380">
            <v>45000</v>
          </cell>
          <cell r="M3380">
            <v>45000</v>
          </cell>
        </row>
        <row r="3381">
          <cell r="A3381">
            <v>1826800981</v>
          </cell>
          <cell r="B3381">
            <v>981</v>
          </cell>
          <cell r="C3381">
            <v>826800</v>
          </cell>
          <cell r="D3381">
            <v>1</v>
          </cell>
          <cell r="F3381" t="str">
            <v>הוצאות שנים קודמות</v>
          </cell>
          <cell r="G3381" t="str">
            <v>גמיש</v>
          </cell>
          <cell r="I3381">
            <v>0</v>
          </cell>
          <cell r="J3381">
            <v>0</v>
          </cell>
          <cell r="K3381">
            <v>0</v>
          </cell>
          <cell r="L3381">
            <v>0</v>
          </cell>
          <cell r="M3381">
            <v>549400</v>
          </cell>
        </row>
        <row r="3382">
          <cell r="A3382" t="e">
            <v>#VALUE!</v>
          </cell>
          <cell r="B3382" t="str">
            <v>826800  סך הכל</v>
          </cell>
          <cell r="F3382" t="str">
            <v>מוזיאון העיצוב</v>
          </cell>
          <cell r="H3382">
            <v>0</v>
          </cell>
          <cell r="I3382">
            <v>155500</v>
          </cell>
          <cell r="J3382">
            <v>155500</v>
          </cell>
          <cell r="K3382">
            <v>0</v>
          </cell>
          <cell r="L3382">
            <v>4013700</v>
          </cell>
          <cell r="M3382">
            <v>4532600</v>
          </cell>
        </row>
        <row r="3383">
          <cell r="A3383">
            <v>18280000</v>
          </cell>
          <cell r="B3383">
            <v>0</v>
          </cell>
          <cell r="C3383">
            <v>828000</v>
          </cell>
          <cell r="D3383">
            <v>1</v>
          </cell>
          <cell r="F3383" t="str">
            <v>נוער וצעירים</v>
          </cell>
          <cell r="G3383" t="str">
            <v xml:space="preserve"> </v>
          </cell>
        </row>
        <row r="3384">
          <cell r="A3384">
            <v>1828100119</v>
          </cell>
          <cell r="B3384">
            <v>119</v>
          </cell>
          <cell r="C3384">
            <v>828100</v>
          </cell>
          <cell r="D3384">
            <v>1</v>
          </cell>
          <cell r="F3384" t="str">
            <v xml:space="preserve">השכר הקובע-צוברת  </v>
          </cell>
          <cell r="G3384" t="str">
            <v>שכר</v>
          </cell>
          <cell r="H3384">
            <v>-0.20128550895495878</v>
          </cell>
          <cell r="I3384">
            <v>4945720</v>
          </cell>
          <cell r="J3384">
            <v>6192100</v>
          </cell>
          <cell r="K3384">
            <v>2150609.17</v>
          </cell>
          <cell r="L3384">
            <v>1855000</v>
          </cell>
          <cell r="M3384">
            <v>2123529.11</v>
          </cell>
        </row>
        <row r="3385">
          <cell r="A3385">
            <v>1828100122</v>
          </cell>
          <cell r="B3385">
            <v>122</v>
          </cell>
          <cell r="C3385">
            <v>828100</v>
          </cell>
          <cell r="D3385">
            <v>1</v>
          </cell>
          <cell r="F3385" t="str">
            <v xml:space="preserve">ביגוד             </v>
          </cell>
          <cell r="G3385" t="str">
            <v>שכר</v>
          </cell>
          <cell r="H3385">
            <v>4.4285742296918729E-2</v>
          </cell>
          <cell r="I3385">
            <v>21930.000588235293</v>
          </cell>
          <cell r="J3385">
            <v>21000</v>
          </cell>
          <cell r="K3385">
            <v>27830.11</v>
          </cell>
          <cell r="L3385">
            <v>16100</v>
          </cell>
          <cell r="M3385">
            <v>20125.88</v>
          </cell>
        </row>
        <row r="3386">
          <cell r="A3386">
            <v>1828100126</v>
          </cell>
          <cell r="B3386">
            <v>126</v>
          </cell>
          <cell r="C3386">
            <v>828100</v>
          </cell>
          <cell r="D3386">
            <v>1</v>
          </cell>
          <cell r="F3386" t="str">
            <v xml:space="preserve">דמי הבראה         </v>
          </cell>
          <cell r="G3386" t="str">
            <v>שכר</v>
          </cell>
          <cell r="H3386">
            <v>4.4080610021786537E-2</v>
          </cell>
          <cell r="I3386">
            <v>56380.352941176468</v>
          </cell>
          <cell r="J3386">
            <v>54000</v>
          </cell>
          <cell r="K3386">
            <v>64798.46</v>
          </cell>
          <cell r="L3386">
            <v>63000</v>
          </cell>
          <cell r="M3386">
            <v>52045.26</v>
          </cell>
        </row>
        <row r="3387">
          <cell r="A3387">
            <v>1828100130</v>
          </cell>
          <cell r="B3387">
            <v>130</v>
          </cell>
          <cell r="C3387">
            <v>828100</v>
          </cell>
          <cell r="D3387">
            <v>1</v>
          </cell>
          <cell r="F3387" t="str">
            <v xml:space="preserve">שעות נוספות       </v>
          </cell>
          <cell r="G3387" t="str">
            <v>שכר</v>
          </cell>
          <cell r="H3387">
            <v>3.4977993977299047</v>
          </cell>
          <cell r="I3387">
            <v>194170</v>
          </cell>
          <cell r="J3387">
            <v>43170</v>
          </cell>
          <cell r="K3387">
            <v>129775.35</v>
          </cell>
          <cell r="L3387">
            <v>50200</v>
          </cell>
          <cell r="M3387">
            <v>31792.2</v>
          </cell>
        </row>
        <row r="3388">
          <cell r="A3388">
            <v>1828100140</v>
          </cell>
          <cell r="B3388">
            <v>140</v>
          </cell>
          <cell r="C3388">
            <v>828100</v>
          </cell>
          <cell r="D3388">
            <v>1</v>
          </cell>
          <cell r="F3388" t="str">
            <v>השתתפות באחזקת רכב</v>
          </cell>
          <cell r="G3388" t="str">
            <v>שכר</v>
          </cell>
          <cell r="H3388">
            <v>0</v>
          </cell>
          <cell r="I3388">
            <v>189000</v>
          </cell>
          <cell r="J3388">
            <v>189000</v>
          </cell>
          <cell r="K3388">
            <v>225299.77</v>
          </cell>
          <cell r="L3388">
            <v>189000</v>
          </cell>
          <cell r="M3388">
            <v>218989.79</v>
          </cell>
        </row>
        <row r="3389">
          <cell r="A3389">
            <v>1828100210</v>
          </cell>
          <cell r="B3389">
            <v>210</v>
          </cell>
          <cell r="C3389">
            <v>828100</v>
          </cell>
          <cell r="D3389">
            <v>1</v>
          </cell>
          <cell r="F3389" t="str">
            <v xml:space="preserve">השכר הקובע        </v>
          </cell>
          <cell r="G3389" t="str">
            <v>שכר</v>
          </cell>
          <cell r="I3389">
            <v>0</v>
          </cell>
          <cell r="J3389">
            <v>0</v>
          </cell>
          <cell r="K3389">
            <v>0</v>
          </cell>
          <cell r="L3389">
            <v>0</v>
          </cell>
          <cell r="M3389">
            <v>0</v>
          </cell>
        </row>
        <row r="3390">
          <cell r="A3390">
            <v>1828100220</v>
          </cell>
          <cell r="B3390">
            <v>220</v>
          </cell>
          <cell r="C3390">
            <v>828100</v>
          </cell>
          <cell r="D3390">
            <v>1</v>
          </cell>
          <cell r="F3390" t="str">
            <v>מורות חיילות</v>
          </cell>
          <cell r="G3390" t="str">
            <v>שכר</v>
          </cell>
          <cell r="H3390">
            <v>0</v>
          </cell>
          <cell r="I3390">
            <v>30000</v>
          </cell>
          <cell r="J3390">
            <v>30000</v>
          </cell>
          <cell r="K3390">
            <v>16828.57</v>
          </cell>
          <cell r="L3390">
            <v>30000</v>
          </cell>
          <cell r="M3390">
            <v>19043.68</v>
          </cell>
        </row>
        <row r="3391">
          <cell r="A3391">
            <v>1828100253</v>
          </cell>
          <cell r="B3391">
            <v>253</v>
          </cell>
          <cell r="C3391">
            <v>828100</v>
          </cell>
          <cell r="D3391">
            <v>1</v>
          </cell>
          <cell r="F3391" t="str">
            <v xml:space="preserve">עובדים חיצוניים   </v>
          </cell>
          <cell r="G3391" t="str">
            <v>שכר</v>
          </cell>
          <cell r="I3391">
            <v>0</v>
          </cell>
          <cell r="J3391">
            <v>0</v>
          </cell>
          <cell r="K3391">
            <v>637218.15</v>
          </cell>
          <cell r="L3391">
            <v>0</v>
          </cell>
          <cell r="M3391">
            <v>0</v>
          </cell>
        </row>
        <row r="3392">
          <cell r="A3392">
            <v>1828100263</v>
          </cell>
          <cell r="B3392">
            <v>263</v>
          </cell>
          <cell r="C3392">
            <v>828100</v>
          </cell>
          <cell r="D3392">
            <v>1</v>
          </cell>
          <cell r="F3392" t="str">
            <v xml:space="preserve">עובדי חברת מוסדות </v>
          </cell>
          <cell r="G3392" t="str">
            <v>שכר</v>
          </cell>
          <cell r="I3392">
            <v>0</v>
          </cell>
          <cell r="J3392">
            <v>0</v>
          </cell>
          <cell r="K3392">
            <v>0</v>
          </cell>
          <cell r="L3392">
            <v>0</v>
          </cell>
          <cell r="M3392">
            <v>0</v>
          </cell>
        </row>
        <row r="3393">
          <cell r="A3393">
            <v>1828100351</v>
          </cell>
          <cell r="B3393">
            <v>351</v>
          </cell>
          <cell r="C3393">
            <v>828100</v>
          </cell>
          <cell r="D3393">
            <v>1</v>
          </cell>
          <cell r="F3393" t="str">
            <v>הוצאות- 132-24-402</v>
          </cell>
          <cell r="G3393" t="str">
            <v>שכר</v>
          </cell>
          <cell r="I3393">
            <v>0</v>
          </cell>
          <cell r="J3393">
            <v>0</v>
          </cell>
          <cell r="K3393">
            <v>0</v>
          </cell>
          <cell r="L3393">
            <v>0</v>
          </cell>
          <cell r="M3393">
            <v>0</v>
          </cell>
        </row>
        <row r="3394">
          <cell r="A3394">
            <v>1828100410</v>
          </cell>
          <cell r="B3394">
            <v>410</v>
          </cell>
          <cell r="C3394">
            <v>828100</v>
          </cell>
          <cell r="D3394">
            <v>1</v>
          </cell>
          <cell r="F3394" t="str">
            <v>השתתפות בשכר דירה</v>
          </cell>
          <cell r="G3394" t="str">
            <v>קשיח</v>
          </cell>
          <cell r="H3394">
            <v>0</v>
          </cell>
          <cell r="I3394">
            <v>288000</v>
          </cell>
          <cell r="J3394">
            <v>288000</v>
          </cell>
          <cell r="K3394">
            <v>0</v>
          </cell>
          <cell r="L3394">
            <v>288000</v>
          </cell>
          <cell r="M3394">
            <v>207750</v>
          </cell>
        </row>
        <row r="3395">
          <cell r="A3395">
            <v>1828100420</v>
          </cell>
          <cell r="B3395">
            <v>420</v>
          </cell>
          <cell r="C3395">
            <v>828100</v>
          </cell>
          <cell r="D3395">
            <v>1</v>
          </cell>
          <cell r="F3395" t="str">
            <v xml:space="preserve">כיבוי אש          </v>
          </cell>
          <cell r="G3395" t="str">
            <v>קשיח</v>
          </cell>
          <cell r="H3395">
            <v>0</v>
          </cell>
          <cell r="I3395">
            <v>8100</v>
          </cell>
          <cell r="J3395">
            <v>8100</v>
          </cell>
          <cell r="K3395">
            <v>8095.64</v>
          </cell>
          <cell r="L3395">
            <v>9000</v>
          </cell>
          <cell r="M3395">
            <v>8905.19</v>
          </cell>
        </row>
        <row r="3396">
          <cell r="A3396">
            <v>1828100431</v>
          </cell>
          <cell r="B3396">
            <v>431</v>
          </cell>
          <cell r="C3396">
            <v>828100</v>
          </cell>
          <cell r="D3396">
            <v>1</v>
          </cell>
          <cell r="F3396" t="str">
            <v xml:space="preserve">חשמל              </v>
          </cell>
          <cell r="G3396" t="str">
            <v>קשיח</v>
          </cell>
          <cell r="H3396">
            <v>0</v>
          </cell>
          <cell r="I3396">
            <v>56600</v>
          </cell>
          <cell r="J3396">
            <v>56600</v>
          </cell>
          <cell r="K3396">
            <v>26204.19</v>
          </cell>
          <cell r="L3396">
            <v>56000</v>
          </cell>
          <cell r="M3396">
            <v>48199.46</v>
          </cell>
        </row>
        <row r="3397">
          <cell r="A3397">
            <v>1828100432</v>
          </cell>
          <cell r="B3397">
            <v>432</v>
          </cell>
          <cell r="C3397">
            <v>828100</v>
          </cell>
          <cell r="D3397">
            <v>1</v>
          </cell>
          <cell r="F3397" t="str">
            <v xml:space="preserve">מים               </v>
          </cell>
          <cell r="G3397" t="str">
            <v>קשיח</v>
          </cell>
          <cell r="H3397">
            <v>0</v>
          </cell>
          <cell r="I3397">
            <v>3000</v>
          </cell>
          <cell r="J3397">
            <v>3000</v>
          </cell>
          <cell r="K3397">
            <v>0</v>
          </cell>
          <cell r="L3397">
            <v>3000</v>
          </cell>
          <cell r="M3397">
            <v>0</v>
          </cell>
        </row>
        <row r="3398">
          <cell r="A3398">
            <v>1828100437</v>
          </cell>
          <cell r="B3398">
            <v>437</v>
          </cell>
          <cell r="C3398">
            <v>828100</v>
          </cell>
          <cell r="D3398">
            <v>1</v>
          </cell>
          <cell r="F3398" t="str">
            <v xml:space="preserve">אחזקת אזעקה       </v>
          </cell>
          <cell r="G3398" t="str">
            <v>קשיח</v>
          </cell>
          <cell r="H3398">
            <v>1.1627906976744207E-2</v>
          </cell>
          <cell r="I3398">
            <v>8700</v>
          </cell>
          <cell r="J3398">
            <v>8600</v>
          </cell>
          <cell r="K3398">
            <v>3695.76</v>
          </cell>
          <cell r="L3398">
            <v>8600</v>
          </cell>
          <cell r="M3398">
            <v>6718.14</v>
          </cell>
        </row>
        <row r="3399">
          <cell r="A3399">
            <v>1828100450</v>
          </cell>
          <cell r="B3399">
            <v>450</v>
          </cell>
          <cell r="C3399">
            <v>828100</v>
          </cell>
          <cell r="D3399">
            <v>1</v>
          </cell>
          <cell r="F3399" t="str">
            <v>אחזקת תמי 4</v>
          </cell>
          <cell r="G3399" t="str">
            <v>קשיח</v>
          </cell>
          <cell r="H3399">
            <v>0</v>
          </cell>
          <cell r="I3399">
            <v>1000</v>
          </cell>
          <cell r="J3399">
            <v>1000</v>
          </cell>
          <cell r="K3399">
            <v>0</v>
          </cell>
          <cell r="L3399">
            <v>1000</v>
          </cell>
          <cell r="M3399">
            <v>0</v>
          </cell>
        </row>
        <row r="3400">
          <cell r="A3400">
            <v>1828100471</v>
          </cell>
          <cell r="B3400">
            <v>471</v>
          </cell>
          <cell r="C3400">
            <v>828100</v>
          </cell>
          <cell r="D3400">
            <v>1</v>
          </cell>
          <cell r="F3400" t="str">
            <v xml:space="preserve">מכשירי כתיבה      </v>
          </cell>
          <cell r="G3400" t="str">
            <v>גמיש</v>
          </cell>
          <cell r="H3400">
            <v>0.22222222222222232</v>
          </cell>
          <cell r="I3400">
            <v>11000</v>
          </cell>
          <cell r="J3400">
            <v>9000</v>
          </cell>
          <cell r="K3400">
            <v>5351</v>
          </cell>
          <cell r="L3400">
            <v>1000</v>
          </cell>
          <cell r="M3400">
            <v>852</v>
          </cell>
        </row>
        <row r="3401">
          <cell r="A3401">
            <v>1828100510</v>
          </cell>
          <cell r="B3401">
            <v>510</v>
          </cell>
          <cell r="C3401">
            <v>828100</v>
          </cell>
          <cell r="D3401">
            <v>1</v>
          </cell>
          <cell r="F3401" t="str">
            <v>מפעל הפיס נוער וצעירים</v>
          </cell>
          <cell r="G3401" t="str">
            <v>גמיש</v>
          </cell>
          <cell r="H3401" t="e">
            <v>#DIV/0!</v>
          </cell>
          <cell r="I3401">
            <v>500000</v>
          </cell>
          <cell r="J3401">
            <v>0</v>
          </cell>
          <cell r="K3401">
            <v>128856</v>
          </cell>
          <cell r="L3401">
            <v>0</v>
          </cell>
          <cell r="M3401">
            <v>0</v>
          </cell>
        </row>
        <row r="3402">
          <cell r="A3402">
            <v>1828100511</v>
          </cell>
          <cell r="B3402">
            <v>511</v>
          </cell>
          <cell r="C3402">
            <v>828100</v>
          </cell>
          <cell r="D3402">
            <v>1</v>
          </cell>
          <cell r="F3402" t="str">
            <v xml:space="preserve">אירוח וכיבוד      </v>
          </cell>
          <cell r="G3402" t="str">
            <v>גמיש</v>
          </cell>
          <cell r="I3402">
            <v>3500</v>
          </cell>
        </row>
        <row r="3403">
          <cell r="A3403">
            <v>1828100522</v>
          </cell>
          <cell r="B3403">
            <v>522</v>
          </cell>
          <cell r="C3403">
            <v>828100</v>
          </cell>
          <cell r="D3403">
            <v>1</v>
          </cell>
          <cell r="F3403" t="str">
            <v xml:space="preserve">ספרים ועיתונים    </v>
          </cell>
          <cell r="G3403" t="str">
            <v>גמיש</v>
          </cell>
          <cell r="H3403">
            <v>-1.2345679012345734E-2</v>
          </cell>
          <cell r="I3403">
            <v>800</v>
          </cell>
          <cell r="J3403">
            <v>810</v>
          </cell>
          <cell r="K3403">
            <v>0</v>
          </cell>
          <cell r="L3403">
            <v>900</v>
          </cell>
          <cell r="M3403">
            <v>0</v>
          </cell>
        </row>
        <row r="3404">
          <cell r="A3404">
            <v>1828100540</v>
          </cell>
          <cell r="B3404">
            <v>540</v>
          </cell>
          <cell r="C3404">
            <v>828100</v>
          </cell>
          <cell r="D3404">
            <v>1</v>
          </cell>
          <cell r="F3404" t="str">
            <v xml:space="preserve">הוצאות טלפון      </v>
          </cell>
          <cell r="G3404" t="str">
            <v>קשיח</v>
          </cell>
          <cell r="H3404">
            <v>-0.66666666666666674</v>
          </cell>
          <cell r="I3404">
            <v>10000</v>
          </cell>
          <cell r="J3404">
            <v>30000</v>
          </cell>
          <cell r="K3404">
            <v>3788.69</v>
          </cell>
          <cell r="L3404">
            <v>30000</v>
          </cell>
          <cell r="M3404">
            <v>7665.75</v>
          </cell>
        </row>
        <row r="3405">
          <cell r="A3405">
            <v>1828100571</v>
          </cell>
          <cell r="B3405">
            <v>571</v>
          </cell>
          <cell r="C3405">
            <v>828100</v>
          </cell>
          <cell r="D3405">
            <v>1</v>
          </cell>
          <cell r="F3405" t="str">
            <v xml:space="preserve">מיכון וענ"א       </v>
          </cell>
          <cell r="G3405" t="str">
            <v>קשיח</v>
          </cell>
          <cell r="H3405">
            <v>0.68282548476454297</v>
          </cell>
          <cell r="I3405">
            <v>121500</v>
          </cell>
          <cell r="J3405">
            <v>72200</v>
          </cell>
          <cell r="K3405">
            <v>36100</v>
          </cell>
          <cell r="L3405">
            <v>52200</v>
          </cell>
          <cell r="M3405">
            <v>52200</v>
          </cell>
        </row>
        <row r="3406">
          <cell r="A3406">
            <v>1828100712</v>
          </cell>
          <cell r="B3406">
            <v>712</v>
          </cell>
          <cell r="C3406">
            <v>828100</v>
          </cell>
          <cell r="D3406">
            <v>1</v>
          </cell>
          <cell r="F3406" t="str">
            <v>הסעות צרכים מיוחדים</v>
          </cell>
          <cell r="G3406" t="str">
            <v>קשיח</v>
          </cell>
          <cell r="H3406">
            <v>0</v>
          </cell>
          <cell r="I3406">
            <v>90000</v>
          </cell>
          <cell r="J3406">
            <v>90000</v>
          </cell>
          <cell r="K3406">
            <v>50486.93</v>
          </cell>
          <cell r="L3406">
            <v>90000</v>
          </cell>
          <cell r="M3406">
            <v>73893.36</v>
          </cell>
        </row>
        <row r="3407">
          <cell r="A3407">
            <v>1828100742</v>
          </cell>
          <cell r="B3407">
            <v>742</v>
          </cell>
          <cell r="C3407">
            <v>828100</v>
          </cell>
          <cell r="D3407">
            <v>1</v>
          </cell>
          <cell r="F3407" t="str">
            <v xml:space="preserve">כלים וציוד        </v>
          </cell>
          <cell r="G3407" t="str">
            <v>גמיש</v>
          </cell>
          <cell r="I3407">
            <v>5000</v>
          </cell>
          <cell r="J3407">
            <v>0</v>
          </cell>
          <cell r="K3407">
            <v>0</v>
          </cell>
          <cell r="L3407">
            <v>9500</v>
          </cell>
          <cell r="M3407">
            <v>7418.72</v>
          </cell>
        </row>
        <row r="3408">
          <cell r="A3408">
            <v>1828100750</v>
          </cell>
          <cell r="B3408">
            <v>750</v>
          </cell>
          <cell r="C3408">
            <v>828100</v>
          </cell>
          <cell r="D3408">
            <v>1</v>
          </cell>
          <cell r="F3408" t="str">
            <v>אחזקת מוסדות</v>
          </cell>
          <cell r="G3408" t="str">
            <v>קשיח</v>
          </cell>
          <cell r="H3408">
            <v>0.27352425482174159</v>
          </cell>
          <cell r="I3408">
            <v>217900</v>
          </cell>
          <cell r="J3408">
            <v>171100</v>
          </cell>
          <cell r="K3408">
            <v>119022</v>
          </cell>
          <cell r="L3408">
            <v>219900</v>
          </cell>
          <cell r="M3408">
            <v>174253</v>
          </cell>
        </row>
        <row r="3409">
          <cell r="A3409">
            <v>1828100752</v>
          </cell>
          <cell r="B3409">
            <v>752</v>
          </cell>
          <cell r="C3409">
            <v>828100</v>
          </cell>
          <cell r="D3409">
            <v>1</v>
          </cell>
          <cell r="F3409" t="str">
            <v xml:space="preserve">נקיון מרכז הדרכה  </v>
          </cell>
          <cell r="G3409" t="str">
            <v>קשיח</v>
          </cell>
          <cell r="H3409">
            <v>5.6338028169014009E-2</v>
          </cell>
          <cell r="I3409">
            <v>7500</v>
          </cell>
          <cell r="J3409">
            <v>7100</v>
          </cell>
          <cell r="K3409">
            <v>9250.98</v>
          </cell>
          <cell r="L3409">
            <v>7100</v>
          </cell>
          <cell r="M3409">
            <v>7099.77</v>
          </cell>
        </row>
        <row r="3410">
          <cell r="A3410">
            <v>1828100757</v>
          </cell>
          <cell r="B3410">
            <v>757</v>
          </cell>
          <cell r="C3410">
            <v>828100</v>
          </cell>
          <cell r="D3410">
            <v>1</v>
          </cell>
          <cell r="F3410" t="str">
            <v>גיזום מרכזי נוער</v>
          </cell>
          <cell r="G3410" t="str">
            <v>גמיש</v>
          </cell>
          <cell r="I3410">
            <v>0</v>
          </cell>
          <cell r="J3410">
            <v>0</v>
          </cell>
          <cell r="K3410">
            <v>0</v>
          </cell>
          <cell r="L3410">
            <v>0</v>
          </cell>
          <cell r="M3410">
            <v>11934</v>
          </cell>
        </row>
        <row r="3411">
          <cell r="A3411">
            <v>1828100779</v>
          </cell>
          <cell r="B3411">
            <v>779</v>
          </cell>
          <cell r="C3411">
            <v>828100</v>
          </cell>
          <cell r="D3411">
            <v>1</v>
          </cell>
          <cell r="F3411" t="str">
            <v>תוכנית פיס חוסן קהילתי</v>
          </cell>
          <cell r="G3411" t="str">
            <v>קשיח</v>
          </cell>
          <cell r="I3411">
            <v>135000</v>
          </cell>
          <cell r="J3411">
            <v>0</v>
          </cell>
          <cell r="K3411">
            <v>0</v>
          </cell>
          <cell r="L3411">
            <v>0</v>
          </cell>
          <cell r="M3411">
            <v>0</v>
          </cell>
        </row>
        <row r="3412">
          <cell r="A3412">
            <v>1828100780</v>
          </cell>
          <cell r="B3412">
            <v>780</v>
          </cell>
          <cell r="C3412">
            <v>828100</v>
          </cell>
          <cell r="D3412">
            <v>1</v>
          </cell>
          <cell r="F3412" t="str">
            <v>מרכז נוער עולה</v>
          </cell>
          <cell r="G3412" t="str">
            <v>גמיש</v>
          </cell>
          <cell r="H3412">
            <v>0.19731800766283536</v>
          </cell>
          <cell r="I3412">
            <v>250000</v>
          </cell>
          <cell r="J3412">
            <v>208800</v>
          </cell>
          <cell r="K3412">
            <v>19247.64</v>
          </cell>
          <cell r="L3412">
            <v>186800</v>
          </cell>
          <cell r="M3412">
            <v>167691.15</v>
          </cell>
        </row>
        <row r="3413">
          <cell r="A3413">
            <v>1828100781</v>
          </cell>
          <cell r="B3413">
            <v>781</v>
          </cell>
          <cell r="C3413">
            <v>828100</v>
          </cell>
          <cell r="D3413">
            <v>1</v>
          </cell>
          <cell r="F3413" t="str">
            <v>פרוייקטים + קיץ</v>
          </cell>
          <cell r="G3413" t="str">
            <v>גמיש</v>
          </cell>
          <cell r="H3413">
            <v>0.4001572779408098</v>
          </cell>
          <cell r="I3413">
            <v>730000</v>
          </cell>
          <cell r="J3413">
            <v>521370</v>
          </cell>
          <cell r="K3413">
            <v>217716.52</v>
          </cell>
          <cell r="L3413">
            <v>552200</v>
          </cell>
          <cell r="M3413">
            <v>468535.03</v>
          </cell>
        </row>
        <row r="3414">
          <cell r="A3414">
            <v>1828100782</v>
          </cell>
          <cell r="B3414">
            <v>782</v>
          </cell>
          <cell r="C3414">
            <v>828100</v>
          </cell>
          <cell r="D3414">
            <v>1</v>
          </cell>
          <cell r="F3414" t="str">
            <v>פעילות צעירים</v>
          </cell>
          <cell r="G3414" t="str">
            <v>גמיש</v>
          </cell>
          <cell r="I3414">
            <v>635000</v>
          </cell>
          <cell r="J3414">
            <v>0</v>
          </cell>
          <cell r="K3414">
            <v>0</v>
          </cell>
          <cell r="L3414">
            <v>0</v>
          </cell>
          <cell r="M3414">
            <v>0</v>
          </cell>
        </row>
        <row r="3415">
          <cell r="A3415">
            <v>1828100783</v>
          </cell>
          <cell r="B3415">
            <v>783</v>
          </cell>
          <cell r="C3415">
            <v>828100</v>
          </cell>
          <cell r="D3415">
            <v>1</v>
          </cell>
          <cell r="F3415" t="str">
            <v>תנועות נוער-ארועים עירוניים</v>
          </cell>
          <cell r="G3415" t="str">
            <v>גמיש</v>
          </cell>
          <cell r="H3415">
            <v>5.5279159756782548E-4</v>
          </cell>
          <cell r="I3415">
            <v>126700</v>
          </cell>
          <cell r="J3415">
            <v>126630</v>
          </cell>
          <cell r="K3415">
            <v>14501.21</v>
          </cell>
          <cell r="L3415">
            <v>135000</v>
          </cell>
          <cell r="M3415">
            <v>128332.93</v>
          </cell>
        </row>
        <row r="3416">
          <cell r="A3416">
            <v>1828100784</v>
          </cell>
          <cell r="B3416">
            <v>784</v>
          </cell>
          <cell r="C3416">
            <v>828100</v>
          </cell>
          <cell r="D3416">
            <v>1</v>
          </cell>
          <cell r="F3416" t="str">
            <v>מנהיגות וקשרי חוץ</v>
          </cell>
          <cell r="G3416" t="str">
            <v>גמיש</v>
          </cell>
          <cell r="H3416">
            <v>4.452278365321849E-2</v>
          </cell>
          <cell r="I3416">
            <v>80000</v>
          </cell>
          <cell r="J3416">
            <v>76590</v>
          </cell>
          <cell r="K3416">
            <v>35819.519999999997</v>
          </cell>
          <cell r="L3416">
            <v>25100</v>
          </cell>
          <cell r="M3416">
            <v>61938.91</v>
          </cell>
        </row>
        <row r="3417">
          <cell r="A3417">
            <v>1828100785</v>
          </cell>
          <cell r="B3417">
            <v>785</v>
          </cell>
          <cell r="C3417">
            <v>828100</v>
          </cell>
          <cell r="D3417">
            <v>1</v>
          </cell>
          <cell r="F3417" t="str">
            <v>תחום מניעה</v>
          </cell>
          <cell r="G3417" t="str">
            <v>גמיש</v>
          </cell>
          <cell r="H3417">
            <v>9.7006738755680999E-2</v>
          </cell>
          <cell r="I3417">
            <v>70000</v>
          </cell>
          <cell r="J3417">
            <v>63810</v>
          </cell>
          <cell r="K3417">
            <v>13479.22</v>
          </cell>
          <cell r="L3417">
            <v>70900</v>
          </cell>
          <cell r="M3417">
            <v>59247.27</v>
          </cell>
        </row>
        <row r="3418">
          <cell r="A3418">
            <v>1828100786</v>
          </cell>
          <cell r="B3418">
            <v>786</v>
          </cell>
          <cell r="C3418">
            <v>828100</v>
          </cell>
          <cell r="D3418">
            <v>1</v>
          </cell>
          <cell r="F3418" t="str">
            <v xml:space="preserve">ארועי נוער </v>
          </cell>
          <cell r="G3418" t="str">
            <v>גמיש</v>
          </cell>
          <cell r="H3418">
            <v>1.0799124247400109</v>
          </cell>
          <cell r="I3418">
            <v>380000</v>
          </cell>
          <cell r="J3418">
            <v>182700</v>
          </cell>
          <cell r="K3418">
            <v>96197.39</v>
          </cell>
          <cell r="L3418">
            <v>203000</v>
          </cell>
          <cell r="M3418">
            <v>185060.24</v>
          </cell>
        </row>
        <row r="3419">
          <cell r="A3419">
            <v>1828100787</v>
          </cell>
          <cell r="B3419">
            <v>787</v>
          </cell>
          <cell r="C3419">
            <v>828100</v>
          </cell>
          <cell r="D3419">
            <v>1</v>
          </cell>
          <cell r="F3419" t="str">
            <v>קווי לילה לנוער</v>
          </cell>
          <cell r="G3419" t="str">
            <v>גמיש</v>
          </cell>
          <cell r="H3419">
            <v>0.74389636273044335</v>
          </cell>
          <cell r="I3419">
            <v>70000</v>
          </cell>
          <cell r="J3419">
            <v>40140</v>
          </cell>
          <cell r="K3419">
            <v>0</v>
          </cell>
          <cell r="L3419">
            <v>44600</v>
          </cell>
          <cell r="M3419">
            <v>44273</v>
          </cell>
        </row>
        <row r="3420">
          <cell r="A3420">
            <v>1828100788</v>
          </cell>
          <cell r="B3420">
            <v>788</v>
          </cell>
          <cell r="C3420">
            <v>828100</v>
          </cell>
          <cell r="D3420">
            <v>1</v>
          </cell>
          <cell r="F3420" t="str">
            <v>כולנו ביתא ישראל</v>
          </cell>
          <cell r="G3420" t="str">
            <v>גמיש</v>
          </cell>
          <cell r="H3420">
            <v>1.6420361247948545E-3</v>
          </cell>
          <cell r="I3420">
            <v>18300</v>
          </cell>
          <cell r="J3420">
            <v>18270</v>
          </cell>
          <cell r="K3420">
            <v>0</v>
          </cell>
          <cell r="L3420">
            <v>20250</v>
          </cell>
          <cell r="M3420">
            <v>20000</v>
          </cell>
        </row>
        <row r="3421">
          <cell r="A3421">
            <v>1828100789</v>
          </cell>
          <cell r="B3421">
            <v>789</v>
          </cell>
          <cell r="C3421">
            <v>828100</v>
          </cell>
          <cell r="D3421">
            <v>1</v>
          </cell>
          <cell r="F3421" t="str">
            <v>מרכז הדרכה</v>
          </cell>
          <cell r="G3421" t="str">
            <v>גמיש</v>
          </cell>
          <cell r="H3421">
            <v>0</v>
          </cell>
          <cell r="I3421">
            <v>36000</v>
          </cell>
          <cell r="J3421">
            <v>36000</v>
          </cell>
          <cell r="K3421">
            <v>11437.31</v>
          </cell>
          <cell r="L3421">
            <v>37350</v>
          </cell>
          <cell r="M3421">
            <v>12191.49</v>
          </cell>
        </row>
        <row r="3422">
          <cell r="A3422">
            <v>1828100790</v>
          </cell>
          <cell r="B3422">
            <v>790</v>
          </cell>
          <cell r="C3422">
            <v>828100</v>
          </cell>
          <cell r="D3422">
            <v>1</v>
          </cell>
          <cell r="F3422" t="str">
            <v xml:space="preserve">פעולות מהכנסות משה"ח    </v>
          </cell>
          <cell r="G3422" t="str">
            <v>קשיח</v>
          </cell>
          <cell r="H3422">
            <v>0.11111111111111116</v>
          </cell>
          <cell r="I3422">
            <v>487000</v>
          </cell>
          <cell r="J3422">
            <v>438300</v>
          </cell>
          <cell r="K3422">
            <v>126827.29</v>
          </cell>
          <cell r="L3422">
            <v>369000</v>
          </cell>
          <cell r="M3422">
            <v>495015.82</v>
          </cell>
        </row>
        <row r="3423">
          <cell r="A3423">
            <v>1828100791</v>
          </cell>
          <cell r="B3423">
            <v>791</v>
          </cell>
          <cell r="C3423">
            <v>828100</v>
          </cell>
          <cell r="D3423">
            <v>1</v>
          </cell>
          <cell r="F3423" t="str">
            <v>כנפיים של קרמבו</v>
          </cell>
          <cell r="G3423" t="str">
            <v>גמיש</v>
          </cell>
          <cell r="H3423">
            <v>0.11111111111111116</v>
          </cell>
          <cell r="I3423">
            <v>240000</v>
          </cell>
          <cell r="J3423">
            <v>216000</v>
          </cell>
          <cell r="K3423">
            <v>0</v>
          </cell>
          <cell r="L3423">
            <v>198000</v>
          </cell>
          <cell r="M3423">
            <v>180000</v>
          </cell>
        </row>
        <row r="3424">
          <cell r="A3424">
            <v>1828100792</v>
          </cell>
          <cell r="B3424">
            <v>792</v>
          </cell>
          <cell r="C3424">
            <v>828100</v>
          </cell>
          <cell r="D3424">
            <v>1</v>
          </cell>
          <cell r="F3424" t="str">
            <v>יום המעשים הטובים</v>
          </cell>
          <cell r="G3424" t="str">
            <v>גמיש</v>
          </cell>
          <cell r="I3424">
            <v>0</v>
          </cell>
          <cell r="J3424">
            <v>0</v>
          </cell>
          <cell r="K3424">
            <v>0</v>
          </cell>
          <cell r="L3424">
            <v>0</v>
          </cell>
          <cell r="M3424">
            <v>6693</v>
          </cell>
        </row>
        <row r="3425">
          <cell r="A3425">
            <v>1828100793</v>
          </cell>
          <cell r="B3425">
            <v>793</v>
          </cell>
          <cell r="C3425">
            <v>828100</v>
          </cell>
          <cell r="D3425">
            <v>1</v>
          </cell>
          <cell r="F3425" t="str">
            <v>תנועות נוער מחנות קיץ</v>
          </cell>
          <cell r="G3425" t="str">
            <v>גמיש</v>
          </cell>
          <cell r="H3425">
            <v>0</v>
          </cell>
          <cell r="I3425">
            <v>280000</v>
          </cell>
          <cell r="J3425">
            <v>280000</v>
          </cell>
          <cell r="K3425">
            <v>0</v>
          </cell>
          <cell r="L3425">
            <v>540000</v>
          </cell>
          <cell r="M3425">
            <v>227800</v>
          </cell>
        </row>
        <row r="3426">
          <cell r="A3426">
            <v>1828100794</v>
          </cell>
          <cell r="B3426">
            <v>794</v>
          </cell>
          <cell r="C3426">
            <v>828100</v>
          </cell>
          <cell r="D3426">
            <v>1</v>
          </cell>
          <cell r="F3426" t="str">
            <v xml:space="preserve">השתתפות בעזר 094  </v>
          </cell>
          <cell r="G3426" t="str">
            <v>קשיח</v>
          </cell>
          <cell r="H3426">
            <v>0.21978021978021989</v>
          </cell>
          <cell r="I3426">
            <v>22200</v>
          </cell>
          <cell r="J3426">
            <v>18200</v>
          </cell>
          <cell r="K3426">
            <v>8598</v>
          </cell>
          <cell r="L3426">
            <v>12800</v>
          </cell>
          <cell r="M3426">
            <v>15266</v>
          </cell>
        </row>
        <row r="3427">
          <cell r="A3427">
            <v>1828100795</v>
          </cell>
          <cell r="B3427">
            <v>795</v>
          </cell>
          <cell r="C3427">
            <v>828100</v>
          </cell>
          <cell r="D3427">
            <v>1</v>
          </cell>
          <cell r="F3427" t="str">
            <v>הוצאות מפעולות</v>
          </cell>
          <cell r="G3427" t="str">
            <v>גמיש</v>
          </cell>
          <cell r="I3427">
            <v>0</v>
          </cell>
          <cell r="K3427">
            <v>0</v>
          </cell>
          <cell r="L3427">
            <v>0</v>
          </cell>
        </row>
        <row r="3428">
          <cell r="A3428">
            <v>1828100796</v>
          </cell>
          <cell r="B3428">
            <v>796</v>
          </cell>
          <cell r="C3428">
            <v>828100</v>
          </cell>
          <cell r="D3428">
            <v>1</v>
          </cell>
          <cell r="F3428" t="str">
            <v xml:space="preserve">ארועי צעירים </v>
          </cell>
          <cell r="G3428" t="str">
            <v>גמיש</v>
          </cell>
          <cell r="I3428">
            <v>198900</v>
          </cell>
          <cell r="J3428">
            <v>0</v>
          </cell>
          <cell r="K3428">
            <v>0</v>
          </cell>
          <cell r="L3428">
            <v>0</v>
          </cell>
          <cell r="M3428">
            <v>0</v>
          </cell>
        </row>
        <row r="3429">
          <cell r="A3429">
            <v>1828100797</v>
          </cell>
          <cell r="B3429">
            <v>797</v>
          </cell>
          <cell r="C3429">
            <v>828100</v>
          </cell>
          <cell r="D3429">
            <v>1</v>
          </cell>
          <cell r="F3429" t="str">
            <v>קשר עם חייל</v>
          </cell>
          <cell r="G3429" t="str">
            <v>קשיח</v>
          </cell>
          <cell r="I3429">
            <v>1500000</v>
          </cell>
          <cell r="J3429">
            <v>0</v>
          </cell>
          <cell r="K3429">
            <v>0</v>
          </cell>
          <cell r="L3429">
            <v>0</v>
          </cell>
          <cell r="M3429">
            <v>0</v>
          </cell>
        </row>
        <row r="3430">
          <cell r="A3430">
            <v>1828100810</v>
          </cell>
          <cell r="B3430">
            <v>810</v>
          </cell>
          <cell r="C3430">
            <v>828100</v>
          </cell>
          <cell r="D3430">
            <v>1</v>
          </cell>
          <cell r="F3430" t="str">
            <v xml:space="preserve">השתתפות בתנועות הנוער      </v>
          </cell>
          <cell r="G3430" t="str">
            <v>קשיח</v>
          </cell>
          <cell r="H3430">
            <v>0.11111111111111116</v>
          </cell>
          <cell r="I3430">
            <v>510000</v>
          </cell>
          <cell r="J3430">
            <v>459000</v>
          </cell>
          <cell r="K3430">
            <v>414.86</v>
          </cell>
          <cell r="L3430">
            <v>510000</v>
          </cell>
          <cell r="M3430">
            <v>483899</v>
          </cell>
        </row>
        <row r="3431">
          <cell r="A3431">
            <v>1828100811</v>
          </cell>
          <cell r="B3431">
            <v>811</v>
          </cell>
          <cell r="C3431">
            <v>828100</v>
          </cell>
          <cell r="D3431">
            <v>1</v>
          </cell>
          <cell r="F3431" t="str">
            <v>השתתפות בשכר רכזים</v>
          </cell>
          <cell r="G3431" t="str">
            <v>קשיח</v>
          </cell>
          <cell r="H3431">
            <v>0</v>
          </cell>
          <cell r="I3431">
            <v>381000</v>
          </cell>
          <cell r="J3431">
            <v>381000</v>
          </cell>
          <cell r="K3431">
            <v>0</v>
          </cell>
          <cell r="L3431">
            <v>640950</v>
          </cell>
          <cell r="M3431">
            <v>593582</v>
          </cell>
        </row>
        <row r="3432">
          <cell r="A3432">
            <v>1828100812</v>
          </cell>
          <cell r="B3432">
            <v>812</v>
          </cell>
          <cell r="C3432">
            <v>828100</v>
          </cell>
          <cell r="D3432">
            <v>1</v>
          </cell>
          <cell r="F3432" t="str">
            <v>מרכז נוער נאות רחל</v>
          </cell>
          <cell r="G3432" t="str">
            <v>קשיח</v>
          </cell>
          <cell r="I3432">
            <v>0</v>
          </cell>
          <cell r="J3432">
            <v>0</v>
          </cell>
          <cell r="K3432">
            <v>0</v>
          </cell>
          <cell r="L3432">
            <v>0</v>
          </cell>
          <cell r="M3432">
            <v>0</v>
          </cell>
        </row>
        <row r="3433">
          <cell r="A3433">
            <v>1828100813</v>
          </cell>
          <cell r="B3433">
            <v>813</v>
          </cell>
          <cell r="C3433">
            <v>828100</v>
          </cell>
          <cell r="D3433">
            <v>1</v>
          </cell>
          <cell r="F3433" t="str">
            <v>מרכז נוער תל גיבורים</v>
          </cell>
          <cell r="G3433" t="str">
            <v>גמיש</v>
          </cell>
          <cell r="I3433">
            <v>0</v>
          </cell>
          <cell r="J3433">
            <v>0</v>
          </cell>
          <cell r="K3433">
            <v>0</v>
          </cell>
          <cell r="L3433">
            <v>0</v>
          </cell>
          <cell r="M3433">
            <v>0</v>
          </cell>
        </row>
        <row r="3434">
          <cell r="A3434">
            <v>1828100814</v>
          </cell>
          <cell r="B3434">
            <v>814</v>
          </cell>
          <cell r="C3434">
            <v>828100</v>
          </cell>
          <cell r="D3434">
            <v>1</v>
          </cell>
          <cell r="F3434" t="str">
            <v>מרכז הדרכה ומנהיגות</v>
          </cell>
          <cell r="G3434" t="str">
            <v>גמיש</v>
          </cell>
          <cell r="H3434">
            <v>4.3296817944705301E-2</v>
          </cell>
          <cell r="I3434">
            <v>140000</v>
          </cell>
          <cell r="J3434">
            <v>134190</v>
          </cell>
          <cell r="K3434">
            <v>72805.66</v>
          </cell>
          <cell r="L3434">
            <v>149050</v>
          </cell>
          <cell r="M3434">
            <v>145102.54999999999</v>
          </cell>
        </row>
        <row r="3435">
          <cell r="A3435">
            <v>1828100816</v>
          </cell>
          <cell r="B3435">
            <v>816</v>
          </cell>
          <cell r="C3435">
            <v>828100</v>
          </cell>
          <cell r="D3435">
            <v>1</v>
          </cell>
          <cell r="F3435" t="str">
            <v>פעילות נוער חרדי בקיץ</v>
          </cell>
          <cell r="G3435" t="str">
            <v>גמיש</v>
          </cell>
          <cell r="I3435">
            <v>0</v>
          </cell>
          <cell r="J3435">
            <v>0</v>
          </cell>
          <cell r="K3435">
            <v>0</v>
          </cell>
          <cell r="L3435">
            <v>0</v>
          </cell>
          <cell r="M3435">
            <v>50000</v>
          </cell>
        </row>
        <row r="3436">
          <cell r="A3436">
            <v>1828100817</v>
          </cell>
          <cell r="B3436">
            <v>817</v>
          </cell>
          <cell r="C3436">
            <v>828100</v>
          </cell>
          <cell r="D3436">
            <v>1</v>
          </cell>
          <cell r="F3436" t="str">
            <v>תמיכות באירגוני נוער</v>
          </cell>
          <cell r="G3436" t="str">
            <v>קשיח</v>
          </cell>
          <cell r="H3436">
            <v>0</v>
          </cell>
          <cell r="I3436">
            <v>162000</v>
          </cell>
          <cell r="J3436">
            <v>162000</v>
          </cell>
          <cell r="K3436">
            <v>0</v>
          </cell>
          <cell r="L3436">
            <v>180000</v>
          </cell>
          <cell r="M3436">
            <v>151653</v>
          </cell>
        </row>
        <row r="3437">
          <cell r="A3437">
            <v>1828100818</v>
          </cell>
          <cell r="B3437">
            <v>818</v>
          </cell>
          <cell r="C3437">
            <v>828100</v>
          </cell>
          <cell r="D3437">
            <v>1</v>
          </cell>
          <cell r="F3437" t="str">
            <v>תמיכה במכינות קד"צ</v>
          </cell>
          <cell r="G3437" t="str">
            <v>קשיח</v>
          </cell>
          <cell r="H3437">
            <v>0</v>
          </cell>
          <cell r="I3437">
            <v>136800</v>
          </cell>
          <cell r="J3437">
            <v>136800</v>
          </cell>
          <cell r="K3437">
            <v>0</v>
          </cell>
          <cell r="L3437">
            <v>136800</v>
          </cell>
          <cell r="M3437">
            <v>136800</v>
          </cell>
        </row>
        <row r="3438">
          <cell r="A3438">
            <v>1828100820</v>
          </cell>
          <cell r="B3438">
            <v>820</v>
          </cell>
          <cell r="C3438">
            <v>828100</v>
          </cell>
          <cell r="D3438">
            <v>1</v>
          </cell>
          <cell r="F3438" t="str">
            <v>פרוייקט צלילי זיכרון</v>
          </cell>
          <cell r="G3438" t="str">
            <v>גמיש</v>
          </cell>
          <cell r="I3438">
            <v>0</v>
          </cell>
          <cell r="J3438">
            <v>0</v>
          </cell>
          <cell r="K3438">
            <v>0</v>
          </cell>
          <cell r="L3438">
            <v>60000</v>
          </cell>
          <cell r="M3438">
            <v>0</v>
          </cell>
        </row>
        <row r="3439">
          <cell r="A3439">
            <v>1828100821</v>
          </cell>
          <cell r="B3439">
            <v>821</v>
          </cell>
          <cell r="C3439">
            <v>828100</v>
          </cell>
          <cell r="D3439">
            <v>1</v>
          </cell>
          <cell r="F3439" t="str">
            <v>מרכז מנשה</v>
          </cell>
          <cell r="G3439" t="str">
            <v>גמיש</v>
          </cell>
          <cell r="H3439">
            <v>0</v>
          </cell>
          <cell r="I3439">
            <v>200000</v>
          </cell>
          <cell r="J3439">
            <v>200000</v>
          </cell>
          <cell r="K3439">
            <v>38135.01</v>
          </cell>
          <cell r="L3439">
            <v>0</v>
          </cell>
          <cell r="M3439">
            <v>0</v>
          </cell>
        </row>
        <row r="3440">
          <cell r="A3440">
            <v>1828100822</v>
          </cell>
          <cell r="B3440">
            <v>822</v>
          </cell>
          <cell r="C3440">
            <v>828100</v>
          </cell>
          <cell r="D3440">
            <v>1</v>
          </cell>
          <cell r="F3440" t="str">
            <v>מרכז בוקסר</v>
          </cell>
          <cell r="G3440" t="str">
            <v>גמיש</v>
          </cell>
          <cell r="H3440">
            <v>0</v>
          </cell>
          <cell r="I3440">
            <v>200000</v>
          </cell>
          <cell r="J3440">
            <v>200000</v>
          </cell>
          <cell r="K3440">
            <v>2228.33</v>
          </cell>
          <cell r="L3440">
            <v>0</v>
          </cell>
          <cell r="M3440">
            <v>0</v>
          </cell>
        </row>
        <row r="3441">
          <cell r="A3441">
            <v>1828100823</v>
          </cell>
          <cell r="B3441">
            <v>823</v>
          </cell>
          <cell r="C3441">
            <v>828100</v>
          </cell>
          <cell r="D3441">
            <v>1</v>
          </cell>
          <cell r="F3441" t="str">
            <v>מרכז שטרודל</v>
          </cell>
          <cell r="G3441" t="str">
            <v>גמיש</v>
          </cell>
          <cell r="H3441">
            <v>0</v>
          </cell>
          <cell r="I3441">
            <v>200000</v>
          </cell>
          <cell r="J3441">
            <v>200000</v>
          </cell>
          <cell r="K3441">
            <v>41562.5</v>
          </cell>
          <cell r="L3441">
            <v>0</v>
          </cell>
          <cell r="M3441">
            <v>0</v>
          </cell>
        </row>
        <row r="3442">
          <cell r="A3442">
            <v>1828100824</v>
          </cell>
          <cell r="B3442">
            <v>824</v>
          </cell>
          <cell r="C3442">
            <v>828100</v>
          </cell>
          <cell r="D3442">
            <v>1</v>
          </cell>
          <cell r="F3442" t="str">
            <v>מרכז קמפוס</v>
          </cell>
          <cell r="G3442" t="str">
            <v>גמיש</v>
          </cell>
          <cell r="H3442">
            <v>0</v>
          </cell>
          <cell r="I3442">
            <v>200000</v>
          </cell>
          <cell r="J3442">
            <v>200000</v>
          </cell>
          <cell r="K3442">
            <v>52955.13</v>
          </cell>
          <cell r="L3442">
            <v>0</v>
          </cell>
          <cell r="M3442">
            <v>0</v>
          </cell>
        </row>
        <row r="3443">
          <cell r="A3443">
            <v>1828100825</v>
          </cell>
          <cell r="B3443">
            <v>825</v>
          </cell>
          <cell r="C3443">
            <v>828100</v>
          </cell>
          <cell r="D3443">
            <v>1</v>
          </cell>
          <cell r="F3443" t="str">
            <v>מרכז רחלה</v>
          </cell>
          <cell r="G3443" t="str">
            <v>גמיש</v>
          </cell>
          <cell r="H3443">
            <v>0</v>
          </cell>
          <cell r="I3443">
            <v>200000</v>
          </cell>
          <cell r="J3443">
            <v>200000</v>
          </cell>
          <cell r="K3443">
            <v>57002.03</v>
          </cell>
          <cell r="L3443">
            <v>0</v>
          </cell>
          <cell r="M3443">
            <v>0</v>
          </cell>
        </row>
        <row r="3444">
          <cell r="A3444">
            <v>1828100826</v>
          </cell>
          <cell r="B3444">
            <v>826</v>
          </cell>
          <cell r="C3444">
            <v>828100</v>
          </cell>
          <cell r="D3444">
            <v>1</v>
          </cell>
          <cell r="F3444" t="str">
            <v>מרכז בנג'י</v>
          </cell>
          <cell r="G3444" t="str">
            <v>גמיש</v>
          </cell>
          <cell r="H3444">
            <v>0</v>
          </cell>
          <cell r="I3444">
            <v>200000</v>
          </cell>
          <cell r="J3444">
            <v>200000</v>
          </cell>
          <cell r="K3444">
            <v>36704.18</v>
          </cell>
          <cell r="L3444">
            <v>0</v>
          </cell>
          <cell r="M3444">
            <v>0</v>
          </cell>
        </row>
        <row r="3445">
          <cell r="A3445">
            <v>1828100827</v>
          </cell>
          <cell r="B3445">
            <v>827</v>
          </cell>
          <cell r="C3445">
            <v>828100</v>
          </cell>
          <cell r="D3445">
            <v>1</v>
          </cell>
          <cell r="F3445" t="str">
            <v>מרכז שברולט</v>
          </cell>
          <cell r="G3445" t="str">
            <v>גמיש</v>
          </cell>
          <cell r="H3445">
            <v>-0.19999999999999996</v>
          </cell>
          <cell r="I3445">
            <v>200000</v>
          </cell>
          <cell r="J3445">
            <v>250000</v>
          </cell>
          <cell r="K3445">
            <v>31743.16</v>
          </cell>
          <cell r="L3445">
            <v>0</v>
          </cell>
          <cell r="M3445">
            <v>0</v>
          </cell>
        </row>
        <row r="3446">
          <cell r="A3446">
            <v>1828100828</v>
          </cell>
          <cell r="B3446">
            <v>828</v>
          </cell>
          <cell r="C3446">
            <v>828100</v>
          </cell>
          <cell r="D3446">
            <v>1</v>
          </cell>
          <cell r="F3446" t="str">
            <v>תנועת נוער -חצ"ב</v>
          </cell>
          <cell r="G3446" t="str">
            <v>גמיש</v>
          </cell>
          <cell r="I3446">
            <v>60000</v>
          </cell>
          <cell r="K3446">
            <v>8975.91</v>
          </cell>
          <cell r="L3446">
            <v>0</v>
          </cell>
        </row>
        <row r="3447">
          <cell r="A3447">
            <v>1828100981</v>
          </cell>
          <cell r="B3447">
            <v>981</v>
          </cell>
          <cell r="C3447">
            <v>828100</v>
          </cell>
          <cell r="D3447">
            <v>1</v>
          </cell>
          <cell r="F3447" t="str">
            <v>פעילות חיילים</v>
          </cell>
          <cell r="G3447" t="str">
            <v>גמיש</v>
          </cell>
          <cell r="I3447">
            <v>96000</v>
          </cell>
        </row>
        <row r="3448">
          <cell r="A3448">
            <v>1828100987</v>
          </cell>
          <cell r="B3448">
            <v>987</v>
          </cell>
          <cell r="C3448">
            <v>828100</v>
          </cell>
          <cell r="D3448">
            <v>1</v>
          </cell>
          <cell r="F3448" t="str">
            <v xml:space="preserve">מרכז ייעוץ לנוער  </v>
          </cell>
          <cell r="G3448" t="str">
            <v>גמיש</v>
          </cell>
          <cell r="H3448">
            <v>1.6041065126715104E-4</v>
          </cell>
          <cell r="I3448">
            <v>374100</v>
          </cell>
          <cell r="J3448">
            <v>374040</v>
          </cell>
          <cell r="K3448">
            <v>22325.68</v>
          </cell>
          <cell r="L3448">
            <v>415600</v>
          </cell>
          <cell r="M3448">
            <v>218617.59</v>
          </cell>
        </row>
        <row r="3449">
          <cell r="A3449">
            <v>1828100988</v>
          </cell>
          <cell r="B3449">
            <v>988</v>
          </cell>
          <cell r="C3449">
            <v>828100</v>
          </cell>
          <cell r="D3449">
            <v>1</v>
          </cell>
          <cell r="F3449" t="str">
            <v>הכנה לצה"ל</v>
          </cell>
          <cell r="G3449" t="str">
            <v>גמיש</v>
          </cell>
          <cell r="H3449">
            <v>0.39043381535038924</v>
          </cell>
          <cell r="I3449">
            <v>450000</v>
          </cell>
          <cell r="J3449">
            <v>323640</v>
          </cell>
          <cell r="K3449">
            <v>264422.81</v>
          </cell>
          <cell r="L3449">
            <v>359640</v>
          </cell>
          <cell r="M3449">
            <v>298015.06</v>
          </cell>
        </row>
        <row r="3450">
          <cell r="A3450">
            <v>1828100989</v>
          </cell>
          <cell r="B3450">
            <v>989</v>
          </cell>
          <cell r="C3450">
            <v>828100</v>
          </cell>
          <cell r="D3450">
            <v>1</v>
          </cell>
          <cell r="F3450" t="str">
            <v>שבוע נוער</v>
          </cell>
          <cell r="G3450" t="str">
            <v>גמיש</v>
          </cell>
          <cell r="I3450">
            <v>0</v>
          </cell>
          <cell r="J3450">
            <v>0</v>
          </cell>
          <cell r="K3450">
            <v>0</v>
          </cell>
          <cell r="L3450">
            <v>0</v>
          </cell>
          <cell r="M3450">
            <v>0</v>
          </cell>
        </row>
        <row r="3451">
          <cell r="A3451" t="e">
            <v>#VALUE!</v>
          </cell>
          <cell r="B3451" t="str">
            <v>828100  סך הכל</v>
          </cell>
          <cell r="F3451" t="str">
            <v xml:space="preserve">מחלקת נוער וצעירים       </v>
          </cell>
          <cell r="H3451">
            <v>0.2179603531835308</v>
          </cell>
          <cell r="I3451">
            <v>15738800.353529412</v>
          </cell>
          <cell r="J3451">
            <v>12922260</v>
          </cell>
          <cell r="K3451">
            <v>4816310.129999999</v>
          </cell>
          <cell r="L3451">
            <v>7826540</v>
          </cell>
          <cell r="M3451">
            <v>7222129.3500000006</v>
          </cell>
        </row>
        <row r="3452">
          <cell r="A3452">
            <v>18281200</v>
          </cell>
          <cell r="B3452">
            <v>0</v>
          </cell>
          <cell r="C3452">
            <v>828120</v>
          </cell>
          <cell r="D3452">
            <v>1</v>
          </cell>
          <cell r="F3452" t="str">
            <v xml:space="preserve">קידום נוער        </v>
          </cell>
          <cell r="G3452" t="str">
            <v xml:space="preserve"> </v>
          </cell>
        </row>
        <row r="3453">
          <cell r="A3453">
            <v>1828120110</v>
          </cell>
          <cell r="B3453">
            <v>110</v>
          </cell>
          <cell r="C3453">
            <v>828120</v>
          </cell>
          <cell r="D3453">
            <v>1</v>
          </cell>
          <cell r="F3453" t="str">
            <v>השכר הקובע-תקציבית</v>
          </cell>
          <cell r="G3453" t="str">
            <v>שכר</v>
          </cell>
          <cell r="H3453">
            <v>2.4999999999999911E-2</v>
          </cell>
          <cell r="I3453">
            <v>555550</v>
          </cell>
          <cell r="J3453">
            <v>542000</v>
          </cell>
          <cell r="K3453">
            <v>318246.96999999997</v>
          </cell>
          <cell r="L3453">
            <v>385000</v>
          </cell>
          <cell r="M3453">
            <v>554523.54</v>
          </cell>
        </row>
        <row r="3454">
          <cell r="A3454">
            <v>1828120119</v>
          </cell>
          <cell r="B3454">
            <v>119</v>
          </cell>
          <cell r="C3454">
            <v>828120</v>
          </cell>
          <cell r="D3454">
            <v>1</v>
          </cell>
          <cell r="F3454" t="str">
            <v xml:space="preserve">השכר הקובע-צוברת  </v>
          </cell>
          <cell r="G3454" t="str">
            <v>שכר</v>
          </cell>
          <cell r="H3454">
            <v>2.4999999999999911E-2</v>
          </cell>
          <cell r="I3454">
            <v>1886819.9999999998</v>
          </cell>
          <cell r="J3454">
            <v>1840800</v>
          </cell>
          <cell r="K3454">
            <v>934513.41</v>
          </cell>
          <cell r="L3454">
            <v>1804700</v>
          </cell>
          <cell r="M3454">
            <v>1712499.67</v>
          </cell>
        </row>
        <row r="3455">
          <cell r="A3455">
            <v>1828120122</v>
          </cell>
          <cell r="B3455">
            <v>122</v>
          </cell>
          <cell r="C3455">
            <v>828120</v>
          </cell>
          <cell r="D3455">
            <v>1</v>
          </cell>
          <cell r="F3455" t="str">
            <v xml:space="preserve">ביגוד             </v>
          </cell>
          <cell r="G3455" t="str">
            <v>שכר</v>
          </cell>
          <cell r="H3455">
            <v>0</v>
          </cell>
          <cell r="I3455">
            <v>28500</v>
          </cell>
          <cell r="J3455">
            <v>28500</v>
          </cell>
          <cell r="K3455">
            <v>25051.8</v>
          </cell>
          <cell r="L3455">
            <v>24500</v>
          </cell>
          <cell r="M3455">
            <v>31126.13</v>
          </cell>
        </row>
        <row r="3456">
          <cell r="A3456">
            <v>1828120126</v>
          </cell>
          <cell r="B3456">
            <v>126</v>
          </cell>
          <cell r="C3456">
            <v>828120</v>
          </cell>
          <cell r="D3456">
            <v>1</v>
          </cell>
          <cell r="F3456" t="str">
            <v xml:space="preserve">דמי הבראה         </v>
          </cell>
          <cell r="G3456" t="str">
            <v>שכר</v>
          </cell>
          <cell r="H3456">
            <v>0</v>
          </cell>
          <cell r="I3456">
            <v>70000</v>
          </cell>
          <cell r="J3456">
            <v>70000</v>
          </cell>
          <cell r="K3456">
            <v>62054.47</v>
          </cell>
          <cell r="L3456">
            <v>63500</v>
          </cell>
          <cell r="M3456">
            <v>73110.27</v>
          </cell>
        </row>
        <row r="3457">
          <cell r="A3457">
            <v>1828120130</v>
          </cell>
          <cell r="B3457">
            <v>130</v>
          </cell>
          <cell r="C3457">
            <v>828120</v>
          </cell>
          <cell r="D3457">
            <v>1</v>
          </cell>
          <cell r="F3457" t="str">
            <v xml:space="preserve">שעות נוספות       </v>
          </cell>
          <cell r="G3457" t="str">
            <v>שכר</v>
          </cell>
          <cell r="H3457">
            <v>0</v>
          </cell>
          <cell r="I3457">
            <v>4730</v>
          </cell>
          <cell r="J3457">
            <v>4730</v>
          </cell>
          <cell r="K3457">
            <v>19542.78</v>
          </cell>
          <cell r="L3457">
            <v>5500</v>
          </cell>
          <cell r="M3457">
            <v>4641.4799999999996</v>
          </cell>
        </row>
        <row r="3458">
          <cell r="A3458">
            <v>1828120140</v>
          </cell>
          <cell r="B3458">
            <v>140</v>
          </cell>
          <cell r="C3458">
            <v>828120</v>
          </cell>
          <cell r="D3458">
            <v>1</v>
          </cell>
          <cell r="F3458" t="str">
            <v>השתתפות באחזקת רכב</v>
          </cell>
          <cell r="G3458" t="str">
            <v>שכר</v>
          </cell>
          <cell r="H3458">
            <v>0</v>
          </cell>
          <cell r="I3458">
            <v>232000</v>
          </cell>
          <cell r="J3458">
            <v>232000</v>
          </cell>
          <cell r="K3458">
            <v>118854.49</v>
          </cell>
          <cell r="L3458">
            <v>232000</v>
          </cell>
          <cell r="M3458">
            <v>238834.84</v>
          </cell>
        </row>
        <row r="3459">
          <cell r="A3459">
            <v>1828120450</v>
          </cell>
          <cell r="B3459">
            <v>450</v>
          </cell>
          <cell r="C3459">
            <v>828120</v>
          </cell>
          <cell r="D3459">
            <v>1</v>
          </cell>
          <cell r="F3459" t="str">
            <v>אחזקת תמי 4</v>
          </cell>
          <cell r="G3459" t="str">
            <v>קשיח</v>
          </cell>
          <cell r="H3459">
            <v>-1</v>
          </cell>
          <cell r="I3459">
            <v>0</v>
          </cell>
          <cell r="J3459">
            <v>1000</v>
          </cell>
          <cell r="K3459">
            <v>0</v>
          </cell>
          <cell r="L3459">
            <v>1000</v>
          </cell>
          <cell r="M3459">
            <v>0</v>
          </cell>
        </row>
        <row r="3460">
          <cell r="A3460">
            <v>1828120571</v>
          </cell>
          <cell r="B3460">
            <v>571</v>
          </cell>
          <cell r="C3460">
            <v>828120</v>
          </cell>
          <cell r="D3460">
            <v>1</v>
          </cell>
          <cell r="F3460" t="str">
            <v xml:space="preserve">מיכון וענ"א       </v>
          </cell>
          <cell r="G3460" t="str">
            <v>קשיח</v>
          </cell>
          <cell r="H3460">
            <v>1.0790408525754884</v>
          </cell>
          <cell r="I3460">
            <v>234100</v>
          </cell>
          <cell r="J3460">
            <v>112600</v>
          </cell>
          <cell r="K3460">
            <v>56300</v>
          </cell>
          <cell r="L3460">
            <v>95100</v>
          </cell>
          <cell r="M3460">
            <v>95100</v>
          </cell>
        </row>
        <row r="3461">
          <cell r="A3461">
            <v>1828120750</v>
          </cell>
          <cell r="B3461">
            <v>750</v>
          </cell>
          <cell r="C3461">
            <v>828120</v>
          </cell>
          <cell r="D3461">
            <v>1</v>
          </cell>
          <cell r="F3461" t="str">
            <v>אחזקת מוסדות</v>
          </cell>
          <cell r="G3461" t="str">
            <v>קשיח</v>
          </cell>
          <cell r="H3461">
            <v>-1.2195121951219523E-2</v>
          </cell>
          <cell r="I3461">
            <v>24300</v>
          </cell>
          <cell r="J3461">
            <v>24600</v>
          </cell>
          <cell r="K3461">
            <v>14119</v>
          </cell>
          <cell r="L3461">
            <v>15800</v>
          </cell>
          <cell r="M3461">
            <v>17625</v>
          </cell>
        </row>
        <row r="3462">
          <cell r="A3462">
            <v>1828120752</v>
          </cell>
          <cell r="B3462">
            <v>752</v>
          </cell>
          <cell r="C3462">
            <v>828120</v>
          </cell>
          <cell r="D3462">
            <v>1</v>
          </cell>
          <cell r="F3462" t="str">
            <v xml:space="preserve">נקיון בקבלנות     </v>
          </cell>
          <cell r="G3462" t="str">
            <v>קשיח</v>
          </cell>
          <cell r="H3462">
            <v>5.4347826086955653E-3</v>
          </cell>
          <cell r="I3462">
            <v>55500</v>
          </cell>
          <cell r="J3462">
            <v>55200</v>
          </cell>
          <cell r="K3462">
            <v>17639.38</v>
          </cell>
          <cell r="L3462">
            <v>55100</v>
          </cell>
          <cell r="M3462">
            <v>55099.61</v>
          </cell>
        </row>
        <row r="3463">
          <cell r="A3463">
            <v>1828120780</v>
          </cell>
          <cell r="B3463">
            <v>780</v>
          </cell>
          <cell r="C3463">
            <v>828120</v>
          </cell>
          <cell r="D3463">
            <v>1</v>
          </cell>
          <cell r="F3463" t="str">
            <v xml:space="preserve">פעולות קידום נוער </v>
          </cell>
          <cell r="G3463" t="str">
            <v>גמיש</v>
          </cell>
          <cell r="H3463">
            <v>9.5785440613016526E-4</v>
          </cell>
          <cell r="I3463">
            <v>41800</v>
          </cell>
          <cell r="J3463">
            <v>41760</v>
          </cell>
          <cell r="K3463">
            <v>13864.79</v>
          </cell>
          <cell r="L3463">
            <v>46400</v>
          </cell>
          <cell r="M3463">
            <v>23664.53</v>
          </cell>
        </row>
        <row r="3464">
          <cell r="A3464" t="e">
            <v>#VALUE!</v>
          </cell>
          <cell r="B3464" t="str">
            <v>828120  סך הכל</v>
          </cell>
          <cell r="F3464" t="str">
            <v xml:space="preserve">קידום נוער        </v>
          </cell>
          <cell r="H3464">
            <v>6.0988287241931616E-2</v>
          </cell>
          <cell r="I3464">
            <v>3133300</v>
          </cell>
          <cell r="J3464">
            <v>2953190</v>
          </cell>
          <cell r="K3464">
            <v>1580187.0899999999</v>
          </cell>
          <cell r="L3464">
            <v>2728600</v>
          </cell>
          <cell r="M3464">
            <v>2806225.0699999994</v>
          </cell>
        </row>
        <row r="3465">
          <cell r="A3465">
            <v>18281300</v>
          </cell>
          <cell r="B3465">
            <v>0</v>
          </cell>
          <cell r="C3465">
            <v>828130</v>
          </cell>
          <cell r="D3465">
            <v>1</v>
          </cell>
          <cell r="F3465" t="str">
            <v>אגף  קהילה</v>
          </cell>
          <cell r="G3465" t="str">
            <v xml:space="preserve"> </v>
          </cell>
        </row>
        <row r="3466">
          <cell r="A3466">
            <v>1828130119</v>
          </cell>
          <cell r="B3466">
            <v>119</v>
          </cell>
          <cell r="C3466">
            <v>828130</v>
          </cell>
          <cell r="D3466">
            <v>1</v>
          </cell>
          <cell r="F3466" t="str">
            <v xml:space="preserve">השכר הקובע-צוברת  </v>
          </cell>
          <cell r="G3466" t="str">
            <v>שכר</v>
          </cell>
          <cell r="H3466">
            <v>0.15312499999999996</v>
          </cell>
          <cell r="I3466">
            <v>3671549.9999999995</v>
          </cell>
          <cell r="J3466">
            <v>3184000</v>
          </cell>
          <cell r="K3466">
            <v>1406299.92</v>
          </cell>
          <cell r="L3466">
            <v>3050000</v>
          </cell>
          <cell r="M3466">
            <v>2983186.67</v>
          </cell>
        </row>
        <row r="3467">
          <cell r="A3467">
            <v>1828130122</v>
          </cell>
          <cell r="B3467">
            <v>122</v>
          </cell>
          <cell r="C3467">
            <v>828130</v>
          </cell>
          <cell r="D3467">
            <v>1</v>
          </cell>
          <cell r="F3467" t="str">
            <v xml:space="preserve">ביגוד             </v>
          </cell>
          <cell r="G3467" t="str">
            <v>שכר</v>
          </cell>
          <cell r="H3467">
            <v>0.14482212754626556</v>
          </cell>
          <cell r="I3467">
            <v>33199.841698841701</v>
          </cell>
          <cell r="J3467">
            <v>29000</v>
          </cell>
          <cell r="K3467">
            <v>21311.43</v>
          </cell>
          <cell r="L3467">
            <v>29000</v>
          </cell>
          <cell r="M3467">
            <v>31726.01</v>
          </cell>
        </row>
        <row r="3468">
          <cell r="A3468">
            <v>1828130126</v>
          </cell>
          <cell r="B3468">
            <v>126</v>
          </cell>
          <cell r="C3468">
            <v>828130</v>
          </cell>
          <cell r="D3468">
            <v>1</v>
          </cell>
          <cell r="F3468" t="str">
            <v xml:space="preserve">דמי הבראה         </v>
          </cell>
          <cell r="G3468" t="str">
            <v>שכר</v>
          </cell>
          <cell r="H3468">
            <v>0.14485708923208929</v>
          </cell>
          <cell r="I3468">
            <v>82429.710424710429</v>
          </cell>
          <cell r="J3468">
            <v>72000</v>
          </cell>
          <cell r="K3468">
            <v>53450.62</v>
          </cell>
          <cell r="L3468">
            <v>50000</v>
          </cell>
          <cell r="M3468">
            <v>77092.600000000006</v>
          </cell>
        </row>
        <row r="3469">
          <cell r="A3469">
            <v>1828130140</v>
          </cell>
          <cell r="B3469">
            <v>140</v>
          </cell>
          <cell r="C3469">
            <v>828130</v>
          </cell>
          <cell r="D3469">
            <v>1</v>
          </cell>
          <cell r="F3469" t="str">
            <v>השתתפות באחזקת רכב</v>
          </cell>
          <cell r="G3469" t="str">
            <v>שכר</v>
          </cell>
          <cell r="H3469">
            <v>0</v>
          </cell>
          <cell r="I3469">
            <v>350000</v>
          </cell>
          <cell r="J3469">
            <v>350000</v>
          </cell>
          <cell r="K3469">
            <v>155017.16</v>
          </cell>
          <cell r="L3469">
            <v>350000</v>
          </cell>
          <cell r="M3469">
            <v>326431.86</v>
          </cell>
        </row>
        <row r="3470">
          <cell r="A3470">
            <v>1828130253</v>
          </cell>
          <cell r="B3470">
            <v>253</v>
          </cell>
          <cell r="C3470">
            <v>828130</v>
          </cell>
          <cell r="D3470">
            <v>1</v>
          </cell>
          <cell r="F3470" t="str">
            <v xml:space="preserve">עובדים חיצוניים   </v>
          </cell>
          <cell r="G3470" t="str">
            <v>שכר</v>
          </cell>
          <cell r="H3470">
            <v>-1</v>
          </cell>
          <cell r="I3470">
            <v>0</v>
          </cell>
          <cell r="J3470">
            <v>57100</v>
          </cell>
          <cell r="K3470">
            <v>112120.48</v>
          </cell>
          <cell r="L3470">
            <v>57100</v>
          </cell>
          <cell r="M3470">
            <v>507025.99</v>
          </cell>
        </row>
        <row r="3471">
          <cell r="A3471">
            <v>1828130350</v>
          </cell>
          <cell r="B3471">
            <v>350</v>
          </cell>
          <cell r="C3471">
            <v>828130</v>
          </cell>
          <cell r="D3471">
            <v>1</v>
          </cell>
          <cell r="F3471" t="str">
            <v>ליסינג- 766-09-503</v>
          </cell>
          <cell r="G3471" t="str">
            <v>שכר</v>
          </cell>
          <cell r="I3471">
            <v>0</v>
          </cell>
          <cell r="J3471">
            <v>0</v>
          </cell>
          <cell r="K3471">
            <v>0</v>
          </cell>
          <cell r="L3471">
            <v>50000</v>
          </cell>
          <cell r="M3471">
            <v>28365.56</v>
          </cell>
        </row>
        <row r="3472">
          <cell r="A3472">
            <v>1828130351</v>
          </cell>
          <cell r="B3472">
            <v>351</v>
          </cell>
          <cell r="C3472">
            <v>828130</v>
          </cell>
          <cell r="D3472">
            <v>1</v>
          </cell>
          <cell r="F3472" t="str">
            <v>הוצאות- 766-09-503</v>
          </cell>
          <cell r="G3472" t="str">
            <v>שכר</v>
          </cell>
          <cell r="I3472">
            <v>0</v>
          </cell>
          <cell r="J3472">
            <v>0</v>
          </cell>
          <cell r="K3472">
            <v>62.82</v>
          </cell>
          <cell r="L3472">
            <v>22000</v>
          </cell>
          <cell r="M3472">
            <v>10231.16</v>
          </cell>
        </row>
        <row r="3473">
          <cell r="A3473">
            <v>1828130410</v>
          </cell>
          <cell r="B3473">
            <v>410</v>
          </cell>
          <cell r="C3473">
            <v>828130</v>
          </cell>
          <cell r="D3473">
            <v>1</v>
          </cell>
          <cell r="F3473" t="str">
            <v>שכ"ד הורות ומשפחה</v>
          </cell>
          <cell r="G3473" t="str">
            <v>קשיח</v>
          </cell>
          <cell r="H3473">
            <v>1.8181818181818077E-2</v>
          </cell>
          <cell r="I3473">
            <v>112000</v>
          </cell>
          <cell r="J3473">
            <v>110000</v>
          </cell>
          <cell r="K3473">
            <v>54462.05</v>
          </cell>
          <cell r="L3473">
            <v>110000</v>
          </cell>
          <cell r="M3473">
            <v>105763.23</v>
          </cell>
        </row>
        <row r="3474">
          <cell r="A3474">
            <v>1828130431</v>
          </cell>
          <cell r="B3474">
            <v>431</v>
          </cell>
          <cell r="C3474">
            <v>828130</v>
          </cell>
          <cell r="D3474">
            <v>1</v>
          </cell>
          <cell r="F3474" t="str">
            <v xml:space="preserve">חשמל              </v>
          </cell>
          <cell r="G3474" t="str">
            <v>קשיח</v>
          </cell>
          <cell r="H3474">
            <v>0</v>
          </cell>
          <cell r="I3474">
            <v>20000</v>
          </cell>
          <cell r="J3474">
            <v>20000</v>
          </cell>
          <cell r="K3474">
            <v>16973.89</v>
          </cell>
          <cell r="L3474">
            <v>19800</v>
          </cell>
          <cell r="M3474">
            <v>20780.37</v>
          </cell>
        </row>
        <row r="3475">
          <cell r="A3475">
            <v>1828130432</v>
          </cell>
          <cell r="B3475">
            <v>432</v>
          </cell>
          <cell r="C3475">
            <v>828130</v>
          </cell>
          <cell r="D3475">
            <v>1</v>
          </cell>
          <cell r="F3475" t="str">
            <v xml:space="preserve">מים               </v>
          </cell>
          <cell r="G3475" t="str">
            <v>קשיח</v>
          </cell>
          <cell r="H3475">
            <v>0</v>
          </cell>
          <cell r="I3475">
            <v>6200</v>
          </cell>
          <cell r="J3475">
            <v>6200</v>
          </cell>
          <cell r="K3475">
            <v>0</v>
          </cell>
          <cell r="L3475">
            <v>6200</v>
          </cell>
          <cell r="M3475">
            <v>5903.02</v>
          </cell>
        </row>
        <row r="3476">
          <cell r="A3476">
            <v>1828130433</v>
          </cell>
          <cell r="B3476">
            <v>433</v>
          </cell>
          <cell r="C3476">
            <v>828130</v>
          </cell>
          <cell r="D3476">
            <v>1</v>
          </cell>
          <cell r="F3476" t="str">
            <v xml:space="preserve">חומרי נקיון       </v>
          </cell>
          <cell r="G3476" t="str">
            <v>גמיש</v>
          </cell>
          <cell r="H3476">
            <v>0</v>
          </cell>
          <cell r="I3476">
            <v>4500</v>
          </cell>
          <cell r="J3476">
            <v>4500</v>
          </cell>
          <cell r="K3476">
            <v>31.32</v>
          </cell>
          <cell r="L3476">
            <v>4500</v>
          </cell>
          <cell r="M3476">
            <v>1692.03</v>
          </cell>
        </row>
        <row r="3477">
          <cell r="A3477">
            <v>1828130450</v>
          </cell>
          <cell r="B3477">
            <v>450</v>
          </cell>
          <cell r="C3477">
            <v>828130</v>
          </cell>
          <cell r="D3477">
            <v>1</v>
          </cell>
          <cell r="F3477" t="str">
            <v>אחזקת תמי 4</v>
          </cell>
          <cell r="G3477" t="str">
            <v>קשיח</v>
          </cell>
          <cell r="H3477">
            <v>0</v>
          </cell>
          <cell r="I3477">
            <v>1200</v>
          </cell>
          <cell r="J3477">
            <v>1200</v>
          </cell>
          <cell r="K3477">
            <v>0</v>
          </cell>
          <cell r="L3477">
            <v>1000</v>
          </cell>
          <cell r="M3477">
            <v>0</v>
          </cell>
        </row>
        <row r="3478">
          <cell r="A3478">
            <v>1828130470</v>
          </cell>
          <cell r="B3478">
            <v>470</v>
          </cell>
          <cell r="C3478">
            <v>828130</v>
          </cell>
          <cell r="D3478">
            <v>1</v>
          </cell>
          <cell r="F3478" t="str">
            <v>מכונות משרד</v>
          </cell>
          <cell r="G3478" t="str">
            <v>גמיש</v>
          </cell>
          <cell r="H3478">
            <v>-1.2345679012345734E-2</v>
          </cell>
          <cell r="I3478">
            <v>4800</v>
          </cell>
          <cell r="J3478">
            <v>4860</v>
          </cell>
          <cell r="K3478">
            <v>92.46</v>
          </cell>
          <cell r="L3478">
            <v>5400</v>
          </cell>
          <cell r="M3478">
            <v>5934</v>
          </cell>
        </row>
        <row r="3479">
          <cell r="A3479">
            <v>1828130471</v>
          </cell>
          <cell r="B3479">
            <v>471</v>
          </cell>
          <cell r="C3479">
            <v>828130</v>
          </cell>
          <cell r="D3479">
            <v>1</v>
          </cell>
          <cell r="F3479" t="str">
            <v xml:space="preserve">מכשירי כתיבה      </v>
          </cell>
          <cell r="G3479" t="str">
            <v>גמיש</v>
          </cell>
          <cell r="H3479">
            <v>-1.2345679012345734E-2</v>
          </cell>
          <cell r="I3479">
            <v>5600</v>
          </cell>
          <cell r="J3479">
            <v>5670</v>
          </cell>
          <cell r="K3479">
            <v>4077.49</v>
          </cell>
          <cell r="L3479">
            <v>6300</v>
          </cell>
          <cell r="M3479">
            <v>6228.82</v>
          </cell>
        </row>
        <row r="3480">
          <cell r="A3480">
            <v>1828130511</v>
          </cell>
          <cell r="B3480">
            <v>511</v>
          </cell>
          <cell r="C3480">
            <v>828130</v>
          </cell>
          <cell r="D3480">
            <v>1</v>
          </cell>
          <cell r="F3480" t="str">
            <v xml:space="preserve">אירוח וכיבוד      </v>
          </cell>
          <cell r="G3480" t="str">
            <v>גמיש</v>
          </cell>
          <cell r="H3480">
            <v>-0.20634920634920639</v>
          </cell>
          <cell r="I3480">
            <v>3500</v>
          </cell>
          <cell r="J3480">
            <v>4410</v>
          </cell>
          <cell r="K3480">
            <v>12.48</v>
          </cell>
          <cell r="L3480">
            <v>4900</v>
          </cell>
          <cell r="M3480">
            <v>323.57</v>
          </cell>
        </row>
        <row r="3481">
          <cell r="A3481">
            <v>1828130540</v>
          </cell>
          <cell r="B3481">
            <v>540</v>
          </cell>
          <cell r="C3481">
            <v>828130</v>
          </cell>
          <cell r="D3481">
            <v>1</v>
          </cell>
          <cell r="F3481" t="str">
            <v xml:space="preserve">הוצאות טלפון      </v>
          </cell>
          <cell r="G3481" t="str">
            <v>קשיח</v>
          </cell>
          <cell r="H3481">
            <v>-1</v>
          </cell>
          <cell r="I3481">
            <v>0</v>
          </cell>
          <cell r="J3481">
            <v>12000</v>
          </cell>
          <cell r="K3481">
            <v>0</v>
          </cell>
          <cell r="L3481">
            <v>12000</v>
          </cell>
          <cell r="M3481">
            <v>0</v>
          </cell>
        </row>
        <row r="3482">
          <cell r="A3482">
            <v>1828130544</v>
          </cell>
          <cell r="B3482">
            <v>544</v>
          </cell>
          <cell r="C3482">
            <v>828130</v>
          </cell>
          <cell r="D3482">
            <v>1</v>
          </cell>
          <cell r="F3482" t="str">
            <v xml:space="preserve">הוצאות דאר        </v>
          </cell>
          <cell r="G3482" t="str">
            <v>קשיח</v>
          </cell>
          <cell r="H3482">
            <v>1.1111111111111112</v>
          </cell>
          <cell r="I3482">
            <v>1900</v>
          </cell>
          <cell r="J3482">
            <v>900</v>
          </cell>
          <cell r="K3482">
            <v>0</v>
          </cell>
          <cell r="L3482">
            <v>900</v>
          </cell>
          <cell r="M3482">
            <v>0</v>
          </cell>
        </row>
        <row r="3483">
          <cell r="A3483">
            <v>1828130562</v>
          </cell>
          <cell r="B3483">
            <v>562</v>
          </cell>
          <cell r="C3483">
            <v>828130</v>
          </cell>
          <cell r="D3483">
            <v>1</v>
          </cell>
          <cell r="F3483" t="str">
            <v xml:space="preserve">הדפסות            </v>
          </cell>
          <cell r="G3483" t="str">
            <v>גמיש</v>
          </cell>
          <cell r="H3483">
            <v>0</v>
          </cell>
          <cell r="I3483">
            <v>1800</v>
          </cell>
          <cell r="J3483">
            <v>1800</v>
          </cell>
          <cell r="K3483">
            <v>0</v>
          </cell>
          <cell r="L3483">
            <v>2000</v>
          </cell>
          <cell r="M3483">
            <v>165</v>
          </cell>
        </row>
        <row r="3484">
          <cell r="A3484">
            <v>1828130580</v>
          </cell>
          <cell r="B3484">
            <v>580</v>
          </cell>
          <cell r="C3484">
            <v>828130</v>
          </cell>
          <cell r="D3484">
            <v>1</v>
          </cell>
          <cell r="F3484" t="str">
            <v>יועצים</v>
          </cell>
          <cell r="G3484" t="str">
            <v>קשיח</v>
          </cell>
          <cell r="H3484">
            <v>-1</v>
          </cell>
          <cell r="I3484">
            <v>0</v>
          </cell>
          <cell r="J3484">
            <v>34200</v>
          </cell>
          <cell r="K3484">
            <v>0</v>
          </cell>
          <cell r="L3484">
            <v>34200</v>
          </cell>
          <cell r="M3484">
            <v>0</v>
          </cell>
        </row>
        <row r="3485">
          <cell r="A3485">
            <v>1828130751</v>
          </cell>
          <cell r="B3485">
            <v>751</v>
          </cell>
          <cell r="C3485">
            <v>828130</v>
          </cell>
          <cell r="D3485">
            <v>1</v>
          </cell>
          <cell r="F3485" t="str">
            <v xml:space="preserve">עבודות קבלניות    </v>
          </cell>
          <cell r="G3485" t="str">
            <v>קשיח</v>
          </cell>
          <cell r="I3485">
            <v>30000</v>
          </cell>
          <cell r="J3485">
            <v>0</v>
          </cell>
          <cell r="K3485">
            <v>0</v>
          </cell>
          <cell r="L3485">
            <v>23900</v>
          </cell>
          <cell r="M3485">
            <v>20684.52</v>
          </cell>
        </row>
        <row r="3486">
          <cell r="A3486">
            <v>1828130752</v>
          </cell>
          <cell r="B3486">
            <v>752</v>
          </cell>
          <cell r="C3486">
            <v>828130</v>
          </cell>
          <cell r="D3486">
            <v>1</v>
          </cell>
          <cell r="F3486" t="str">
            <v xml:space="preserve">נקיון בקבלנות     </v>
          </cell>
          <cell r="G3486" t="str">
            <v>קשיח</v>
          </cell>
          <cell r="H3486">
            <v>0</v>
          </cell>
          <cell r="I3486">
            <v>160000</v>
          </cell>
          <cell r="J3486">
            <v>160000</v>
          </cell>
          <cell r="K3486">
            <v>47851.86</v>
          </cell>
          <cell r="L3486">
            <v>100000</v>
          </cell>
          <cell r="M3486">
            <v>173999.82</v>
          </cell>
        </row>
        <row r="3487">
          <cell r="A3487">
            <v>1828130754</v>
          </cell>
          <cell r="B3487">
            <v>754</v>
          </cell>
          <cell r="C3487">
            <v>828130</v>
          </cell>
          <cell r="D3487">
            <v>1</v>
          </cell>
          <cell r="F3487" t="str">
            <v>שיתופי ציבור</v>
          </cell>
          <cell r="G3487" t="str">
            <v>גמיש</v>
          </cell>
          <cell r="I3487">
            <v>270000</v>
          </cell>
          <cell r="J3487">
            <v>0</v>
          </cell>
          <cell r="K3487">
            <v>0</v>
          </cell>
          <cell r="L3487">
            <v>0</v>
          </cell>
          <cell r="M3487">
            <v>0</v>
          </cell>
        </row>
        <row r="3488">
          <cell r="A3488">
            <v>1828130799</v>
          </cell>
          <cell r="B3488">
            <v>799</v>
          </cell>
          <cell r="C3488">
            <v>828130</v>
          </cell>
          <cell r="D3488">
            <v>1</v>
          </cell>
          <cell r="F3488" t="str">
            <v>מעמד האשה</v>
          </cell>
          <cell r="G3488" t="str">
            <v>גמיש</v>
          </cell>
          <cell r="H3488" t="e">
            <v>#DIV/0!</v>
          </cell>
          <cell r="I3488">
            <v>250000</v>
          </cell>
          <cell r="J3488">
            <v>0</v>
          </cell>
          <cell r="K3488">
            <v>0</v>
          </cell>
          <cell r="L3488">
            <v>0</v>
          </cell>
          <cell r="M3488">
            <v>0</v>
          </cell>
        </row>
        <row r="3489">
          <cell r="A3489">
            <v>1828130780</v>
          </cell>
          <cell r="B3489">
            <v>780</v>
          </cell>
          <cell r="C3489">
            <v>828130</v>
          </cell>
          <cell r="D3489">
            <v>1</v>
          </cell>
          <cell r="F3489" t="str">
            <v>פעילות צעירים</v>
          </cell>
          <cell r="G3489" t="str">
            <v>גמיש</v>
          </cell>
          <cell r="H3489">
            <v>-1</v>
          </cell>
          <cell r="I3489">
            <v>0</v>
          </cell>
          <cell r="J3489">
            <v>585000</v>
          </cell>
          <cell r="K3489">
            <v>295337.75</v>
          </cell>
          <cell r="L3489">
            <v>333000</v>
          </cell>
          <cell r="M3489">
            <v>357455</v>
          </cell>
        </row>
        <row r="3490">
          <cell r="A3490">
            <v>1828130781</v>
          </cell>
          <cell r="B3490">
            <v>781</v>
          </cell>
          <cell r="C3490">
            <v>828130</v>
          </cell>
          <cell r="D3490">
            <v>1</v>
          </cell>
          <cell r="F3490" t="str">
            <v>ארועים</v>
          </cell>
          <cell r="G3490" t="str">
            <v>גמיש</v>
          </cell>
          <cell r="H3490">
            <v>-1</v>
          </cell>
          <cell r="I3490">
            <v>0</v>
          </cell>
          <cell r="J3490">
            <v>198900</v>
          </cell>
          <cell r="K3490">
            <v>104974.92</v>
          </cell>
          <cell r="L3490">
            <v>171000</v>
          </cell>
          <cell r="M3490">
            <v>170986.17</v>
          </cell>
        </row>
        <row r="3491">
          <cell r="A3491">
            <v>1828130782</v>
          </cell>
          <cell r="B3491">
            <v>782</v>
          </cell>
          <cell r="C3491">
            <v>828130</v>
          </cell>
          <cell r="D3491">
            <v>1</v>
          </cell>
          <cell r="F3491" t="str">
            <v>חוגי הורים</v>
          </cell>
          <cell r="G3491" t="str">
            <v>גמיש</v>
          </cell>
          <cell r="H3491">
            <v>0</v>
          </cell>
          <cell r="I3491">
            <v>21420</v>
          </cell>
          <cell r="J3491">
            <v>21420</v>
          </cell>
          <cell r="K3491">
            <v>0</v>
          </cell>
          <cell r="L3491">
            <v>23800</v>
          </cell>
          <cell r="M3491">
            <v>23800</v>
          </cell>
        </row>
        <row r="3492">
          <cell r="A3492">
            <v>1828130783</v>
          </cell>
          <cell r="B3492">
            <v>783</v>
          </cell>
          <cell r="C3492">
            <v>828130</v>
          </cell>
          <cell r="D3492">
            <v>1</v>
          </cell>
          <cell r="F3492" t="str">
            <v>אם לאם בקהילה</v>
          </cell>
          <cell r="G3492" t="str">
            <v>גמיש</v>
          </cell>
          <cell r="H3492">
            <v>0.40646976090014064</v>
          </cell>
          <cell r="I3492">
            <v>80000</v>
          </cell>
          <cell r="J3492">
            <v>56880</v>
          </cell>
          <cell r="K3492">
            <v>20923.060000000001</v>
          </cell>
          <cell r="L3492">
            <v>63200</v>
          </cell>
          <cell r="M3492">
            <v>60828.41</v>
          </cell>
        </row>
        <row r="3493">
          <cell r="A3493">
            <v>1828130784</v>
          </cell>
          <cell r="B3493">
            <v>784</v>
          </cell>
          <cell r="C3493">
            <v>828130</v>
          </cell>
          <cell r="D3493">
            <v>1</v>
          </cell>
          <cell r="F3493" t="str">
            <v>פעילות הורות</v>
          </cell>
          <cell r="G3493" t="str">
            <v>גמיש</v>
          </cell>
          <cell r="H3493">
            <v>0.16959064327485374</v>
          </cell>
          <cell r="I3493">
            <v>850000</v>
          </cell>
          <cell r="J3493">
            <v>726750</v>
          </cell>
          <cell r="K3493">
            <v>335825.26</v>
          </cell>
          <cell r="L3493">
            <v>457500</v>
          </cell>
          <cell r="M3493">
            <v>501288.97</v>
          </cell>
        </row>
        <row r="3494">
          <cell r="A3494">
            <v>1828130785</v>
          </cell>
          <cell r="B3494">
            <v>785</v>
          </cell>
          <cell r="C3494">
            <v>828130</v>
          </cell>
          <cell r="D3494">
            <v>1</v>
          </cell>
          <cell r="F3494" t="str">
            <v>תחום התנדבות</v>
          </cell>
          <cell r="G3494" t="str">
            <v>גמיש</v>
          </cell>
          <cell r="H3494">
            <v>0</v>
          </cell>
          <cell r="I3494">
            <v>101200</v>
          </cell>
          <cell r="J3494">
            <v>101200</v>
          </cell>
          <cell r="K3494">
            <v>18715.77</v>
          </cell>
          <cell r="L3494">
            <v>101200</v>
          </cell>
          <cell r="M3494">
            <v>81274.09</v>
          </cell>
        </row>
        <row r="3495">
          <cell r="A3495">
            <v>1828130786</v>
          </cell>
          <cell r="B3495">
            <v>786</v>
          </cell>
          <cell r="C3495">
            <v>828130</v>
          </cell>
          <cell r="D3495">
            <v>1</v>
          </cell>
          <cell r="F3495" t="str">
            <v>ארוע שנתי למתנדבים</v>
          </cell>
          <cell r="G3495" t="str">
            <v>גמיש</v>
          </cell>
          <cell r="H3495">
            <v>1</v>
          </cell>
          <cell r="I3495">
            <v>100000</v>
          </cell>
          <cell r="J3495">
            <v>50000</v>
          </cell>
          <cell r="K3495">
            <v>169</v>
          </cell>
          <cell r="L3495">
            <v>21900</v>
          </cell>
          <cell r="M3495">
            <v>21776.79</v>
          </cell>
        </row>
        <row r="3496">
          <cell r="A3496">
            <v>1828130787</v>
          </cell>
          <cell r="B3496">
            <v>787</v>
          </cell>
          <cell r="C3496">
            <v>828130</v>
          </cell>
          <cell r="D3496">
            <v>1</v>
          </cell>
          <cell r="F3496" t="str">
            <v>פעילות בקהילה</v>
          </cell>
          <cell r="G3496" t="str">
            <v>גמיש</v>
          </cell>
          <cell r="H3496">
            <v>0</v>
          </cell>
          <cell r="I3496">
            <v>45000</v>
          </cell>
          <cell r="J3496">
            <v>45000</v>
          </cell>
          <cell r="K3496">
            <v>471</v>
          </cell>
          <cell r="L3496">
            <v>50000</v>
          </cell>
          <cell r="M3496">
            <v>46626.02</v>
          </cell>
        </row>
        <row r="3497">
          <cell r="A3497">
            <v>1828130788</v>
          </cell>
          <cell r="B3497">
            <v>788</v>
          </cell>
          <cell r="C3497">
            <v>828130</v>
          </cell>
          <cell r="D3497">
            <v>1</v>
          </cell>
          <cell r="F3497" t="str">
            <v>מעורבות חברתית פעילות</v>
          </cell>
          <cell r="G3497" t="str">
            <v>גמיש</v>
          </cell>
          <cell r="I3497">
            <v>0</v>
          </cell>
          <cell r="J3497">
            <v>0</v>
          </cell>
          <cell r="K3497">
            <v>0</v>
          </cell>
          <cell r="L3497">
            <v>0</v>
          </cell>
          <cell r="M3497">
            <v>0</v>
          </cell>
        </row>
        <row r="3498">
          <cell r="A3498">
            <v>1828130789</v>
          </cell>
          <cell r="B3498">
            <v>789</v>
          </cell>
          <cell r="C3498">
            <v>828130</v>
          </cell>
          <cell r="D3498">
            <v>1</v>
          </cell>
          <cell r="F3498" t="str">
            <v>תכנית פאזל</v>
          </cell>
          <cell r="G3498" t="str">
            <v>גמיש</v>
          </cell>
          <cell r="H3498">
            <v>0</v>
          </cell>
          <cell r="I3498">
            <v>81000</v>
          </cell>
          <cell r="J3498">
            <v>81000</v>
          </cell>
          <cell r="K3498">
            <v>40643.199999999997</v>
          </cell>
          <cell r="L3498">
            <v>0</v>
          </cell>
          <cell r="M3498">
            <v>89999.9</v>
          </cell>
        </row>
        <row r="3499">
          <cell r="A3499">
            <v>1828130790</v>
          </cell>
          <cell r="B3499">
            <v>790</v>
          </cell>
          <cell r="C3499">
            <v>828130</v>
          </cell>
          <cell r="D3499">
            <v>1</v>
          </cell>
          <cell r="F3499" t="str">
            <v>אימהות יחידניות</v>
          </cell>
          <cell r="G3499" t="str">
            <v>גמיש</v>
          </cell>
          <cell r="H3499">
            <v>-1</v>
          </cell>
          <cell r="I3499">
            <v>0</v>
          </cell>
          <cell r="J3499">
            <v>18000</v>
          </cell>
          <cell r="K3499">
            <v>0</v>
          </cell>
          <cell r="L3499">
            <v>0</v>
          </cell>
          <cell r="M3499">
            <v>0</v>
          </cell>
        </row>
        <row r="3500">
          <cell r="A3500">
            <v>1828130791</v>
          </cell>
          <cell r="B3500">
            <v>791</v>
          </cell>
          <cell r="C3500">
            <v>828130</v>
          </cell>
          <cell r="D3500">
            <v>1</v>
          </cell>
          <cell r="F3500" t="str">
            <v>התנדבות בחירום</v>
          </cell>
          <cell r="G3500" t="str">
            <v>גמיש</v>
          </cell>
          <cell r="H3500">
            <v>0</v>
          </cell>
          <cell r="I3500">
            <v>45000</v>
          </cell>
          <cell r="J3500">
            <v>45000</v>
          </cell>
          <cell r="K3500">
            <v>0</v>
          </cell>
          <cell r="L3500">
            <v>0</v>
          </cell>
          <cell r="M3500">
            <v>0</v>
          </cell>
        </row>
        <row r="3501">
          <cell r="A3501">
            <v>1828130792</v>
          </cell>
          <cell r="B3501">
            <v>792</v>
          </cell>
          <cell r="C3501">
            <v>828130</v>
          </cell>
          <cell r="D3501">
            <v>1</v>
          </cell>
          <cell r="F3501" t="str">
            <v>יום המעשים הטובים</v>
          </cell>
          <cell r="G3501" t="str">
            <v>גמיש</v>
          </cell>
          <cell r="H3501">
            <v>0</v>
          </cell>
          <cell r="I3501">
            <v>43920</v>
          </cell>
          <cell r="J3501">
            <v>43920</v>
          </cell>
          <cell r="K3501">
            <v>38628.03</v>
          </cell>
          <cell r="L3501">
            <v>48800</v>
          </cell>
          <cell r="M3501">
            <v>28812</v>
          </cell>
        </row>
        <row r="3502">
          <cell r="A3502">
            <v>1828130793</v>
          </cell>
          <cell r="B3502">
            <v>793</v>
          </cell>
          <cell r="C3502">
            <v>828130</v>
          </cell>
          <cell r="D3502">
            <v>1</v>
          </cell>
          <cell r="F3502" t="str">
            <v>אירועים קהילתיים</v>
          </cell>
          <cell r="G3502" t="str">
            <v>גמיש</v>
          </cell>
          <cell r="H3502">
            <v>0</v>
          </cell>
          <cell r="I3502">
            <v>135000</v>
          </cell>
          <cell r="J3502">
            <v>135000</v>
          </cell>
          <cell r="K3502">
            <v>60051.44</v>
          </cell>
          <cell r="L3502">
            <v>0</v>
          </cell>
          <cell r="M3502">
            <v>0</v>
          </cell>
        </row>
        <row r="3503">
          <cell r="A3503">
            <v>1828130795</v>
          </cell>
          <cell r="B3503">
            <v>795</v>
          </cell>
          <cell r="C3503">
            <v>828130</v>
          </cell>
          <cell r="D3503">
            <v>1</v>
          </cell>
          <cell r="F3503" t="str">
            <v>פרויקטים יוזמות</v>
          </cell>
          <cell r="G3503" t="str">
            <v>גמיש</v>
          </cell>
          <cell r="H3503">
            <v>0</v>
          </cell>
          <cell r="I3503">
            <v>135000</v>
          </cell>
          <cell r="J3503">
            <v>135000</v>
          </cell>
          <cell r="K3503">
            <v>3355.38</v>
          </cell>
          <cell r="L3503">
            <v>0</v>
          </cell>
          <cell r="M3503">
            <v>0</v>
          </cell>
        </row>
        <row r="3504">
          <cell r="A3504">
            <v>1828130796</v>
          </cell>
          <cell r="B3504">
            <v>796</v>
          </cell>
          <cell r="C3504">
            <v>828130</v>
          </cell>
          <cell r="D3504">
            <v>1</v>
          </cell>
          <cell r="F3504" t="str">
            <v>הורים עושים חיל</v>
          </cell>
          <cell r="G3504" t="str">
            <v>גמיש</v>
          </cell>
          <cell r="H3504">
            <v>0.76767676767676774</v>
          </cell>
          <cell r="I3504">
            <v>70000</v>
          </cell>
          <cell r="J3504">
            <v>39600</v>
          </cell>
          <cell r="K3504">
            <v>0</v>
          </cell>
          <cell r="L3504">
            <v>0</v>
          </cell>
          <cell r="M3504">
            <v>0</v>
          </cell>
        </row>
        <row r="3505">
          <cell r="A3505">
            <v>1828130797</v>
          </cell>
          <cell r="B3505">
            <v>797</v>
          </cell>
          <cell r="C3505">
            <v>828130</v>
          </cell>
          <cell r="D3505">
            <v>1</v>
          </cell>
          <cell r="F3505" t="str">
            <v>קשר עם חיילים</v>
          </cell>
          <cell r="G3505" t="str">
            <v>גמיש</v>
          </cell>
          <cell r="H3505">
            <v>-1</v>
          </cell>
          <cell r="I3505">
            <v>0</v>
          </cell>
          <cell r="J3505">
            <v>1310580</v>
          </cell>
          <cell r="K3505">
            <v>751640</v>
          </cell>
          <cell r="L3505">
            <v>0</v>
          </cell>
          <cell r="M3505">
            <v>0</v>
          </cell>
        </row>
        <row r="3506">
          <cell r="A3506">
            <v>1828130798</v>
          </cell>
          <cell r="B3506">
            <v>798</v>
          </cell>
          <cell r="C3506">
            <v>828130</v>
          </cell>
          <cell r="D3506">
            <v>1</v>
          </cell>
          <cell r="F3506" t="str">
            <v>מיזם 100 באוריינות דיגיטלית</v>
          </cell>
          <cell r="G3506" t="str">
            <v>גמיש</v>
          </cell>
          <cell r="I3506">
            <v>0</v>
          </cell>
          <cell r="J3506">
            <v>0</v>
          </cell>
          <cell r="K3506">
            <v>0</v>
          </cell>
          <cell r="L3506">
            <v>0</v>
          </cell>
          <cell r="M3506">
            <v>0</v>
          </cell>
        </row>
        <row r="3507">
          <cell r="A3507">
            <v>1828130799</v>
          </cell>
          <cell r="B3507">
            <v>799</v>
          </cell>
          <cell r="C3507">
            <v>828130</v>
          </cell>
          <cell r="D3507">
            <v>1</v>
          </cell>
          <cell r="F3507" t="str">
            <v xml:space="preserve">מעמד האישה </v>
          </cell>
          <cell r="G3507" t="str">
            <v>גמיש</v>
          </cell>
          <cell r="I3507">
            <v>250000</v>
          </cell>
          <cell r="J3507">
            <v>0</v>
          </cell>
          <cell r="K3507">
            <v>0</v>
          </cell>
          <cell r="L3507">
            <v>0</v>
          </cell>
          <cell r="M3507">
            <v>0</v>
          </cell>
        </row>
        <row r="3508">
          <cell r="A3508">
            <v>1828130931</v>
          </cell>
          <cell r="B3508">
            <v>931</v>
          </cell>
          <cell r="C3508">
            <v>828130</v>
          </cell>
          <cell r="D3508">
            <v>1</v>
          </cell>
          <cell r="F3508" t="str">
            <v xml:space="preserve">רכישות חד-פעמיות  </v>
          </cell>
          <cell r="G3508" t="str">
            <v>גמיש</v>
          </cell>
          <cell r="H3508">
            <v>-1</v>
          </cell>
          <cell r="I3508">
            <v>0</v>
          </cell>
          <cell r="J3508">
            <v>4860</v>
          </cell>
          <cell r="K3508">
            <v>1702.74</v>
          </cell>
          <cell r="L3508">
            <v>5400</v>
          </cell>
          <cell r="M3508">
            <v>5328.28</v>
          </cell>
        </row>
        <row r="3509">
          <cell r="A3509" t="e">
            <v>#VALUE!</v>
          </cell>
          <cell r="B3509" t="str">
            <v>828130  סך הכל</v>
          </cell>
          <cell r="F3509" t="str">
            <v>אגף  קהילה</v>
          </cell>
          <cell r="H3509">
            <v>-9.0090772259020513E-2</v>
          </cell>
          <cell r="I3509">
            <v>6966219.5521235522</v>
          </cell>
          <cell r="J3509">
            <v>7655950</v>
          </cell>
          <cell r="K3509">
            <v>3544201.53</v>
          </cell>
          <cell r="L3509">
            <v>5215000</v>
          </cell>
          <cell r="M3509">
            <v>5693709.8599999994</v>
          </cell>
        </row>
        <row r="3510">
          <cell r="A3510">
            <v>18281400</v>
          </cell>
          <cell r="B3510">
            <v>0</v>
          </cell>
          <cell r="C3510">
            <v>828140</v>
          </cell>
          <cell r="D3510">
            <v>1</v>
          </cell>
          <cell r="F3510" t="str">
            <v>מנהל שרות לתושב וקשרי קהילה</v>
          </cell>
          <cell r="G3510" t="str">
            <v xml:space="preserve"> </v>
          </cell>
        </row>
        <row r="3511">
          <cell r="A3511">
            <v>1828140119</v>
          </cell>
          <cell r="B3511">
            <v>119</v>
          </cell>
          <cell r="C3511">
            <v>828140</v>
          </cell>
          <cell r="D3511">
            <v>1</v>
          </cell>
          <cell r="F3511" t="str">
            <v xml:space="preserve">השכר הקובע-צוברת  </v>
          </cell>
          <cell r="G3511" t="str">
            <v>שכר</v>
          </cell>
          <cell r="H3511">
            <v>2.4999999999999911E-2</v>
          </cell>
          <cell r="I3511">
            <v>516599.99999999994</v>
          </cell>
          <cell r="J3511">
            <v>504000</v>
          </cell>
          <cell r="K3511">
            <v>440224.65</v>
          </cell>
          <cell r="L3511">
            <v>0</v>
          </cell>
          <cell r="M3511">
            <v>0</v>
          </cell>
        </row>
        <row r="3512">
          <cell r="A3512">
            <v>1828140122</v>
          </cell>
          <cell r="B3512">
            <v>122</v>
          </cell>
          <cell r="C3512">
            <v>828140</v>
          </cell>
          <cell r="D3512">
            <v>1</v>
          </cell>
          <cell r="F3512" t="str">
            <v xml:space="preserve">ביגוד             </v>
          </cell>
          <cell r="G3512" t="str">
            <v>שכר</v>
          </cell>
          <cell r="H3512">
            <v>0</v>
          </cell>
          <cell r="I3512">
            <v>9000</v>
          </cell>
          <cell r="J3512">
            <v>9000</v>
          </cell>
          <cell r="K3512">
            <v>4958</v>
          </cell>
          <cell r="L3512">
            <v>0</v>
          </cell>
          <cell r="M3512">
            <v>0</v>
          </cell>
        </row>
        <row r="3513">
          <cell r="A3513">
            <v>1828140126</v>
          </cell>
          <cell r="B3513">
            <v>126</v>
          </cell>
          <cell r="C3513">
            <v>828140</v>
          </cell>
          <cell r="D3513">
            <v>1</v>
          </cell>
          <cell r="F3513" t="str">
            <v xml:space="preserve">דמי הבראה         </v>
          </cell>
          <cell r="G3513" t="str">
            <v>שכר</v>
          </cell>
          <cell r="H3513">
            <v>0</v>
          </cell>
          <cell r="I3513">
            <v>15000</v>
          </cell>
          <cell r="J3513">
            <v>15000</v>
          </cell>
          <cell r="K3513">
            <v>10370.799999999999</v>
          </cell>
          <cell r="L3513">
            <v>0</v>
          </cell>
          <cell r="M3513">
            <v>0</v>
          </cell>
        </row>
        <row r="3514">
          <cell r="A3514">
            <v>1828140140</v>
          </cell>
          <cell r="B3514">
            <v>140</v>
          </cell>
          <cell r="C3514">
            <v>828140</v>
          </cell>
          <cell r="D3514">
            <v>1</v>
          </cell>
          <cell r="F3514" t="str">
            <v>השתתפות באחזקת רכב</v>
          </cell>
          <cell r="G3514" t="str">
            <v>שכר</v>
          </cell>
          <cell r="H3514">
            <v>0</v>
          </cell>
          <cell r="I3514">
            <v>72000</v>
          </cell>
          <cell r="J3514">
            <v>72000</v>
          </cell>
          <cell r="K3514">
            <v>21162.12</v>
          </cell>
          <cell r="L3514">
            <v>0</v>
          </cell>
          <cell r="M3514">
            <v>0</v>
          </cell>
        </row>
        <row r="3515">
          <cell r="A3515">
            <v>1828140350</v>
          </cell>
          <cell r="B3515">
            <v>350</v>
          </cell>
          <cell r="C3515">
            <v>828140</v>
          </cell>
          <cell r="D3515">
            <v>1</v>
          </cell>
          <cell r="F3515" t="str">
            <v>ליסינג 766-11-303</v>
          </cell>
          <cell r="G3515" t="str">
            <v>שכר</v>
          </cell>
          <cell r="H3515">
            <v>0.17520000000000002</v>
          </cell>
          <cell r="I3515">
            <v>58760</v>
          </cell>
          <cell r="J3515">
            <v>50000</v>
          </cell>
          <cell r="K3515">
            <v>28311.79</v>
          </cell>
          <cell r="L3515">
            <v>0</v>
          </cell>
          <cell r="M3515">
            <v>0</v>
          </cell>
        </row>
        <row r="3516">
          <cell r="A3516">
            <v>1828140351</v>
          </cell>
          <cell r="B3516">
            <v>351</v>
          </cell>
          <cell r="C3516">
            <v>828140</v>
          </cell>
          <cell r="D3516">
            <v>1</v>
          </cell>
          <cell r="F3516" t="str">
            <v>הוצאות רכב</v>
          </cell>
          <cell r="G3516" t="str">
            <v>שכר</v>
          </cell>
          <cell r="H3516">
            <v>-0.98181818181818181</v>
          </cell>
          <cell r="I3516">
            <v>400</v>
          </cell>
          <cell r="J3516">
            <v>22000</v>
          </cell>
          <cell r="K3516">
            <v>80.66</v>
          </cell>
          <cell r="L3516">
            <v>0</v>
          </cell>
          <cell r="M3516">
            <v>0</v>
          </cell>
        </row>
        <row r="3517">
          <cell r="A3517">
            <v>1828140471</v>
          </cell>
          <cell r="B3517">
            <v>471</v>
          </cell>
          <cell r="C3517">
            <v>828140</v>
          </cell>
          <cell r="D3517">
            <v>1</v>
          </cell>
          <cell r="F3517" t="str">
            <v xml:space="preserve">מכשירי כתיבה      </v>
          </cell>
          <cell r="G3517" t="str">
            <v>גמיש</v>
          </cell>
          <cell r="H3517">
            <v>0</v>
          </cell>
          <cell r="I3517">
            <v>18000</v>
          </cell>
          <cell r="J3517">
            <v>18000</v>
          </cell>
          <cell r="K3517">
            <v>4818.18</v>
          </cell>
          <cell r="L3517">
            <v>0</v>
          </cell>
          <cell r="M3517">
            <v>0</v>
          </cell>
        </row>
        <row r="3518">
          <cell r="A3518">
            <v>1828140511</v>
          </cell>
          <cell r="B3518">
            <v>511</v>
          </cell>
          <cell r="C3518">
            <v>828140</v>
          </cell>
          <cell r="D3518">
            <v>1</v>
          </cell>
          <cell r="F3518" t="str">
            <v xml:space="preserve">אירוח וכיבוד      </v>
          </cell>
          <cell r="G3518" t="str">
            <v>גמיש</v>
          </cell>
          <cell r="H3518">
            <v>-0.69444444444444442</v>
          </cell>
          <cell r="I3518">
            <v>5500</v>
          </cell>
          <cell r="J3518">
            <v>18000</v>
          </cell>
          <cell r="K3518">
            <v>2441.4299999999998</v>
          </cell>
          <cell r="L3518">
            <v>0</v>
          </cell>
          <cell r="M3518">
            <v>0</v>
          </cell>
        </row>
        <row r="3519">
          <cell r="A3519">
            <v>1828140512</v>
          </cell>
          <cell r="B3519">
            <v>512</v>
          </cell>
          <cell r="C3519">
            <v>828140</v>
          </cell>
          <cell r="D3519">
            <v>1</v>
          </cell>
          <cell r="F3519" t="str">
            <v>נסיעות</v>
          </cell>
          <cell r="G3519" t="str">
            <v>גמיש</v>
          </cell>
          <cell r="H3519">
            <v>3.7037037037036979E-2</v>
          </cell>
          <cell r="I3519">
            <v>1400</v>
          </cell>
          <cell r="J3519">
            <v>1350</v>
          </cell>
          <cell r="K3519">
            <v>0</v>
          </cell>
          <cell r="L3519">
            <v>0</v>
          </cell>
          <cell r="M3519">
            <v>0</v>
          </cell>
        </row>
        <row r="3520">
          <cell r="A3520">
            <v>1828140522</v>
          </cell>
          <cell r="B3520">
            <v>522</v>
          </cell>
          <cell r="C3520">
            <v>828140</v>
          </cell>
          <cell r="D3520">
            <v>1</v>
          </cell>
          <cell r="F3520" t="str">
            <v xml:space="preserve">ספרים ועיתונים    </v>
          </cell>
          <cell r="G3520" t="str">
            <v>גמיש</v>
          </cell>
          <cell r="H3520">
            <v>0</v>
          </cell>
          <cell r="I3520">
            <v>1800</v>
          </cell>
          <cell r="J3520">
            <v>1800</v>
          </cell>
          <cell r="K3520">
            <v>535</v>
          </cell>
          <cell r="L3520">
            <v>0</v>
          </cell>
          <cell r="M3520">
            <v>0</v>
          </cell>
        </row>
        <row r="3521">
          <cell r="A3521">
            <v>1828140544</v>
          </cell>
          <cell r="B3521">
            <v>544</v>
          </cell>
          <cell r="C3521">
            <v>828140</v>
          </cell>
          <cell r="D3521">
            <v>1</v>
          </cell>
          <cell r="F3521" t="str">
            <v>דואר</v>
          </cell>
          <cell r="G3521" t="str">
            <v>קשיח</v>
          </cell>
          <cell r="H3521">
            <v>-1</v>
          </cell>
          <cell r="I3521">
            <v>0</v>
          </cell>
          <cell r="J3521">
            <v>10000</v>
          </cell>
          <cell r="K3521">
            <v>0</v>
          </cell>
          <cell r="L3521">
            <v>0</v>
          </cell>
          <cell r="M3521">
            <v>0</v>
          </cell>
        </row>
        <row r="3522">
          <cell r="A3522">
            <v>1828140550</v>
          </cell>
          <cell r="B3522">
            <v>550</v>
          </cell>
          <cell r="C3522">
            <v>828140</v>
          </cell>
          <cell r="D3522">
            <v>1</v>
          </cell>
          <cell r="F3522" t="str">
            <v>פרסומים</v>
          </cell>
          <cell r="G3522" t="str">
            <v>גמיש</v>
          </cell>
          <cell r="H3522">
            <v>3.166666666666667</v>
          </cell>
          <cell r="I3522">
            <v>15000</v>
          </cell>
          <cell r="J3522">
            <v>3600</v>
          </cell>
          <cell r="K3522">
            <v>934</v>
          </cell>
          <cell r="L3522">
            <v>0</v>
          </cell>
          <cell r="M3522">
            <v>0</v>
          </cell>
        </row>
        <row r="3523">
          <cell r="A3523">
            <v>1828140562</v>
          </cell>
          <cell r="B3523">
            <v>562</v>
          </cell>
          <cell r="C3523">
            <v>828140</v>
          </cell>
          <cell r="D3523">
            <v>1</v>
          </cell>
          <cell r="F3523" t="str">
            <v xml:space="preserve">הדפסות            </v>
          </cell>
          <cell r="G3523" t="str">
            <v>גמיש</v>
          </cell>
          <cell r="H3523">
            <v>0</v>
          </cell>
          <cell r="I3523">
            <v>3600</v>
          </cell>
          <cell r="J3523">
            <v>3600</v>
          </cell>
          <cell r="K3523">
            <v>0</v>
          </cell>
          <cell r="L3523">
            <v>0</v>
          </cell>
          <cell r="M3523">
            <v>0</v>
          </cell>
        </row>
        <row r="3524">
          <cell r="A3524">
            <v>1828140781</v>
          </cell>
          <cell r="B3524">
            <v>781</v>
          </cell>
          <cell r="C3524">
            <v>828140</v>
          </cell>
          <cell r="D3524">
            <v>1</v>
          </cell>
          <cell r="F3524" t="str">
            <v>פעולות סמנכ"ל</v>
          </cell>
          <cell r="G3524" t="str">
            <v>גמיש</v>
          </cell>
          <cell r="H3524">
            <v>3.7037037037036979E-2</v>
          </cell>
          <cell r="I3524">
            <v>28000</v>
          </cell>
          <cell r="J3524">
            <v>27000</v>
          </cell>
          <cell r="K3524">
            <v>13974.36</v>
          </cell>
          <cell r="L3524">
            <v>0</v>
          </cell>
          <cell r="M3524">
            <v>0</v>
          </cell>
        </row>
        <row r="3525">
          <cell r="A3525" t="e">
            <v>#VALUE!</v>
          </cell>
          <cell r="B3525" t="str">
            <v>828140  סך הכל</v>
          </cell>
          <cell r="F3525" t="str">
            <v>מנהל שרות לתושב וקשרי קהילה</v>
          </cell>
          <cell r="H3525">
            <v>-1.3622823856490385E-2</v>
          </cell>
          <cell r="I3525">
            <v>745060</v>
          </cell>
          <cell r="J3525">
            <v>755350</v>
          </cell>
          <cell r="K3525">
            <v>527810.99</v>
          </cell>
          <cell r="L3525">
            <v>0</v>
          </cell>
          <cell r="M3525">
            <v>0</v>
          </cell>
        </row>
        <row r="3526">
          <cell r="A3526">
            <v>18282000</v>
          </cell>
          <cell r="B3526">
            <v>0</v>
          </cell>
          <cell r="C3526">
            <v>828200</v>
          </cell>
          <cell r="D3526">
            <v>1</v>
          </cell>
          <cell r="F3526" t="str">
            <v xml:space="preserve">רשת קהילה ופנאי </v>
          </cell>
          <cell r="G3526" t="str">
            <v xml:space="preserve"> </v>
          </cell>
        </row>
        <row r="3527">
          <cell r="A3527">
            <v>1828200410</v>
          </cell>
          <cell r="B3527">
            <v>410</v>
          </cell>
          <cell r="C3527">
            <v>828200</v>
          </cell>
          <cell r="D3527">
            <v>1</v>
          </cell>
          <cell r="F3527" t="str">
            <v>דמי שכירות</v>
          </cell>
          <cell r="G3527" t="str">
            <v>קשיח</v>
          </cell>
          <cell r="H3527">
            <v>-0.24757952973720609</v>
          </cell>
          <cell r="I3527">
            <v>544000</v>
          </cell>
          <cell r="J3527">
            <v>723000</v>
          </cell>
          <cell r="K3527">
            <v>723000</v>
          </cell>
          <cell r="L3527">
            <v>723000</v>
          </cell>
          <cell r="M3527">
            <v>723000</v>
          </cell>
        </row>
        <row r="3528">
          <cell r="A3528">
            <v>1828200441</v>
          </cell>
          <cell r="B3528">
            <v>441</v>
          </cell>
          <cell r="C3528">
            <v>828200</v>
          </cell>
          <cell r="D3528">
            <v>1</v>
          </cell>
          <cell r="F3528" t="str">
            <v xml:space="preserve">ביטוח             </v>
          </cell>
          <cell r="G3528" t="str">
            <v>קשיח</v>
          </cell>
          <cell r="H3528">
            <v>0</v>
          </cell>
          <cell r="I3528">
            <v>86700</v>
          </cell>
          <cell r="J3528">
            <v>86700</v>
          </cell>
          <cell r="K3528">
            <v>0</v>
          </cell>
          <cell r="L3528">
            <v>86700</v>
          </cell>
          <cell r="M3528">
            <v>0</v>
          </cell>
        </row>
        <row r="3529">
          <cell r="A3529">
            <v>1828200780</v>
          </cell>
          <cell r="B3529">
            <v>780</v>
          </cell>
          <cell r="C3529">
            <v>828200</v>
          </cell>
          <cell r="D3529">
            <v>1</v>
          </cell>
          <cell r="F3529" t="str">
            <v>פרוייקט למידה ת"ג</v>
          </cell>
          <cell r="G3529" t="str">
            <v>גמיש</v>
          </cell>
          <cell r="H3529">
            <v>0</v>
          </cell>
          <cell r="I3529">
            <v>43920</v>
          </cell>
          <cell r="J3529">
            <v>43920</v>
          </cell>
          <cell r="K3529">
            <v>43920</v>
          </cell>
          <cell r="L3529">
            <v>48800</v>
          </cell>
          <cell r="M3529">
            <v>48800</v>
          </cell>
        </row>
        <row r="3530">
          <cell r="A3530">
            <v>1828200781</v>
          </cell>
          <cell r="B3530">
            <v>781</v>
          </cell>
          <cell r="C3530">
            <v>828200</v>
          </cell>
          <cell r="D3530">
            <v>1</v>
          </cell>
          <cell r="F3530" t="str">
            <v>מגמת עיצוב לבית רותר</v>
          </cell>
          <cell r="G3530" t="str">
            <v>גמיש</v>
          </cell>
          <cell r="I3530">
            <v>0</v>
          </cell>
          <cell r="J3530">
            <v>0</v>
          </cell>
          <cell r="K3530">
            <v>0</v>
          </cell>
          <cell r="L3530">
            <v>130000</v>
          </cell>
          <cell r="M3530">
            <v>0</v>
          </cell>
        </row>
        <row r="3531">
          <cell r="A3531">
            <v>1828200782</v>
          </cell>
          <cell r="B3531">
            <v>782</v>
          </cell>
          <cell r="C3531">
            <v>828200</v>
          </cell>
          <cell r="D3531">
            <v>1</v>
          </cell>
          <cell r="F3531" t="str">
            <v>רכזת ספורט</v>
          </cell>
          <cell r="G3531" t="str">
            <v>קשיח</v>
          </cell>
          <cell r="H3531">
            <v>0</v>
          </cell>
          <cell r="I3531">
            <v>51210</v>
          </cell>
          <cell r="J3531">
            <v>51210</v>
          </cell>
          <cell r="K3531">
            <v>51210</v>
          </cell>
          <cell r="L3531">
            <v>56900</v>
          </cell>
          <cell r="M3531">
            <v>56900</v>
          </cell>
        </row>
        <row r="3532">
          <cell r="A3532">
            <v>1828200783</v>
          </cell>
          <cell r="B3532">
            <v>783</v>
          </cell>
          <cell r="C3532">
            <v>828200</v>
          </cell>
          <cell r="D3532">
            <v>1</v>
          </cell>
          <cell r="F3532" t="str">
            <v>תחום נוער</v>
          </cell>
          <cell r="G3532" t="str">
            <v>גמיש</v>
          </cell>
          <cell r="I3532">
            <v>0</v>
          </cell>
          <cell r="J3532">
            <v>0</v>
          </cell>
          <cell r="K3532">
            <v>0</v>
          </cell>
          <cell r="L3532">
            <v>1582700</v>
          </cell>
          <cell r="M3532">
            <v>1678299.91</v>
          </cell>
        </row>
        <row r="3533">
          <cell r="A3533">
            <v>1828200784</v>
          </cell>
          <cell r="B3533">
            <v>784</v>
          </cell>
          <cell r="C3533">
            <v>828200</v>
          </cell>
          <cell r="D3533">
            <v>1</v>
          </cell>
          <cell r="F3533" t="str">
            <v>פרויקטים + קיץ</v>
          </cell>
          <cell r="G3533" t="str">
            <v>גמיש</v>
          </cell>
          <cell r="I3533">
            <v>0</v>
          </cell>
          <cell r="J3533">
            <v>0</v>
          </cell>
          <cell r="K3533">
            <v>0</v>
          </cell>
          <cell r="L3533">
            <v>0</v>
          </cell>
          <cell r="M3533">
            <v>0</v>
          </cell>
        </row>
        <row r="3534">
          <cell r="A3534">
            <v>1828200785</v>
          </cell>
          <cell r="B3534">
            <v>785</v>
          </cell>
          <cell r="C3534">
            <v>828200</v>
          </cell>
          <cell r="D3534">
            <v>1</v>
          </cell>
          <cell r="F3534" t="str">
            <v xml:space="preserve">תנועות נוער       </v>
          </cell>
          <cell r="G3534" t="str">
            <v>גמיש</v>
          </cell>
          <cell r="I3534">
            <v>0</v>
          </cell>
          <cell r="J3534">
            <v>0</v>
          </cell>
          <cell r="K3534">
            <v>0</v>
          </cell>
          <cell r="L3534">
            <v>0</v>
          </cell>
          <cell r="M3534">
            <v>0</v>
          </cell>
        </row>
        <row r="3535">
          <cell r="A3535">
            <v>1828200786</v>
          </cell>
          <cell r="B3535">
            <v>786</v>
          </cell>
          <cell r="C3535">
            <v>828200</v>
          </cell>
          <cell r="D3535">
            <v>1</v>
          </cell>
          <cell r="F3535" t="str">
            <v>היפ הופ</v>
          </cell>
          <cell r="G3535" t="str">
            <v>גמיש</v>
          </cell>
          <cell r="I3535">
            <v>0</v>
          </cell>
          <cell r="J3535">
            <v>0</v>
          </cell>
          <cell r="K3535">
            <v>0</v>
          </cell>
          <cell r="L3535">
            <v>102600</v>
          </cell>
          <cell r="M3535">
            <v>114000</v>
          </cell>
        </row>
        <row r="3536">
          <cell r="A3536">
            <v>1828200787</v>
          </cell>
          <cell r="B3536">
            <v>787</v>
          </cell>
          <cell r="C3536">
            <v>828200</v>
          </cell>
          <cell r="D3536">
            <v>1</v>
          </cell>
          <cell r="F3536" t="str">
            <v>מנהיגות וקשרי חוץ</v>
          </cell>
          <cell r="G3536" t="str">
            <v>גמיש</v>
          </cell>
          <cell r="I3536">
            <v>0</v>
          </cell>
          <cell r="J3536">
            <v>0</v>
          </cell>
          <cell r="K3536">
            <v>0</v>
          </cell>
          <cell r="L3536">
            <v>162500</v>
          </cell>
          <cell r="M3536">
            <v>180500</v>
          </cell>
        </row>
        <row r="3537">
          <cell r="A3537">
            <v>1828200788</v>
          </cell>
          <cell r="B3537">
            <v>788</v>
          </cell>
          <cell r="C3537">
            <v>828200</v>
          </cell>
          <cell r="D3537">
            <v>1</v>
          </cell>
          <cell r="F3537" t="str">
            <v>אומנויות לחימה קליין</v>
          </cell>
          <cell r="G3537" t="str">
            <v>קשיח</v>
          </cell>
          <cell r="H3537">
            <v>0.4285714285714286</v>
          </cell>
          <cell r="I3537">
            <v>200000</v>
          </cell>
          <cell r="J3537">
            <v>140000</v>
          </cell>
          <cell r="K3537">
            <v>140000</v>
          </cell>
          <cell r="L3537">
            <v>140000</v>
          </cell>
          <cell r="M3537">
            <v>140000</v>
          </cell>
        </row>
        <row r="3538">
          <cell r="A3538">
            <v>1828200789</v>
          </cell>
          <cell r="B3538">
            <v>789</v>
          </cell>
          <cell r="C3538">
            <v>828200</v>
          </cell>
          <cell r="D3538">
            <v>1</v>
          </cell>
          <cell r="F3538" t="str">
            <v>תחום מניעה</v>
          </cell>
          <cell r="G3538" t="str">
            <v>גמיש</v>
          </cell>
          <cell r="I3538">
            <v>0</v>
          </cell>
          <cell r="J3538">
            <v>0</v>
          </cell>
          <cell r="K3538">
            <v>0</v>
          </cell>
          <cell r="L3538">
            <v>35900</v>
          </cell>
          <cell r="M3538">
            <v>39900</v>
          </cell>
        </row>
        <row r="3539">
          <cell r="A3539">
            <v>1828200790</v>
          </cell>
          <cell r="B3539">
            <v>790</v>
          </cell>
          <cell r="C3539">
            <v>828200</v>
          </cell>
          <cell r="D3539">
            <v>1</v>
          </cell>
          <cell r="F3539" t="str">
            <v>תוכנית מבוקר עד ערב</v>
          </cell>
          <cell r="G3539" t="str">
            <v>גמיש</v>
          </cell>
          <cell r="I3539">
            <v>190000</v>
          </cell>
          <cell r="J3539">
            <v>0</v>
          </cell>
          <cell r="K3539">
            <v>0</v>
          </cell>
          <cell r="L3539">
            <v>0</v>
          </cell>
          <cell r="M3539">
            <v>0</v>
          </cell>
        </row>
        <row r="3540">
          <cell r="A3540">
            <v>1828200810</v>
          </cell>
          <cell r="B3540">
            <v>810</v>
          </cell>
          <cell r="C3540">
            <v>828200</v>
          </cell>
          <cell r="D3540">
            <v>1</v>
          </cell>
          <cell r="F3540" t="str">
            <v xml:space="preserve">השתתפות ברשת קו"פ </v>
          </cell>
          <cell r="G3540" t="str">
            <v>גמיש</v>
          </cell>
          <cell r="H3540">
            <v>2.2400000000000002</v>
          </cell>
          <cell r="I3540">
            <v>9720000</v>
          </cell>
          <cell r="J3540">
            <v>3000000</v>
          </cell>
          <cell r="K3540">
            <v>9299205.0299999993</v>
          </cell>
          <cell r="L3540">
            <v>3045200</v>
          </cell>
          <cell r="M3540">
            <v>5455332.6900000004</v>
          </cell>
        </row>
        <row r="3541">
          <cell r="A3541">
            <v>1828200811</v>
          </cell>
          <cell r="B3541">
            <v>811</v>
          </cell>
          <cell r="C3541">
            <v>828200</v>
          </cell>
          <cell r="D3541">
            <v>1</v>
          </cell>
          <cell r="F3541" t="str">
            <v>תרבות תורנית-מקהלות</v>
          </cell>
          <cell r="G3541" t="str">
            <v>גמיש</v>
          </cell>
          <cell r="H3541">
            <v>0</v>
          </cell>
          <cell r="I3541">
            <v>499300</v>
          </cell>
          <cell r="J3541">
            <v>499300</v>
          </cell>
          <cell r="K3541">
            <v>300806.40000000002</v>
          </cell>
          <cell r="L3541">
            <v>451300</v>
          </cell>
          <cell r="M3541">
            <v>451300</v>
          </cell>
        </row>
        <row r="3542">
          <cell r="A3542">
            <v>1828200812</v>
          </cell>
          <cell r="B3542">
            <v>812</v>
          </cell>
          <cell r="C3542">
            <v>828200</v>
          </cell>
          <cell r="D3542">
            <v>1</v>
          </cell>
          <cell r="F3542" t="str">
            <v>למידה לזרוס</v>
          </cell>
          <cell r="G3542" t="str">
            <v>קשיח</v>
          </cell>
          <cell r="H3542">
            <v>0</v>
          </cell>
          <cell r="I3542">
            <v>64350</v>
          </cell>
          <cell r="J3542">
            <v>64350</v>
          </cell>
          <cell r="K3542">
            <v>64350</v>
          </cell>
          <cell r="L3542">
            <v>71500</v>
          </cell>
          <cell r="M3542">
            <v>71500</v>
          </cell>
        </row>
        <row r="3543">
          <cell r="A3543">
            <v>1828200813</v>
          </cell>
          <cell r="B3543">
            <v>813</v>
          </cell>
          <cell r="C3543">
            <v>828200</v>
          </cell>
          <cell r="D3543">
            <v>1</v>
          </cell>
          <cell r="F3543" t="str">
            <v xml:space="preserve">השתתפות בקייטנות  </v>
          </cell>
          <cell r="G3543" t="str">
            <v>קשיח</v>
          </cell>
          <cell r="I3543">
            <v>0</v>
          </cell>
          <cell r="J3543">
            <v>0</v>
          </cell>
          <cell r="K3543">
            <v>0</v>
          </cell>
          <cell r="L3543">
            <v>59200</v>
          </cell>
          <cell r="M3543">
            <v>59200</v>
          </cell>
        </row>
        <row r="3544">
          <cell r="A3544">
            <v>1828200814</v>
          </cell>
          <cell r="B3544">
            <v>814</v>
          </cell>
          <cell r="C3544">
            <v>828200</v>
          </cell>
          <cell r="D3544">
            <v>1</v>
          </cell>
          <cell r="F3544" t="str">
            <v>קורס אומנות הקרנבל-וולפסון</v>
          </cell>
          <cell r="G3544" t="str">
            <v>קשיח</v>
          </cell>
          <cell r="I3544">
            <v>0</v>
          </cell>
          <cell r="J3544">
            <v>0</v>
          </cell>
          <cell r="K3544">
            <v>0</v>
          </cell>
          <cell r="L3544">
            <v>116100</v>
          </cell>
          <cell r="M3544">
            <v>116100</v>
          </cell>
        </row>
        <row r="3545">
          <cell r="A3545">
            <v>1828200815</v>
          </cell>
          <cell r="B3545">
            <v>815</v>
          </cell>
          <cell r="C3545">
            <v>828200</v>
          </cell>
          <cell r="D3545">
            <v>1</v>
          </cell>
          <cell r="F3545" t="str">
            <v>שברולט,שטרודל,אריות</v>
          </cell>
          <cell r="G3545" t="str">
            <v>קשיח</v>
          </cell>
          <cell r="I3545">
            <v>0</v>
          </cell>
          <cell r="J3545">
            <v>0</v>
          </cell>
          <cell r="K3545">
            <v>0</v>
          </cell>
          <cell r="L3545">
            <v>1354400</v>
          </cell>
          <cell r="M3545">
            <v>1504900</v>
          </cell>
        </row>
        <row r="3546">
          <cell r="A3546">
            <v>1828200816</v>
          </cell>
          <cell r="B3546">
            <v>816</v>
          </cell>
          <cell r="C3546">
            <v>828200</v>
          </cell>
          <cell r="D3546">
            <v>1</v>
          </cell>
          <cell r="F3546" t="str">
            <v>רכזת מורשת</v>
          </cell>
          <cell r="G3546" t="str">
            <v>קשיח</v>
          </cell>
          <cell r="I3546">
            <v>0</v>
          </cell>
          <cell r="J3546">
            <v>0</v>
          </cell>
          <cell r="K3546">
            <v>0</v>
          </cell>
          <cell r="L3546">
            <v>92100</v>
          </cell>
          <cell r="M3546">
            <v>92100</v>
          </cell>
        </row>
        <row r="3547">
          <cell r="A3547">
            <v>1828200817</v>
          </cell>
          <cell r="B3547">
            <v>817</v>
          </cell>
          <cell r="C3547">
            <v>828200</v>
          </cell>
          <cell r="D3547">
            <v>1</v>
          </cell>
          <cell r="F3547" t="str">
            <v xml:space="preserve">מועדון נכים-לזרוס </v>
          </cell>
          <cell r="G3547" t="str">
            <v>קשיח</v>
          </cell>
          <cell r="H3547">
            <v>0</v>
          </cell>
          <cell r="I3547">
            <v>14670</v>
          </cell>
          <cell r="J3547">
            <v>14670</v>
          </cell>
          <cell r="K3547">
            <v>14670</v>
          </cell>
          <cell r="L3547">
            <v>16300</v>
          </cell>
          <cell r="M3547">
            <v>16300</v>
          </cell>
        </row>
        <row r="3548">
          <cell r="A3548">
            <v>1828200818</v>
          </cell>
          <cell r="B3548">
            <v>818</v>
          </cell>
          <cell r="C3548">
            <v>828200</v>
          </cell>
          <cell r="D3548">
            <v>1</v>
          </cell>
          <cell r="F3548" t="str">
            <v>תוכנית זהות בונה קהילה</v>
          </cell>
          <cell r="G3548" t="str">
            <v>קשיח</v>
          </cell>
          <cell r="H3548">
            <v>0</v>
          </cell>
          <cell r="I3548">
            <v>25560</v>
          </cell>
          <cell r="J3548">
            <v>25560</v>
          </cell>
          <cell r="K3548">
            <v>12780</v>
          </cell>
          <cell r="L3548">
            <v>170200</v>
          </cell>
          <cell r="M3548">
            <v>170200</v>
          </cell>
        </row>
        <row r="3549">
          <cell r="A3549">
            <v>1828200819</v>
          </cell>
          <cell r="B3549">
            <v>819</v>
          </cell>
          <cell r="C3549">
            <v>828200</v>
          </cell>
          <cell r="D3549">
            <v>1</v>
          </cell>
          <cell r="F3549" t="str">
            <v>הזדמנות שווה</v>
          </cell>
          <cell r="G3549" t="str">
            <v>גמיש</v>
          </cell>
          <cell r="I3549">
            <v>200000</v>
          </cell>
          <cell r="J3549">
            <v>0</v>
          </cell>
          <cell r="K3549">
            <v>0</v>
          </cell>
          <cell r="L3549">
            <v>0</v>
          </cell>
          <cell r="M3549">
            <v>0</v>
          </cell>
        </row>
        <row r="3550">
          <cell r="A3550">
            <v>1828200820</v>
          </cell>
          <cell r="B3550">
            <v>820</v>
          </cell>
          <cell r="C3550">
            <v>828200</v>
          </cell>
          <cell r="D3550">
            <v>1</v>
          </cell>
          <cell r="F3550" t="str">
            <v>המוזיאון העירוני</v>
          </cell>
          <cell r="G3550" t="str">
            <v>קשיח</v>
          </cell>
          <cell r="I3550">
            <v>0</v>
          </cell>
          <cell r="J3550">
            <v>0</v>
          </cell>
          <cell r="K3550">
            <v>0</v>
          </cell>
          <cell r="L3550">
            <v>221700</v>
          </cell>
          <cell r="M3550">
            <v>221700</v>
          </cell>
        </row>
        <row r="3551">
          <cell r="A3551">
            <v>1828200821</v>
          </cell>
          <cell r="B3551">
            <v>821</v>
          </cell>
          <cell r="C3551">
            <v>828200</v>
          </cell>
          <cell r="D3551">
            <v>1</v>
          </cell>
          <cell r="F3551" t="str">
            <v>מועדון עולי בוכרה</v>
          </cell>
          <cell r="G3551" t="str">
            <v>קשיח</v>
          </cell>
          <cell r="H3551">
            <v>0</v>
          </cell>
          <cell r="I3551">
            <v>30960</v>
          </cell>
          <cell r="J3551">
            <v>30960</v>
          </cell>
          <cell r="K3551">
            <v>30960</v>
          </cell>
          <cell r="L3551">
            <v>24400</v>
          </cell>
          <cell r="M3551">
            <v>34399</v>
          </cell>
        </row>
        <row r="3552">
          <cell r="A3552">
            <v>1828200822</v>
          </cell>
          <cell r="B3552">
            <v>822</v>
          </cell>
          <cell r="C3552">
            <v>828200</v>
          </cell>
          <cell r="D3552">
            <v>1</v>
          </cell>
          <cell r="F3552" t="str">
            <v>מרכז  פסגות</v>
          </cell>
          <cell r="G3552" t="str">
            <v>גמיש</v>
          </cell>
          <cell r="H3552">
            <v>0</v>
          </cell>
          <cell r="I3552">
            <v>622800</v>
          </cell>
          <cell r="J3552">
            <v>622800</v>
          </cell>
          <cell r="K3552">
            <v>622800</v>
          </cell>
          <cell r="L3552">
            <v>692000</v>
          </cell>
          <cell r="M3552">
            <v>692000</v>
          </cell>
        </row>
        <row r="3553">
          <cell r="A3553">
            <v>1828200823</v>
          </cell>
          <cell r="B3553">
            <v>823</v>
          </cell>
          <cell r="C3553">
            <v>828200</v>
          </cell>
          <cell r="D3553">
            <v>1</v>
          </cell>
          <cell r="F3553" t="str">
            <v>מרכז מורשת</v>
          </cell>
          <cell r="G3553" t="str">
            <v>גמיש</v>
          </cell>
          <cell r="I3553">
            <v>0</v>
          </cell>
          <cell r="J3553">
            <v>0</v>
          </cell>
          <cell r="K3553">
            <v>0</v>
          </cell>
          <cell r="L3553">
            <v>97500</v>
          </cell>
          <cell r="M3553">
            <v>97500</v>
          </cell>
        </row>
        <row r="3554">
          <cell r="A3554">
            <v>1828200824</v>
          </cell>
          <cell r="B3554">
            <v>824</v>
          </cell>
          <cell r="C3554">
            <v>828200</v>
          </cell>
          <cell r="D3554">
            <v>1</v>
          </cell>
          <cell r="F3554" t="str">
            <v>גוונים ניצנים-חיבורים</v>
          </cell>
          <cell r="G3554" t="str">
            <v>גמיש</v>
          </cell>
          <cell r="I3554">
            <v>0</v>
          </cell>
          <cell r="J3554">
            <v>0</v>
          </cell>
          <cell r="K3554">
            <v>0</v>
          </cell>
          <cell r="L3554">
            <v>243700</v>
          </cell>
          <cell r="M3554">
            <v>243700</v>
          </cell>
        </row>
        <row r="3555">
          <cell r="A3555">
            <v>1828200825</v>
          </cell>
          <cell r="B3555">
            <v>825</v>
          </cell>
          <cell r="C3555">
            <v>828200</v>
          </cell>
          <cell r="D3555">
            <v>1</v>
          </cell>
          <cell r="F3555" t="str">
            <v>מתנ"ס מקהלות</v>
          </cell>
          <cell r="G3555" t="str">
            <v>גמיש</v>
          </cell>
          <cell r="H3555">
            <v>0</v>
          </cell>
          <cell r="I3555">
            <v>324000</v>
          </cell>
          <cell r="J3555">
            <v>324000</v>
          </cell>
          <cell r="K3555">
            <v>324000</v>
          </cell>
          <cell r="L3555">
            <v>360000</v>
          </cell>
          <cell r="M3555">
            <v>360000</v>
          </cell>
        </row>
        <row r="3556">
          <cell r="A3556">
            <v>1828200826</v>
          </cell>
          <cell r="B3556">
            <v>826</v>
          </cell>
          <cell r="C3556">
            <v>828200</v>
          </cell>
          <cell r="D3556">
            <v>1</v>
          </cell>
          <cell r="F3556" t="str">
            <v>הסעות טיולים חצ"ב</v>
          </cell>
          <cell r="G3556" t="str">
            <v>גמיש</v>
          </cell>
          <cell r="I3556">
            <v>0</v>
          </cell>
          <cell r="J3556">
            <v>0</v>
          </cell>
          <cell r="K3556">
            <v>0</v>
          </cell>
          <cell r="L3556">
            <v>46500</v>
          </cell>
          <cell r="M3556">
            <v>51700</v>
          </cell>
        </row>
        <row r="3557">
          <cell r="A3557">
            <v>1828200827</v>
          </cell>
          <cell r="B3557">
            <v>827</v>
          </cell>
          <cell r="C3557">
            <v>828200</v>
          </cell>
          <cell r="D3557">
            <v>1</v>
          </cell>
          <cell r="F3557" t="str">
            <v>רכזים ומדריכים</v>
          </cell>
          <cell r="G3557" t="str">
            <v>קשיח</v>
          </cell>
          <cell r="I3557">
            <v>0</v>
          </cell>
          <cell r="J3557">
            <v>0</v>
          </cell>
          <cell r="K3557">
            <v>0</v>
          </cell>
          <cell r="L3557">
            <v>376000</v>
          </cell>
          <cell r="M3557">
            <v>417800</v>
          </cell>
        </row>
        <row r="3558">
          <cell r="A3558">
            <v>1828200832</v>
          </cell>
          <cell r="B3558">
            <v>832</v>
          </cell>
          <cell r="C3558">
            <v>828200</v>
          </cell>
          <cell r="D3558">
            <v>1</v>
          </cell>
          <cell r="F3558" t="str">
            <v xml:space="preserve">מים               </v>
          </cell>
          <cell r="G3558" t="str">
            <v>קשיח</v>
          </cell>
          <cell r="H3558">
            <v>0</v>
          </cell>
          <cell r="I3558">
            <v>146250</v>
          </cell>
          <cell r="J3558">
            <v>146250</v>
          </cell>
          <cell r="K3558">
            <v>146250</v>
          </cell>
          <cell r="L3558">
            <v>162500</v>
          </cell>
          <cell r="M3558">
            <v>162500</v>
          </cell>
        </row>
        <row r="3559">
          <cell r="A3559">
            <v>1828200874</v>
          </cell>
          <cell r="B3559">
            <v>874</v>
          </cell>
          <cell r="C3559">
            <v>828200</v>
          </cell>
          <cell r="D3559">
            <v>1</v>
          </cell>
          <cell r="F3559" t="str">
            <v>דמי ניהול</v>
          </cell>
          <cell r="G3559" t="str">
            <v>קשיח</v>
          </cell>
          <cell r="H3559">
            <v>-0.26726162517613905</v>
          </cell>
          <cell r="I3559">
            <v>156000</v>
          </cell>
          <cell r="J3559">
            <v>212900</v>
          </cell>
          <cell r="K3559">
            <v>212900</v>
          </cell>
          <cell r="L3559">
            <v>212900</v>
          </cell>
          <cell r="M3559">
            <v>212900</v>
          </cell>
        </row>
        <row r="3560">
          <cell r="A3560">
            <v>1828200875</v>
          </cell>
          <cell r="B3560">
            <v>875</v>
          </cell>
          <cell r="C3560">
            <v>828200</v>
          </cell>
          <cell r="D3560">
            <v>1</v>
          </cell>
          <cell r="F3560" t="str">
            <v>סבסוד מעונות יום רשת</v>
          </cell>
          <cell r="G3560" t="str">
            <v>גמיש</v>
          </cell>
          <cell r="I3560">
            <v>0</v>
          </cell>
          <cell r="K3560">
            <v>103600</v>
          </cell>
          <cell r="L3560">
            <v>0</v>
          </cell>
        </row>
        <row r="3561">
          <cell r="A3561">
            <v>1828200876</v>
          </cell>
          <cell r="B3561">
            <v>876</v>
          </cell>
          <cell r="C3561">
            <v>828200</v>
          </cell>
          <cell r="D3561">
            <v>1</v>
          </cell>
          <cell r="F3561" t="str">
            <v>שחר און</v>
          </cell>
          <cell r="G3561" t="str">
            <v>גמיש</v>
          </cell>
          <cell r="I3561">
            <v>106670</v>
          </cell>
        </row>
        <row r="3562">
          <cell r="A3562">
            <v>1828200878</v>
          </cell>
          <cell r="B3562">
            <v>878</v>
          </cell>
          <cell r="C3562">
            <v>828200</v>
          </cell>
          <cell r="D3562">
            <v>1</v>
          </cell>
          <cell r="F3562" t="str">
            <v>הסכם קיבוצי תוספת 2%</v>
          </cell>
          <cell r="G3562" t="str">
            <v>גמיש</v>
          </cell>
          <cell r="I3562">
            <v>537600</v>
          </cell>
        </row>
        <row r="3563">
          <cell r="A3563">
            <v>1828200879</v>
          </cell>
          <cell r="B3563">
            <v>879</v>
          </cell>
          <cell r="C3563">
            <v>828200</v>
          </cell>
          <cell r="D3563">
            <v>1</v>
          </cell>
          <cell r="F3563" t="str">
            <v>ביטוח-כנגד הכנסות</v>
          </cell>
          <cell r="G3563" t="str">
            <v>קשיח</v>
          </cell>
          <cell r="I3563">
            <v>0</v>
          </cell>
          <cell r="J3563">
            <v>0</v>
          </cell>
          <cell r="K3563">
            <v>0</v>
          </cell>
          <cell r="L3563">
            <v>35300</v>
          </cell>
          <cell r="M3563">
            <v>35300</v>
          </cell>
        </row>
        <row r="3564">
          <cell r="A3564">
            <v>1828200930</v>
          </cell>
          <cell r="B3564">
            <v>930</v>
          </cell>
          <cell r="C3564">
            <v>828200</v>
          </cell>
          <cell r="D3564">
            <v>1</v>
          </cell>
          <cell r="F3564" t="str">
            <v>השת' אולם ספורט דביר</v>
          </cell>
          <cell r="G3564" t="str">
            <v>גמיש</v>
          </cell>
          <cell r="H3564">
            <v>0</v>
          </cell>
          <cell r="I3564">
            <v>107370</v>
          </cell>
          <cell r="J3564">
            <v>107370</v>
          </cell>
          <cell r="K3564">
            <v>107370</v>
          </cell>
          <cell r="L3564">
            <v>119300</v>
          </cell>
          <cell r="M3564">
            <v>119300</v>
          </cell>
        </row>
        <row r="3565">
          <cell r="A3565">
            <v>1828200981</v>
          </cell>
          <cell r="B3565">
            <v>981</v>
          </cell>
          <cell r="C3565">
            <v>828200</v>
          </cell>
          <cell r="D3565">
            <v>1</v>
          </cell>
          <cell r="F3565" t="str">
            <v>התנדבות בקהילה</v>
          </cell>
          <cell r="G3565" t="str">
            <v>גמיש</v>
          </cell>
          <cell r="I3565">
            <v>0</v>
          </cell>
          <cell r="J3565">
            <v>0</v>
          </cell>
          <cell r="K3565">
            <v>0</v>
          </cell>
          <cell r="L3565">
            <v>168900</v>
          </cell>
          <cell r="M3565">
            <v>187700</v>
          </cell>
        </row>
        <row r="3566">
          <cell r="A3566">
            <v>1828200982</v>
          </cell>
          <cell r="B3566">
            <v>982</v>
          </cell>
          <cell r="C3566">
            <v>828200</v>
          </cell>
          <cell r="D3566">
            <v>1</v>
          </cell>
          <cell r="F3566" t="str">
            <v>נוע"ם ח'</v>
          </cell>
          <cell r="G3566" t="str">
            <v>קשיח</v>
          </cell>
          <cell r="I3566">
            <v>0</v>
          </cell>
          <cell r="J3566">
            <v>0</v>
          </cell>
          <cell r="K3566">
            <v>0</v>
          </cell>
          <cell r="L3566">
            <v>205200</v>
          </cell>
          <cell r="M3566">
            <v>228000</v>
          </cell>
        </row>
        <row r="3567">
          <cell r="A3567">
            <v>1828200983</v>
          </cell>
          <cell r="B3567">
            <v>983</v>
          </cell>
          <cell r="C3567">
            <v>828200</v>
          </cell>
          <cell r="D3567">
            <v>1</v>
          </cell>
          <cell r="F3567" t="str">
            <v>מרכז הדרכה - הכשרות</v>
          </cell>
          <cell r="G3567" t="str">
            <v>קשיח</v>
          </cell>
          <cell r="I3567">
            <v>0</v>
          </cell>
          <cell r="J3567">
            <v>0</v>
          </cell>
          <cell r="K3567">
            <v>0</v>
          </cell>
          <cell r="L3567">
            <v>0</v>
          </cell>
          <cell r="M3567">
            <v>0</v>
          </cell>
        </row>
        <row r="3568">
          <cell r="A3568" t="e">
            <v>#VALUE!</v>
          </cell>
          <cell r="B3568" t="str">
            <v>828200  סך הכל</v>
          </cell>
          <cell r="F3568" t="str">
            <v xml:space="preserve">רשת קהילה ופנאי </v>
          </cell>
          <cell r="H3568">
            <v>1.2437850710406551</v>
          </cell>
          <cell r="I3568">
            <v>13671360</v>
          </cell>
          <cell r="J3568">
            <v>6092990</v>
          </cell>
          <cell r="K3568">
            <v>12197821.43</v>
          </cell>
          <cell r="L3568">
            <v>11411300</v>
          </cell>
          <cell r="M3568">
            <v>13982831.600000001</v>
          </cell>
        </row>
        <row r="3569">
          <cell r="A3569">
            <v>18282400</v>
          </cell>
          <cell r="B3569">
            <v>0</v>
          </cell>
          <cell r="C3569">
            <v>828240</v>
          </cell>
          <cell r="D3569">
            <v>1</v>
          </cell>
          <cell r="F3569" t="str">
            <v>המרכז לאומנות דיגיטלית</v>
          </cell>
          <cell r="G3569" t="str">
            <v xml:space="preserve"> </v>
          </cell>
        </row>
        <row r="3570">
          <cell r="A3570">
            <v>1828240872</v>
          </cell>
          <cell r="B3570">
            <v>872</v>
          </cell>
          <cell r="C3570">
            <v>828240</v>
          </cell>
          <cell r="D3570">
            <v>1</v>
          </cell>
          <cell r="F3570" t="str">
            <v>המרכז לאומנות דיגיטלית</v>
          </cell>
          <cell r="G3570" t="str">
            <v>גמיש</v>
          </cell>
          <cell r="H3570">
            <v>0</v>
          </cell>
          <cell r="I3570">
            <v>135000</v>
          </cell>
          <cell r="J3570">
            <v>135000</v>
          </cell>
          <cell r="K3570">
            <v>78750</v>
          </cell>
          <cell r="L3570">
            <v>1121600</v>
          </cell>
          <cell r="M3570">
            <v>1146600</v>
          </cell>
        </row>
        <row r="3571">
          <cell r="A3571">
            <v>1828240879</v>
          </cell>
          <cell r="B3571">
            <v>879</v>
          </cell>
          <cell r="C3571">
            <v>828240</v>
          </cell>
          <cell r="D3571">
            <v>1</v>
          </cell>
          <cell r="F3571" t="str">
            <v>ביטוח-כנגד הכנסות</v>
          </cell>
          <cell r="G3571" t="str">
            <v>קשיח</v>
          </cell>
          <cell r="H3571">
            <v>0</v>
          </cell>
          <cell r="I3571">
            <v>4400</v>
          </cell>
          <cell r="J3571">
            <v>4400</v>
          </cell>
          <cell r="K3571">
            <v>0</v>
          </cell>
          <cell r="L3571">
            <v>4400</v>
          </cell>
          <cell r="M3571">
            <v>4400</v>
          </cell>
        </row>
        <row r="3572">
          <cell r="A3572">
            <v>1828240981</v>
          </cell>
          <cell r="B3572">
            <v>981</v>
          </cell>
          <cell r="C3572">
            <v>828240</v>
          </cell>
          <cell r="D3572">
            <v>1</v>
          </cell>
          <cell r="F3572" t="str">
            <v>הוצאות שנים קודמות</v>
          </cell>
          <cell r="G3572" t="str">
            <v>גמיש</v>
          </cell>
          <cell r="I3572">
            <v>0</v>
          </cell>
          <cell r="J3572">
            <v>0</v>
          </cell>
          <cell r="K3572">
            <v>0</v>
          </cell>
          <cell r="L3572">
            <v>0</v>
          </cell>
          <cell r="M3572">
            <v>165600</v>
          </cell>
        </row>
        <row r="3573">
          <cell r="A3573" t="e">
            <v>#VALUE!</v>
          </cell>
          <cell r="B3573" t="str">
            <v>828240  סך הכל</v>
          </cell>
          <cell r="F3573" t="str">
            <v>המרכז לאומנות דיגיטלית</v>
          </cell>
          <cell r="H3573">
            <v>0</v>
          </cell>
          <cell r="I3573">
            <v>139400</v>
          </cell>
          <cell r="J3573">
            <v>139400</v>
          </cell>
          <cell r="K3573">
            <v>78750</v>
          </cell>
          <cell r="L3573">
            <v>1126000</v>
          </cell>
          <cell r="M3573">
            <v>1316600</v>
          </cell>
        </row>
        <row r="3574">
          <cell r="A3574">
            <v>18290000</v>
          </cell>
          <cell r="B3574">
            <v>0</v>
          </cell>
          <cell r="C3574">
            <v>829000</v>
          </cell>
          <cell r="D3574">
            <v>1</v>
          </cell>
          <cell r="F3574" t="str">
            <v xml:space="preserve">ספורט             </v>
          </cell>
          <cell r="G3574" t="str">
            <v xml:space="preserve"> </v>
          </cell>
        </row>
        <row r="3575">
          <cell r="A3575">
            <v>1829100441</v>
          </cell>
          <cell r="B3575">
            <v>441</v>
          </cell>
          <cell r="C3575">
            <v>829100</v>
          </cell>
          <cell r="D3575">
            <v>1</v>
          </cell>
          <cell r="F3575" t="str">
            <v xml:space="preserve">ביטוח מחלקת הספורט       </v>
          </cell>
          <cell r="G3575" t="str">
            <v>קשיח</v>
          </cell>
          <cell r="I3575">
            <v>0</v>
          </cell>
          <cell r="J3575">
            <v>0</v>
          </cell>
          <cell r="K3575">
            <v>0</v>
          </cell>
          <cell r="L3575">
            <v>43900</v>
          </cell>
          <cell r="M3575">
            <v>0</v>
          </cell>
        </row>
        <row r="3576">
          <cell r="A3576">
            <v>1829100810</v>
          </cell>
          <cell r="B3576">
            <v>810</v>
          </cell>
          <cell r="C3576">
            <v>829100</v>
          </cell>
          <cell r="D3576">
            <v>1</v>
          </cell>
          <cell r="F3576" t="str">
            <v>מועדון ספורט בי"ס</v>
          </cell>
          <cell r="G3576" t="str">
            <v>קשיח</v>
          </cell>
          <cell r="H3576">
            <v>0</v>
          </cell>
          <cell r="I3576">
            <v>261000</v>
          </cell>
          <cell r="J3576">
            <v>261000</v>
          </cell>
          <cell r="K3576">
            <v>0</v>
          </cell>
          <cell r="L3576">
            <v>261000</v>
          </cell>
          <cell r="M3576">
            <v>256204</v>
          </cell>
        </row>
        <row r="3577">
          <cell r="A3577">
            <v>1829100812</v>
          </cell>
          <cell r="B3577">
            <v>812</v>
          </cell>
          <cell r="C3577">
            <v>829100</v>
          </cell>
          <cell r="D3577">
            <v>1</v>
          </cell>
          <cell r="F3577" t="str">
            <v>אליפות בינ"ל</v>
          </cell>
          <cell r="G3577" t="str">
            <v>גמיש</v>
          </cell>
          <cell r="H3577">
            <v>0.22222222222222232</v>
          </cell>
          <cell r="I3577">
            <v>268070</v>
          </cell>
          <cell r="J3577">
            <v>219330</v>
          </cell>
          <cell r="K3577">
            <v>164499</v>
          </cell>
          <cell r="L3577">
            <v>243700</v>
          </cell>
          <cell r="M3577">
            <v>243700</v>
          </cell>
        </row>
        <row r="3578">
          <cell r="A3578">
            <v>1829100813</v>
          </cell>
          <cell r="B3578">
            <v>813</v>
          </cell>
          <cell r="C3578">
            <v>829100</v>
          </cell>
          <cell r="D3578">
            <v>1</v>
          </cell>
          <cell r="F3578" t="str">
            <v>תיפעול המחלקה</v>
          </cell>
          <cell r="G3578" t="str">
            <v>קשיח</v>
          </cell>
          <cell r="H3578">
            <v>0.22222222222222232</v>
          </cell>
          <cell r="I3578">
            <v>655820</v>
          </cell>
          <cell r="J3578">
            <v>536580</v>
          </cell>
          <cell r="K3578">
            <v>402435</v>
          </cell>
          <cell r="L3578">
            <v>596200</v>
          </cell>
          <cell r="M3578">
            <v>596200</v>
          </cell>
        </row>
        <row r="3579">
          <cell r="A3579">
            <v>1829100814</v>
          </cell>
          <cell r="B3579">
            <v>814</v>
          </cell>
          <cell r="C3579">
            <v>829100</v>
          </cell>
          <cell r="D3579">
            <v>1</v>
          </cell>
          <cell r="F3579" t="str">
            <v>השת' אולם ספורט שמיר</v>
          </cell>
          <cell r="G3579" t="str">
            <v>גמיש</v>
          </cell>
          <cell r="H3579">
            <v>0.22222222222222232</v>
          </cell>
          <cell r="I3579">
            <v>95040</v>
          </cell>
          <cell r="J3579">
            <v>77760</v>
          </cell>
          <cell r="K3579">
            <v>58321</v>
          </cell>
          <cell r="L3579">
            <v>86400</v>
          </cell>
          <cell r="M3579">
            <v>86400</v>
          </cell>
        </row>
        <row r="3580">
          <cell r="A3580">
            <v>1829100817</v>
          </cell>
          <cell r="B3580">
            <v>817</v>
          </cell>
          <cell r="C3580">
            <v>829100</v>
          </cell>
          <cell r="D3580">
            <v>1</v>
          </cell>
          <cell r="F3580" t="str">
            <v>השת' אולם ספורט שרון</v>
          </cell>
          <cell r="G3580" t="str">
            <v>גמיש</v>
          </cell>
          <cell r="H3580">
            <v>0.22222222222222232</v>
          </cell>
          <cell r="I3580">
            <v>157630</v>
          </cell>
          <cell r="J3580">
            <v>128970</v>
          </cell>
          <cell r="K3580">
            <v>96729</v>
          </cell>
          <cell r="L3580">
            <v>143300</v>
          </cell>
          <cell r="M3580">
            <v>143297.01</v>
          </cell>
        </row>
        <row r="3581">
          <cell r="A3581">
            <v>1829100818</v>
          </cell>
          <cell r="B3581">
            <v>818</v>
          </cell>
          <cell r="C3581">
            <v>829100</v>
          </cell>
          <cell r="D3581">
            <v>1</v>
          </cell>
          <cell r="F3581" t="str">
            <v>הפעלת סקייטפארק</v>
          </cell>
          <cell r="G3581" t="str">
            <v>גמיש</v>
          </cell>
          <cell r="H3581">
            <v>0.22222222222222232</v>
          </cell>
          <cell r="I3581">
            <v>314490</v>
          </cell>
          <cell r="J3581">
            <v>257310</v>
          </cell>
          <cell r="K3581">
            <v>193029</v>
          </cell>
          <cell r="L3581">
            <v>285900</v>
          </cell>
          <cell r="M3581">
            <v>285900</v>
          </cell>
        </row>
        <row r="3582">
          <cell r="A3582">
            <v>1829100819</v>
          </cell>
          <cell r="B3582">
            <v>819</v>
          </cell>
          <cell r="C3582">
            <v>829100</v>
          </cell>
          <cell r="D3582">
            <v>1</v>
          </cell>
          <cell r="F3582" t="str">
            <v>השתתפות בנופשונית</v>
          </cell>
          <cell r="G3582" t="str">
            <v>גמיש</v>
          </cell>
          <cell r="H3582">
            <v>0.10000000000000009</v>
          </cell>
          <cell r="I3582">
            <v>940500</v>
          </cell>
          <cell r="J3582">
            <v>855000</v>
          </cell>
          <cell r="K3582">
            <v>641251</v>
          </cell>
          <cell r="L3582">
            <v>855000</v>
          </cell>
          <cell r="M3582">
            <v>855003.01</v>
          </cell>
        </row>
        <row r="3583">
          <cell r="A3583">
            <v>1829100820</v>
          </cell>
          <cell r="B3583">
            <v>820</v>
          </cell>
          <cell r="C3583">
            <v>829100</v>
          </cell>
          <cell r="D3583">
            <v>1</v>
          </cell>
          <cell r="F3583" t="str">
            <v>מרכזי מצוינות</v>
          </cell>
          <cell r="G3583" t="str">
            <v>קשיח</v>
          </cell>
          <cell r="H3583">
            <v>0</v>
          </cell>
          <cell r="I3583">
            <v>188100</v>
          </cell>
          <cell r="J3583">
            <v>188100</v>
          </cell>
          <cell r="K3583">
            <v>50000</v>
          </cell>
          <cell r="L3583">
            <v>188100</v>
          </cell>
          <cell r="M3583">
            <v>170000</v>
          </cell>
        </row>
        <row r="3584">
          <cell r="A3584">
            <v>1829100821</v>
          </cell>
          <cell r="B3584">
            <v>821</v>
          </cell>
          <cell r="C3584">
            <v>829100</v>
          </cell>
          <cell r="D3584">
            <v>1</v>
          </cell>
          <cell r="F3584" t="str">
            <v>השתתפות היכל הספורט</v>
          </cell>
          <cell r="G3584" t="str">
            <v>קשיח</v>
          </cell>
          <cell r="H3584">
            <v>0.12919896640826867</v>
          </cell>
          <cell r="I3584">
            <v>4370000</v>
          </cell>
          <cell r="J3584">
            <v>3870000</v>
          </cell>
          <cell r="K3584">
            <v>2902500</v>
          </cell>
          <cell r="L3584">
            <v>4300000</v>
          </cell>
          <cell r="M3584">
            <v>4300000.95</v>
          </cell>
        </row>
        <row r="3585">
          <cell r="A3585">
            <v>1829100822</v>
          </cell>
          <cell r="B3585">
            <v>822</v>
          </cell>
          <cell r="C3585">
            <v>829100</v>
          </cell>
          <cell r="D3585">
            <v>1</v>
          </cell>
          <cell r="F3585" t="str">
            <v>ליגת הכוכבים</v>
          </cell>
          <cell r="G3585" t="str">
            <v>גמיש</v>
          </cell>
          <cell r="H3585">
            <v>0.22222222222222232</v>
          </cell>
          <cell r="I3585">
            <v>147400</v>
          </cell>
          <cell r="J3585">
            <v>120600</v>
          </cell>
          <cell r="K3585">
            <v>90450</v>
          </cell>
          <cell r="L3585">
            <v>134000</v>
          </cell>
          <cell r="M3585">
            <v>133994.32</v>
          </cell>
        </row>
        <row r="3586">
          <cell r="A3586">
            <v>1829100871</v>
          </cell>
          <cell r="B3586">
            <v>871</v>
          </cell>
          <cell r="C3586">
            <v>829100</v>
          </cell>
          <cell r="D3586">
            <v>1</v>
          </cell>
          <cell r="F3586" t="str">
            <v>תחזוקת מגרש אורט</v>
          </cell>
          <cell r="G3586" t="str">
            <v>גמיש</v>
          </cell>
          <cell r="H3586">
            <v>0.22222222222222232</v>
          </cell>
          <cell r="I3586">
            <v>110000</v>
          </cell>
          <cell r="J3586">
            <v>90000</v>
          </cell>
          <cell r="K3586">
            <v>67500</v>
          </cell>
          <cell r="L3586">
            <v>100000</v>
          </cell>
          <cell r="M3586">
            <v>100001.33</v>
          </cell>
        </row>
        <row r="3587">
          <cell r="A3587">
            <v>1829100872</v>
          </cell>
          <cell r="B3587">
            <v>872</v>
          </cell>
          <cell r="C3587">
            <v>829100</v>
          </cell>
          <cell r="D3587">
            <v>1</v>
          </cell>
          <cell r="F3587" t="str">
            <v>מרכז טניס עירוני</v>
          </cell>
          <cell r="G3587" t="str">
            <v>גמיש</v>
          </cell>
          <cell r="H3587">
            <v>0.22222222222222232</v>
          </cell>
          <cell r="I3587">
            <v>165000</v>
          </cell>
          <cell r="J3587">
            <v>135000</v>
          </cell>
          <cell r="K3587">
            <v>101250</v>
          </cell>
          <cell r="L3587">
            <v>150000</v>
          </cell>
          <cell r="M3587">
            <v>150000</v>
          </cell>
        </row>
        <row r="3588">
          <cell r="A3588">
            <v>1829100873</v>
          </cell>
          <cell r="B3588">
            <v>873</v>
          </cell>
          <cell r="C3588">
            <v>829100</v>
          </cell>
          <cell r="D3588">
            <v>1</v>
          </cell>
          <cell r="F3588" t="str">
            <v>פרוייקטים</v>
          </cell>
          <cell r="G3588" t="str">
            <v>גמיש</v>
          </cell>
          <cell r="H3588">
            <v>0.22222222222222232</v>
          </cell>
          <cell r="I3588">
            <v>355190</v>
          </cell>
          <cell r="J3588">
            <v>290610</v>
          </cell>
          <cell r="K3588">
            <v>217959</v>
          </cell>
          <cell r="L3588">
            <v>322900</v>
          </cell>
          <cell r="M3588">
            <v>322900</v>
          </cell>
        </row>
        <row r="3589">
          <cell r="A3589">
            <v>1829100874</v>
          </cell>
          <cell r="B3589">
            <v>874</v>
          </cell>
          <cell r="C3589">
            <v>829100</v>
          </cell>
          <cell r="D3589">
            <v>1</v>
          </cell>
          <cell r="F3589" t="str">
            <v>תיגבור חט"ב ק"ש (מאגוד')</v>
          </cell>
          <cell r="G3589" t="str">
            <v>קשיח</v>
          </cell>
          <cell r="H3589">
            <v>0.22222222222222232</v>
          </cell>
          <cell r="I3589">
            <v>48070</v>
          </cell>
          <cell r="J3589">
            <v>39330</v>
          </cell>
          <cell r="K3589">
            <v>29499</v>
          </cell>
          <cell r="L3589">
            <v>43700</v>
          </cell>
          <cell r="M3589">
            <v>43703.01</v>
          </cell>
        </row>
        <row r="3590">
          <cell r="A3590">
            <v>1829100875</v>
          </cell>
          <cell r="B3590">
            <v>875</v>
          </cell>
          <cell r="C3590">
            <v>829100</v>
          </cell>
          <cell r="D3590">
            <v>1</v>
          </cell>
          <cell r="F3590" t="str">
            <v>פעולות ספורט</v>
          </cell>
          <cell r="G3590" t="str">
            <v>גמיש</v>
          </cell>
          <cell r="H3590">
            <v>1.5252525252525251</v>
          </cell>
          <cell r="I3590">
            <v>2500000</v>
          </cell>
          <cell r="J3590">
            <v>990000</v>
          </cell>
          <cell r="K3590">
            <v>0</v>
          </cell>
          <cell r="L3590">
            <v>0</v>
          </cell>
          <cell r="M3590">
            <v>0</v>
          </cell>
        </row>
        <row r="3591">
          <cell r="A3591">
            <v>1829100876</v>
          </cell>
          <cell r="B3591">
            <v>876</v>
          </cell>
          <cell r="C3591">
            <v>829100</v>
          </cell>
          <cell r="D3591">
            <v>1</v>
          </cell>
          <cell r="F3591" t="str">
            <v>מרוץ חולון</v>
          </cell>
          <cell r="G3591" t="str">
            <v>גמיש</v>
          </cell>
          <cell r="I3591">
            <v>0</v>
          </cell>
          <cell r="J3591">
            <v>0</v>
          </cell>
          <cell r="K3591">
            <v>0</v>
          </cell>
          <cell r="L3591">
            <v>0</v>
          </cell>
          <cell r="M3591">
            <v>0</v>
          </cell>
        </row>
        <row r="3592">
          <cell r="A3592">
            <v>1829100878</v>
          </cell>
          <cell r="B3592">
            <v>878</v>
          </cell>
          <cell r="C3592">
            <v>829100</v>
          </cell>
          <cell r="D3592">
            <v>1</v>
          </cell>
          <cell r="F3592" t="str">
            <v>חוגי שחייה</v>
          </cell>
          <cell r="G3592" t="str">
            <v>גמיש</v>
          </cell>
          <cell r="H3592">
            <v>0.22222222222222232</v>
          </cell>
          <cell r="I3592">
            <v>220000</v>
          </cell>
          <cell r="J3592">
            <v>180000</v>
          </cell>
          <cell r="K3592">
            <v>135000</v>
          </cell>
          <cell r="L3592">
            <v>200000</v>
          </cell>
          <cell r="M3592">
            <v>200000</v>
          </cell>
        </row>
        <row r="3593">
          <cell r="A3593">
            <v>1829100879</v>
          </cell>
          <cell r="B3593">
            <v>879</v>
          </cell>
          <cell r="C3593">
            <v>829100</v>
          </cell>
          <cell r="D3593">
            <v>1</v>
          </cell>
          <cell r="F3593" t="str">
            <v>ביטוח - כנגד הכנסות</v>
          </cell>
          <cell r="G3593" t="str">
            <v>קשיח</v>
          </cell>
          <cell r="I3593">
            <v>0</v>
          </cell>
          <cell r="J3593">
            <v>0</v>
          </cell>
          <cell r="K3593">
            <v>0</v>
          </cell>
          <cell r="L3593">
            <v>43900</v>
          </cell>
          <cell r="M3593">
            <v>43900</v>
          </cell>
        </row>
        <row r="3594">
          <cell r="A3594">
            <v>1829100920</v>
          </cell>
          <cell r="B3594">
            <v>920</v>
          </cell>
          <cell r="C3594">
            <v>829100</v>
          </cell>
          <cell r="D3594">
            <v>1</v>
          </cell>
          <cell r="F3594" t="str">
            <v>פעולות כנגד הכנסות</v>
          </cell>
          <cell r="G3594" t="str">
            <v>קשיח</v>
          </cell>
          <cell r="H3594">
            <v>0</v>
          </cell>
          <cell r="I3594">
            <v>270630</v>
          </cell>
          <cell r="J3594">
            <v>270630</v>
          </cell>
          <cell r="K3594">
            <v>-10789</v>
          </cell>
          <cell r="L3594">
            <v>0</v>
          </cell>
          <cell r="M3594">
            <v>305712</v>
          </cell>
        </row>
        <row r="3595">
          <cell r="A3595">
            <v>1829100921</v>
          </cell>
          <cell r="B3595">
            <v>921</v>
          </cell>
          <cell r="C3595">
            <v>829100</v>
          </cell>
          <cell r="D3595">
            <v>1</v>
          </cell>
          <cell r="F3595" t="str">
            <v>מתחם הפועל</v>
          </cell>
          <cell r="G3595" t="str">
            <v>גמיש</v>
          </cell>
          <cell r="H3595">
            <v>0</v>
          </cell>
          <cell r="I3595">
            <v>567000</v>
          </cell>
          <cell r="J3595">
            <v>567000</v>
          </cell>
          <cell r="K3595">
            <v>141750</v>
          </cell>
          <cell r="L3595">
            <v>630000</v>
          </cell>
          <cell r="M3595">
            <v>0</v>
          </cell>
        </row>
        <row r="3596">
          <cell r="A3596" t="e">
            <v>#VALUE!</v>
          </cell>
          <cell r="B3596" t="str">
            <v>829100  סך הכל</v>
          </cell>
          <cell r="F3596" t="str">
            <v xml:space="preserve">מינהל הספורט      </v>
          </cell>
          <cell r="H3596">
            <v>0.28166332864026655</v>
          </cell>
          <cell r="I3596">
            <v>11633940</v>
          </cell>
          <cell r="J3596">
            <v>9077220</v>
          </cell>
          <cell r="K3596">
            <v>5281383</v>
          </cell>
          <cell r="L3596">
            <v>8628000</v>
          </cell>
          <cell r="M3596">
            <v>8236915.6300000008</v>
          </cell>
        </row>
        <row r="3597">
          <cell r="A3597">
            <v>18292000</v>
          </cell>
          <cell r="B3597">
            <v>0</v>
          </cell>
          <cell r="C3597">
            <v>829200</v>
          </cell>
          <cell r="D3597">
            <v>1</v>
          </cell>
          <cell r="F3597" t="str">
            <v xml:space="preserve">מתקני ספורט       </v>
          </cell>
          <cell r="G3597" t="str">
            <v xml:space="preserve"> </v>
          </cell>
        </row>
        <row r="3598">
          <cell r="A3598">
            <v>1829200810</v>
          </cell>
          <cell r="B3598">
            <v>810</v>
          </cell>
          <cell r="C3598">
            <v>829200</v>
          </cell>
          <cell r="D3598">
            <v>1</v>
          </cell>
          <cell r="F3598" t="str">
            <v>השתתפות בתק' הפעלה</v>
          </cell>
          <cell r="G3598" t="str">
            <v>גמיש</v>
          </cell>
          <cell r="H3598">
            <v>0.22222222222222232</v>
          </cell>
          <cell r="I3598">
            <v>1114190</v>
          </cell>
          <cell r="J3598">
            <v>911610</v>
          </cell>
          <cell r="K3598">
            <v>683709</v>
          </cell>
          <cell r="L3598">
            <v>1012900</v>
          </cell>
          <cell r="M3598">
            <v>1012901.32</v>
          </cell>
        </row>
        <row r="3599">
          <cell r="A3599" t="e">
            <v>#VALUE!</v>
          </cell>
          <cell r="B3599" t="str">
            <v>829200  סך הכל</v>
          </cell>
          <cell r="F3599" t="str">
            <v xml:space="preserve">מתקני ספורט       </v>
          </cell>
          <cell r="H3599">
            <v>0.22222222222222232</v>
          </cell>
          <cell r="I3599">
            <v>1114190</v>
          </cell>
          <cell r="J3599">
            <v>911610</v>
          </cell>
          <cell r="K3599">
            <v>683709</v>
          </cell>
          <cell r="L3599">
            <v>1012900</v>
          </cell>
          <cell r="M3599">
            <v>1012901.32</v>
          </cell>
        </row>
        <row r="3600">
          <cell r="A3600">
            <v>18293000</v>
          </cell>
          <cell r="B3600">
            <v>0</v>
          </cell>
          <cell r="C3600">
            <v>829300</v>
          </cell>
          <cell r="D3600">
            <v>1</v>
          </cell>
          <cell r="F3600" t="str">
            <v>בית ספר ניצנים</v>
          </cell>
          <cell r="G3600" t="str">
            <v xml:space="preserve"> </v>
          </cell>
        </row>
        <row r="3601">
          <cell r="A3601">
            <v>1829300810</v>
          </cell>
          <cell r="B3601">
            <v>810</v>
          </cell>
          <cell r="C3601">
            <v>829300</v>
          </cell>
          <cell r="D3601">
            <v>1</v>
          </cell>
          <cell r="F3601" t="str">
            <v>השתתפות בתקציב הפעלה</v>
          </cell>
          <cell r="G3601" t="str">
            <v>גמיש</v>
          </cell>
          <cell r="H3601" t="e">
            <v>#DIV/0!</v>
          </cell>
          <cell r="I3601">
            <v>115280</v>
          </cell>
        </row>
        <row r="3602">
          <cell r="A3602" t="e">
            <v>#VALUE!</v>
          </cell>
          <cell r="B3602" t="str">
            <v>829300  סך הכל</v>
          </cell>
          <cell r="F3602" t="str">
            <v>בית ספר ניצנים</v>
          </cell>
          <cell r="H3602" t="e">
            <v>#DIV/0!</v>
          </cell>
          <cell r="I3602">
            <v>115280</v>
          </cell>
          <cell r="J3602">
            <v>0</v>
          </cell>
          <cell r="K3602">
            <v>0</v>
          </cell>
          <cell r="L3602">
            <v>0</v>
          </cell>
          <cell r="M3602">
            <v>0</v>
          </cell>
        </row>
        <row r="3603">
          <cell r="A3603">
            <v>18295000</v>
          </cell>
          <cell r="B3603">
            <v>0</v>
          </cell>
          <cell r="C3603">
            <v>829500</v>
          </cell>
          <cell r="D3603">
            <v>1</v>
          </cell>
          <cell r="F3603" t="str">
            <v xml:space="preserve">מרכז פיס - ברקת   </v>
          </cell>
          <cell r="G3603" t="str">
            <v xml:space="preserve"> </v>
          </cell>
        </row>
        <row r="3604">
          <cell r="A3604">
            <v>1829500810</v>
          </cell>
          <cell r="B3604">
            <v>810</v>
          </cell>
          <cell r="C3604">
            <v>829500</v>
          </cell>
          <cell r="D3604">
            <v>1</v>
          </cell>
          <cell r="F3604" t="str">
            <v>השתת' בתקציב הפעלה</v>
          </cell>
          <cell r="G3604" t="str">
            <v>גמיש</v>
          </cell>
          <cell r="H3604">
            <v>0.22222222222222232</v>
          </cell>
          <cell r="I3604">
            <v>115280</v>
          </cell>
          <cell r="J3604">
            <v>94320</v>
          </cell>
          <cell r="K3604">
            <v>70740</v>
          </cell>
          <cell r="L3604">
            <v>104800</v>
          </cell>
          <cell r="M3604">
            <v>104800</v>
          </cell>
        </row>
        <row r="3605">
          <cell r="A3605" t="e">
            <v>#VALUE!</v>
          </cell>
          <cell r="B3605" t="str">
            <v>829500  סך הכל</v>
          </cell>
          <cell r="F3605" t="str">
            <v xml:space="preserve">מרכז פיס - ברקת   </v>
          </cell>
          <cell r="H3605">
            <v>0.22222222222222232</v>
          </cell>
          <cell r="I3605">
            <v>115280</v>
          </cell>
          <cell r="J3605">
            <v>94320</v>
          </cell>
          <cell r="K3605">
            <v>70740</v>
          </cell>
          <cell r="L3605">
            <v>104800</v>
          </cell>
          <cell r="M3605">
            <v>104800</v>
          </cell>
        </row>
        <row r="3606">
          <cell r="A3606">
            <v>18296000</v>
          </cell>
          <cell r="B3606">
            <v>0</v>
          </cell>
          <cell r="C3606">
            <v>829600</v>
          </cell>
          <cell r="D3606">
            <v>1</v>
          </cell>
          <cell r="F3606" t="str">
            <v xml:space="preserve">מרכז פיס קרית שרת </v>
          </cell>
          <cell r="G3606" t="str">
            <v xml:space="preserve"> </v>
          </cell>
        </row>
        <row r="3607">
          <cell r="A3607">
            <v>1829600810</v>
          </cell>
          <cell r="B3607">
            <v>810</v>
          </cell>
          <cell r="C3607">
            <v>829600</v>
          </cell>
          <cell r="D3607">
            <v>1</v>
          </cell>
          <cell r="F3607" t="str">
            <v>השתתפות בתק' הפעלה</v>
          </cell>
          <cell r="G3607" t="str">
            <v>גמיש</v>
          </cell>
          <cell r="H3607">
            <v>0.22222222222222232</v>
          </cell>
          <cell r="I3607">
            <v>159280</v>
          </cell>
          <cell r="J3607">
            <v>130320</v>
          </cell>
          <cell r="K3607">
            <v>97740</v>
          </cell>
          <cell r="L3607">
            <v>144800</v>
          </cell>
          <cell r="M3607">
            <v>144801.32</v>
          </cell>
        </row>
        <row r="3608">
          <cell r="A3608">
            <v>1829600821</v>
          </cell>
          <cell r="B3608">
            <v>821</v>
          </cell>
          <cell r="C3608">
            <v>829600</v>
          </cell>
          <cell r="D3608">
            <v>1</v>
          </cell>
          <cell r="F3608" t="str">
            <v>הפעלת אולם בגין</v>
          </cell>
          <cell r="G3608" t="str">
            <v>קשיח</v>
          </cell>
          <cell r="H3608">
            <v>0.22222222222222232</v>
          </cell>
          <cell r="I3608">
            <v>94600</v>
          </cell>
          <cell r="J3608">
            <v>77400</v>
          </cell>
          <cell r="K3608">
            <v>58051</v>
          </cell>
          <cell r="L3608">
            <v>86000</v>
          </cell>
          <cell r="M3608">
            <v>86001.32</v>
          </cell>
        </row>
        <row r="3609">
          <cell r="A3609" t="e">
            <v>#VALUE!</v>
          </cell>
          <cell r="B3609" t="str">
            <v>829600  סך הכל</v>
          </cell>
          <cell r="F3609" t="str">
            <v xml:space="preserve">מרכז פיס קרית שרת </v>
          </cell>
          <cell r="H3609">
            <v>0.22222222222222232</v>
          </cell>
          <cell r="I3609">
            <v>253880</v>
          </cell>
          <cell r="J3609">
            <v>207720</v>
          </cell>
          <cell r="K3609">
            <v>155791</v>
          </cell>
          <cell r="L3609">
            <v>230800</v>
          </cell>
          <cell r="M3609">
            <v>230802.64</v>
          </cell>
        </row>
        <row r="3610">
          <cell r="A3610">
            <v>18297000</v>
          </cell>
          <cell r="B3610">
            <v>0</v>
          </cell>
          <cell r="C3610">
            <v>829700</v>
          </cell>
          <cell r="D3610">
            <v>1</v>
          </cell>
          <cell r="F3610" t="str">
            <v xml:space="preserve">מרכז ספורט טיפולי </v>
          </cell>
          <cell r="G3610" t="str">
            <v xml:space="preserve"> </v>
          </cell>
        </row>
        <row r="3611">
          <cell r="A3611">
            <v>1829700794</v>
          </cell>
          <cell r="B3611">
            <v>794</v>
          </cell>
          <cell r="C3611">
            <v>829700</v>
          </cell>
          <cell r="D3611">
            <v>1</v>
          </cell>
          <cell r="F3611" t="str">
            <v xml:space="preserve">השתתפות בעזר 094  </v>
          </cell>
          <cell r="G3611" t="str">
            <v>קשיח</v>
          </cell>
          <cell r="H3611">
            <v>0</v>
          </cell>
          <cell r="I3611">
            <v>4200</v>
          </cell>
          <cell r="J3611">
            <v>4200</v>
          </cell>
          <cell r="K3611">
            <v>1984</v>
          </cell>
          <cell r="L3611">
            <v>3200</v>
          </cell>
          <cell r="M3611">
            <v>3817</v>
          </cell>
        </row>
        <row r="3612">
          <cell r="A3612">
            <v>1829700810</v>
          </cell>
          <cell r="B3612">
            <v>810</v>
          </cell>
          <cell r="C3612">
            <v>829700</v>
          </cell>
          <cell r="D3612">
            <v>1</v>
          </cell>
          <cell r="F3612" t="str">
            <v xml:space="preserve">הפעלת המרכז       </v>
          </cell>
          <cell r="G3612" t="str">
            <v>גמיש</v>
          </cell>
          <cell r="H3612">
            <v>0.22222222222222232</v>
          </cell>
          <cell r="I3612">
            <v>729410</v>
          </cell>
          <cell r="J3612">
            <v>596790</v>
          </cell>
          <cell r="K3612">
            <v>447585</v>
          </cell>
          <cell r="L3612">
            <v>663100</v>
          </cell>
          <cell r="M3612">
            <v>663100</v>
          </cell>
        </row>
        <row r="3613">
          <cell r="A3613">
            <v>1829700811</v>
          </cell>
          <cell r="B3613">
            <v>811</v>
          </cell>
          <cell r="C3613">
            <v>829700</v>
          </cell>
          <cell r="D3613">
            <v>1</v>
          </cell>
          <cell r="F3613" t="str">
            <v>איבחון - ספורט טיפולי</v>
          </cell>
          <cell r="G3613" t="str">
            <v>קשיח</v>
          </cell>
          <cell r="H3613">
            <v>0.22222222222222232</v>
          </cell>
          <cell r="I3613">
            <v>285890</v>
          </cell>
          <cell r="J3613">
            <v>233910</v>
          </cell>
          <cell r="K3613">
            <v>175435</v>
          </cell>
          <cell r="L3613">
            <v>259900</v>
          </cell>
          <cell r="M3613">
            <v>259902.68</v>
          </cell>
        </row>
        <row r="3614">
          <cell r="A3614" t="e">
            <v>#VALUE!</v>
          </cell>
          <cell r="B3614" t="str">
            <v>829700  סך הכל</v>
          </cell>
          <cell r="F3614" t="str">
            <v xml:space="preserve">מרכז ספורט טיפולי </v>
          </cell>
          <cell r="H3614">
            <v>0.22110432387112233</v>
          </cell>
          <cell r="I3614">
            <v>1019500</v>
          </cell>
          <cell r="J3614">
            <v>834900</v>
          </cell>
          <cell r="K3614">
            <v>625004</v>
          </cell>
          <cell r="L3614">
            <v>926200</v>
          </cell>
          <cell r="M3614">
            <v>926819.67999999993</v>
          </cell>
        </row>
        <row r="3615">
          <cell r="A3615">
            <v>18298000</v>
          </cell>
          <cell r="B3615">
            <v>0</v>
          </cell>
          <cell r="C3615">
            <v>829800</v>
          </cell>
          <cell r="D3615">
            <v>1</v>
          </cell>
          <cell r="F3615" t="str">
            <v xml:space="preserve">מרכז ספורט קציר   </v>
          </cell>
          <cell r="G3615" t="str">
            <v xml:space="preserve"> </v>
          </cell>
        </row>
        <row r="3616">
          <cell r="A3616">
            <v>1829800810</v>
          </cell>
          <cell r="B3616">
            <v>810</v>
          </cell>
          <cell r="C3616">
            <v>829800</v>
          </cell>
          <cell r="D3616">
            <v>1</v>
          </cell>
          <cell r="F3616" t="str">
            <v>השתתפות בתק' הפעלה</v>
          </cell>
          <cell r="G3616" t="str">
            <v>גמיש</v>
          </cell>
          <cell r="H3616">
            <v>0.10000000000000009</v>
          </cell>
          <cell r="I3616">
            <v>159500</v>
          </cell>
          <cell r="J3616">
            <v>145000</v>
          </cell>
          <cell r="K3616">
            <v>108750</v>
          </cell>
          <cell r="L3616">
            <v>145000</v>
          </cell>
          <cell r="M3616">
            <v>145000</v>
          </cell>
        </row>
        <row r="3617">
          <cell r="A3617" t="e">
            <v>#VALUE!</v>
          </cell>
          <cell r="B3617" t="str">
            <v>829800  סך הכל</v>
          </cell>
          <cell r="F3617" t="str">
            <v xml:space="preserve">מרכז ספורט קציר   </v>
          </cell>
          <cell r="H3617">
            <v>0.10000000000000009</v>
          </cell>
          <cell r="I3617">
            <v>159500</v>
          </cell>
          <cell r="J3617">
            <v>145000</v>
          </cell>
          <cell r="K3617">
            <v>108750</v>
          </cell>
          <cell r="L3617">
            <v>145000</v>
          </cell>
          <cell r="M3617">
            <v>145000</v>
          </cell>
        </row>
        <row r="3618">
          <cell r="A3618">
            <v>18299000</v>
          </cell>
          <cell r="B3618">
            <v>0</v>
          </cell>
          <cell r="C3618">
            <v>829900</v>
          </cell>
          <cell r="D3618">
            <v>1</v>
          </cell>
          <cell r="F3618" t="str">
            <v>תמיכות לאגודות ספורט</v>
          </cell>
          <cell r="G3618" t="str">
            <v xml:space="preserve"> </v>
          </cell>
        </row>
        <row r="3619">
          <cell r="A3619">
            <v>1829900580</v>
          </cell>
          <cell r="B3619">
            <v>580</v>
          </cell>
          <cell r="C3619">
            <v>829900</v>
          </cell>
          <cell r="D3619">
            <v>1</v>
          </cell>
          <cell r="F3619" t="str">
            <v xml:space="preserve">בקרה תקציבית      </v>
          </cell>
          <cell r="G3619" t="str">
            <v>גמיש</v>
          </cell>
          <cell r="H3619">
            <v>0</v>
          </cell>
          <cell r="I3619">
            <v>82440</v>
          </cell>
          <cell r="J3619">
            <v>82440</v>
          </cell>
          <cell r="K3619">
            <v>79650</v>
          </cell>
          <cell r="L3619">
            <v>91600</v>
          </cell>
          <cell r="M3619">
            <v>78975.5</v>
          </cell>
        </row>
        <row r="3620">
          <cell r="A3620">
            <v>1829900821</v>
          </cell>
          <cell r="B3620">
            <v>821</v>
          </cell>
          <cell r="C3620">
            <v>829900</v>
          </cell>
          <cell r="D3620">
            <v>1</v>
          </cell>
          <cell r="F3620" t="str">
            <v>עמותת ספורט בגין חולון</v>
          </cell>
          <cell r="G3620" t="str">
            <v>גמיש</v>
          </cell>
          <cell r="I3620">
            <v>0</v>
          </cell>
          <cell r="J3620">
            <v>0</v>
          </cell>
          <cell r="K3620">
            <v>87754</v>
          </cell>
          <cell r="L3620">
            <v>0</v>
          </cell>
          <cell r="M3620">
            <v>161050</v>
          </cell>
        </row>
        <row r="3621">
          <cell r="A3621">
            <v>1829900822</v>
          </cell>
          <cell r="B3621">
            <v>822</v>
          </cell>
          <cell r="C3621">
            <v>829900</v>
          </cell>
          <cell r="D3621">
            <v>1</v>
          </cell>
          <cell r="F3621" t="str">
            <v>תמיכות ספורט</v>
          </cell>
          <cell r="G3621" t="str">
            <v>גמיש</v>
          </cell>
          <cell r="H3621">
            <v>0</v>
          </cell>
          <cell r="I3621">
            <v>7452000</v>
          </cell>
          <cell r="J3621">
            <v>7452000</v>
          </cell>
          <cell r="K3621">
            <v>0</v>
          </cell>
          <cell r="L3621">
            <v>6480000</v>
          </cell>
          <cell r="M3621">
            <v>0</v>
          </cell>
        </row>
        <row r="3622">
          <cell r="A3622">
            <v>1829900823</v>
          </cell>
          <cell r="B3622">
            <v>823</v>
          </cell>
          <cell r="C3622">
            <v>829900</v>
          </cell>
          <cell r="D3622">
            <v>1</v>
          </cell>
          <cell r="F3622" t="str">
            <v>השגיות</v>
          </cell>
          <cell r="G3622" t="str">
            <v>גמיש</v>
          </cell>
          <cell r="H3622">
            <v>0</v>
          </cell>
          <cell r="I3622">
            <v>2208000</v>
          </cell>
          <cell r="J3622">
            <v>2208000</v>
          </cell>
          <cell r="K3622">
            <v>1601196</v>
          </cell>
          <cell r="L3622">
            <v>1920000</v>
          </cell>
          <cell r="M3622">
            <v>1920001</v>
          </cell>
        </row>
        <row r="3623">
          <cell r="A3623">
            <v>1829900826</v>
          </cell>
          <cell r="B3623">
            <v>826</v>
          </cell>
          <cell r="C3623">
            <v>829900</v>
          </cell>
          <cell r="D3623">
            <v>1</v>
          </cell>
          <cell r="F3623" t="str">
            <v>כוכב עולה נוער</v>
          </cell>
          <cell r="G3623" t="str">
            <v>גמיש</v>
          </cell>
          <cell r="I3623">
            <v>0</v>
          </cell>
          <cell r="J3623">
            <v>0</v>
          </cell>
          <cell r="K3623">
            <v>233757</v>
          </cell>
          <cell r="L3623">
            <v>0</v>
          </cell>
          <cell r="M3623">
            <v>426799</v>
          </cell>
        </row>
        <row r="3624">
          <cell r="A3624">
            <v>1829900827</v>
          </cell>
          <cell r="B3624">
            <v>827</v>
          </cell>
          <cell r="C3624">
            <v>829900</v>
          </cell>
          <cell r="D3624">
            <v>1</v>
          </cell>
          <cell r="F3624" t="str">
            <v>צפרירים  נוער</v>
          </cell>
          <cell r="G3624" t="str">
            <v>גמיש</v>
          </cell>
          <cell r="I3624">
            <v>0</v>
          </cell>
          <cell r="J3624">
            <v>0</v>
          </cell>
          <cell r="K3624">
            <v>145097</v>
          </cell>
          <cell r="L3624">
            <v>0</v>
          </cell>
          <cell r="M3624">
            <v>112416</v>
          </cell>
        </row>
        <row r="3625">
          <cell r="A3625">
            <v>1829900828</v>
          </cell>
          <cell r="B3625">
            <v>828</v>
          </cell>
          <cell r="C3625">
            <v>829900</v>
          </cell>
          <cell r="D3625">
            <v>1</v>
          </cell>
          <cell r="F3625" t="str">
            <v>ריקודים סלוניים</v>
          </cell>
          <cell r="G3625" t="str">
            <v>גמיש</v>
          </cell>
          <cell r="I3625">
            <v>0</v>
          </cell>
          <cell r="J3625">
            <v>0</v>
          </cell>
          <cell r="K3625">
            <v>9750</v>
          </cell>
          <cell r="L3625">
            <v>0</v>
          </cell>
          <cell r="M3625">
            <v>8947</v>
          </cell>
        </row>
        <row r="3626">
          <cell r="A3626">
            <v>1829900880</v>
          </cell>
          <cell r="B3626">
            <v>880</v>
          </cell>
          <cell r="C3626">
            <v>829900</v>
          </cell>
          <cell r="D3626">
            <v>1</v>
          </cell>
          <cell r="F3626" t="str">
            <v>צפרירים</v>
          </cell>
          <cell r="G3626" t="str">
            <v>גמיש</v>
          </cell>
          <cell r="I3626">
            <v>0</v>
          </cell>
          <cell r="J3626">
            <v>0</v>
          </cell>
          <cell r="K3626">
            <v>48752</v>
          </cell>
          <cell r="L3626">
            <v>0</v>
          </cell>
          <cell r="M3626">
            <v>0</v>
          </cell>
        </row>
        <row r="3627">
          <cell r="A3627">
            <v>1829900881</v>
          </cell>
          <cell r="B3627">
            <v>881</v>
          </cell>
          <cell r="C3627">
            <v>829900</v>
          </cell>
          <cell r="D3627">
            <v>1</v>
          </cell>
          <cell r="F3627" t="str">
            <v>פיסגה - אומנויות לחימה</v>
          </cell>
          <cell r="G3627" t="str">
            <v>גמיש</v>
          </cell>
          <cell r="I3627">
            <v>0</v>
          </cell>
          <cell r="J3627">
            <v>0</v>
          </cell>
          <cell r="K3627">
            <v>0</v>
          </cell>
          <cell r="L3627">
            <v>0</v>
          </cell>
          <cell r="M3627">
            <v>152103</v>
          </cell>
        </row>
        <row r="3628">
          <cell r="A3628">
            <v>1829900882</v>
          </cell>
          <cell r="B3628">
            <v>882</v>
          </cell>
          <cell r="C3628">
            <v>829900</v>
          </cell>
          <cell r="D3628">
            <v>1</v>
          </cell>
          <cell r="F3628" t="str">
            <v>כדוריד חולון בוגרים</v>
          </cell>
          <cell r="G3628" t="str">
            <v>גמיש</v>
          </cell>
          <cell r="I3628">
            <v>0</v>
          </cell>
          <cell r="J3628">
            <v>0</v>
          </cell>
          <cell r="K3628">
            <v>609406</v>
          </cell>
          <cell r="L3628">
            <v>0</v>
          </cell>
          <cell r="M3628">
            <v>558903</v>
          </cell>
        </row>
        <row r="3629">
          <cell r="A3629">
            <v>1829900883</v>
          </cell>
          <cell r="B3629">
            <v>883</v>
          </cell>
          <cell r="C3629">
            <v>829900</v>
          </cell>
          <cell r="D3629">
            <v>1</v>
          </cell>
          <cell r="F3629" t="str">
            <v xml:space="preserve">אליצור כדורסל     </v>
          </cell>
          <cell r="G3629" t="str">
            <v>גמיש</v>
          </cell>
          <cell r="I3629">
            <v>0</v>
          </cell>
          <cell r="J3629">
            <v>0</v>
          </cell>
          <cell r="K3629">
            <v>438772</v>
          </cell>
          <cell r="L3629">
            <v>0</v>
          </cell>
          <cell r="M3629">
            <v>805252.5</v>
          </cell>
        </row>
        <row r="3630">
          <cell r="A3630">
            <v>1829900884</v>
          </cell>
          <cell r="B3630">
            <v>884</v>
          </cell>
          <cell r="C3630">
            <v>829900</v>
          </cell>
          <cell r="D3630">
            <v>1</v>
          </cell>
          <cell r="F3630" t="str">
            <v>סלעים איתנים-כדורסל בוגרים</v>
          </cell>
          <cell r="G3630" t="str">
            <v>גמיש</v>
          </cell>
          <cell r="I3630">
            <v>0</v>
          </cell>
          <cell r="J3630">
            <v>0</v>
          </cell>
          <cell r="K3630">
            <v>1962573.5</v>
          </cell>
          <cell r="L3630">
            <v>0</v>
          </cell>
          <cell r="M3630">
            <v>1842088</v>
          </cell>
        </row>
        <row r="3631">
          <cell r="A3631">
            <v>1829900885</v>
          </cell>
          <cell r="B3631">
            <v>885</v>
          </cell>
          <cell r="C3631">
            <v>829900</v>
          </cell>
          <cell r="D3631">
            <v>1</v>
          </cell>
          <cell r="F3631" t="str">
            <v>מועדון הנוער בכדורגל</v>
          </cell>
          <cell r="G3631" t="str">
            <v>גמיש</v>
          </cell>
          <cell r="I3631">
            <v>0</v>
          </cell>
          <cell r="J3631">
            <v>0</v>
          </cell>
          <cell r="K3631">
            <v>0</v>
          </cell>
          <cell r="L3631">
            <v>0</v>
          </cell>
          <cell r="M3631">
            <v>64527</v>
          </cell>
        </row>
        <row r="3632">
          <cell r="A3632">
            <v>1829900886</v>
          </cell>
          <cell r="B3632">
            <v>886</v>
          </cell>
          <cell r="C3632">
            <v>829900</v>
          </cell>
          <cell r="D3632">
            <v>1</v>
          </cell>
          <cell r="F3632" t="str">
            <v>מכבי הת' אומנותית</v>
          </cell>
          <cell r="G3632" t="str">
            <v>גמיש</v>
          </cell>
          <cell r="I3632">
            <v>0</v>
          </cell>
          <cell r="J3632">
            <v>0</v>
          </cell>
          <cell r="K3632">
            <v>248637</v>
          </cell>
          <cell r="L3632">
            <v>0</v>
          </cell>
          <cell r="M3632">
            <v>456310</v>
          </cell>
        </row>
        <row r="3633">
          <cell r="A3633">
            <v>1829900888</v>
          </cell>
          <cell r="B3633">
            <v>888</v>
          </cell>
          <cell r="C3633">
            <v>829900</v>
          </cell>
          <cell r="D3633">
            <v>1</v>
          </cell>
          <cell r="F3633" t="str">
            <v>מכבי חולון - כדורל</v>
          </cell>
          <cell r="G3633" t="str">
            <v>גמיש</v>
          </cell>
          <cell r="I3633">
            <v>0</v>
          </cell>
          <cell r="J3633">
            <v>0</v>
          </cell>
          <cell r="K3633">
            <v>165758</v>
          </cell>
          <cell r="L3633">
            <v>0</v>
          </cell>
          <cell r="M3633">
            <v>0</v>
          </cell>
        </row>
        <row r="3634">
          <cell r="A3634">
            <v>1829900889</v>
          </cell>
          <cell r="B3634">
            <v>889</v>
          </cell>
          <cell r="C3634">
            <v>829900</v>
          </cell>
          <cell r="D3634">
            <v>1</v>
          </cell>
          <cell r="F3634" t="str">
            <v>כדוריד חולון נוער</v>
          </cell>
          <cell r="G3634" t="str">
            <v>גמיש</v>
          </cell>
          <cell r="I3634">
            <v>0</v>
          </cell>
          <cell r="J3634">
            <v>0</v>
          </cell>
          <cell r="K3634">
            <v>386116</v>
          </cell>
          <cell r="L3634">
            <v>0</v>
          </cell>
          <cell r="M3634">
            <v>400124</v>
          </cell>
        </row>
        <row r="3635">
          <cell r="A3635">
            <v>1829900890</v>
          </cell>
          <cell r="B3635">
            <v>890</v>
          </cell>
          <cell r="C3635">
            <v>829900</v>
          </cell>
          <cell r="D3635">
            <v>1</v>
          </cell>
          <cell r="F3635" t="str">
            <v>אליצור-נער כוכבי על</v>
          </cell>
          <cell r="G3635" t="str">
            <v>גמיש</v>
          </cell>
          <cell r="I3635">
            <v>0</v>
          </cell>
          <cell r="J3635">
            <v>0</v>
          </cell>
          <cell r="K3635">
            <v>166621.5</v>
          </cell>
          <cell r="L3635">
            <v>0</v>
          </cell>
          <cell r="M3635">
            <v>269925</v>
          </cell>
        </row>
        <row r="3636">
          <cell r="A3636">
            <v>1829900891</v>
          </cell>
          <cell r="B3636">
            <v>891</v>
          </cell>
          <cell r="C3636">
            <v>829900</v>
          </cell>
          <cell r="D3636">
            <v>1</v>
          </cell>
          <cell r="F3636" t="str">
            <v xml:space="preserve">הפועל חולון-ענפים </v>
          </cell>
          <cell r="G3636" t="str">
            <v>גמיש</v>
          </cell>
          <cell r="I3636">
            <v>0</v>
          </cell>
          <cell r="J3636">
            <v>0</v>
          </cell>
          <cell r="K3636">
            <v>204760</v>
          </cell>
          <cell r="L3636">
            <v>0</v>
          </cell>
          <cell r="M3636">
            <v>196839</v>
          </cell>
        </row>
        <row r="3637">
          <cell r="A3637">
            <v>1829900893</v>
          </cell>
          <cell r="B3637">
            <v>893</v>
          </cell>
          <cell r="C3637">
            <v>829900</v>
          </cell>
          <cell r="D3637">
            <v>1</v>
          </cell>
          <cell r="F3637" t="str">
            <v>אייס חולון ע"ר</v>
          </cell>
          <cell r="G3637" t="str">
            <v>גמיש</v>
          </cell>
          <cell r="I3637">
            <v>0</v>
          </cell>
          <cell r="J3637">
            <v>0</v>
          </cell>
          <cell r="K3637">
            <v>165758</v>
          </cell>
          <cell r="L3637">
            <v>0</v>
          </cell>
          <cell r="M3637">
            <v>152103</v>
          </cell>
        </row>
        <row r="3638">
          <cell r="A3638">
            <v>1829900894</v>
          </cell>
          <cell r="B3638">
            <v>894</v>
          </cell>
          <cell r="C3638">
            <v>829900</v>
          </cell>
          <cell r="D3638">
            <v>1</v>
          </cell>
          <cell r="F3638" t="str">
            <v>באול 300 חולון</v>
          </cell>
          <cell r="G3638" t="str">
            <v>גמיש</v>
          </cell>
          <cell r="I3638">
            <v>0</v>
          </cell>
          <cell r="J3638">
            <v>0</v>
          </cell>
          <cell r="K3638">
            <v>9750</v>
          </cell>
          <cell r="L3638">
            <v>0</v>
          </cell>
          <cell r="M3638">
            <v>8947</v>
          </cell>
        </row>
        <row r="3639">
          <cell r="A3639">
            <v>1829900896</v>
          </cell>
          <cell r="B3639">
            <v>896</v>
          </cell>
          <cell r="C3639">
            <v>829900</v>
          </cell>
          <cell r="D3639">
            <v>1</v>
          </cell>
          <cell r="F3639" t="str">
            <v>ירמיהו-עמותה לקידום כדורגל</v>
          </cell>
          <cell r="G3639" t="str">
            <v>גמיש</v>
          </cell>
          <cell r="I3639">
            <v>0</v>
          </cell>
          <cell r="J3639">
            <v>0</v>
          </cell>
          <cell r="K3639">
            <v>389767.5</v>
          </cell>
          <cell r="L3639">
            <v>0</v>
          </cell>
          <cell r="M3639">
            <v>435850</v>
          </cell>
        </row>
        <row r="3640">
          <cell r="A3640">
            <v>1829900897</v>
          </cell>
          <cell r="B3640">
            <v>897</v>
          </cell>
          <cell r="C3640">
            <v>829900</v>
          </cell>
          <cell r="D3640">
            <v>1</v>
          </cell>
          <cell r="F3640" t="str">
            <v xml:space="preserve">עמותת גלגיליות   </v>
          </cell>
          <cell r="G3640" t="str">
            <v>גמיש</v>
          </cell>
          <cell r="I3640">
            <v>0</v>
          </cell>
          <cell r="J3640">
            <v>0</v>
          </cell>
          <cell r="K3640">
            <v>165758</v>
          </cell>
          <cell r="L3640">
            <v>0</v>
          </cell>
          <cell r="M3640">
            <v>152103</v>
          </cell>
        </row>
        <row r="3641">
          <cell r="A3641">
            <v>1829900898</v>
          </cell>
          <cell r="B3641">
            <v>898</v>
          </cell>
          <cell r="C3641">
            <v>829900</v>
          </cell>
          <cell r="D3641">
            <v>1</v>
          </cell>
          <cell r="F3641" t="str">
            <v xml:space="preserve">עוצמה (ארזים) כדורגל      </v>
          </cell>
          <cell r="G3641" t="str">
            <v>גמיש</v>
          </cell>
          <cell r="I3641">
            <v>0</v>
          </cell>
          <cell r="J3641">
            <v>0</v>
          </cell>
          <cell r="K3641">
            <v>0</v>
          </cell>
          <cell r="L3641">
            <v>0</v>
          </cell>
          <cell r="M3641">
            <v>53465</v>
          </cell>
        </row>
        <row r="3642">
          <cell r="A3642">
            <v>1829900899</v>
          </cell>
          <cell r="B3642">
            <v>899</v>
          </cell>
          <cell r="C3642">
            <v>829900</v>
          </cell>
          <cell r="D3642">
            <v>1</v>
          </cell>
          <cell r="F3642" t="str">
            <v>א.ס.מור-מועדון נווה דוד</v>
          </cell>
          <cell r="G3642" t="str">
            <v>גמיש</v>
          </cell>
          <cell r="I3642">
            <v>0</v>
          </cell>
          <cell r="J3642">
            <v>0</v>
          </cell>
          <cell r="K3642">
            <v>40029.5</v>
          </cell>
          <cell r="L3642">
            <v>0</v>
          </cell>
          <cell r="M3642">
            <v>25405</v>
          </cell>
        </row>
        <row r="3643">
          <cell r="A3643" t="e">
            <v>#VALUE!</v>
          </cell>
          <cell r="B3643" t="str">
            <v>829900  סך הכל</v>
          </cell>
          <cell r="F3643" t="str">
            <v>תמיכות לאגודות ספורט</v>
          </cell>
          <cell r="H3643">
            <v>0</v>
          </cell>
          <cell r="I3643">
            <v>9742440</v>
          </cell>
          <cell r="J3643">
            <v>9742440</v>
          </cell>
          <cell r="K3643">
            <v>7159663</v>
          </cell>
          <cell r="L3643">
            <v>8491600</v>
          </cell>
          <cell r="M3643">
            <v>8282133</v>
          </cell>
        </row>
        <row r="3644">
          <cell r="A3644">
            <v>18300000</v>
          </cell>
          <cell r="B3644">
            <v>0</v>
          </cell>
          <cell r="C3644">
            <v>830000</v>
          </cell>
          <cell r="D3644">
            <v>1</v>
          </cell>
          <cell r="F3644" t="str">
            <v xml:space="preserve">בריאות            </v>
          </cell>
          <cell r="G3644" t="str">
            <v xml:space="preserve"> </v>
          </cell>
        </row>
        <row r="3645">
          <cell r="A3645">
            <v>1832400423</v>
          </cell>
          <cell r="B3645">
            <v>423</v>
          </cell>
          <cell r="C3645">
            <v>832400</v>
          </cell>
          <cell r="D3645">
            <v>1</v>
          </cell>
          <cell r="F3645" t="str">
            <v xml:space="preserve">תחזוקת מבנה       </v>
          </cell>
          <cell r="G3645" t="str">
            <v>קשיח</v>
          </cell>
          <cell r="H3645">
            <v>0.26785714285714279</v>
          </cell>
          <cell r="I3645">
            <v>71000</v>
          </cell>
          <cell r="J3645">
            <v>56000</v>
          </cell>
          <cell r="K3645">
            <v>0</v>
          </cell>
          <cell r="L3645">
            <v>66700</v>
          </cell>
          <cell r="M3645">
            <v>66700</v>
          </cell>
        </row>
        <row r="3646">
          <cell r="A3646">
            <v>1832400431</v>
          </cell>
          <cell r="B3646">
            <v>431</v>
          </cell>
          <cell r="C3646">
            <v>832400</v>
          </cell>
          <cell r="D3646">
            <v>1</v>
          </cell>
          <cell r="F3646" t="str">
            <v xml:space="preserve">חשמל              </v>
          </cell>
          <cell r="G3646" t="str">
            <v>קשיח</v>
          </cell>
          <cell r="H3646">
            <v>0</v>
          </cell>
          <cell r="I3646">
            <v>90000</v>
          </cell>
          <cell r="J3646">
            <v>90000</v>
          </cell>
          <cell r="K3646">
            <v>41790.51</v>
          </cell>
          <cell r="L3646">
            <v>115500</v>
          </cell>
          <cell r="M3646">
            <v>80025.84</v>
          </cell>
        </row>
        <row r="3647">
          <cell r="A3647">
            <v>1832400437</v>
          </cell>
          <cell r="B3647">
            <v>437</v>
          </cell>
          <cell r="C3647">
            <v>832400</v>
          </cell>
          <cell r="D3647">
            <v>1</v>
          </cell>
          <cell r="F3647" t="str">
            <v xml:space="preserve">אחזקת אזעקה       </v>
          </cell>
          <cell r="G3647" t="str">
            <v>קשיח</v>
          </cell>
          <cell r="H3647">
            <v>0</v>
          </cell>
          <cell r="I3647">
            <v>2500</v>
          </cell>
          <cell r="J3647">
            <v>2500</v>
          </cell>
          <cell r="K3647">
            <v>0</v>
          </cell>
          <cell r="L3647">
            <v>2500</v>
          </cell>
          <cell r="M3647">
            <v>1221.48</v>
          </cell>
        </row>
        <row r="3648">
          <cell r="A3648">
            <v>1832400540</v>
          </cell>
          <cell r="B3648">
            <v>540</v>
          </cell>
          <cell r="C3648">
            <v>832400</v>
          </cell>
          <cell r="D3648">
            <v>1</v>
          </cell>
          <cell r="F3648" t="str">
            <v xml:space="preserve">הוצאות טלפון      </v>
          </cell>
          <cell r="G3648" t="str">
            <v>קשיח</v>
          </cell>
          <cell r="H3648">
            <v>-1</v>
          </cell>
          <cell r="I3648">
            <v>0</v>
          </cell>
          <cell r="J3648">
            <v>3000</v>
          </cell>
          <cell r="K3648">
            <v>0</v>
          </cell>
          <cell r="L3648">
            <v>3000</v>
          </cell>
          <cell r="M3648">
            <v>0</v>
          </cell>
        </row>
        <row r="3649">
          <cell r="A3649">
            <v>1832400721</v>
          </cell>
          <cell r="B3649">
            <v>721</v>
          </cell>
          <cell r="C3649">
            <v>832400</v>
          </cell>
          <cell r="D3649">
            <v>1</v>
          </cell>
          <cell r="F3649" t="str">
            <v>חמרים-תחזוקת מבנים</v>
          </cell>
          <cell r="G3649" t="str">
            <v>גמיש</v>
          </cell>
          <cell r="I3649">
            <v>0</v>
          </cell>
          <cell r="J3649">
            <v>0</v>
          </cell>
          <cell r="K3649">
            <v>0</v>
          </cell>
          <cell r="L3649">
            <v>3600</v>
          </cell>
          <cell r="M3649">
            <v>0</v>
          </cell>
        </row>
        <row r="3650">
          <cell r="A3650">
            <v>1832400751</v>
          </cell>
          <cell r="B3650">
            <v>751</v>
          </cell>
          <cell r="C3650">
            <v>832400</v>
          </cell>
          <cell r="D3650">
            <v>1</v>
          </cell>
          <cell r="F3650" t="str">
            <v xml:space="preserve">עבודות קבלניות    </v>
          </cell>
          <cell r="G3650" t="str">
            <v>קשיח</v>
          </cell>
          <cell r="H3650">
            <v>0</v>
          </cell>
          <cell r="I3650">
            <v>41400</v>
          </cell>
          <cell r="J3650">
            <v>41400</v>
          </cell>
          <cell r="K3650">
            <v>32514</v>
          </cell>
          <cell r="L3650">
            <v>46000</v>
          </cell>
          <cell r="M3650">
            <v>45906</v>
          </cell>
        </row>
        <row r="3651">
          <cell r="A3651">
            <v>1832400752</v>
          </cell>
          <cell r="B3651">
            <v>752</v>
          </cell>
          <cell r="C3651">
            <v>832400</v>
          </cell>
          <cell r="D3651">
            <v>1</v>
          </cell>
          <cell r="F3651" t="str">
            <v xml:space="preserve">נקיון בקבלנות     </v>
          </cell>
          <cell r="G3651" t="str">
            <v>קשיח</v>
          </cell>
          <cell r="H3651">
            <v>0.25</v>
          </cell>
          <cell r="I3651">
            <v>200000</v>
          </cell>
          <cell r="J3651">
            <v>160000</v>
          </cell>
          <cell r="K3651">
            <v>61492.23</v>
          </cell>
          <cell r="L3651">
            <v>160000</v>
          </cell>
          <cell r="M3651">
            <v>153088.06</v>
          </cell>
        </row>
        <row r="3652">
          <cell r="A3652" t="e">
            <v>#VALUE!</v>
          </cell>
          <cell r="B3652" t="str">
            <v>832400  סך הכל</v>
          </cell>
          <cell r="F3652" t="str">
            <v xml:space="preserve">תחנות לאם ולילד   </v>
          </cell>
          <cell r="H3652">
            <v>0.14735052422782657</v>
          </cell>
          <cell r="I3652">
            <v>404900</v>
          </cell>
          <cell r="J3652">
            <v>352900</v>
          </cell>
          <cell r="K3652">
            <v>135796.74000000002</v>
          </cell>
          <cell r="L3652">
            <v>397300</v>
          </cell>
          <cell r="M3652">
            <v>346941.38</v>
          </cell>
        </row>
        <row r="3653">
          <cell r="A3653">
            <v>18400000</v>
          </cell>
          <cell r="B3653">
            <v>0</v>
          </cell>
          <cell r="C3653">
            <v>840000</v>
          </cell>
          <cell r="D3653">
            <v>1</v>
          </cell>
          <cell r="F3653" t="str">
            <v xml:space="preserve">רווחה             </v>
          </cell>
          <cell r="G3653" t="str">
            <v xml:space="preserve"> </v>
          </cell>
        </row>
        <row r="3654">
          <cell r="A3654">
            <v>1841000110</v>
          </cell>
          <cell r="B3654">
            <v>110</v>
          </cell>
          <cell r="C3654">
            <v>841000</v>
          </cell>
          <cell r="D3654">
            <v>1</v>
          </cell>
          <cell r="F3654" t="str">
            <v>השכר הקובע-תקציבית</v>
          </cell>
          <cell r="G3654" t="str">
            <v>שכר</v>
          </cell>
          <cell r="H3654">
            <v>2.4992170372690303E-2</v>
          </cell>
          <cell r="I3654">
            <v>327280</v>
          </cell>
          <cell r="J3654">
            <v>319300</v>
          </cell>
          <cell r="K3654">
            <v>210247.19</v>
          </cell>
          <cell r="L3654">
            <v>313000</v>
          </cell>
          <cell r="M3654">
            <v>344275.4</v>
          </cell>
        </row>
        <row r="3655">
          <cell r="A3655">
            <v>1841000119</v>
          </cell>
          <cell r="B3655">
            <v>119</v>
          </cell>
          <cell r="C3655">
            <v>841000</v>
          </cell>
          <cell r="D3655">
            <v>1</v>
          </cell>
          <cell r="F3655" t="str">
            <v xml:space="preserve">השכר הקובע-צוברת  </v>
          </cell>
          <cell r="G3655" t="str">
            <v>שכר</v>
          </cell>
          <cell r="H3655">
            <v>7.0361854011357083E-2</v>
          </cell>
          <cell r="I3655">
            <v>7038249.9999999991</v>
          </cell>
          <cell r="J3655">
            <v>6575580</v>
          </cell>
          <cell r="K3655">
            <v>3459237.18</v>
          </cell>
          <cell r="L3655">
            <v>6549300</v>
          </cell>
          <cell r="M3655">
            <v>5173879.62</v>
          </cell>
        </row>
        <row r="3656">
          <cell r="A3656">
            <v>1841000122</v>
          </cell>
          <cell r="B3656">
            <v>122</v>
          </cell>
          <cell r="C3656">
            <v>841000</v>
          </cell>
          <cell r="D3656">
            <v>1</v>
          </cell>
          <cell r="F3656" t="str">
            <v xml:space="preserve">ביגוד             </v>
          </cell>
          <cell r="G3656" t="str">
            <v>שכר</v>
          </cell>
          <cell r="H3656">
            <v>4.2647035803271782E-2</v>
          </cell>
          <cell r="I3656">
            <v>70899.998434622481</v>
          </cell>
          <cell r="J3656">
            <v>68000</v>
          </cell>
          <cell r="K3656">
            <v>75948.56</v>
          </cell>
          <cell r="L3656">
            <v>64500</v>
          </cell>
          <cell r="M3656">
            <v>71257.94</v>
          </cell>
        </row>
        <row r="3657">
          <cell r="A3657">
            <v>1841000126</v>
          </cell>
          <cell r="B3657">
            <v>126</v>
          </cell>
          <cell r="C3657">
            <v>841000</v>
          </cell>
          <cell r="D3657">
            <v>1</v>
          </cell>
          <cell r="F3657" t="str">
            <v xml:space="preserve">דמי הבראה         </v>
          </cell>
          <cell r="G3657" t="str">
            <v>שכר</v>
          </cell>
          <cell r="H3657">
            <v>4.2592600436532013E-2</v>
          </cell>
          <cell r="I3657">
            <v>168900.0012707182</v>
          </cell>
          <cell r="J3657">
            <v>162000</v>
          </cell>
          <cell r="K3657">
            <v>182920.03</v>
          </cell>
          <cell r="L3657">
            <v>148000</v>
          </cell>
          <cell r="M3657">
            <v>166968.94</v>
          </cell>
        </row>
        <row r="3658">
          <cell r="A3658">
            <v>1841000130</v>
          </cell>
          <cell r="B3658">
            <v>130</v>
          </cell>
          <cell r="C3658">
            <v>841000</v>
          </cell>
          <cell r="D3658">
            <v>1</v>
          </cell>
          <cell r="F3658" t="str">
            <v xml:space="preserve">שעות נוספות       </v>
          </cell>
          <cell r="G3658" t="str">
            <v>שכר</v>
          </cell>
          <cell r="H3658">
            <v>0</v>
          </cell>
          <cell r="I3658">
            <v>47300</v>
          </cell>
          <cell r="J3658">
            <v>47300</v>
          </cell>
          <cell r="K3658">
            <v>66413.5</v>
          </cell>
          <cell r="L3658">
            <v>55000</v>
          </cell>
          <cell r="M3658">
            <v>57097.74</v>
          </cell>
        </row>
        <row r="3659">
          <cell r="A3659">
            <v>1841000140</v>
          </cell>
          <cell r="B3659">
            <v>140</v>
          </cell>
          <cell r="C3659">
            <v>841000</v>
          </cell>
          <cell r="D3659">
            <v>1</v>
          </cell>
          <cell r="F3659" t="str">
            <v>השתתפות באחזקת רכב</v>
          </cell>
          <cell r="G3659" t="str">
            <v>שכר</v>
          </cell>
          <cell r="H3659">
            <v>0</v>
          </cell>
          <cell r="I3659">
            <v>422000</v>
          </cell>
          <cell r="J3659">
            <v>422000</v>
          </cell>
          <cell r="K3659">
            <v>388679.58</v>
          </cell>
          <cell r="L3659">
            <v>402000</v>
          </cell>
          <cell r="M3659">
            <v>566330.98</v>
          </cell>
        </row>
        <row r="3660">
          <cell r="A3660">
            <v>1841000253</v>
          </cell>
          <cell r="B3660">
            <v>253</v>
          </cell>
          <cell r="C3660">
            <v>841000</v>
          </cell>
          <cell r="D3660">
            <v>1</v>
          </cell>
          <cell r="F3660" t="str">
            <v xml:space="preserve">עובד חיצוני       </v>
          </cell>
          <cell r="G3660" t="str">
            <v>שכר</v>
          </cell>
          <cell r="H3660">
            <v>0</v>
          </cell>
          <cell r="I3660">
            <v>110000</v>
          </cell>
          <cell r="J3660">
            <v>110000</v>
          </cell>
          <cell r="K3660">
            <v>0</v>
          </cell>
          <cell r="L3660">
            <v>0</v>
          </cell>
          <cell r="M3660">
            <v>122322.07</v>
          </cell>
        </row>
        <row r="3661">
          <cell r="A3661">
            <v>1841000410</v>
          </cell>
          <cell r="B3661">
            <v>410</v>
          </cell>
          <cell r="C3661">
            <v>841000</v>
          </cell>
          <cell r="D3661">
            <v>1</v>
          </cell>
          <cell r="F3661" t="str">
            <v>שכירות רווחה</v>
          </cell>
          <cell r="G3661" t="str">
            <v>קשיח</v>
          </cell>
          <cell r="H3661">
            <v>-1</v>
          </cell>
          <cell r="I3661">
            <v>0</v>
          </cell>
          <cell r="J3661">
            <v>1068100</v>
          </cell>
          <cell r="K3661">
            <v>891727</v>
          </cell>
          <cell r="L3661">
            <v>1024900</v>
          </cell>
          <cell r="M3661">
            <v>493581</v>
          </cell>
        </row>
        <row r="3662">
          <cell r="A3662">
            <v>1841000420</v>
          </cell>
          <cell r="B3662">
            <v>420</v>
          </cell>
          <cell r="C3662">
            <v>841000</v>
          </cell>
          <cell r="D3662">
            <v>1</v>
          </cell>
          <cell r="F3662" t="str">
            <v xml:space="preserve">כיבוי אש          </v>
          </cell>
          <cell r="G3662" t="str">
            <v>קשיח</v>
          </cell>
          <cell r="H3662">
            <v>3.4444444444444446</v>
          </cell>
          <cell r="I3662">
            <v>8000</v>
          </cell>
          <cell r="J3662">
            <v>1800</v>
          </cell>
          <cell r="K3662">
            <v>5889.46</v>
          </cell>
          <cell r="L3662">
            <v>2000</v>
          </cell>
          <cell r="M3662">
            <v>0</v>
          </cell>
        </row>
        <row r="3663">
          <cell r="A3663">
            <v>1841000423</v>
          </cell>
          <cell r="B3663">
            <v>423</v>
          </cell>
          <cell r="C3663">
            <v>841000</v>
          </cell>
          <cell r="D3663">
            <v>1</v>
          </cell>
          <cell r="F3663" t="str">
            <v xml:space="preserve">תחזוקת מבנה       </v>
          </cell>
          <cell r="G3663" t="str">
            <v>קשיח</v>
          </cell>
          <cell r="H3663">
            <v>1.2000000000000002</v>
          </cell>
          <cell r="I3663">
            <v>11000</v>
          </cell>
          <cell r="J3663">
            <v>5000</v>
          </cell>
          <cell r="K3663">
            <v>0</v>
          </cell>
          <cell r="L3663">
            <v>4900</v>
          </cell>
          <cell r="M3663">
            <v>4900</v>
          </cell>
        </row>
        <row r="3664">
          <cell r="A3664">
            <v>1841000431</v>
          </cell>
          <cell r="B3664">
            <v>431</v>
          </cell>
          <cell r="C3664">
            <v>841000</v>
          </cell>
          <cell r="D3664">
            <v>1</v>
          </cell>
          <cell r="F3664" t="str">
            <v xml:space="preserve">חשמל              </v>
          </cell>
          <cell r="G3664" t="str">
            <v>קשיח</v>
          </cell>
          <cell r="H3664">
            <v>-4.3381535038932162E-2</v>
          </cell>
          <cell r="I3664">
            <v>430000</v>
          </cell>
          <cell r="J3664">
            <v>449500</v>
          </cell>
          <cell r="K3664">
            <v>172054.36</v>
          </cell>
          <cell r="L3664">
            <v>330000</v>
          </cell>
          <cell r="M3664">
            <v>430034.18</v>
          </cell>
        </row>
        <row r="3665">
          <cell r="A3665">
            <v>1841000432</v>
          </cell>
          <cell r="B3665">
            <v>432</v>
          </cell>
          <cell r="C3665">
            <v>841000</v>
          </cell>
          <cell r="D3665">
            <v>1</v>
          </cell>
          <cell r="F3665" t="str">
            <v xml:space="preserve">מים               </v>
          </cell>
          <cell r="G3665" t="str">
            <v>קשיח</v>
          </cell>
          <cell r="H3665">
            <v>0</v>
          </cell>
          <cell r="I3665">
            <v>22200</v>
          </cell>
          <cell r="J3665">
            <v>22200</v>
          </cell>
          <cell r="K3665">
            <v>0</v>
          </cell>
          <cell r="L3665">
            <v>22000</v>
          </cell>
          <cell r="M3665">
            <v>7399.86</v>
          </cell>
        </row>
        <row r="3666">
          <cell r="A3666">
            <v>1841000437</v>
          </cell>
          <cell r="B3666">
            <v>437</v>
          </cell>
          <cell r="C3666">
            <v>841000</v>
          </cell>
          <cell r="D3666">
            <v>1</v>
          </cell>
          <cell r="F3666" t="str">
            <v xml:space="preserve">אחזקת אזעקה       </v>
          </cell>
          <cell r="G3666" t="str">
            <v>קשיח</v>
          </cell>
          <cell r="H3666">
            <v>0</v>
          </cell>
          <cell r="I3666">
            <v>5000</v>
          </cell>
          <cell r="J3666">
            <v>5000</v>
          </cell>
          <cell r="K3666">
            <v>0</v>
          </cell>
          <cell r="L3666">
            <v>5000</v>
          </cell>
          <cell r="M3666">
            <v>2442.96</v>
          </cell>
        </row>
        <row r="3667">
          <cell r="A3667">
            <v>1841000438</v>
          </cell>
          <cell r="B3667">
            <v>438</v>
          </cell>
          <cell r="C3667">
            <v>841000</v>
          </cell>
          <cell r="D3667">
            <v>1</v>
          </cell>
          <cell r="F3667" t="str">
            <v>לחצני מצוקה ניידים</v>
          </cell>
          <cell r="G3667" t="str">
            <v>קשיח</v>
          </cell>
          <cell r="H3667">
            <v>0</v>
          </cell>
          <cell r="I3667">
            <v>11000</v>
          </cell>
          <cell r="J3667">
            <v>11000</v>
          </cell>
          <cell r="K3667">
            <v>0</v>
          </cell>
          <cell r="L3667">
            <v>26100</v>
          </cell>
          <cell r="M3667">
            <v>22982.03</v>
          </cell>
        </row>
        <row r="3668">
          <cell r="A3668">
            <v>1841000450</v>
          </cell>
          <cell r="B3668">
            <v>450</v>
          </cell>
          <cell r="C3668">
            <v>841000</v>
          </cell>
          <cell r="D3668">
            <v>1</v>
          </cell>
          <cell r="F3668" t="str">
            <v>אחזקת תמי 4</v>
          </cell>
          <cell r="G3668" t="str">
            <v>קשיח</v>
          </cell>
          <cell r="H3668">
            <v>-0.70588235294117641</v>
          </cell>
          <cell r="I3668">
            <v>2000</v>
          </cell>
          <cell r="J3668">
            <v>6800</v>
          </cell>
          <cell r="K3668">
            <v>0</v>
          </cell>
          <cell r="L3668">
            <v>6800</v>
          </cell>
          <cell r="M3668">
            <v>1907</v>
          </cell>
        </row>
        <row r="3669">
          <cell r="A3669">
            <v>1841000451</v>
          </cell>
          <cell r="B3669">
            <v>451</v>
          </cell>
          <cell r="C3669">
            <v>841000</v>
          </cell>
          <cell r="D3669">
            <v>1</v>
          </cell>
          <cell r="F3669" t="str">
            <v>אחזקת דפיברילטור</v>
          </cell>
          <cell r="G3669" t="str">
            <v>קשיח</v>
          </cell>
          <cell r="H3669">
            <v>-0.2592592592592593</v>
          </cell>
          <cell r="I3669">
            <v>2000</v>
          </cell>
          <cell r="J3669">
            <v>2700</v>
          </cell>
          <cell r="K3669">
            <v>0</v>
          </cell>
          <cell r="L3669">
            <v>3000</v>
          </cell>
          <cell r="M3669">
            <v>990.22</v>
          </cell>
        </row>
        <row r="3670">
          <cell r="A3670">
            <v>1841000470</v>
          </cell>
          <cell r="B3670">
            <v>470</v>
          </cell>
          <cell r="C3670">
            <v>841000</v>
          </cell>
          <cell r="D3670">
            <v>1</v>
          </cell>
          <cell r="F3670" t="str">
            <v xml:space="preserve">אחזקת מכונות משרד </v>
          </cell>
          <cell r="G3670" t="str">
            <v>גמיש</v>
          </cell>
          <cell r="H3670">
            <v>-4.2145593869731823E-2</v>
          </cell>
          <cell r="I3670">
            <v>5000</v>
          </cell>
          <cell r="J3670">
            <v>5220</v>
          </cell>
          <cell r="K3670">
            <v>936.16</v>
          </cell>
          <cell r="L3670">
            <v>5800</v>
          </cell>
          <cell r="M3670">
            <v>2994.44</v>
          </cell>
        </row>
        <row r="3671">
          <cell r="A3671">
            <v>1841000471</v>
          </cell>
          <cell r="B3671">
            <v>471</v>
          </cell>
          <cell r="C3671">
            <v>841000</v>
          </cell>
          <cell r="D3671">
            <v>1</v>
          </cell>
          <cell r="F3671" t="str">
            <v xml:space="preserve">מכשירי כתיבה      </v>
          </cell>
          <cell r="G3671" t="str">
            <v>גמיש</v>
          </cell>
          <cell r="H3671">
            <v>0.19558154645873937</v>
          </cell>
          <cell r="I3671">
            <v>92000</v>
          </cell>
          <cell r="J3671">
            <v>76950</v>
          </cell>
          <cell r="K3671">
            <v>59711.9</v>
          </cell>
          <cell r="L3671">
            <v>85500</v>
          </cell>
          <cell r="M3671">
            <v>80439.77</v>
          </cell>
        </row>
        <row r="3672">
          <cell r="A3672">
            <v>1841000474</v>
          </cell>
          <cell r="B3672">
            <v>474</v>
          </cell>
          <cell r="C3672">
            <v>841000</v>
          </cell>
          <cell r="D3672">
            <v>1</v>
          </cell>
          <cell r="F3672" t="str">
            <v xml:space="preserve">אחזקת מעלית       </v>
          </cell>
          <cell r="G3672" t="str">
            <v>קשיח</v>
          </cell>
          <cell r="H3672">
            <v>0</v>
          </cell>
          <cell r="I3672">
            <v>20700</v>
          </cell>
          <cell r="J3672">
            <v>20700</v>
          </cell>
          <cell r="K3672">
            <v>1722.8</v>
          </cell>
          <cell r="L3672">
            <v>20700</v>
          </cell>
          <cell r="M3672">
            <v>6267</v>
          </cell>
        </row>
        <row r="3673">
          <cell r="A3673">
            <v>1841000492</v>
          </cell>
          <cell r="B3673">
            <v>492</v>
          </cell>
          <cell r="C3673">
            <v>841000</v>
          </cell>
          <cell r="D3673">
            <v>1</v>
          </cell>
          <cell r="F3673" t="str">
            <v xml:space="preserve">השתתפות בעזר 092  </v>
          </cell>
          <cell r="G3673" t="str">
            <v>קשיח</v>
          </cell>
          <cell r="H3673">
            <v>7.0039946737683101E-2</v>
          </cell>
          <cell r="I3673">
            <v>803600</v>
          </cell>
          <cell r="J3673">
            <v>751000</v>
          </cell>
          <cell r="K3673">
            <v>296740</v>
          </cell>
          <cell r="L3673">
            <v>628800</v>
          </cell>
          <cell r="M3673">
            <v>688522</v>
          </cell>
        </row>
        <row r="3674">
          <cell r="A3674">
            <v>1841000511</v>
          </cell>
          <cell r="B3674">
            <v>511</v>
          </cell>
          <cell r="C3674">
            <v>841000</v>
          </cell>
          <cell r="D3674">
            <v>1</v>
          </cell>
          <cell r="F3674" t="str">
            <v xml:space="preserve">אירוח וכיבוד      </v>
          </cell>
          <cell r="G3674" t="str">
            <v>גמיש</v>
          </cell>
          <cell r="H3674">
            <v>1.8602860286028604</v>
          </cell>
          <cell r="I3674">
            <v>26000</v>
          </cell>
          <cell r="J3674">
            <v>9090</v>
          </cell>
          <cell r="K3674">
            <v>690.8</v>
          </cell>
          <cell r="L3674">
            <v>7600</v>
          </cell>
          <cell r="M3674">
            <v>7286.56</v>
          </cell>
        </row>
        <row r="3675">
          <cell r="A3675">
            <v>1841000512</v>
          </cell>
          <cell r="B3675">
            <v>512</v>
          </cell>
          <cell r="C3675">
            <v>841000</v>
          </cell>
          <cell r="D3675">
            <v>1</v>
          </cell>
          <cell r="F3675" t="str">
            <v xml:space="preserve">נסיעות ואש"ל      </v>
          </cell>
          <cell r="G3675" t="str">
            <v>גמיש</v>
          </cell>
          <cell r="H3675">
            <v>0</v>
          </cell>
          <cell r="I3675">
            <v>3960</v>
          </cell>
          <cell r="J3675">
            <v>3960</v>
          </cell>
          <cell r="K3675">
            <v>467.6</v>
          </cell>
          <cell r="L3675">
            <v>4400</v>
          </cell>
          <cell r="M3675">
            <v>2410</v>
          </cell>
        </row>
        <row r="3676">
          <cell r="A3676">
            <v>1841000522</v>
          </cell>
          <cell r="B3676">
            <v>522</v>
          </cell>
          <cell r="C3676">
            <v>841000</v>
          </cell>
          <cell r="D3676">
            <v>1</v>
          </cell>
          <cell r="F3676" t="str">
            <v xml:space="preserve">ספרים ועיתונים    </v>
          </cell>
          <cell r="G3676" t="str">
            <v>גמיש</v>
          </cell>
          <cell r="H3676">
            <v>0</v>
          </cell>
          <cell r="I3676">
            <v>2340</v>
          </cell>
          <cell r="J3676">
            <v>2340</v>
          </cell>
          <cell r="K3676">
            <v>0</v>
          </cell>
          <cell r="L3676">
            <v>2600</v>
          </cell>
          <cell r="M3676">
            <v>1696</v>
          </cell>
        </row>
        <row r="3677">
          <cell r="A3677">
            <v>1841000544</v>
          </cell>
          <cell r="B3677">
            <v>544</v>
          </cell>
          <cell r="C3677">
            <v>841000</v>
          </cell>
          <cell r="D3677">
            <v>1</v>
          </cell>
          <cell r="F3677" t="str">
            <v xml:space="preserve">הוצאות דאר        </v>
          </cell>
          <cell r="G3677" t="str">
            <v>קשיח</v>
          </cell>
          <cell r="H3677">
            <v>-0.25650557620817849</v>
          </cell>
          <cell r="I3677">
            <v>20000</v>
          </cell>
          <cell r="J3677">
            <v>26900</v>
          </cell>
          <cell r="K3677">
            <v>9515.9500000000007</v>
          </cell>
          <cell r="L3677">
            <v>26600</v>
          </cell>
          <cell r="M3677">
            <v>19779.150000000001</v>
          </cell>
        </row>
        <row r="3678">
          <cell r="A3678">
            <v>1841000550</v>
          </cell>
          <cell r="B3678">
            <v>550</v>
          </cell>
          <cell r="C3678">
            <v>841000</v>
          </cell>
          <cell r="D3678">
            <v>1</v>
          </cell>
          <cell r="F3678" t="str">
            <v xml:space="preserve">פירסומים          </v>
          </cell>
          <cell r="G3678" t="str">
            <v>גמיש</v>
          </cell>
          <cell r="H3678">
            <v>0.44032921810699599</v>
          </cell>
          <cell r="I3678">
            <v>10500</v>
          </cell>
          <cell r="J3678">
            <v>7290</v>
          </cell>
          <cell r="K3678">
            <v>2883.4</v>
          </cell>
          <cell r="L3678">
            <v>8100</v>
          </cell>
          <cell r="M3678">
            <v>8100</v>
          </cell>
        </row>
        <row r="3679">
          <cell r="A3679">
            <v>1841000562</v>
          </cell>
          <cell r="B3679">
            <v>562</v>
          </cell>
          <cell r="C3679">
            <v>841000</v>
          </cell>
          <cell r="D3679">
            <v>1</v>
          </cell>
          <cell r="F3679" t="str">
            <v xml:space="preserve">הדפסות            </v>
          </cell>
          <cell r="G3679" t="str">
            <v>גמיש</v>
          </cell>
          <cell r="H3679">
            <v>0</v>
          </cell>
          <cell r="I3679">
            <v>4590</v>
          </cell>
          <cell r="J3679">
            <v>4590</v>
          </cell>
          <cell r="K3679">
            <v>2495.6</v>
          </cell>
          <cell r="L3679">
            <v>5100</v>
          </cell>
          <cell r="M3679">
            <v>1215.2</v>
          </cell>
        </row>
        <row r="3680">
          <cell r="A3680">
            <v>1841000570</v>
          </cell>
          <cell r="B3680">
            <v>570</v>
          </cell>
          <cell r="C3680">
            <v>841000</v>
          </cell>
          <cell r="D3680">
            <v>1</v>
          </cell>
          <cell r="F3680" t="str">
            <v xml:space="preserve">תשלום לאוטומציה   </v>
          </cell>
          <cell r="G3680" t="str">
            <v>קשיח</v>
          </cell>
          <cell r="I3680">
            <v>0</v>
          </cell>
          <cell r="J3680">
            <v>0</v>
          </cell>
          <cell r="K3680">
            <v>12397.2</v>
          </cell>
          <cell r="L3680">
            <v>0</v>
          </cell>
          <cell r="M3680">
            <v>21687.13</v>
          </cell>
        </row>
        <row r="3681">
          <cell r="A3681">
            <v>1841000571</v>
          </cell>
          <cell r="B3681">
            <v>571</v>
          </cell>
          <cell r="C3681">
            <v>841000</v>
          </cell>
          <cell r="D3681">
            <v>1</v>
          </cell>
          <cell r="F3681" t="str">
            <v xml:space="preserve">מיכון וענ"א       </v>
          </cell>
          <cell r="G3681" t="str">
            <v>קשיח</v>
          </cell>
          <cell r="H3681">
            <v>0.31151336560724063</v>
          </cell>
          <cell r="I3681">
            <v>623100</v>
          </cell>
          <cell r="J3681">
            <v>475100</v>
          </cell>
          <cell r="K3681">
            <v>237550</v>
          </cell>
          <cell r="L3681">
            <v>425100</v>
          </cell>
          <cell r="M3681">
            <v>425100</v>
          </cell>
        </row>
        <row r="3682">
          <cell r="A3682">
            <v>1841000572</v>
          </cell>
          <cell r="B3682">
            <v>572</v>
          </cell>
          <cell r="C3682">
            <v>841000</v>
          </cell>
          <cell r="D3682">
            <v>1</v>
          </cell>
          <cell r="F3682" t="str">
            <v>מיחשוב אי . פי . אר</v>
          </cell>
          <cell r="G3682" t="str">
            <v>קשיח</v>
          </cell>
          <cell r="H3682">
            <v>0.10701107011070121</v>
          </cell>
          <cell r="I3682">
            <v>360000</v>
          </cell>
          <cell r="J3682">
            <v>325200</v>
          </cell>
          <cell r="K3682">
            <v>116820</v>
          </cell>
          <cell r="L3682">
            <v>292700</v>
          </cell>
          <cell r="M3682">
            <v>231660</v>
          </cell>
        </row>
        <row r="3683">
          <cell r="A3683">
            <v>1841000580</v>
          </cell>
          <cell r="B3683">
            <v>580</v>
          </cell>
          <cell r="C3683">
            <v>841000</v>
          </cell>
          <cell r="D3683">
            <v>1</v>
          </cell>
          <cell r="F3683" t="str">
            <v xml:space="preserve">יעוץ משפטי        </v>
          </cell>
          <cell r="G3683" t="str">
            <v>גמיש</v>
          </cell>
          <cell r="H3683">
            <v>0</v>
          </cell>
          <cell r="I3683">
            <v>720</v>
          </cell>
          <cell r="J3683">
            <v>720</v>
          </cell>
          <cell r="K3683">
            <v>0</v>
          </cell>
          <cell r="L3683">
            <v>800</v>
          </cell>
          <cell r="M3683">
            <v>0</v>
          </cell>
        </row>
        <row r="3684">
          <cell r="A3684">
            <v>1841000693</v>
          </cell>
          <cell r="B3684">
            <v>693</v>
          </cell>
          <cell r="C3684">
            <v>841000</v>
          </cell>
          <cell r="D3684">
            <v>1</v>
          </cell>
          <cell r="F3684" t="str">
            <v>קרן שלם - מענק "עם כלביא"</v>
          </cell>
          <cell r="G3684" t="str">
            <v>גמיש</v>
          </cell>
          <cell r="I3684">
            <v>0</v>
          </cell>
          <cell r="J3684">
            <v>0</v>
          </cell>
          <cell r="K3684">
            <v>0</v>
          </cell>
          <cell r="L3684">
            <v>0</v>
          </cell>
          <cell r="M3684">
            <v>0</v>
          </cell>
        </row>
        <row r="3685">
          <cell r="A3685">
            <v>1841000721</v>
          </cell>
          <cell r="B3685">
            <v>721</v>
          </cell>
          <cell r="C3685">
            <v>841000</v>
          </cell>
          <cell r="D3685">
            <v>1</v>
          </cell>
          <cell r="F3685" t="str">
            <v>חמרים-תחזוקת מבנים</v>
          </cell>
          <cell r="G3685" t="str">
            <v>גמיש</v>
          </cell>
          <cell r="I3685">
            <v>0</v>
          </cell>
          <cell r="J3685">
            <v>0</v>
          </cell>
          <cell r="K3685">
            <v>0</v>
          </cell>
          <cell r="L3685">
            <v>6300</v>
          </cell>
          <cell r="M3685">
            <v>4877</v>
          </cell>
        </row>
        <row r="3686">
          <cell r="A3686">
            <v>1841000750</v>
          </cell>
          <cell r="B3686">
            <v>750</v>
          </cell>
          <cell r="C3686">
            <v>841000</v>
          </cell>
          <cell r="D3686">
            <v>1</v>
          </cell>
          <cell r="F3686" t="str">
            <v>אחזקת מוסדות</v>
          </cell>
          <cell r="G3686" t="str">
            <v>קשיח</v>
          </cell>
          <cell r="H3686">
            <v>-6.1130815773002278E-2</v>
          </cell>
          <cell r="I3686">
            <v>450000</v>
          </cell>
          <cell r="J3686">
            <v>479300</v>
          </cell>
          <cell r="K3686">
            <v>112452</v>
          </cell>
          <cell r="L3686">
            <v>450000</v>
          </cell>
          <cell r="M3686">
            <v>399902</v>
          </cell>
        </row>
        <row r="3687">
          <cell r="A3687">
            <v>1841000751</v>
          </cell>
          <cell r="B3687">
            <v>751</v>
          </cell>
          <cell r="C3687">
            <v>841000</v>
          </cell>
          <cell r="D3687">
            <v>1</v>
          </cell>
          <cell r="F3687" t="str">
            <v xml:space="preserve">עבודות קבלניות    </v>
          </cell>
          <cell r="G3687" t="str">
            <v>גמיש</v>
          </cell>
          <cell r="H3687">
            <v>1.2081128747795415</v>
          </cell>
          <cell r="I3687">
            <v>250400</v>
          </cell>
          <cell r="J3687">
            <v>113400</v>
          </cell>
          <cell r="K3687">
            <v>57563.44</v>
          </cell>
          <cell r="L3687">
            <v>126000</v>
          </cell>
          <cell r="M3687">
            <v>101417</v>
          </cell>
        </row>
        <row r="3688">
          <cell r="A3688">
            <v>1841000752</v>
          </cell>
          <cell r="B3688">
            <v>752</v>
          </cell>
          <cell r="C3688">
            <v>841000</v>
          </cell>
          <cell r="D3688">
            <v>1</v>
          </cell>
          <cell r="F3688" t="str">
            <v xml:space="preserve">נקיון בקבלנות     </v>
          </cell>
          <cell r="G3688" t="str">
            <v>קשיח</v>
          </cell>
          <cell r="H3688">
            <v>1.712328767123239E-3</v>
          </cell>
          <cell r="I3688">
            <v>585000</v>
          </cell>
          <cell r="J3688">
            <v>584000</v>
          </cell>
          <cell r="K3688">
            <v>155902.57</v>
          </cell>
          <cell r="L3688">
            <v>583400</v>
          </cell>
          <cell r="M3688">
            <v>609059.98</v>
          </cell>
        </row>
        <row r="3689">
          <cell r="A3689">
            <v>1841000756</v>
          </cell>
          <cell r="B3689">
            <v>756</v>
          </cell>
          <cell r="C3689">
            <v>841000</v>
          </cell>
          <cell r="D3689">
            <v>1</v>
          </cell>
          <cell r="F3689" t="str">
            <v xml:space="preserve">שמירה             </v>
          </cell>
          <cell r="G3689" t="str">
            <v>קשיח</v>
          </cell>
          <cell r="H3689">
            <v>0</v>
          </cell>
          <cell r="I3689">
            <v>1006400</v>
          </cell>
          <cell r="J3689">
            <v>1006400</v>
          </cell>
          <cell r="K3689">
            <v>353998.49</v>
          </cell>
          <cell r="L3689">
            <v>730000</v>
          </cell>
          <cell r="M3689">
            <v>741879.71</v>
          </cell>
        </row>
        <row r="3690">
          <cell r="A3690">
            <v>1841000780</v>
          </cell>
          <cell r="B3690">
            <v>780</v>
          </cell>
          <cell r="C3690">
            <v>841000</v>
          </cell>
          <cell r="D3690">
            <v>1</v>
          </cell>
          <cell r="F3690" t="str">
            <v xml:space="preserve">ארועים            </v>
          </cell>
          <cell r="G3690" t="str">
            <v>גמיש</v>
          </cell>
          <cell r="H3690">
            <v>0.39077764751856203</v>
          </cell>
          <cell r="I3690">
            <v>106770</v>
          </cell>
          <cell r="J3690">
            <v>76770</v>
          </cell>
          <cell r="K3690">
            <v>45736.31</v>
          </cell>
          <cell r="L3690">
            <v>85300</v>
          </cell>
          <cell r="M3690">
            <v>72678.34</v>
          </cell>
        </row>
        <row r="3691">
          <cell r="A3691">
            <v>1841000781</v>
          </cell>
          <cell r="B3691">
            <v>781</v>
          </cell>
          <cell r="C3691">
            <v>841000</v>
          </cell>
          <cell r="D3691">
            <v>1</v>
          </cell>
          <cell r="F3691" t="str">
            <v>פעולות סמנכ"ל</v>
          </cell>
          <cell r="G3691" t="str">
            <v>גמיש</v>
          </cell>
          <cell r="H3691">
            <v>5.0000000000000044E-2</v>
          </cell>
          <cell r="I3691">
            <v>37800</v>
          </cell>
          <cell r="J3691">
            <v>36000</v>
          </cell>
          <cell r="K3691">
            <v>0</v>
          </cell>
          <cell r="L3691">
            <v>40000</v>
          </cell>
          <cell r="M3691">
            <v>39767.74</v>
          </cell>
        </row>
        <row r="3692">
          <cell r="A3692">
            <v>1841000782</v>
          </cell>
          <cell r="B3692">
            <v>782</v>
          </cell>
          <cell r="C3692">
            <v>841000</v>
          </cell>
          <cell r="D3692">
            <v>1</v>
          </cell>
          <cell r="F3692" t="str">
            <v>ארוע מועדוני קשישים</v>
          </cell>
          <cell r="G3692" t="str">
            <v>גמיש</v>
          </cell>
          <cell r="H3692">
            <v>0.12555989018927893</v>
          </cell>
          <cell r="I3692">
            <v>155800</v>
          </cell>
          <cell r="J3692">
            <v>138420</v>
          </cell>
          <cell r="K3692">
            <v>2902.4</v>
          </cell>
          <cell r="L3692">
            <v>83800</v>
          </cell>
          <cell r="M3692">
            <v>58132.82</v>
          </cell>
        </row>
        <row r="3693">
          <cell r="A3693">
            <v>1841000783</v>
          </cell>
          <cell r="B3693">
            <v>783</v>
          </cell>
          <cell r="C3693">
            <v>841000</v>
          </cell>
          <cell r="D3693">
            <v>1</v>
          </cell>
          <cell r="F3693" t="str">
            <v>עיתון "כיוון חדש"</v>
          </cell>
          <cell r="G3693" t="str">
            <v>קשיח</v>
          </cell>
          <cell r="H3693">
            <v>0</v>
          </cell>
          <cell r="I3693">
            <v>51300</v>
          </cell>
          <cell r="J3693">
            <v>51300</v>
          </cell>
          <cell r="K3693">
            <v>24153.759999999998</v>
          </cell>
          <cell r="L3693">
            <v>57000</v>
          </cell>
          <cell r="M3693">
            <v>41831.629999999997</v>
          </cell>
        </row>
        <row r="3694">
          <cell r="A3694">
            <v>1841000784</v>
          </cell>
          <cell r="B3694">
            <v>784</v>
          </cell>
          <cell r="C3694">
            <v>841000</v>
          </cell>
          <cell r="D3694">
            <v>1</v>
          </cell>
          <cell r="F3694" t="str">
            <v xml:space="preserve">הרצאות            </v>
          </cell>
          <cell r="G3694" t="str">
            <v>גמיש</v>
          </cell>
          <cell r="H3694">
            <v>0</v>
          </cell>
          <cell r="I3694">
            <v>1600</v>
          </cell>
          <cell r="J3694">
            <v>1600</v>
          </cell>
          <cell r="K3694">
            <v>1600</v>
          </cell>
          <cell r="L3694">
            <v>1600</v>
          </cell>
          <cell r="M3694">
            <v>0</v>
          </cell>
        </row>
        <row r="3695">
          <cell r="A3695">
            <v>1841000785</v>
          </cell>
          <cell r="B3695">
            <v>785</v>
          </cell>
          <cell r="C3695">
            <v>841000</v>
          </cell>
          <cell r="D3695">
            <v>1</v>
          </cell>
          <cell r="F3695" t="str">
            <v xml:space="preserve">הוצאות אירגוניות  </v>
          </cell>
          <cell r="G3695" t="str">
            <v>גמיש</v>
          </cell>
          <cell r="H3695">
            <v>0</v>
          </cell>
          <cell r="I3695">
            <v>4050</v>
          </cell>
          <cell r="J3695">
            <v>4050</v>
          </cell>
          <cell r="K3695">
            <v>0</v>
          </cell>
          <cell r="L3695">
            <v>4500</v>
          </cell>
          <cell r="M3695">
            <v>0</v>
          </cell>
        </row>
        <row r="3696">
          <cell r="A3696">
            <v>1841000786</v>
          </cell>
          <cell r="B3696">
            <v>786</v>
          </cell>
          <cell r="C3696">
            <v>841000</v>
          </cell>
          <cell r="D3696">
            <v>1</v>
          </cell>
          <cell r="F3696" t="str">
            <v>קופה קטנה מטופלים</v>
          </cell>
          <cell r="G3696" t="str">
            <v>גמיש</v>
          </cell>
          <cell r="H3696">
            <v>0</v>
          </cell>
          <cell r="I3696">
            <v>4500</v>
          </cell>
          <cell r="J3696">
            <v>4500</v>
          </cell>
          <cell r="K3696">
            <v>0</v>
          </cell>
          <cell r="L3696">
            <v>5000</v>
          </cell>
          <cell r="M3696">
            <v>0</v>
          </cell>
        </row>
        <row r="3697">
          <cell r="A3697">
            <v>1841000794</v>
          </cell>
          <cell r="B3697">
            <v>794</v>
          </cell>
          <cell r="C3697">
            <v>841000</v>
          </cell>
          <cell r="D3697">
            <v>1</v>
          </cell>
          <cell r="F3697" t="str">
            <v xml:space="preserve">השתתפות בעזר 094  </v>
          </cell>
          <cell r="G3697" t="str">
            <v>קשיח</v>
          </cell>
          <cell r="H3697">
            <v>0</v>
          </cell>
          <cell r="I3697">
            <v>48000</v>
          </cell>
          <cell r="J3697">
            <v>48000</v>
          </cell>
          <cell r="K3697">
            <v>22676</v>
          </cell>
          <cell r="L3697">
            <v>48000</v>
          </cell>
          <cell r="M3697">
            <v>57251</v>
          </cell>
        </row>
        <row r="3698">
          <cell r="A3698">
            <v>1841000815</v>
          </cell>
          <cell r="B3698">
            <v>815</v>
          </cell>
          <cell r="C3698">
            <v>841000</v>
          </cell>
          <cell r="D3698">
            <v>1</v>
          </cell>
          <cell r="F3698" t="str">
            <v>מאבטחים - רווחה</v>
          </cell>
          <cell r="G3698" t="str">
            <v>קשיח</v>
          </cell>
          <cell r="H3698">
            <v>0</v>
          </cell>
          <cell r="I3698">
            <v>722400</v>
          </cell>
          <cell r="J3698">
            <v>722400</v>
          </cell>
          <cell r="K3698">
            <v>257023.12</v>
          </cell>
          <cell r="L3698">
            <v>486000</v>
          </cell>
          <cell r="M3698">
            <v>528175.02</v>
          </cell>
        </row>
        <row r="3699">
          <cell r="A3699">
            <v>1841000817</v>
          </cell>
          <cell r="B3699">
            <v>817</v>
          </cell>
          <cell r="C3699">
            <v>841000</v>
          </cell>
          <cell r="D3699">
            <v>1</v>
          </cell>
          <cell r="F3699" t="str">
            <v>הערכות לחירום</v>
          </cell>
          <cell r="G3699" t="str">
            <v>קשיח</v>
          </cell>
          <cell r="H3699">
            <v>0</v>
          </cell>
          <cell r="I3699">
            <v>76000</v>
          </cell>
          <cell r="J3699">
            <v>76000</v>
          </cell>
          <cell r="K3699">
            <v>0</v>
          </cell>
          <cell r="L3699">
            <v>76000</v>
          </cell>
          <cell r="M3699">
            <v>0</v>
          </cell>
        </row>
        <row r="3700">
          <cell r="A3700">
            <v>1841000930</v>
          </cell>
          <cell r="B3700">
            <v>930</v>
          </cell>
          <cell r="C3700">
            <v>841000</v>
          </cell>
          <cell r="D3700">
            <v>1</v>
          </cell>
          <cell r="F3700" t="str">
            <v>פעולות ארגוניות</v>
          </cell>
          <cell r="G3700" t="str">
            <v>גמיש</v>
          </cell>
          <cell r="I3700">
            <v>0</v>
          </cell>
          <cell r="J3700">
            <v>0</v>
          </cell>
          <cell r="K3700">
            <v>0</v>
          </cell>
          <cell r="L3700">
            <v>0</v>
          </cell>
          <cell r="M3700">
            <v>119837.45</v>
          </cell>
        </row>
        <row r="3701">
          <cell r="A3701">
            <v>1841000931</v>
          </cell>
          <cell r="B3701">
            <v>931</v>
          </cell>
          <cell r="C3701">
            <v>841000</v>
          </cell>
          <cell r="D3701">
            <v>1</v>
          </cell>
          <cell r="F3701" t="str">
            <v xml:space="preserve">רכישות חד פעמיות  </v>
          </cell>
          <cell r="G3701" t="str">
            <v>גמיש</v>
          </cell>
          <cell r="H3701">
            <v>0.35209235209235201</v>
          </cell>
          <cell r="I3701">
            <v>46850</v>
          </cell>
          <cell r="J3701">
            <v>34650</v>
          </cell>
          <cell r="K3701">
            <v>17076.25</v>
          </cell>
          <cell r="L3701">
            <v>38500</v>
          </cell>
          <cell r="M3701">
            <v>37314.44</v>
          </cell>
        </row>
        <row r="3702">
          <cell r="A3702">
            <v>1841000932</v>
          </cell>
          <cell r="B3702">
            <v>932</v>
          </cell>
          <cell r="C3702">
            <v>841000</v>
          </cell>
          <cell r="D3702">
            <v>1</v>
          </cell>
          <cell r="F3702" t="str">
            <v>קרן שלם - מענק תמר</v>
          </cell>
          <cell r="G3702" t="str">
            <v>גמיש</v>
          </cell>
          <cell r="I3702">
            <v>0</v>
          </cell>
          <cell r="K3702">
            <v>0</v>
          </cell>
          <cell r="L3702">
            <v>0</v>
          </cell>
          <cell r="M3702">
            <v>0</v>
          </cell>
        </row>
        <row r="3703">
          <cell r="A3703">
            <v>1841000961</v>
          </cell>
          <cell r="B3703">
            <v>961</v>
          </cell>
          <cell r="C3703">
            <v>841000</v>
          </cell>
          <cell r="D3703">
            <v>1</v>
          </cell>
          <cell r="F3703" t="str">
            <v>רזרבות פעולות ורכישות</v>
          </cell>
          <cell r="G3703" t="str">
            <v>גמיש</v>
          </cell>
          <cell r="H3703">
            <v>0</v>
          </cell>
          <cell r="I3703">
            <v>17520</v>
          </cell>
          <cell r="J3703">
            <v>17520</v>
          </cell>
          <cell r="K3703">
            <v>78.77</v>
          </cell>
          <cell r="L3703">
            <v>19500</v>
          </cell>
          <cell r="M3703">
            <v>12535.91</v>
          </cell>
        </row>
        <row r="3704">
          <cell r="A3704">
            <v>1841000980</v>
          </cell>
          <cell r="B3704">
            <v>980</v>
          </cell>
          <cell r="C3704">
            <v>841000</v>
          </cell>
          <cell r="D3704">
            <v>1</v>
          </cell>
          <cell r="F3704" t="str">
            <v>חליפת מיגון</v>
          </cell>
          <cell r="G3704" t="str">
            <v>גמיש</v>
          </cell>
          <cell r="H3704">
            <v>0</v>
          </cell>
          <cell r="I3704">
            <v>80000</v>
          </cell>
          <cell r="J3704">
            <v>80000</v>
          </cell>
          <cell r="K3704">
            <v>32151</v>
          </cell>
          <cell r="L3704">
            <v>0</v>
          </cell>
          <cell r="M3704">
            <v>74903.58</v>
          </cell>
        </row>
        <row r="3705">
          <cell r="A3705" t="e">
            <v>#VALUE!</v>
          </cell>
          <cell r="B3705" t="str">
            <v>841000  סך הכל</v>
          </cell>
          <cell r="F3705" t="str">
            <v xml:space="preserve">מינהל הרווחה      </v>
          </cell>
          <cell r="H3705">
            <v>-1.1543847900513438E-2</v>
          </cell>
          <cell r="I3705">
            <v>14292729.999705341</v>
          </cell>
          <cell r="J3705">
            <v>14459650</v>
          </cell>
          <cell r="K3705">
            <v>7278362.3800000008</v>
          </cell>
          <cell r="L3705">
            <v>13311200</v>
          </cell>
          <cell r="M3705">
            <v>11863090.810000002</v>
          </cell>
        </row>
        <row r="3706">
          <cell r="A3706">
            <v>18420000</v>
          </cell>
          <cell r="B3706">
            <v>0</v>
          </cell>
          <cell r="C3706">
            <v>842000</v>
          </cell>
          <cell r="D3706">
            <v>1</v>
          </cell>
          <cell r="F3706" t="str">
            <v>רווחת הפרט והמשפחה</v>
          </cell>
          <cell r="G3706" t="str">
            <v xml:space="preserve"> </v>
          </cell>
        </row>
        <row r="3707">
          <cell r="A3707">
            <v>1842500110</v>
          </cell>
          <cell r="B3707">
            <v>110</v>
          </cell>
          <cell r="C3707">
            <v>842500</v>
          </cell>
          <cell r="D3707">
            <v>1</v>
          </cell>
          <cell r="F3707" t="str">
            <v>השכר הקובע-תקציבית</v>
          </cell>
          <cell r="G3707" t="str">
            <v>שכר</v>
          </cell>
          <cell r="H3707">
            <v>2.5001210360687587E-2</v>
          </cell>
          <cell r="I3707">
            <v>4234280</v>
          </cell>
          <cell r="J3707">
            <v>4131000</v>
          </cell>
          <cell r="K3707">
            <v>2268390.7999999998</v>
          </cell>
          <cell r="L3707">
            <v>4050000</v>
          </cell>
          <cell r="M3707">
            <v>3879511.22</v>
          </cell>
        </row>
        <row r="3708">
          <cell r="A3708">
            <v>1842500119</v>
          </cell>
          <cell r="B3708">
            <v>119</v>
          </cell>
          <cell r="C3708">
            <v>842500</v>
          </cell>
          <cell r="D3708">
            <v>1</v>
          </cell>
          <cell r="F3708" t="str">
            <v xml:space="preserve">השכר הקובע-צוברת  </v>
          </cell>
          <cell r="G3708" t="str">
            <v>שכר</v>
          </cell>
          <cell r="H3708">
            <v>4.2874259259941816E-2</v>
          </cell>
          <cell r="I3708">
            <v>28287859.994999997</v>
          </cell>
          <cell r="J3708">
            <v>27124900</v>
          </cell>
          <cell r="K3708">
            <v>13972489.49</v>
          </cell>
          <cell r="L3708">
            <v>25167700</v>
          </cell>
          <cell r="M3708">
            <v>22372493.399999999</v>
          </cell>
        </row>
        <row r="3709">
          <cell r="A3709">
            <v>1842500122</v>
          </cell>
          <cell r="B3709">
            <v>122</v>
          </cell>
          <cell r="C3709">
            <v>842500</v>
          </cell>
          <cell r="D3709">
            <v>1</v>
          </cell>
          <cell r="F3709" t="str">
            <v xml:space="preserve">ביגוד             </v>
          </cell>
          <cell r="G3709" t="str">
            <v>שכר</v>
          </cell>
          <cell r="H3709">
            <v>1.3727709416332168E-2</v>
          </cell>
          <cell r="I3709">
            <v>237009.53846153844</v>
          </cell>
          <cell r="J3709">
            <v>233800</v>
          </cell>
          <cell r="K3709">
            <v>236833.71</v>
          </cell>
          <cell r="L3709">
            <v>221500</v>
          </cell>
          <cell r="M3709">
            <v>238073.84</v>
          </cell>
        </row>
        <row r="3710">
          <cell r="A3710">
            <v>1842500126</v>
          </cell>
          <cell r="B3710">
            <v>126</v>
          </cell>
          <cell r="C3710">
            <v>842500</v>
          </cell>
          <cell r="D3710">
            <v>1</v>
          </cell>
          <cell r="F3710" t="str">
            <v xml:space="preserve">דמי הבראה         </v>
          </cell>
          <cell r="G3710" t="str">
            <v>שכר</v>
          </cell>
          <cell r="H3710">
            <v>1.3737903080525804E-2</v>
          </cell>
          <cell r="I3710">
            <v>618380.12087912078</v>
          </cell>
          <cell r="J3710">
            <v>610000</v>
          </cell>
          <cell r="K3710">
            <v>596553.77</v>
          </cell>
          <cell r="L3710">
            <v>625000</v>
          </cell>
          <cell r="M3710">
            <v>605656.03</v>
          </cell>
        </row>
        <row r="3711">
          <cell r="A3711">
            <v>1842500130</v>
          </cell>
          <cell r="B3711">
            <v>130</v>
          </cell>
          <cell r="C3711">
            <v>842500</v>
          </cell>
          <cell r="D3711">
            <v>1</v>
          </cell>
          <cell r="F3711" t="str">
            <v xml:space="preserve">שעות נוספות       </v>
          </cell>
          <cell r="G3711" t="str">
            <v>שכר</v>
          </cell>
          <cell r="H3711">
            <v>0</v>
          </cell>
          <cell r="I3711">
            <v>1076000</v>
          </cell>
          <cell r="J3711">
            <v>1076000</v>
          </cell>
          <cell r="K3711">
            <v>1173518.46</v>
          </cell>
          <cell r="L3711">
            <v>1251200</v>
          </cell>
          <cell r="M3711">
            <v>1590729.13</v>
          </cell>
        </row>
        <row r="3712">
          <cell r="A3712">
            <v>1842500140</v>
          </cell>
          <cell r="B3712">
            <v>140</v>
          </cell>
          <cell r="C3712">
            <v>842500</v>
          </cell>
          <cell r="D3712">
            <v>1</v>
          </cell>
          <cell r="F3712" t="str">
            <v>השתתפות באחזקת רכב</v>
          </cell>
          <cell r="G3712" t="str">
            <v>שכר</v>
          </cell>
          <cell r="H3712">
            <v>0</v>
          </cell>
          <cell r="I3712">
            <v>2397300</v>
          </cell>
          <cell r="J3712">
            <v>2397300</v>
          </cell>
          <cell r="K3712">
            <v>1455230.7</v>
          </cell>
          <cell r="L3712">
            <v>2397300</v>
          </cell>
          <cell r="M3712">
            <v>2266237.91</v>
          </cell>
        </row>
        <row r="3713">
          <cell r="A3713">
            <v>1842500512</v>
          </cell>
          <cell r="B3713">
            <v>512</v>
          </cell>
          <cell r="C3713">
            <v>842500</v>
          </cell>
          <cell r="D3713">
            <v>1</v>
          </cell>
          <cell r="F3713" t="str">
            <v>הסעות למטופלים</v>
          </cell>
          <cell r="G3713" t="str">
            <v>גמיש</v>
          </cell>
          <cell r="H3713">
            <v>1.246031746031746</v>
          </cell>
          <cell r="I3713">
            <v>283000</v>
          </cell>
          <cell r="J3713">
            <v>126000</v>
          </cell>
          <cell r="K3713">
            <v>96452.95</v>
          </cell>
          <cell r="L3713">
            <v>95000</v>
          </cell>
          <cell r="M3713">
            <v>49496.7</v>
          </cell>
        </row>
        <row r="3714">
          <cell r="A3714">
            <v>1842500571</v>
          </cell>
          <cell r="B3714">
            <v>571</v>
          </cell>
          <cell r="C3714">
            <v>842500</v>
          </cell>
          <cell r="D3714">
            <v>1</v>
          </cell>
          <cell r="F3714" t="str">
            <v xml:space="preserve">מיכון וענ"א       </v>
          </cell>
          <cell r="G3714" t="str">
            <v>קשיח</v>
          </cell>
          <cell r="H3714">
            <v>0.65163856463467362</v>
          </cell>
          <cell r="I3714">
            <v>1910120</v>
          </cell>
          <cell r="J3714">
            <v>1156500</v>
          </cell>
          <cell r="K3714">
            <v>578250</v>
          </cell>
          <cell r="L3714">
            <v>1167500</v>
          </cell>
          <cell r="M3714">
            <v>1167500</v>
          </cell>
        </row>
        <row r="3715">
          <cell r="A3715">
            <v>1842500781</v>
          </cell>
          <cell r="B3715">
            <v>781</v>
          </cell>
          <cell r="C3715">
            <v>842500</v>
          </cell>
          <cell r="D3715">
            <v>1</v>
          </cell>
          <cell r="F3715" t="str">
            <v>פעילות במרכז למשפחה</v>
          </cell>
          <cell r="G3715" t="str">
            <v>קשיח</v>
          </cell>
          <cell r="H3715">
            <v>0</v>
          </cell>
          <cell r="I3715">
            <v>72000</v>
          </cell>
          <cell r="J3715">
            <v>72000</v>
          </cell>
          <cell r="K3715">
            <v>10378.5</v>
          </cell>
          <cell r="L3715">
            <v>80000</v>
          </cell>
          <cell r="M3715">
            <v>66393.69</v>
          </cell>
        </row>
        <row r="3716">
          <cell r="A3716">
            <v>1842500783</v>
          </cell>
          <cell r="B3716">
            <v>783</v>
          </cell>
          <cell r="C3716">
            <v>842500</v>
          </cell>
          <cell r="D3716">
            <v>1</v>
          </cell>
          <cell r="F3716" t="str">
            <v>פע'- טיפול באלימות</v>
          </cell>
          <cell r="G3716" t="str">
            <v>קשיח</v>
          </cell>
          <cell r="I3716">
            <v>0</v>
          </cell>
          <cell r="J3716">
            <v>0</v>
          </cell>
          <cell r="K3716">
            <v>0</v>
          </cell>
          <cell r="L3716">
            <v>17000</v>
          </cell>
          <cell r="M3716">
            <v>11550</v>
          </cell>
        </row>
        <row r="3717">
          <cell r="A3717">
            <v>1842500784</v>
          </cell>
          <cell r="B3717">
            <v>784</v>
          </cell>
          <cell r="C3717">
            <v>842500</v>
          </cell>
          <cell r="D3717">
            <v>1</v>
          </cell>
          <cell r="F3717" t="str">
            <v xml:space="preserve">פנוי בתים         </v>
          </cell>
          <cell r="G3717" t="str">
            <v>גמיש</v>
          </cell>
          <cell r="H3717">
            <v>-1</v>
          </cell>
          <cell r="I3717">
            <v>0</v>
          </cell>
          <cell r="J3717">
            <v>1800</v>
          </cell>
          <cell r="K3717">
            <v>0</v>
          </cell>
          <cell r="L3717">
            <v>2000</v>
          </cell>
          <cell r="M3717">
            <v>0</v>
          </cell>
        </row>
        <row r="3718">
          <cell r="A3718">
            <v>1842500786</v>
          </cell>
          <cell r="B3718">
            <v>786</v>
          </cell>
          <cell r="C3718">
            <v>842500</v>
          </cell>
          <cell r="D3718">
            <v>1</v>
          </cell>
          <cell r="F3718" t="str">
            <v>מטופלי  גרושין</v>
          </cell>
          <cell r="G3718" t="str">
            <v>קשיח</v>
          </cell>
          <cell r="H3718">
            <v>-1</v>
          </cell>
          <cell r="I3718">
            <v>0</v>
          </cell>
          <cell r="J3718">
            <v>324000</v>
          </cell>
          <cell r="K3718">
            <v>270000</v>
          </cell>
          <cell r="L3718">
            <v>260000</v>
          </cell>
          <cell r="M3718">
            <v>260000</v>
          </cell>
        </row>
        <row r="3719">
          <cell r="A3719">
            <v>1842500787</v>
          </cell>
          <cell r="B3719">
            <v>787</v>
          </cell>
          <cell r="C3719">
            <v>842500</v>
          </cell>
          <cell r="D3719">
            <v>1</v>
          </cell>
          <cell r="F3719" t="str">
            <v>מרפאת שיניים קהילתית</v>
          </cell>
          <cell r="G3719" t="str">
            <v>קשיח</v>
          </cell>
          <cell r="H3719">
            <v>0.11111111111111116</v>
          </cell>
          <cell r="I3719">
            <v>60000</v>
          </cell>
          <cell r="J3719">
            <v>54000</v>
          </cell>
          <cell r="K3719">
            <v>0</v>
          </cell>
          <cell r="L3719">
            <v>60000</v>
          </cell>
          <cell r="M3719">
            <v>60000</v>
          </cell>
        </row>
        <row r="3720">
          <cell r="A3720">
            <v>1842500811</v>
          </cell>
          <cell r="B3720">
            <v>811</v>
          </cell>
          <cell r="C3720">
            <v>842500</v>
          </cell>
          <cell r="D3720">
            <v>1</v>
          </cell>
          <cell r="F3720" t="str">
            <v>משפחות במצוקה</v>
          </cell>
          <cell r="G3720" t="str">
            <v>קשיח</v>
          </cell>
          <cell r="H3720">
            <v>5.6379821958457033E-2</v>
          </cell>
          <cell r="I3720">
            <v>356000</v>
          </cell>
          <cell r="J3720">
            <v>337000</v>
          </cell>
          <cell r="K3720">
            <v>131831</v>
          </cell>
          <cell r="L3720">
            <v>592600</v>
          </cell>
          <cell r="M3720">
            <v>317610</v>
          </cell>
        </row>
        <row r="3721">
          <cell r="A3721">
            <v>1842500812</v>
          </cell>
          <cell r="B3721">
            <v>812</v>
          </cell>
          <cell r="C3721">
            <v>842500</v>
          </cell>
          <cell r="D3721">
            <v>1</v>
          </cell>
          <cell r="F3721" t="str">
            <v>עולים במצוקה</v>
          </cell>
          <cell r="G3721" t="str">
            <v>קשיח</v>
          </cell>
          <cell r="H3721">
            <v>-0.4375</v>
          </cell>
          <cell r="I3721">
            <v>45000</v>
          </cell>
          <cell r="J3721">
            <v>80000</v>
          </cell>
          <cell r="K3721">
            <v>-300</v>
          </cell>
          <cell r="L3721">
            <v>80000</v>
          </cell>
          <cell r="M3721">
            <v>43760</v>
          </cell>
        </row>
        <row r="3722">
          <cell r="A3722">
            <v>1842500813</v>
          </cell>
          <cell r="B3722">
            <v>813</v>
          </cell>
          <cell r="C3722">
            <v>842500</v>
          </cell>
          <cell r="D3722">
            <v>1</v>
          </cell>
          <cell r="F3722" t="str">
            <v>פגיעות מיניות</v>
          </cell>
          <cell r="G3722" t="str">
            <v>קשיח</v>
          </cell>
          <cell r="H3722">
            <v>-0.4542536115569823</v>
          </cell>
          <cell r="I3722">
            <v>170000</v>
          </cell>
          <cell r="J3722">
            <v>311500</v>
          </cell>
          <cell r="K3722">
            <v>70473.86</v>
          </cell>
          <cell r="L3722">
            <v>200000</v>
          </cell>
          <cell r="M3722">
            <v>101676.32</v>
          </cell>
        </row>
        <row r="3723">
          <cell r="A3723">
            <v>1842500814</v>
          </cell>
          <cell r="B3723">
            <v>814</v>
          </cell>
          <cell r="C3723">
            <v>842500</v>
          </cell>
          <cell r="D3723">
            <v>1</v>
          </cell>
          <cell r="F3723" t="str">
            <v>מרכז קשר</v>
          </cell>
          <cell r="G3723" t="str">
            <v>קשיח</v>
          </cell>
          <cell r="H3723">
            <v>-0.37767405678724231</v>
          </cell>
          <cell r="I3723">
            <v>160000</v>
          </cell>
          <cell r="J3723">
            <v>257100</v>
          </cell>
          <cell r="K3723">
            <v>68536</v>
          </cell>
          <cell r="L3723">
            <v>757100</v>
          </cell>
          <cell r="M3723">
            <v>71731</v>
          </cell>
        </row>
        <row r="3724">
          <cell r="A3724">
            <v>1842500815</v>
          </cell>
          <cell r="B3724">
            <v>815</v>
          </cell>
          <cell r="C3724">
            <v>842500</v>
          </cell>
          <cell r="D3724">
            <v>1</v>
          </cell>
          <cell r="F3724" t="str">
            <v>תרגום שפה-פגישות חוק נוער</v>
          </cell>
          <cell r="G3724" t="str">
            <v>קשיח</v>
          </cell>
          <cell r="H3724">
            <v>-0.9</v>
          </cell>
          <cell r="I3724">
            <v>5000</v>
          </cell>
          <cell r="J3724">
            <v>50000</v>
          </cell>
          <cell r="K3724">
            <v>0</v>
          </cell>
          <cell r="L3724">
            <v>50000</v>
          </cell>
          <cell r="M3724">
            <v>585</v>
          </cell>
        </row>
        <row r="3725">
          <cell r="A3725">
            <v>1842500816</v>
          </cell>
          <cell r="B3725">
            <v>816</v>
          </cell>
          <cell r="C3725">
            <v>842500</v>
          </cell>
          <cell r="D3725">
            <v>1</v>
          </cell>
          <cell r="F3725" t="str">
            <v>חומש אתיופים-פעולות</v>
          </cell>
          <cell r="G3725" t="str">
            <v>קשיח</v>
          </cell>
          <cell r="H3725">
            <v>-0.41304347826086951</v>
          </cell>
          <cell r="I3725">
            <v>108000</v>
          </cell>
          <cell r="J3725">
            <v>184000</v>
          </cell>
          <cell r="K3725">
            <v>18617.330000000002</v>
          </cell>
          <cell r="L3725">
            <v>184000</v>
          </cell>
          <cell r="M3725">
            <v>147871.79999999999</v>
          </cell>
        </row>
        <row r="3726">
          <cell r="A3726">
            <v>1842500817</v>
          </cell>
          <cell r="B3726">
            <v>817</v>
          </cell>
          <cell r="C3726">
            <v>842500</v>
          </cell>
          <cell r="D3726">
            <v>1</v>
          </cell>
          <cell r="F3726" t="str">
            <v>טיפול בשורדות זנות</v>
          </cell>
          <cell r="G3726" t="str">
            <v>קשיח</v>
          </cell>
          <cell r="H3726">
            <v>1.8571428571428572</v>
          </cell>
          <cell r="I3726">
            <v>400000</v>
          </cell>
          <cell r="J3726">
            <v>140000</v>
          </cell>
          <cell r="K3726">
            <v>189599</v>
          </cell>
          <cell r="L3726">
            <v>140000</v>
          </cell>
          <cell r="M3726">
            <v>143897</v>
          </cell>
        </row>
        <row r="3727">
          <cell r="A3727">
            <v>1842500818</v>
          </cell>
          <cell r="B3727">
            <v>818</v>
          </cell>
          <cell r="C3727">
            <v>842500</v>
          </cell>
          <cell r="D3727">
            <v>1</v>
          </cell>
          <cell r="F3727" t="str">
            <v xml:space="preserve">מקלט לנשים מוכות  </v>
          </cell>
          <cell r="G3727" t="str">
            <v>קשיח</v>
          </cell>
          <cell r="H3727">
            <v>0</v>
          </cell>
          <cell r="I3727">
            <v>800000</v>
          </cell>
          <cell r="J3727">
            <v>800000</v>
          </cell>
          <cell r="K3727">
            <v>356251</v>
          </cell>
          <cell r="L3727">
            <v>1000000</v>
          </cell>
          <cell r="M3727">
            <v>710674</v>
          </cell>
        </row>
        <row r="3728">
          <cell r="A3728">
            <v>1842500819</v>
          </cell>
          <cell r="B3728">
            <v>819</v>
          </cell>
          <cell r="C3728">
            <v>842500</v>
          </cell>
          <cell r="D3728">
            <v>1</v>
          </cell>
          <cell r="F3728" t="str">
            <v>טיפול באובדן ושכול</v>
          </cell>
          <cell r="G3728" t="str">
            <v>קשיח</v>
          </cell>
          <cell r="H3728">
            <v>-0.57746478873239437</v>
          </cell>
          <cell r="I3728">
            <v>30000</v>
          </cell>
          <cell r="J3728">
            <v>71000</v>
          </cell>
          <cell r="K3728">
            <v>6532.17</v>
          </cell>
          <cell r="L3728">
            <v>71000</v>
          </cell>
          <cell r="M3728">
            <v>7826.65</v>
          </cell>
        </row>
        <row r="3729">
          <cell r="A3729">
            <v>1842500820</v>
          </cell>
          <cell r="B3729">
            <v>820</v>
          </cell>
          <cell r="C3729">
            <v>842500</v>
          </cell>
          <cell r="D3729">
            <v>1</v>
          </cell>
          <cell r="F3729" t="str">
            <v>מרכז טיפול באלימות</v>
          </cell>
          <cell r="G3729" t="str">
            <v>קשיח</v>
          </cell>
          <cell r="H3729">
            <v>0</v>
          </cell>
          <cell r="I3729">
            <v>337000</v>
          </cell>
          <cell r="J3729">
            <v>337000</v>
          </cell>
          <cell r="K3729">
            <v>92943.12</v>
          </cell>
          <cell r="L3729">
            <v>0</v>
          </cell>
          <cell r="M3729">
            <v>0</v>
          </cell>
        </row>
        <row r="3730">
          <cell r="A3730">
            <v>1842500841</v>
          </cell>
          <cell r="B3730">
            <v>841</v>
          </cell>
          <cell r="C3730">
            <v>842500</v>
          </cell>
          <cell r="D3730">
            <v>1</v>
          </cell>
          <cell r="F3730" t="str">
            <v>שירותים בקהילה</v>
          </cell>
          <cell r="G3730" t="str">
            <v>קשיח</v>
          </cell>
          <cell r="H3730">
            <v>0</v>
          </cell>
          <cell r="I3730">
            <v>440700</v>
          </cell>
          <cell r="J3730">
            <v>440700</v>
          </cell>
          <cell r="K3730">
            <v>109820</v>
          </cell>
          <cell r="L3730">
            <v>578700</v>
          </cell>
          <cell r="M3730">
            <v>215851</v>
          </cell>
        </row>
        <row r="3731">
          <cell r="A3731">
            <v>1842500842</v>
          </cell>
          <cell r="B3731">
            <v>842</v>
          </cell>
          <cell r="C3731">
            <v>842500</v>
          </cell>
          <cell r="D3731">
            <v>1</v>
          </cell>
          <cell r="F3731" t="str">
            <v>ביטחון תזונתי</v>
          </cell>
          <cell r="G3731" t="str">
            <v>קשיח</v>
          </cell>
          <cell r="H3731">
            <v>1.5844444444444443</v>
          </cell>
          <cell r="I3731">
            <v>465200</v>
          </cell>
          <cell r="J3731">
            <v>180000</v>
          </cell>
          <cell r="K3731">
            <v>135708.45000000001</v>
          </cell>
          <cell r="L3731">
            <v>465200</v>
          </cell>
          <cell r="M3731">
            <v>171319.2</v>
          </cell>
        </row>
        <row r="3732">
          <cell r="A3732">
            <v>1842500844</v>
          </cell>
          <cell r="B3732">
            <v>844</v>
          </cell>
          <cell r="C3732">
            <v>842500</v>
          </cell>
          <cell r="D3732">
            <v>1</v>
          </cell>
          <cell r="F3732" t="str">
            <v xml:space="preserve">דרי רחוב   </v>
          </cell>
          <cell r="G3732" t="str">
            <v>קשיח</v>
          </cell>
          <cell r="H3732">
            <v>-1</v>
          </cell>
          <cell r="I3732">
            <v>0</v>
          </cell>
          <cell r="J3732">
            <v>500000</v>
          </cell>
          <cell r="K3732">
            <v>576749.19999999995</v>
          </cell>
          <cell r="L3732">
            <v>500000</v>
          </cell>
          <cell r="M3732">
            <v>479864.43</v>
          </cell>
        </row>
        <row r="3733">
          <cell r="A3733" t="e">
            <v>#VALUE!</v>
          </cell>
          <cell r="B3733" t="str">
            <v>842500  סך הכל</v>
          </cell>
          <cell r="F3733" t="str">
            <v xml:space="preserve">טיפול במשפחה      </v>
          </cell>
          <cell r="H3733">
            <v>3.6522203708218903E-2</v>
          </cell>
          <cell r="I3733">
            <v>42492849.654340655</v>
          </cell>
          <cell r="J3733">
            <v>40995600</v>
          </cell>
          <cell r="K3733">
            <v>22414859.509999998</v>
          </cell>
          <cell r="L3733">
            <v>40012800</v>
          </cell>
          <cell r="M3733">
            <v>34980308.32</v>
          </cell>
        </row>
        <row r="3734">
          <cell r="A3734">
            <v>18430000</v>
          </cell>
          <cell r="B3734">
            <v>0</v>
          </cell>
          <cell r="C3734">
            <v>843000</v>
          </cell>
          <cell r="D3734">
            <v>1</v>
          </cell>
          <cell r="F3734" t="str">
            <v>שרותים לילד ולנוער</v>
          </cell>
          <cell r="G3734" t="str">
            <v xml:space="preserve"> </v>
          </cell>
        </row>
        <row r="3735">
          <cell r="A3735">
            <v>1843800119</v>
          </cell>
          <cell r="B3735">
            <v>119</v>
          </cell>
          <cell r="C3735">
            <v>843800</v>
          </cell>
          <cell r="D3735">
            <v>1</v>
          </cell>
          <cell r="F3735" t="str">
            <v>השכר הקובע-צוברת</v>
          </cell>
          <cell r="G3735" t="str">
            <v>שכר</v>
          </cell>
          <cell r="I3735">
            <v>0</v>
          </cell>
          <cell r="K3735">
            <v>0</v>
          </cell>
        </row>
        <row r="3736">
          <cell r="A3736">
            <v>1843800420</v>
          </cell>
          <cell r="B3736">
            <v>420</v>
          </cell>
          <cell r="C3736">
            <v>843800</v>
          </cell>
          <cell r="D3736">
            <v>1</v>
          </cell>
          <cell r="F3736" t="str">
            <v xml:space="preserve">כיבוי אש          </v>
          </cell>
          <cell r="G3736" t="str">
            <v>קשיח</v>
          </cell>
          <cell r="H3736">
            <v>0</v>
          </cell>
          <cell r="I3736">
            <v>9000</v>
          </cell>
          <cell r="J3736">
            <v>9000</v>
          </cell>
          <cell r="K3736">
            <v>8819.56</v>
          </cell>
          <cell r="L3736">
            <v>10000</v>
          </cell>
          <cell r="M3736">
            <v>9469</v>
          </cell>
        </row>
        <row r="3737">
          <cell r="A3737">
            <v>1843800431</v>
          </cell>
          <cell r="B3737">
            <v>431</v>
          </cell>
          <cell r="C3737">
            <v>843800</v>
          </cell>
          <cell r="D3737">
            <v>1</v>
          </cell>
          <cell r="F3737" t="str">
            <v xml:space="preserve">חשמל              </v>
          </cell>
          <cell r="G3737" t="str">
            <v>קשיח</v>
          </cell>
          <cell r="H3737">
            <v>0</v>
          </cell>
          <cell r="I3737">
            <v>5100</v>
          </cell>
          <cell r="J3737">
            <v>5100</v>
          </cell>
          <cell r="K3737">
            <v>2531.0700000000002</v>
          </cell>
          <cell r="L3737">
            <v>58900</v>
          </cell>
          <cell r="M3737">
            <v>5038.41</v>
          </cell>
        </row>
        <row r="3738">
          <cell r="A3738">
            <v>1843800437</v>
          </cell>
          <cell r="B3738">
            <v>437</v>
          </cell>
          <cell r="C3738">
            <v>843800</v>
          </cell>
          <cell r="D3738">
            <v>1</v>
          </cell>
          <cell r="F3738" t="str">
            <v xml:space="preserve">אחזקת אזעקה       </v>
          </cell>
          <cell r="G3738" t="str">
            <v>קשיח</v>
          </cell>
          <cell r="H3738">
            <v>1.9430232558139533</v>
          </cell>
          <cell r="I3738">
            <v>25310</v>
          </cell>
          <cell r="J3738">
            <v>8600</v>
          </cell>
          <cell r="K3738">
            <v>5310</v>
          </cell>
          <cell r="L3738">
            <v>7600</v>
          </cell>
          <cell r="M3738">
            <v>2966.14</v>
          </cell>
        </row>
        <row r="3739">
          <cell r="A3739">
            <v>1843800750</v>
          </cell>
          <cell r="B3739">
            <v>750</v>
          </cell>
          <cell r="C3739">
            <v>843800</v>
          </cell>
          <cell r="D3739">
            <v>1</v>
          </cell>
          <cell r="F3739" t="str">
            <v xml:space="preserve">תחזוקת מועדוניות       </v>
          </cell>
          <cell r="G3739" t="str">
            <v>קשיח</v>
          </cell>
          <cell r="H3739">
            <v>0.17218025527481107</v>
          </cell>
          <cell r="I3739">
            <v>450000</v>
          </cell>
          <cell r="J3739">
            <v>383900</v>
          </cell>
          <cell r="K3739">
            <v>112452</v>
          </cell>
          <cell r="L3739">
            <v>187700</v>
          </cell>
          <cell r="M3739">
            <v>122758.3</v>
          </cell>
        </row>
        <row r="3740">
          <cell r="A3740">
            <v>1843800752</v>
          </cell>
          <cell r="B3740">
            <v>752</v>
          </cell>
          <cell r="C3740">
            <v>843800</v>
          </cell>
          <cell r="D3740">
            <v>1</v>
          </cell>
          <cell r="F3740" t="str">
            <v>נקיון מרכז אורים</v>
          </cell>
          <cell r="G3740" t="str">
            <v>קשיח</v>
          </cell>
          <cell r="H3740">
            <v>-0.25</v>
          </cell>
          <cell r="I3740">
            <v>15000</v>
          </cell>
          <cell r="J3740">
            <v>20000</v>
          </cell>
          <cell r="K3740">
            <v>14909.9</v>
          </cell>
          <cell r="L3740">
            <v>20000</v>
          </cell>
          <cell r="M3740">
            <v>7370.64</v>
          </cell>
        </row>
        <row r="3741">
          <cell r="A3741">
            <v>1843800781</v>
          </cell>
          <cell r="B3741">
            <v>781</v>
          </cell>
          <cell r="C3741">
            <v>843800</v>
          </cell>
          <cell r="D3741">
            <v>1</v>
          </cell>
          <cell r="F3741" t="str">
            <v xml:space="preserve">איבחון חיצוני     </v>
          </cell>
          <cell r="G3741" t="str">
            <v>גמיש</v>
          </cell>
          <cell r="H3741">
            <v>0</v>
          </cell>
          <cell r="I3741">
            <v>6570</v>
          </cell>
          <cell r="J3741">
            <v>6570</v>
          </cell>
          <cell r="K3741">
            <v>0</v>
          </cell>
          <cell r="L3741">
            <v>7300</v>
          </cell>
          <cell r="M3741">
            <v>380</v>
          </cell>
        </row>
        <row r="3742">
          <cell r="A3742">
            <v>1843800785</v>
          </cell>
          <cell r="B3742">
            <v>785</v>
          </cell>
          <cell r="C3742">
            <v>843800</v>
          </cell>
          <cell r="D3742">
            <v>1</v>
          </cell>
          <cell r="F3742" t="str">
            <v>תמיכה לילדי רווחה</v>
          </cell>
          <cell r="G3742" t="str">
            <v>גמיש</v>
          </cell>
          <cell r="H3742">
            <v>0</v>
          </cell>
          <cell r="I3742">
            <v>77400</v>
          </cell>
          <cell r="J3742">
            <v>77400</v>
          </cell>
          <cell r="K3742">
            <v>14349</v>
          </cell>
          <cell r="L3742">
            <v>0</v>
          </cell>
          <cell r="M3742">
            <v>0</v>
          </cell>
        </row>
        <row r="3743">
          <cell r="A3743">
            <v>1843800786</v>
          </cell>
          <cell r="B3743">
            <v>786</v>
          </cell>
          <cell r="C3743">
            <v>843800</v>
          </cell>
          <cell r="D3743">
            <v>1</v>
          </cell>
          <cell r="F3743" t="str">
            <v>תסקירים לחוק נוער</v>
          </cell>
          <cell r="G3743" t="str">
            <v>גמיש</v>
          </cell>
          <cell r="H3743">
            <v>-1</v>
          </cell>
          <cell r="I3743">
            <v>0</v>
          </cell>
          <cell r="J3743">
            <v>22500</v>
          </cell>
          <cell r="K3743">
            <v>0</v>
          </cell>
          <cell r="L3743">
            <v>0</v>
          </cell>
          <cell r="M3743">
            <v>0</v>
          </cell>
        </row>
        <row r="3744">
          <cell r="A3744">
            <v>1843800811</v>
          </cell>
          <cell r="B3744">
            <v>811</v>
          </cell>
          <cell r="C3744">
            <v>843800</v>
          </cell>
          <cell r="D3744">
            <v>1</v>
          </cell>
          <cell r="F3744" t="str">
            <v>ילד פנימיות</v>
          </cell>
          <cell r="G3744" t="str">
            <v>קשיח</v>
          </cell>
          <cell r="H3744">
            <v>0.25033253524873644</v>
          </cell>
          <cell r="I3744">
            <v>23500000</v>
          </cell>
          <cell r="J3744">
            <v>18795000</v>
          </cell>
          <cell r="K3744">
            <v>14053686</v>
          </cell>
          <cell r="L3744">
            <v>18795000</v>
          </cell>
          <cell r="M3744">
            <v>18828630</v>
          </cell>
        </row>
        <row r="3745">
          <cell r="A3745">
            <v>1843800812</v>
          </cell>
          <cell r="B3745">
            <v>812</v>
          </cell>
          <cell r="C3745">
            <v>843800</v>
          </cell>
          <cell r="D3745">
            <v>1</v>
          </cell>
          <cell r="F3745" t="str">
            <v>ילד' פנימיות עולים</v>
          </cell>
          <cell r="G3745" t="str">
            <v>קשיח</v>
          </cell>
          <cell r="H3745">
            <v>-0.4285714285714286</v>
          </cell>
          <cell r="I3745">
            <v>400000</v>
          </cell>
          <cell r="J3745">
            <v>700000</v>
          </cell>
          <cell r="K3745">
            <v>177996</v>
          </cell>
          <cell r="L3745">
            <v>2400000</v>
          </cell>
          <cell r="M3745">
            <v>487010</v>
          </cell>
        </row>
        <row r="3746">
          <cell r="A3746">
            <v>1843800815</v>
          </cell>
          <cell r="B3746">
            <v>815</v>
          </cell>
          <cell r="C3746">
            <v>843800</v>
          </cell>
          <cell r="D3746">
            <v>1</v>
          </cell>
          <cell r="F3746" t="str">
            <v>ילד במעונות</v>
          </cell>
          <cell r="G3746" t="str">
            <v>קשיח</v>
          </cell>
          <cell r="H3746">
            <v>3.2750937256843748E-2</v>
          </cell>
          <cell r="I3746">
            <v>5840000</v>
          </cell>
          <cell r="J3746">
            <v>5654800</v>
          </cell>
          <cell r="K3746">
            <v>3414035</v>
          </cell>
          <cell r="L3746">
            <v>6454800</v>
          </cell>
          <cell r="M3746">
            <v>5519074</v>
          </cell>
        </row>
        <row r="3747">
          <cell r="A3747">
            <v>1843800817</v>
          </cell>
          <cell r="B3747">
            <v>817</v>
          </cell>
          <cell r="C3747">
            <v>843800</v>
          </cell>
          <cell r="D3747">
            <v>1</v>
          </cell>
          <cell r="F3747" t="str">
            <v>משפחות וילדים בקהילה</v>
          </cell>
          <cell r="G3747" t="str">
            <v>קשיח</v>
          </cell>
          <cell r="H3747">
            <v>-4.4472115983240634E-5</v>
          </cell>
          <cell r="I3747">
            <v>4497000</v>
          </cell>
          <cell r="J3747">
            <v>4497200</v>
          </cell>
          <cell r="K3747">
            <v>1211463</v>
          </cell>
          <cell r="L3747">
            <v>3187200</v>
          </cell>
          <cell r="M3747">
            <v>3493915.62</v>
          </cell>
        </row>
        <row r="3748">
          <cell r="A3748">
            <v>1843800819</v>
          </cell>
          <cell r="B3748">
            <v>819</v>
          </cell>
          <cell r="C3748">
            <v>843800</v>
          </cell>
          <cell r="D3748">
            <v>1</v>
          </cell>
          <cell r="F3748" t="str">
            <v xml:space="preserve">מפתן מקומי </v>
          </cell>
          <cell r="G3748" t="str">
            <v>קשיח</v>
          </cell>
          <cell r="H3748">
            <v>-0.2857142857142857</v>
          </cell>
          <cell r="I3748">
            <v>200000</v>
          </cell>
          <cell r="J3748">
            <v>280000</v>
          </cell>
          <cell r="K3748">
            <v>101169</v>
          </cell>
          <cell r="L3748">
            <v>280000</v>
          </cell>
          <cell r="M3748">
            <v>185881</v>
          </cell>
        </row>
        <row r="3749">
          <cell r="A3749">
            <v>1843800820</v>
          </cell>
          <cell r="B3749">
            <v>820</v>
          </cell>
          <cell r="C3749">
            <v>843800</v>
          </cell>
          <cell r="D3749">
            <v>1</v>
          </cell>
          <cell r="F3749" t="str">
            <v>נוער חרדי מנותק</v>
          </cell>
          <cell r="G3749" t="str">
            <v>קשיח</v>
          </cell>
          <cell r="H3749">
            <v>6.3826392213180094E-2</v>
          </cell>
          <cell r="I3749">
            <v>666700</v>
          </cell>
          <cell r="J3749">
            <v>626700</v>
          </cell>
          <cell r="K3749">
            <v>396003</v>
          </cell>
          <cell r="L3749">
            <v>626700</v>
          </cell>
          <cell r="M3749">
            <v>538405</v>
          </cell>
        </row>
        <row r="3750">
          <cell r="A3750">
            <v>1843800841</v>
          </cell>
          <cell r="B3750">
            <v>841</v>
          </cell>
          <cell r="C3750">
            <v>843800</v>
          </cell>
          <cell r="D3750">
            <v>1</v>
          </cell>
          <cell r="F3750" t="str">
            <v>תכנית לילדים בסיכון</v>
          </cell>
          <cell r="G3750" t="str">
            <v>קשיח</v>
          </cell>
          <cell r="H3750">
            <v>-1.7672510676556508E-2</v>
          </cell>
          <cell r="I3750">
            <v>5244450</v>
          </cell>
          <cell r="J3750">
            <v>5338800</v>
          </cell>
          <cell r="K3750">
            <v>2086001.2</v>
          </cell>
          <cell r="L3750">
            <v>5932000</v>
          </cell>
          <cell r="M3750">
            <v>4946191.88</v>
          </cell>
        </row>
        <row r="3751">
          <cell r="A3751">
            <v>1843800842</v>
          </cell>
          <cell r="B3751">
            <v>842</v>
          </cell>
          <cell r="C3751">
            <v>843800</v>
          </cell>
          <cell r="D3751">
            <v>1</v>
          </cell>
          <cell r="F3751" t="str">
            <v>מרכז חכ"ם</v>
          </cell>
          <cell r="G3751" t="str">
            <v>קשיח</v>
          </cell>
          <cell r="I3751">
            <v>0</v>
          </cell>
          <cell r="J3751">
            <v>0</v>
          </cell>
          <cell r="K3751">
            <v>0</v>
          </cell>
          <cell r="L3751">
            <v>900000</v>
          </cell>
          <cell r="M3751">
            <v>47834</v>
          </cell>
        </row>
        <row r="3752">
          <cell r="A3752">
            <v>1843800843</v>
          </cell>
          <cell r="B3752">
            <v>843</v>
          </cell>
          <cell r="C3752">
            <v>843800</v>
          </cell>
          <cell r="D3752">
            <v>1</v>
          </cell>
          <cell r="F3752" t="str">
            <v>תוכנית "אל הגן "</v>
          </cell>
          <cell r="G3752" t="str">
            <v>גמיש</v>
          </cell>
          <cell r="I3752">
            <v>49800</v>
          </cell>
          <cell r="J3752">
            <v>0</v>
          </cell>
          <cell r="K3752">
            <v>0</v>
          </cell>
          <cell r="L3752">
            <v>0</v>
          </cell>
          <cell r="M3752">
            <v>0</v>
          </cell>
        </row>
        <row r="3753">
          <cell r="A3753">
            <v>1843800846</v>
          </cell>
          <cell r="B3753">
            <v>846</v>
          </cell>
          <cell r="C3753">
            <v>843800</v>
          </cell>
          <cell r="D3753">
            <v>1</v>
          </cell>
          <cell r="F3753" t="str">
            <v>מועדניות משותפות</v>
          </cell>
          <cell r="G3753" t="str">
            <v>קשיח</v>
          </cell>
          <cell r="H3753">
            <v>0</v>
          </cell>
          <cell r="I3753">
            <v>1500000</v>
          </cell>
          <cell r="J3753">
            <v>1500000</v>
          </cell>
          <cell r="K3753">
            <v>522928</v>
          </cell>
          <cell r="L3753">
            <v>1300000</v>
          </cell>
          <cell r="M3753">
            <v>1192544</v>
          </cell>
        </row>
        <row r="3754">
          <cell r="A3754">
            <v>1843800883</v>
          </cell>
          <cell r="B3754">
            <v>883</v>
          </cell>
          <cell r="C3754">
            <v>843800</v>
          </cell>
          <cell r="D3754">
            <v>1</v>
          </cell>
          <cell r="F3754" t="str">
            <v xml:space="preserve">ילד במצוקה </v>
          </cell>
          <cell r="G3754" t="str">
            <v>קשיח</v>
          </cell>
          <cell r="I3754">
            <v>0</v>
          </cell>
          <cell r="J3754">
            <v>0</v>
          </cell>
          <cell r="K3754">
            <v>0</v>
          </cell>
          <cell r="L3754">
            <v>90000</v>
          </cell>
          <cell r="M3754">
            <v>0</v>
          </cell>
        </row>
        <row r="3755">
          <cell r="A3755">
            <v>1843800885</v>
          </cell>
          <cell r="B3755">
            <v>885</v>
          </cell>
          <cell r="C3755">
            <v>843800</v>
          </cell>
          <cell r="D3755">
            <v>1</v>
          </cell>
          <cell r="F3755" t="str">
            <v>הפנים לקהילה</v>
          </cell>
          <cell r="G3755" t="str">
            <v>קשיח</v>
          </cell>
          <cell r="H3755">
            <v>0</v>
          </cell>
          <cell r="I3755">
            <v>1615300</v>
          </cell>
          <cell r="J3755">
            <v>1615300</v>
          </cell>
          <cell r="K3755">
            <v>725407</v>
          </cell>
          <cell r="L3755">
            <v>2015300</v>
          </cell>
          <cell r="M3755">
            <v>1422876</v>
          </cell>
        </row>
        <row r="3756">
          <cell r="A3756">
            <v>1843800886</v>
          </cell>
          <cell r="B3756">
            <v>886</v>
          </cell>
          <cell r="C3756">
            <v>843800</v>
          </cell>
          <cell r="D3756">
            <v>1</v>
          </cell>
          <cell r="F3756" t="str">
            <v>טיפול במשפחות אומנה</v>
          </cell>
          <cell r="G3756" t="str">
            <v>קשיח</v>
          </cell>
          <cell r="H3756">
            <v>0</v>
          </cell>
          <cell r="I3756">
            <v>1764000</v>
          </cell>
          <cell r="J3756">
            <v>1764000</v>
          </cell>
          <cell r="K3756">
            <v>867227</v>
          </cell>
          <cell r="L3756">
            <v>1764000</v>
          </cell>
          <cell r="M3756">
            <v>1709318</v>
          </cell>
        </row>
        <row r="3757">
          <cell r="A3757">
            <v>1843800887</v>
          </cell>
          <cell r="B3757">
            <v>887</v>
          </cell>
          <cell r="C3757">
            <v>843800</v>
          </cell>
          <cell r="D3757">
            <v>1</v>
          </cell>
          <cell r="F3757" t="str">
            <v>מרכז אורים</v>
          </cell>
          <cell r="G3757" t="str">
            <v>קשיח</v>
          </cell>
          <cell r="I3757">
            <v>0</v>
          </cell>
          <cell r="J3757">
            <v>0</v>
          </cell>
          <cell r="K3757">
            <v>0</v>
          </cell>
          <cell r="L3757">
            <v>0</v>
          </cell>
          <cell r="M3757">
            <v>0</v>
          </cell>
        </row>
        <row r="3758">
          <cell r="A3758">
            <v>1843800888</v>
          </cell>
          <cell r="B3758">
            <v>888</v>
          </cell>
          <cell r="C3758">
            <v>843800</v>
          </cell>
          <cell r="D3758">
            <v>1</v>
          </cell>
          <cell r="F3758" t="str">
            <v>טיפול בפגיעות מיניות</v>
          </cell>
          <cell r="G3758" t="str">
            <v>קשיח</v>
          </cell>
          <cell r="H3758">
            <v>0.68409090909090908</v>
          </cell>
          <cell r="I3758">
            <v>1482000</v>
          </cell>
          <cell r="J3758">
            <v>880000</v>
          </cell>
          <cell r="K3758">
            <v>854842</v>
          </cell>
          <cell r="L3758">
            <v>880000</v>
          </cell>
          <cell r="M3758">
            <v>1070535</v>
          </cell>
        </row>
        <row r="3759">
          <cell r="A3759">
            <v>1843800892</v>
          </cell>
          <cell r="B3759">
            <v>892</v>
          </cell>
          <cell r="C3759">
            <v>843800</v>
          </cell>
          <cell r="D3759">
            <v>1</v>
          </cell>
          <cell r="F3759" t="str">
            <v>הזנה לנחשונים ובתי דרור</v>
          </cell>
          <cell r="G3759" t="str">
            <v>קשיח</v>
          </cell>
          <cell r="H3759">
            <v>-5.8479532163743242E-3</v>
          </cell>
          <cell r="I3759">
            <v>85000</v>
          </cell>
          <cell r="J3759">
            <v>85500</v>
          </cell>
          <cell r="K3759">
            <v>20031.68</v>
          </cell>
          <cell r="L3759">
            <v>95000</v>
          </cell>
          <cell r="M3759">
            <v>85624.7</v>
          </cell>
        </row>
        <row r="3760">
          <cell r="A3760">
            <v>1843800893</v>
          </cell>
          <cell r="B3760">
            <v>893</v>
          </cell>
          <cell r="C3760">
            <v>843800</v>
          </cell>
          <cell r="D3760">
            <v>1</v>
          </cell>
          <cell r="F3760" t="str">
            <v>מרכז אורים</v>
          </cell>
          <cell r="G3760" t="str">
            <v>גמיש</v>
          </cell>
          <cell r="H3760">
            <v>0</v>
          </cell>
          <cell r="I3760">
            <v>4230</v>
          </cell>
          <cell r="J3760">
            <v>4230</v>
          </cell>
          <cell r="K3760">
            <v>4200</v>
          </cell>
          <cell r="L3760">
            <v>4700</v>
          </cell>
          <cell r="M3760">
            <v>0</v>
          </cell>
        </row>
        <row r="3761">
          <cell r="A3761">
            <v>1843800980</v>
          </cell>
          <cell r="B3761">
            <v>980</v>
          </cell>
          <cell r="C3761">
            <v>843800</v>
          </cell>
          <cell r="D3761">
            <v>1</v>
          </cell>
          <cell r="F3761" t="str">
            <v>פרוייקט "אח בוגר"</v>
          </cell>
          <cell r="G3761" t="str">
            <v>קשיח</v>
          </cell>
          <cell r="I3761">
            <v>0</v>
          </cell>
          <cell r="J3761">
            <v>0</v>
          </cell>
          <cell r="K3761">
            <v>0</v>
          </cell>
          <cell r="L3761">
            <v>30000</v>
          </cell>
          <cell r="M3761">
            <v>0</v>
          </cell>
        </row>
        <row r="3762">
          <cell r="A3762">
            <v>1843800981</v>
          </cell>
          <cell r="B3762">
            <v>981</v>
          </cell>
          <cell r="C3762">
            <v>843800</v>
          </cell>
          <cell r="D3762">
            <v>1</v>
          </cell>
          <cell r="F3762" t="str">
            <v>מועדונית חוסן</v>
          </cell>
          <cell r="G3762" t="str">
            <v>קשיח</v>
          </cell>
          <cell r="I3762">
            <v>0</v>
          </cell>
          <cell r="J3762">
            <v>0</v>
          </cell>
          <cell r="K3762">
            <v>0</v>
          </cell>
          <cell r="L3762">
            <v>100000</v>
          </cell>
          <cell r="M3762">
            <v>0</v>
          </cell>
        </row>
        <row r="3763">
          <cell r="A3763">
            <v>1843800982</v>
          </cell>
          <cell r="B3763">
            <v>982</v>
          </cell>
          <cell r="C3763">
            <v>843800</v>
          </cell>
          <cell r="D3763">
            <v>1</v>
          </cell>
          <cell r="F3763" t="str">
            <v>מרכז להתפתחות הילד</v>
          </cell>
          <cell r="G3763" t="str">
            <v>גמיש</v>
          </cell>
          <cell r="H3763">
            <v>0.34843581445523197</v>
          </cell>
          <cell r="I3763">
            <v>500000</v>
          </cell>
          <cell r="J3763">
            <v>370800</v>
          </cell>
          <cell r="K3763">
            <v>235666.65</v>
          </cell>
          <cell r="L3763">
            <v>412000</v>
          </cell>
          <cell r="M3763">
            <v>421951.12</v>
          </cell>
        </row>
        <row r="3764">
          <cell r="A3764">
            <v>1843800983</v>
          </cell>
          <cell r="B3764">
            <v>983</v>
          </cell>
          <cell r="C3764">
            <v>843800</v>
          </cell>
          <cell r="D3764">
            <v>1</v>
          </cell>
          <cell r="F3764" t="str">
            <v>מועדונית מקווה ישראל</v>
          </cell>
          <cell r="G3764" t="str">
            <v>קשיח</v>
          </cell>
          <cell r="H3764">
            <v>0</v>
          </cell>
          <cell r="I3764">
            <v>176000</v>
          </cell>
          <cell r="J3764">
            <v>176000</v>
          </cell>
          <cell r="K3764">
            <v>0</v>
          </cell>
          <cell r="L3764">
            <v>176000</v>
          </cell>
          <cell r="M3764">
            <v>88000</v>
          </cell>
        </row>
        <row r="3765">
          <cell r="A3765">
            <v>1843800984</v>
          </cell>
          <cell r="B3765">
            <v>984</v>
          </cell>
          <cell r="C3765">
            <v>843800</v>
          </cell>
          <cell r="D3765">
            <v>1</v>
          </cell>
          <cell r="F3765" t="str">
            <v>צהרוני רווחה</v>
          </cell>
          <cell r="G3765" t="str">
            <v>קשיח</v>
          </cell>
          <cell r="H3765">
            <v>0.54255319148936176</v>
          </cell>
          <cell r="I3765">
            <v>304500</v>
          </cell>
          <cell r="J3765">
            <v>197400</v>
          </cell>
          <cell r="K3765">
            <v>54838.239999999998</v>
          </cell>
          <cell r="L3765">
            <v>105700</v>
          </cell>
          <cell r="M3765">
            <v>144218.18</v>
          </cell>
        </row>
        <row r="3766">
          <cell r="A3766">
            <v>1843800985</v>
          </cell>
          <cell r="B3766">
            <v>985</v>
          </cell>
          <cell r="C3766">
            <v>843800</v>
          </cell>
          <cell r="D3766">
            <v>1</v>
          </cell>
          <cell r="F3766" t="str">
            <v>העשרה שפתית</v>
          </cell>
          <cell r="G3766" t="str">
            <v>קשיח</v>
          </cell>
          <cell r="H3766">
            <v>0</v>
          </cell>
          <cell r="I3766">
            <v>107100</v>
          </cell>
          <cell r="J3766">
            <v>107100</v>
          </cell>
          <cell r="K3766">
            <v>0</v>
          </cell>
          <cell r="L3766">
            <v>119000</v>
          </cell>
          <cell r="M3766">
            <v>30000</v>
          </cell>
        </row>
        <row r="3767">
          <cell r="A3767">
            <v>1843800986</v>
          </cell>
          <cell r="B3767">
            <v>986</v>
          </cell>
          <cell r="C3767">
            <v>843800</v>
          </cell>
          <cell r="D3767">
            <v>1</v>
          </cell>
          <cell r="F3767" t="str">
            <v xml:space="preserve">עמותת חמניות </v>
          </cell>
          <cell r="G3767" t="str">
            <v>קשיח</v>
          </cell>
          <cell r="H3767">
            <v>0.11111111111111116</v>
          </cell>
          <cell r="I3767">
            <v>70000</v>
          </cell>
          <cell r="J3767">
            <v>63000</v>
          </cell>
          <cell r="K3767">
            <v>35000</v>
          </cell>
          <cell r="L3767">
            <v>70000</v>
          </cell>
          <cell r="M3767">
            <v>55000</v>
          </cell>
        </row>
        <row r="3768">
          <cell r="A3768">
            <v>1843800987</v>
          </cell>
          <cell r="B3768">
            <v>987</v>
          </cell>
          <cell r="C3768">
            <v>843800</v>
          </cell>
          <cell r="D3768">
            <v>1</v>
          </cell>
          <cell r="F3768" t="str">
            <v>מועדוניות במתנסים</v>
          </cell>
          <cell r="G3768" t="str">
            <v>קשיח</v>
          </cell>
          <cell r="H3768">
            <v>0.11111111111111116</v>
          </cell>
          <cell r="I3768">
            <v>40000</v>
          </cell>
          <cell r="J3768">
            <v>36000</v>
          </cell>
          <cell r="K3768">
            <v>0</v>
          </cell>
          <cell r="L3768">
            <v>80000</v>
          </cell>
          <cell r="M3768">
            <v>60000</v>
          </cell>
        </row>
        <row r="3769">
          <cell r="A3769">
            <v>1843800988</v>
          </cell>
          <cell r="B3769">
            <v>988</v>
          </cell>
          <cell r="C3769">
            <v>843800</v>
          </cell>
          <cell r="D3769">
            <v>1</v>
          </cell>
          <cell r="F3769" t="str">
            <v>תוכניות טיפול בעולים</v>
          </cell>
          <cell r="G3769" t="str">
            <v>קשיח</v>
          </cell>
          <cell r="H3769">
            <v>-1</v>
          </cell>
          <cell r="I3769">
            <v>0</v>
          </cell>
          <cell r="J3769">
            <v>236000</v>
          </cell>
          <cell r="K3769">
            <v>0</v>
          </cell>
          <cell r="L3769">
            <v>0</v>
          </cell>
          <cell r="M3769">
            <v>115.63</v>
          </cell>
        </row>
        <row r="3770">
          <cell r="A3770" t="e">
            <v>#VALUE!</v>
          </cell>
          <cell r="B3770" t="str">
            <v>843800  סך הכל</v>
          </cell>
          <cell r="F3770" t="str">
            <v xml:space="preserve">טיפול בילד ובנוער </v>
          </cell>
          <cell r="H3770">
            <v>0.11903941243738614</v>
          </cell>
          <cell r="I3770">
            <v>48634460</v>
          </cell>
          <cell r="J3770">
            <v>43460900</v>
          </cell>
          <cell r="K3770">
            <v>24918865.299999997</v>
          </cell>
          <cell r="L3770">
            <v>46108900</v>
          </cell>
          <cell r="M3770">
            <v>40475106.620000005</v>
          </cell>
        </row>
        <row r="3771">
          <cell r="A3771">
            <v>18440000</v>
          </cell>
          <cell r="B3771">
            <v>0</v>
          </cell>
          <cell r="C3771">
            <v>844000</v>
          </cell>
          <cell r="D3771">
            <v>1</v>
          </cell>
          <cell r="F3771" t="str">
            <v xml:space="preserve">שרותים לקשיש      </v>
          </cell>
          <cell r="G3771" t="str">
            <v xml:space="preserve"> </v>
          </cell>
        </row>
        <row r="3772">
          <cell r="A3772">
            <v>1844300511</v>
          </cell>
          <cell r="B3772">
            <v>511</v>
          </cell>
          <cell r="C3772">
            <v>844300</v>
          </cell>
          <cell r="D3772">
            <v>1</v>
          </cell>
          <cell r="F3772" t="str">
            <v xml:space="preserve">אירוח וכיבוד      </v>
          </cell>
          <cell r="G3772" t="str">
            <v>גמיש</v>
          </cell>
          <cell r="H3772">
            <v>-1</v>
          </cell>
          <cell r="I3772">
            <v>0</v>
          </cell>
          <cell r="J3772">
            <v>2160</v>
          </cell>
          <cell r="K3772">
            <v>550.64</v>
          </cell>
          <cell r="L3772">
            <v>2400</v>
          </cell>
          <cell r="M3772">
            <v>2218.91</v>
          </cell>
        </row>
        <row r="3773">
          <cell r="A3773">
            <v>1844300512</v>
          </cell>
          <cell r="B3773">
            <v>512</v>
          </cell>
          <cell r="C3773">
            <v>844300</v>
          </cell>
          <cell r="D3773">
            <v>1</v>
          </cell>
          <cell r="F3773" t="str">
            <v xml:space="preserve">אירוח וכיבוד      </v>
          </cell>
          <cell r="G3773" t="str">
            <v>גמיש</v>
          </cell>
          <cell r="I3773">
            <v>2200</v>
          </cell>
          <cell r="J3773">
            <v>0</v>
          </cell>
          <cell r="K3773">
            <v>0</v>
          </cell>
          <cell r="L3773">
            <v>0</v>
          </cell>
          <cell r="M3773">
            <v>0</v>
          </cell>
        </row>
        <row r="3774">
          <cell r="A3774">
            <v>1844300815</v>
          </cell>
          <cell r="B3774">
            <v>815</v>
          </cell>
          <cell r="C3774">
            <v>844300</v>
          </cell>
          <cell r="D3774">
            <v>1</v>
          </cell>
          <cell r="F3774" t="str">
            <v>סיוע לאזרחים ותיקים</v>
          </cell>
          <cell r="G3774" t="str">
            <v>קשיח</v>
          </cell>
          <cell r="H3774">
            <v>0</v>
          </cell>
          <cell r="I3774">
            <v>100000</v>
          </cell>
          <cell r="J3774">
            <v>100000</v>
          </cell>
          <cell r="K3774">
            <v>35854</v>
          </cell>
          <cell r="L3774">
            <v>300000</v>
          </cell>
          <cell r="M3774">
            <v>95258.22</v>
          </cell>
        </row>
        <row r="3775">
          <cell r="A3775">
            <v>1844300817</v>
          </cell>
          <cell r="B3775">
            <v>817</v>
          </cell>
          <cell r="C3775">
            <v>844300</v>
          </cell>
          <cell r="D3775">
            <v>1</v>
          </cell>
          <cell r="F3775" t="str">
            <v xml:space="preserve">אחזקה במעונות </v>
          </cell>
          <cell r="G3775" t="str">
            <v>קשיח</v>
          </cell>
          <cell r="H3775">
            <v>2.1052631578947434E-2</v>
          </cell>
          <cell r="I3775">
            <v>9700000</v>
          </cell>
          <cell r="J3775">
            <v>9500000</v>
          </cell>
          <cell r="K3775">
            <v>5563712</v>
          </cell>
          <cell r="L3775">
            <v>9500000</v>
          </cell>
          <cell r="M3775">
            <v>9643211.3000000007</v>
          </cell>
        </row>
        <row r="3776">
          <cell r="A3776">
            <v>1844300818</v>
          </cell>
          <cell r="B3776">
            <v>818</v>
          </cell>
          <cell r="C3776">
            <v>844300</v>
          </cell>
          <cell r="D3776">
            <v>1</v>
          </cell>
          <cell r="F3776" t="str">
            <v>הזדקנות מיטבית בקהילה</v>
          </cell>
          <cell r="G3776" t="str">
            <v>קשיח</v>
          </cell>
          <cell r="H3776">
            <v>0</v>
          </cell>
          <cell r="I3776">
            <v>900000</v>
          </cell>
          <cell r="J3776">
            <v>900000</v>
          </cell>
          <cell r="K3776">
            <v>349693.05</v>
          </cell>
          <cell r="L3776">
            <v>1800000</v>
          </cell>
          <cell r="M3776">
            <v>699903.86</v>
          </cell>
        </row>
        <row r="3777">
          <cell r="A3777">
            <v>1844300840</v>
          </cell>
          <cell r="B3777">
            <v>840</v>
          </cell>
          <cell r="C3777">
            <v>844300</v>
          </cell>
          <cell r="D3777">
            <v>1</v>
          </cell>
          <cell r="F3777" t="str">
            <v>שרותים לניצולי שואה</v>
          </cell>
          <cell r="G3777" t="str">
            <v>קשיח</v>
          </cell>
          <cell r="H3777">
            <v>2.9838022165388001E-2</v>
          </cell>
          <cell r="I3777">
            <v>1208000</v>
          </cell>
          <cell r="J3777">
            <v>1173000</v>
          </cell>
          <cell r="K3777">
            <v>654870.52</v>
          </cell>
          <cell r="L3777">
            <v>1100000</v>
          </cell>
          <cell r="M3777">
            <v>1130787.6399999999</v>
          </cell>
        </row>
        <row r="3778">
          <cell r="A3778">
            <v>1844300891</v>
          </cell>
          <cell r="B3778">
            <v>891</v>
          </cell>
          <cell r="C3778">
            <v>844300</v>
          </cell>
          <cell r="D3778">
            <v>1</v>
          </cell>
          <cell r="F3778" t="str">
            <v>שכונה תומכת</v>
          </cell>
          <cell r="G3778" t="str">
            <v>גמיש</v>
          </cell>
          <cell r="I3778">
            <v>0</v>
          </cell>
          <cell r="J3778">
            <v>0</v>
          </cell>
          <cell r="K3778">
            <v>0</v>
          </cell>
          <cell r="L3778">
            <v>45000</v>
          </cell>
          <cell r="M3778">
            <v>0</v>
          </cell>
        </row>
        <row r="3779">
          <cell r="A3779">
            <v>1844300971</v>
          </cell>
          <cell r="B3779">
            <v>971</v>
          </cell>
          <cell r="C3779">
            <v>844300</v>
          </cell>
          <cell r="D3779">
            <v>1</v>
          </cell>
          <cell r="F3779" t="str">
            <v>שעת כושר אזרחים ותיקים</v>
          </cell>
          <cell r="G3779" t="str">
            <v>קשיח</v>
          </cell>
          <cell r="I3779">
            <v>0</v>
          </cell>
          <cell r="K3779">
            <v>0</v>
          </cell>
          <cell r="L3779">
            <v>0</v>
          </cell>
        </row>
        <row r="3780">
          <cell r="A3780">
            <v>1844300980</v>
          </cell>
          <cell r="B3780">
            <v>980</v>
          </cell>
          <cell r="C3780">
            <v>844300</v>
          </cell>
          <cell r="D3780">
            <v>1</v>
          </cell>
          <cell r="F3780" t="str">
            <v>תכנית אב לאזרחים ותיקים</v>
          </cell>
          <cell r="G3780" t="str">
            <v>קשיח</v>
          </cell>
          <cell r="H3780">
            <v>0</v>
          </cell>
          <cell r="I3780">
            <v>795200</v>
          </cell>
          <cell r="J3780">
            <v>795200</v>
          </cell>
          <cell r="K3780">
            <v>297080</v>
          </cell>
          <cell r="L3780">
            <v>795200</v>
          </cell>
          <cell r="M3780">
            <v>702511.22</v>
          </cell>
        </row>
        <row r="3781">
          <cell r="A3781">
            <v>1844300993</v>
          </cell>
          <cell r="B3781">
            <v>993</v>
          </cell>
          <cell r="C3781">
            <v>844300</v>
          </cell>
          <cell r="D3781">
            <v>1</v>
          </cell>
          <cell r="F3781" t="str">
            <v>קול קורא להפגת בדידות</v>
          </cell>
          <cell r="G3781" t="str">
            <v>גמיש</v>
          </cell>
          <cell r="I3781">
            <v>0</v>
          </cell>
          <cell r="K3781">
            <v>0</v>
          </cell>
          <cell r="L3781">
            <v>0</v>
          </cell>
        </row>
        <row r="3782">
          <cell r="A3782" t="e">
            <v>#VALUE!</v>
          </cell>
          <cell r="B3782" t="str">
            <v>844300  סך הכל</v>
          </cell>
          <cell r="F3782" t="str">
            <v xml:space="preserve">שרות לקשישים      </v>
          </cell>
          <cell r="H3782">
            <v>1.8847892121799159E-2</v>
          </cell>
          <cell r="I3782">
            <v>12705400</v>
          </cell>
          <cell r="J3782">
            <v>12470360</v>
          </cell>
          <cell r="K3782">
            <v>6901760.209999999</v>
          </cell>
          <cell r="L3782">
            <v>13542600</v>
          </cell>
          <cell r="M3782">
            <v>12273891.150000002</v>
          </cell>
        </row>
        <row r="3783">
          <cell r="A3783">
            <v>18445000</v>
          </cell>
          <cell r="B3783">
            <v>0</v>
          </cell>
          <cell r="C3783">
            <v>844500</v>
          </cell>
          <cell r="D3783">
            <v>1</v>
          </cell>
          <cell r="F3783" t="str">
            <v>תעס'+מרכז יום קשיש</v>
          </cell>
          <cell r="G3783" t="str">
            <v xml:space="preserve"> </v>
          </cell>
          <cell r="L3783">
            <v>0</v>
          </cell>
        </row>
        <row r="3784">
          <cell r="A3784">
            <v>1844500781</v>
          </cell>
          <cell r="B3784">
            <v>781</v>
          </cell>
          <cell r="C3784">
            <v>844500</v>
          </cell>
          <cell r="D3784">
            <v>1</v>
          </cell>
          <cell r="F3784" t="str">
            <v>הפעלת מוע' קשישים</v>
          </cell>
          <cell r="G3784" t="str">
            <v>קשיח</v>
          </cell>
          <cell r="H3784">
            <v>8.7669114804793224E-2</v>
          </cell>
          <cell r="I3784">
            <v>1406900</v>
          </cell>
          <cell r="J3784">
            <v>1293500</v>
          </cell>
          <cell r="K3784">
            <v>615250</v>
          </cell>
          <cell r="L3784">
            <v>1293500</v>
          </cell>
          <cell r="M3784">
            <v>1293500</v>
          </cell>
        </row>
        <row r="3785">
          <cell r="A3785">
            <v>1844500782</v>
          </cell>
          <cell r="B3785">
            <v>782</v>
          </cell>
          <cell r="C3785">
            <v>844500</v>
          </cell>
          <cell r="D3785">
            <v>1</v>
          </cell>
          <cell r="F3785" t="str">
            <v>רכזת מועדונים</v>
          </cell>
          <cell r="G3785" t="str">
            <v>קשיח</v>
          </cell>
          <cell r="H3785">
            <v>1.4615873015873015</v>
          </cell>
          <cell r="I3785">
            <v>155080</v>
          </cell>
          <cell r="J3785">
            <v>63000</v>
          </cell>
          <cell r="K3785">
            <v>63000</v>
          </cell>
          <cell r="L3785">
            <v>63000</v>
          </cell>
          <cell r="M3785">
            <v>63000</v>
          </cell>
        </row>
        <row r="3786">
          <cell r="A3786" t="e">
            <v>#VALUE!</v>
          </cell>
          <cell r="B3786" t="str">
            <v>844500  סך הכל</v>
          </cell>
          <cell r="F3786" t="str">
            <v>תעס'+מרכז יום קשיש</v>
          </cell>
          <cell r="H3786">
            <v>0.15147806855879109</v>
          </cell>
          <cell r="I3786">
            <v>1561980</v>
          </cell>
          <cell r="J3786">
            <v>1356500</v>
          </cell>
          <cell r="K3786">
            <v>678250</v>
          </cell>
          <cell r="L3786">
            <v>1356500</v>
          </cell>
          <cell r="M3786">
            <v>1356500</v>
          </cell>
        </row>
        <row r="3787">
          <cell r="A3787">
            <v>18453000</v>
          </cell>
          <cell r="B3787">
            <v>0</v>
          </cell>
          <cell r="C3787">
            <v>845300</v>
          </cell>
          <cell r="D3787">
            <v>1</v>
          </cell>
          <cell r="F3787" t="str">
            <v xml:space="preserve">שרות למוגבלים שכה"ת-קהילתי </v>
          </cell>
          <cell r="G3787" t="str">
            <v xml:space="preserve"> </v>
          </cell>
        </row>
        <row r="3788">
          <cell r="A3788">
            <v>1845300811</v>
          </cell>
          <cell r="B3788">
            <v>811</v>
          </cell>
          <cell r="C3788">
            <v>845300</v>
          </cell>
          <cell r="D3788">
            <v>1</v>
          </cell>
          <cell r="F3788" t="str">
            <v xml:space="preserve">מעונות יום </v>
          </cell>
          <cell r="G3788" t="str">
            <v>קשיח</v>
          </cell>
          <cell r="H3788">
            <v>-0.5</v>
          </cell>
          <cell r="I3788">
            <v>50000</v>
          </cell>
          <cell r="J3788">
            <v>100000</v>
          </cell>
          <cell r="K3788">
            <v>15764</v>
          </cell>
          <cell r="L3788">
            <v>100000</v>
          </cell>
          <cell r="M3788">
            <v>45197</v>
          </cell>
        </row>
        <row r="3789">
          <cell r="A3789">
            <v>1845300812</v>
          </cell>
          <cell r="B3789">
            <v>812</v>
          </cell>
          <cell r="C3789">
            <v>845300</v>
          </cell>
          <cell r="D3789">
            <v>1</v>
          </cell>
          <cell r="F3789" t="str">
            <v>מעון יום טיפולי</v>
          </cell>
          <cell r="G3789" t="str">
            <v>קשיח</v>
          </cell>
          <cell r="H3789">
            <v>0.51261495643756061</v>
          </cell>
          <cell r="I3789">
            <v>10000200</v>
          </cell>
          <cell r="J3789">
            <v>6611200</v>
          </cell>
          <cell r="K3789">
            <v>5729096</v>
          </cell>
          <cell r="L3789">
            <v>6611200</v>
          </cell>
          <cell r="M3789">
            <v>8251505</v>
          </cell>
        </row>
        <row r="3790">
          <cell r="A3790">
            <v>1845300814</v>
          </cell>
          <cell r="B3790">
            <v>814</v>
          </cell>
          <cell r="C3790">
            <v>845300</v>
          </cell>
          <cell r="D3790">
            <v>1</v>
          </cell>
          <cell r="F3790" t="str">
            <v>סידור במעונות יום מש"ה</v>
          </cell>
          <cell r="G3790" t="str">
            <v>קשיח</v>
          </cell>
          <cell r="H3790">
            <v>0.11570247933884303</v>
          </cell>
          <cell r="I3790">
            <v>54000000</v>
          </cell>
          <cell r="J3790">
            <v>48400000</v>
          </cell>
          <cell r="K3790">
            <v>31265256</v>
          </cell>
          <cell r="L3790">
            <v>48400000</v>
          </cell>
          <cell r="M3790">
            <v>49800721</v>
          </cell>
        </row>
        <row r="3791">
          <cell r="A3791">
            <v>1845300815</v>
          </cell>
          <cell r="B3791">
            <v>815</v>
          </cell>
          <cell r="C3791">
            <v>845300</v>
          </cell>
          <cell r="D3791">
            <v>1</v>
          </cell>
          <cell r="F3791" t="str">
            <v>מעונות ממשלתיים</v>
          </cell>
          <cell r="G3791" t="str">
            <v>קשיח</v>
          </cell>
          <cell r="H3791">
            <v>2.8567230337835259E-2</v>
          </cell>
          <cell r="I3791">
            <v>8400000</v>
          </cell>
          <cell r="J3791">
            <v>8166700</v>
          </cell>
          <cell r="K3791">
            <v>4913429</v>
          </cell>
          <cell r="L3791">
            <v>8166700</v>
          </cell>
          <cell r="M3791">
            <v>8236985</v>
          </cell>
        </row>
        <row r="3792">
          <cell r="A3792">
            <v>1845300816</v>
          </cell>
          <cell r="B3792">
            <v>816</v>
          </cell>
          <cell r="C3792">
            <v>845300</v>
          </cell>
          <cell r="D3792">
            <v>1</v>
          </cell>
          <cell r="F3792" t="str">
            <v>הסעות למוגבלים שכה"ת</v>
          </cell>
          <cell r="G3792" t="str">
            <v>קשיח</v>
          </cell>
          <cell r="H3792">
            <v>0.62439688936822391</v>
          </cell>
          <cell r="I3792">
            <v>2861700</v>
          </cell>
          <cell r="J3792">
            <v>1761700</v>
          </cell>
          <cell r="K3792">
            <v>1554432.71</v>
          </cell>
          <cell r="L3792">
            <v>1761700</v>
          </cell>
          <cell r="M3792">
            <v>2321847.9900000002</v>
          </cell>
        </row>
        <row r="3793">
          <cell r="A3793">
            <v>1845300817</v>
          </cell>
          <cell r="B3793">
            <v>817</v>
          </cell>
          <cell r="C3793">
            <v>845300</v>
          </cell>
          <cell r="D3793">
            <v>1</v>
          </cell>
          <cell r="F3793" t="str">
            <v>סביבה תומכת לבוגרים</v>
          </cell>
          <cell r="G3793" t="str">
            <v>קשיח</v>
          </cell>
          <cell r="H3793">
            <v>0.11111111111111116</v>
          </cell>
          <cell r="I3793">
            <v>33100</v>
          </cell>
          <cell r="J3793">
            <v>29790</v>
          </cell>
          <cell r="K3793">
            <v>5602.19</v>
          </cell>
          <cell r="L3793">
            <v>33100</v>
          </cell>
          <cell r="M3793">
            <v>29885.62</v>
          </cell>
        </row>
        <row r="3794">
          <cell r="A3794">
            <v>1845300891</v>
          </cell>
          <cell r="B3794">
            <v>891</v>
          </cell>
          <cell r="C3794">
            <v>845300</v>
          </cell>
          <cell r="D3794">
            <v>1</v>
          </cell>
          <cell r="F3794" t="str">
            <v>הקצבה לאקים</v>
          </cell>
          <cell r="G3794" t="str">
            <v>גמיש</v>
          </cell>
          <cell r="H3794">
            <v>0</v>
          </cell>
          <cell r="I3794">
            <v>2430</v>
          </cell>
          <cell r="J3794">
            <v>2430</v>
          </cell>
          <cell r="K3794">
            <v>0</v>
          </cell>
          <cell r="L3794">
            <v>2700</v>
          </cell>
          <cell r="M3794">
            <v>0</v>
          </cell>
        </row>
        <row r="3795">
          <cell r="A3795">
            <v>1845300892</v>
          </cell>
          <cell r="B3795">
            <v>892</v>
          </cell>
          <cell r="C3795">
            <v>845300</v>
          </cell>
          <cell r="D3795">
            <v>1</v>
          </cell>
          <cell r="F3795" t="str">
            <v xml:space="preserve">נופשון            </v>
          </cell>
          <cell r="G3795" t="str">
            <v>גמיש</v>
          </cell>
          <cell r="H3795">
            <v>0</v>
          </cell>
          <cell r="I3795">
            <v>900</v>
          </cell>
          <cell r="J3795">
            <v>900</v>
          </cell>
          <cell r="K3795">
            <v>0</v>
          </cell>
          <cell r="L3795">
            <v>1000</v>
          </cell>
          <cell r="M3795">
            <v>0</v>
          </cell>
        </row>
        <row r="3796">
          <cell r="A3796" t="e">
            <v>#VALUE!</v>
          </cell>
          <cell r="B3796" t="str">
            <v>845300  סך הכל</v>
          </cell>
          <cell r="F3796" t="str">
            <v xml:space="preserve">ש.למוגבלים שכה"ת-קהילתי </v>
          </cell>
          <cell r="H3796">
            <v>0.15790964324220647</v>
          </cell>
          <cell r="I3796">
            <v>75348330</v>
          </cell>
          <cell r="J3796">
            <v>65072720</v>
          </cell>
          <cell r="K3796">
            <v>43483579.899999999</v>
          </cell>
          <cell r="L3796">
            <v>65076400</v>
          </cell>
          <cell r="M3796">
            <v>68686141.609999999</v>
          </cell>
        </row>
        <row r="3797">
          <cell r="A3797">
            <v>18454000</v>
          </cell>
          <cell r="B3797">
            <v>0</v>
          </cell>
          <cell r="C3797">
            <v>845400</v>
          </cell>
          <cell r="D3797">
            <v>1</v>
          </cell>
          <cell r="F3797" t="str">
            <v>מרכז קש"ת</v>
          </cell>
          <cell r="G3797" t="str">
            <v xml:space="preserve"> </v>
          </cell>
        </row>
        <row r="3798">
          <cell r="A3798">
            <v>1845400759</v>
          </cell>
          <cell r="B3798">
            <v>759</v>
          </cell>
          <cell r="C3798">
            <v>845400</v>
          </cell>
          <cell r="D3798">
            <v>1</v>
          </cell>
          <cell r="F3798" t="str">
            <v>מלווים בהסעים</v>
          </cell>
          <cell r="G3798" t="str">
            <v>קשיח</v>
          </cell>
          <cell r="I3798">
            <v>0</v>
          </cell>
          <cell r="J3798">
            <v>0</v>
          </cell>
          <cell r="K3798">
            <v>0</v>
          </cell>
          <cell r="L3798">
            <v>45000</v>
          </cell>
          <cell r="M3798">
            <v>0</v>
          </cell>
        </row>
        <row r="3799">
          <cell r="A3799">
            <v>1845400812</v>
          </cell>
          <cell r="B3799">
            <v>812</v>
          </cell>
          <cell r="C3799">
            <v>845400</v>
          </cell>
          <cell r="D3799">
            <v>1</v>
          </cell>
          <cell r="F3799" t="str">
            <v xml:space="preserve">מוסדות חוץ </v>
          </cell>
          <cell r="G3799" t="str">
            <v>קשיח</v>
          </cell>
          <cell r="H3799">
            <v>0</v>
          </cell>
          <cell r="I3799">
            <v>2185000</v>
          </cell>
          <cell r="J3799">
            <v>2185000</v>
          </cell>
          <cell r="K3799">
            <v>1076713</v>
          </cell>
          <cell r="L3799">
            <v>2185000</v>
          </cell>
          <cell r="M3799">
            <v>1898133</v>
          </cell>
        </row>
        <row r="3800">
          <cell r="A3800" t="e">
            <v>#VALUE!</v>
          </cell>
          <cell r="B3800" t="str">
            <v>845400  סך הכל</v>
          </cell>
          <cell r="F3800" t="str">
            <v>מרכז קש"ת</v>
          </cell>
          <cell r="H3800">
            <v>0</v>
          </cell>
          <cell r="I3800">
            <v>2185000</v>
          </cell>
          <cell r="J3800">
            <v>2185000</v>
          </cell>
          <cell r="K3800">
            <v>1076713</v>
          </cell>
          <cell r="L3800">
            <v>2230000</v>
          </cell>
          <cell r="M3800">
            <v>1898133</v>
          </cell>
        </row>
        <row r="3801">
          <cell r="A3801">
            <v>18460000</v>
          </cell>
          <cell r="B3801">
            <v>0</v>
          </cell>
          <cell r="C3801">
            <v>846000</v>
          </cell>
          <cell r="D3801">
            <v>1</v>
          </cell>
          <cell r="F3801" t="str">
            <v xml:space="preserve">שירותי שיקום      </v>
          </cell>
          <cell r="G3801" t="str">
            <v xml:space="preserve"> </v>
          </cell>
        </row>
        <row r="3802">
          <cell r="A3802">
            <v>1846200710</v>
          </cell>
          <cell r="B3802">
            <v>710</v>
          </cell>
          <cell r="C3802">
            <v>846200</v>
          </cell>
          <cell r="D3802">
            <v>1</v>
          </cell>
          <cell r="F3802" t="str">
            <v>הסעות למועדון לכבדי ראייה</v>
          </cell>
          <cell r="G3802" t="str">
            <v>גמיש</v>
          </cell>
          <cell r="H3802">
            <v>0</v>
          </cell>
          <cell r="I3802">
            <v>40140</v>
          </cell>
          <cell r="J3802">
            <v>40140</v>
          </cell>
          <cell r="K3802">
            <v>0</v>
          </cell>
          <cell r="L3802">
            <v>44600</v>
          </cell>
          <cell r="M3802">
            <v>0</v>
          </cell>
        </row>
        <row r="3803">
          <cell r="A3803">
            <v>1846200812</v>
          </cell>
          <cell r="B3803">
            <v>812</v>
          </cell>
          <cell r="C3803">
            <v>846200</v>
          </cell>
          <cell r="D3803">
            <v>1</v>
          </cell>
          <cell r="F3803" t="str">
            <v>מועדון חברתי לבוגרים</v>
          </cell>
          <cell r="G3803" t="str">
            <v>קשיח</v>
          </cell>
          <cell r="H3803">
            <v>0</v>
          </cell>
          <cell r="I3803">
            <v>700000</v>
          </cell>
          <cell r="J3803">
            <v>700000</v>
          </cell>
          <cell r="K3803">
            <v>327565</v>
          </cell>
          <cell r="L3803">
            <v>700000</v>
          </cell>
          <cell r="M3803">
            <v>679269</v>
          </cell>
        </row>
        <row r="3804">
          <cell r="A3804">
            <v>1846200815</v>
          </cell>
          <cell r="B3804">
            <v>815</v>
          </cell>
          <cell r="C3804">
            <v>846200</v>
          </cell>
          <cell r="D3804">
            <v>1</v>
          </cell>
          <cell r="F3804" t="str">
            <v>ילדים במוסדות</v>
          </cell>
          <cell r="G3804" t="str">
            <v>קשיח</v>
          </cell>
          <cell r="H3804">
            <v>0</v>
          </cell>
          <cell r="I3804">
            <v>633000</v>
          </cell>
          <cell r="J3804">
            <v>633000</v>
          </cell>
          <cell r="K3804">
            <v>344645</v>
          </cell>
          <cell r="L3804">
            <v>633000</v>
          </cell>
          <cell r="M3804">
            <v>551835</v>
          </cell>
        </row>
        <row r="3805">
          <cell r="A3805">
            <v>1846200816</v>
          </cell>
          <cell r="B3805">
            <v>816</v>
          </cell>
          <cell r="C3805">
            <v>846200</v>
          </cell>
          <cell r="D3805">
            <v>1</v>
          </cell>
          <cell r="F3805" t="str">
            <v xml:space="preserve">הדרכת עיוורים </v>
          </cell>
          <cell r="G3805" t="str">
            <v>קשיח</v>
          </cell>
          <cell r="H3805">
            <v>0</v>
          </cell>
          <cell r="I3805">
            <v>280000</v>
          </cell>
          <cell r="J3805">
            <v>280000</v>
          </cell>
          <cell r="K3805">
            <v>76519</v>
          </cell>
          <cell r="L3805">
            <v>280000</v>
          </cell>
          <cell r="M3805">
            <v>222687</v>
          </cell>
        </row>
        <row r="3806">
          <cell r="A3806" t="e">
            <v>#VALUE!</v>
          </cell>
          <cell r="B3806" t="str">
            <v>846200  סך הכל</v>
          </cell>
          <cell r="F3806" t="str">
            <v xml:space="preserve">שיקום העיוור      </v>
          </cell>
          <cell r="H3806">
            <v>0</v>
          </cell>
          <cell r="I3806">
            <v>1653140</v>
          </cell>
          <cell r="J3806">
            <v>1653140</v>
          </cell>
          <cell r="K3806">
            <v>748729</v>
          </cell>
          <cell r="L3806">
            <v>1657600</v>
          </cell>
          <cell r="M3806">
            <v>1453791</v>
          </cell>
        </row>
        <row r="3807">
          <cell r="A3807">
            <v>18465000</v>
          </cell>
          <cell r="B3807">
            <v>0</v>
          </cell>
          <cell r="C3807">
            <v>846500</v>
          </cell>
          <cell r="D3807">
            <v>1</v>
          </cell>
          <cell r="F3807" t="str">
            <v xml:space="preserve">שיקום נכים        </v>
          </cell>
          <cell r="G3807" t="str">
            <v xml:space="preserve"> </v>
          </cell>
        </row>
        <row r="3808">
          <cell r="A3808">
            <v>1846500781</v>
          </cell>
          <cell r="B3808">
            <v>781</v>
          </cell>
          <cell r="C3808">
            <v>846500</v>
          </cell>
          <cell r="D3808">
            <v>1</v>
          </cell>
          <cell r="F3808" t="str">
            <v xml:space="preserve">שקום מיוחד מקומי  </v>
          </cell>
          <cell r="G3808" t="str">
            <v>קשיח</v>
          </cell>
          <cell r="I3808">
            <v>0</v>
          </cell>
          <cell r="J3808">
            <v>0</v>
          </cell>
          <cell r="K3808">
            <v>0</v>
          </cell>
          <cell r="L3808">
            <v>30000</v>
          </cell>
          <cell r="M3808">
            <v>2070.66</v>
          </cell>
        </row>
        <row r="3809">
          <cell r="A3809">
            <v>1846500782</v>
          </cell>
          <cell r="B3809">
            <v>782</v>
          </cell>
          <cell r="C3809">
            <v>846500</v>
          </cell>
          <cell r="D3809">
            <v>1</v>
          </cell>
          <cell r="F3809" t="str">
            <v>תרגום לשפת החרשים</v>
          </cell>
          <cell r="G3809" t="str">
            <v>גמיש</v>
          </cell>
          <cell r="H3809">
            <v>0</v>
          </cell>
          <cell r="I3809">
            <v>5400</v>
          </cell>
          <cell r="J3809">
            <v>5400</v>
          </cell>
          <cell r="K3809">
            <v>3675.7</v>
          </cell>
          <cell r="L3809">
            <v>17000</v>
          </cell>
          <cell r="M3809">
            <v>5316.7</v>
          </cell>
        </row>
        <row r="3810">
          <cell r="A3810">
            <v>1846500783</v>
          </cell>
          <cell r="B3810">
            <v>783</v>
          </cell>
          <cell r="C3810">
            <v>846500</v>
          </cell>
          <cell r="D3810">
            <v>1</v>
          </cell>
          <cell r="F3810" t="str">
            <v>מרכז למשפחה -  השתתפות פונים</v>
          </cell>
          <cell r="G3810" t="str">
            <v>גמיש</v>
          </cell>
          <cell r="I3810">
            <v>0</v>
          </cell>
          <cell r="J3810">
            <v>0</v>
          </cell>
          <cell r="K3810">
            <v>0</v>
          </cell>
          <cell r="L3810">
            <v>0</v>
          </cell>
          <cell r="M3810">
            <v>0</v>
          </cell>
        </row>
        <row r="3811">
          <cell r="A3811">
            <v>1846500811</v>
          </cell>
          <cell r="B3811">
            <v>811</v>
          </cell>
          <cell r="C3811">
            <v>846500</v>
          </cell>
          <cell r="D3811">
            <v>1</v>
          </cell>
          <cell r="F3811" t="str">
            <v>מרכזי איבחון ושיקום</v>
          </cell>
          <cell r="G3811" t="str">
            <v>קשיח</v>
          </cell>
          <cell r="I3811">
            <v>43000</v>
          </cell>
          <cell r="J3811">
            <v>0</v>
          </cell>
          <cell r="K3811">
            <v>22069</v>
          </cell>
          <cell r="L3811">
            <v>320000</v>
          </cell>
          <cell r="M3811">
            <v>3276</v>
          </cell>
        </row>
        <row r="3812">
          <cell r="A3812">
            <v>1846500812</v>
          </cell>
          <cell r="B3812">
            <v>812</v>
          </cell>
          <cell r="C3812">
            <v>846500</v>
          </cell>
          <cell r="D3812">
            <v>1</v>
          </cell>
          <cell r="F3812" t="str">
            <v xml:space="preserve">הסעות נכים </v>
          </cell>
          <cell r="G3812" t="str">
            <v>קשיח</v>
          </cell>
          <cell r="H3812">
            <v>-1</v>
          </cell>
          <cell r="I3812">
            <v>0</v>
          </cell>
          <cell r="J3812">
            <v>50000</v>
          </cell>
          <cell r="K3812">
            <v>0</v>
          </cell>
          <cell r="L3812">
            <v>50000</v>
          </cell>
          <cell r="M3812">
            <v>0</v>
          </cell>
        </row>
        <row r="3813">
          <cell r="A3813">
            <v>1846500813</v>
          </cell>
          <cell r="B3813">
            <v>813</v>
          </cell>
          <cell r="C3813">
            <v>846500</v>
          </cell>
          <cell r="D3813">
            <v>1</v>
          </cell>
          <cell r="F3813" t="str">
            <v>שיקום מוגבלויות</v>
          </cell>
          <cell r="G3813" t="str">
            <v>קשיח</v>
          </cell>
          <cell r="H3813">
            <v>7.1428571428571397E-2</v>
          </cell>
          <cell r="I3813">
            <v>750000</v>
          </cell>
          <cell r="J3813">
            <v>700000</v>
          </cell>
          <cell r="K3813">
            <v>443987.43</v>
          </cell>
          <cell r="L3813">
            <v>700000</v>
          </cell>
          <cell r="M3813">
            <v>825418.8</v>
          </cell>
        </row>
        <row r="3814">
          <cell r="A3814">
            <v>1846500814</v>
          </cell>
          <cell r="B3814">
            <v>814</v>
          </cell>
          <cell r="C3814">
            <v>846500</v>
          </cell>
          <cell r="D3814">
            <v>1</v>
          </cell>
          <cell r="F3814" t="str">
            <v>מרכז משלים למשפחה עם אנשים עם מוגבלויות</v>
          </cell>
          <cell r="G3814" t="str">
            <v>קשיח</v>
          </cell>
          <cell r="H3814">
            <v>0</v>
          </cell>
          <cell r="I3814">
            <v>111900</v>
          </cell>
          <cell r="J3814">
            <v>111900</v>
          </cell>
          <cell r="K3814">
            <v>34187.9</v>
          </cell>
          <cell r="L3814">
            <v>111900</v>
          </cell>
          <cell r="M3814">
            <v>105811.59</v>
          </cell>
        </row>
        <row r="3815">
          <cell r="A3815">
            <v>1846500815</v>
          </cell>
          <cell r="B3815">
            <v>815</v>
          </cell>
          <cell r="C3815">
            <v>846500</v>
          </cell>
          <cell r="D3815">
            <v>1</v>
          </cell>
          <cell r="F3815" t="str">
            <v>נכים בפנימיות</v>
          </cell>
          <cell r="G3815" t="str">
            <v>קשיח</v>
          </cell>
          <cell r="H3815">
            <v>6.2453806356245423E-2</v>
          </cell>
          <cell r="I3815">
            <v>18400000</v>
          </cell>
          <cell r="J3815">
            <v>17318400</v>
          </cell>
          <cell r="K3815">
            <v>10770981</v>
          </cell>
          <cell r="L3815">
            <v>16400000</v>
          </cell>
          <cell r="M3815">
            <v>17583782</v>
          </cell>
        </row>
        <row r="3816">
          <cell r="A3816">
            <v>1846500816</v>
          </cell>
          <cell r="B3816">
            <v>816</v>
          </cell>
          <cell r="C3816">
            <v>846500</v>
          </cell>
          <cell r="D3816">
            <v>1</v>
          </cell>
          <cell r="F3816" t="str">
            <v xml:space="preserve">נכה באומנה </v>
          </cell>
          <cell r="G3816" t="str">
            <v>קשיח</v>
          </cell>
          <cell r="H3816">
            <v>-0.40740740740740744</v>
          </cell>
          <cell r="I3816">
            <v>320000</v>
          </cell>
          <cell r="J3816">
            <v>540000</v>
          </cell>
          <cell r="K3816">
            <v>174992</v>
          </cell>
          <cell r="L3816">
            <v>540000</v>
          </cell>
          <cell r="M3816">
            <v>311108</v>
          </cell>
        </row>
        <row r="3817">
          <cell r="A3817">
            <v>1846500817</v>
          </cell>
          <cell r="B3817">
            <v>817</v>
          </cell>
          <cell r="C3817">
            <v>846500</v>
          </cell>
          <cell r="D3817">
            <v>1</v>
          </cell>
          <cell r="F3817" t="str">
            <v>נכים קשים בקהילה</v>
          </cell>
          <cell r="G3817" t="str">
            <v>קשיח</v>
          </cell>
          <cell r="H3817">
            <v>0</v>
          </cell>
          <cell r="I3817">
            <v>220000</v>
          </cell>
          <cell r="J3817">
            <v>220000</v>
          </cell>
          <cell r="K3817">
            <v>115500</v>
          </cell>
          <cell r="L3817">
            <v>220000</v>
          </cell>
          <cell r="M3817">
            <v>170500</v>
          </cell>
        </row>
        <row r="3818">
          <cell r="A3818">
            <v>1846500818</v>
          </cell>
          <cell r="B3818">
            <v>818</v>
          </cell>
          <cell r="C3818">
            <v>846500</v>
          </cell>
          <cell r="D3818">
            <v>1</v>
          </cell>
          <cell r="F3818" t="str">
            <v>תעסוקה מוגנת למוגבל</v>
          </cell>
          <cell r="G3818" t="str">
            <v>קשיח</v>
          </cell>
          <cell r="H3818">
            <v>0.16557591623036649</v>
          </cell>
          <cell r="I3818">
            <v>1781000</v>
          </cell>
          <cell r="J3818">
            <v>1528000</v>
          </cell>
          <cell r="K3818">
            <v>1022474</v>
          </cell>
          <cell r="L3818">
            <v>1528000</v>
          </cell>
          <cell r="M3818">
            <v>1641052</v>
          </cell>
        </row>
        <row r="3819">
          <cell r="A3819">
            <v>1846500819</v>
          </cell>
          <cell r="B3819">
            <v>819</v>
          </cell>
          <cell r="C3819">
            <v>846500</v>
          </cell>
          <cell r="D3819">
            <v>1</v>
          </cell>
          <cell r="F3819" t="str">
            <v>מרכז נוער לשיקום</v>
          </cell>
          <cell r="G3819" t="str">
            <v>קשיח</v>
          </cell>
          <cell r="H3819">
            <v>0</v>
          </cell>
          <cell r="I3819">
            <v>475000</v>
          </cell>
          <cell r="J3819">
            <v>475000</v>
          </cell>
          <cell r="K3819">
            <v>165349</v>
          </cell>
          <cell r="L3819">
            <v>475000</v>
          </cell>
          <cell r="M3819">
            <v>520077</v>
          </cell>
        </row>
        <row r="3820">
          <cell r="A3820">
            <v>1846500841</v>
          </cell>
          <cell r="B3820">
            <v>841</v>
          </cell>
          <cell r="C3820">
            <v>846500</v>
          </cell>
          <cell r="D3820">
            <v>1</v>
          </cell>
          <cell r="F3820" t="str">
            <v>קהילה תומכת</v>
          </cell>
          <cell r="G3820" t="str">
            <v>קשיח</v>
          </cell>
          <cell r="H3820">
            <v>0.36250000000000004</v>
          </cell>
          <cell r="I3820">
            <v>436000</v>
          </cell>
          <cell r="J3820">
            <v>320000</v>
          </cell>
          <cell r="K3820">
            <v>220000</v>
          </cell>
          <cell r="L3820">
            <v>320000</v>
          </cell>
          <cell r="M3820">
            <v>430055</v>
          </cell>
        </row>
        <row r="3821">
          <cell r="A3821">
            <v>1846500842</v>
          </cell>
          <cell r="B3821">
            <v>842</v>
          </cell>
          <cell r="C3821">
            <v>846500</v>
          </cell>
          <cell r="D3821">
            <v>1</v>
          </cell>
          <cell r="F3821" t="str">
            <v>מרכז יום לנפגעי ראש</v>
          </cell>
          <cell r="G3821" t="str">
            <v>קשיח</v>
          </cell>
          <cell r="H3821">
            <v>0.22500000000000009</v>
          </cell>
          <cell r="I3821">
            <v>1715000</v>
          </cell>
          <cell r="J3821">
            <v>1400000</v>
          </cell>
          <cell r="K3821">
            <v>998198</v>
          </cell>
          <cell r="L3821">
            <v>1400000</v>
          </cell>
          <cell r="M3821">
            <v>1343619</v>
          </cell>
        </row>
        <row r="3822">
          <cell r="A3822">
            <v>1846500843</v>
          </cell>
          <cell r="B3822">
            <v>843</v>
          </cell>
          <cell r="C3822">
            <v>846500</v>
          </cell>
          <cell r="D3822">
            <v>1</v>
          </cell>
          <cell r="F3822" t="str">
            <v>נופשונים מש"ה ושיקום</v>
          </cell>
          <cell r="G3822" t="str">
            <v>קשיח</v>
          </cell>
          <cell r="H3822">
            <v>0.60000000000000009</v>
          </cell>
          <cell r="I3822">
            <v>416000</v>
          </cell>
          <cell r="J3822">
            <v>260000</v>
          </cell>
          <cell r="K3822">
            <v>126372</v>
          </cell>
          <cell r="L3822">
            <v>260000</v>
          </cell>
          <cell r="M3822">
            <v>222453</v>
          </cell>
        </row>
        <row r="3823">
          <cell r="A3823">
            <v>1846500844</v>
          </cell>
          <cell r="B3823">
            <v>844</v>
          </cell>
          <cell r="C3823">
            <v>846500</v>
          </cell>
          <cell r="D3823">
            <v>1</v>
          </cell>
          <cell r="F3823" t="str">
            <v>הסעות למעונות יום</v>
          </cell>
          <cell r="G3823" t="str">
            <v>קשיח</v>
          </cell>
          <cell r="H3823">
            <v>-0.14040114613180521</v>
          </cell>
          <cell r="I3823">
            <v>2400000</v>
          </cell>
          <cell r="J3823">
            <v>2792000</v>
          </cell>
          <cell r="K3823">
            <v>1032040.34</v>
          </cell>
          <cell r="L3823">
            <v>2792000</v>
          </cell>
          <cell r="M3823">
            <v>2121062.64</v>
          </cell>
        </row>
        <row r="3824">
          <cell r="A3824">
            <v>1846500845</v>
          </cell>
          <cell r="B3824">
            <v>845</v>
          </cell>
          <cell r="C3824">
            <v>846500</v>
          </cell>
          <cell r="D3824">
            <v>1</v>
          </cell>
          <cell r="F3824" t="str">
            <v>מלווים למעונות יום</v>
          </cell>
          <cell r="G3824" t="str">
            <v>קשיח</v>
          </cell>
          <cell r="H3824">
            <v>-0.14814814814814814</v>
          </cell>
          <cell r="I3824">
            <v>2300000</v>
          </cell>
          <cell r="J3824">
            <v>2700000</v>
          </cell>
          <cell r="K3824">
            <v>1162332.94</v>
          </cell>
          <cell r="L3824">
            <v>2700000</v>
          </cell>
          <cell r="M3824">
            <v>2188521.17</v>
          </cell>
        </row>
        <row r="3825">
          <cell r="A3825">
            <v>1846500847</v>
          </cell>
          <cell r="B3825">
            <v>847</v>
          </cell>
          <cell r="C3825">
            <v>846500</v>
          </cell>
          <cell r="D3825">
            <v>1</v>
          </cell>
          <cell r="F3825" t="str">
            <v>תכניות תעסוקה</v>
          </cell>
          <cell r="G3825" t="str">
            <v>קשיח</v>
          </cell>
          <cell r="H3825">
            <v>0</v>
          </cell>
          <cell r="I3825">
            <v>600000</v>
          </cell>
          <cell r="J3825">
            <v>600000</v>
          </cell>
          <cell r="K3825">
            <v>307868</v>
          </cell>
          <cell r="L3825">
            <v>600000</v>
          </cell>
          <cell r="M3825">
            <v>566553</v>
          </cell>
        </row>
        <row r="3826">
          <cell r="A3826">
            <v>1846500880</v>
          </cell>
          <cell r="B3826">
            <v>880</v>
          </cell>
          <cell r="C3826">
            <v>846500</v>
          </cell>
          <cell r="D3826">
            <v>1</v>
          </cell>
          <cell r="F3826" t="str">
            <v>תוכנית לילד החריג</v>
          </cell>
          <cell r="G3826" t="str">
            <v>קשיח</v>
          </cell>
          <cell r="H3826">
            <v>-0.375</v>
          </cell>
          <cell r="I3826">
            <v>300000</v>
          </cell>
          <cell r="J3826">
            <v>480000</v>
          </cell>
          <cell r="K3826">
            <v>149973</v>
          </cell>
          <cell r="L3826">
            <v>480000</v>
          </cell>
          <cell r="M3826">
            <v>273179</v>
          </cell>
        </row>
        <row r="3827">
          <cell r="A3827">
            <v>1846500881</v>
          </cell>
          <cell r="B3827">
            <v>881</v>
          </cell>
          <cell r="C3827">
            <v>846500</v>
          </cell>
          <cell r="D3827">
            <v>1</v>
          </cell>
          <cell r="F3827" t="str">
            <v>מעונות ממשלתיים שיקומיים</v>
          </cell>
          <cell r="G3827" t="str">
            <v>קשיח</v>
          </cell>
          <cell r="H3827">
            <v>0.31617113850616385</v>
          </cell>
          <cell r="I3827">
            <v>726000</v>
          </cell>
          <cell r="J3827">
            <v>551600</v>
          </cell>
          <cell r="K3827">
            <v>448390</v>
          </cell>
          <cell r="L3827">
            <v>551600</v>
          </cell>
          <cell r="M3827">
            <v>571650</v>
          </cell>
        </row>
        <row r="3828">
          <cell r="A3828">
            <v>1846500882</v>
          </cell>
          <cell r="B3828">
            <v>882</v>
          </cell>
          <cell r="C3828">
            <v>846500</v>
          </cell>
          <cell r="D3828">
            <v>1</v>
          </cell>
          <cell r="F3828" t="str">
            <v>הסעות לאוטיסטים</v>
          </cell>
          <cell r="G3828" t="str">
            <v>קשיח</v>
          </cell>
          <cell r="H3828">
            <v>0.79333333333333322</v>
          </cell>
          <cell r="I3828">
            <v>538000</v>
          </cell>
          <cell r="J3828">
            <v>300000</v>
          </cell>
          <cell r="K3828">
            <v>323179</v>
          </cell>
          <cell r="L3828">
            <v>300000</v>
          </cell>
          <cell r="M3828">
            <v>317582</v>
          </cell>
        </row>
        <row r="3829">
          <cell r="A3829">
            <v>1846500884</v>
          </cell>
          <cell r="B3829">
            <v>884</v>
          </cell>
          <cell r="C3829">
            <v>846500</v>
          </cell>
          <cell r="D3829">
            <v>1</v>
          </cell>
          <cell r="F3829" t="str">
            <v>אוטיסטים</v>
          </cell>
          <cell r="G3829" t="str">
            <v>קשיח</v>
          </cell>
          <cell r="H3829">
            <v>0.24513618677042803</v>
          </cell>
          <cell r="I3829">
            <v>32000000</v>
          </cell>
          <cell r="J3829">
            <v>25700000</v>
          </cell>
          <cell r="K3829">
            <v>18500107</v>
          </cell>
          <cell r="L3829">
            <v>25300000</v>
          </cell>
          <cell r="M3829">
            <v>30555243</v>
          </cell>
        </row>
        <row r="3830">
          <cell r="A3830">
            <v>1846500885</v>
          </cell>
          <cell r="B3830">
            <v>885</v>
          </cell>
          <cell r="C3830">
            <v>846500</v>
          </cell>
          <cell r="D3830">
            <v>1</v>
          </cell>
          <cell r="F3830" t="str">
            <v>פעולות קיץ לאוטיסטים</v>
          </cell>
          <cell r="G3830" t="str">
            <v>קשיח</v>
          </cell>
          <cell r="H3830">
            <v>-1</v>
          </cell>
          <cell r="I3830">
            <v>0</v>
          </cell>
          <cell r="J3830">
            <v>156000</v>
          </cell>
          <cell r="K3830">
            <v>0</v>
          </cell>
          <cell r="L3830">
            <v>156000</v>
          </cell>
          <cell r="M3830">
            <v>71737</v>
          </cell>
        </row>
        <row r="3831">
          <cell r="A3831">
            <v>1846500887</v>
          </cell>
          <cell r="B3831">
            <v>887</v>
          </cell>
          <cell r="C3831">
            <v>846500</v>
          </cell>
          <cell r="D3831">
            <v>1</v>
          </cell>
          <cell r="F3831" t="str">
            <v>מ.יום שיקומי</v>
          </cell>
          <cell r="G3831" t="str">
            <v>קשיח</v>
          </cell>
          <cell r="H3831">
            <v>0.1707317073170731</v>
          </cell>
          <cell r="I3831">
            <v>9600000</v>
          </cell>
          <cell r="J3831">
            <v>8200000</v>
          </cell>
          <cell r="K3831">
            <v>5142015</v>
          </cell>
          <cell r="L3831">
            <v>8200000</v>
          </cell>
          <cell r="M3831">
            <v>9574301</v>
          </cell>
        </row>
        <row r="3832">
          <cell r="A3832">
            <v>1846500888</v>
          </cell>
          <cell r="B3832">
            <v>888</v>
          </cell>
          <cell r="C3832">
            <v>846500</v>
          </cell>
          <cell r="D3832">
            <v>1</v>
          </cell>
          <cell r="F3832" t="str">
            <v>מעטפת מגורים בקהילה</v>
          </cell>
          <cell r="G3832" t="str">
            <v>קשיח</v>
          </cell>
          <cell r="H3832">
            <v>0.90116279069767447</v>
          </cell>
          <cell r="I3832">
            <v>65400</v>
          </cell>
          <cell r="J3832">
            <v>34400</v>
          </cell>
          <cell r="K3832">
            <v>41120</v>
          </cell>
          <cell r="L3832">
            <v>23400</v>
          </cell>
          <cell r="M3832">
            <v>24422</v>
          </cell>
        </row>
        <row r="3833">
          <cell r="A3833">
            <v>1846500891</v>
          </cell>
          <cell r="B3833">
            <v>891</v>
          </cell>
          <cell r="C3833">
            <v>846500</v>
          </cell>
          <cell r="D3833">
            <v>1</v>
          </cell>
          <cell r="F3833" t="str">
            <v>מועדוניות רשת</v>
          </cell>
          <cell r="G3833" t="str">
            <v>גמיש</v>
          </cell>
          <cell r="I3833">
            <v>0</v>
          </cell>
          <cell r="J3833">
            <v>0</v>
          </cell>
          <cell r="K3833">
            <v>0</v>
          </cell>
          <cell r="L3833">
            <v>80900</v>
          </cell>
          <cell r="M3833">
            <v>0</v>
          </cell>
        </row>
        <row r="3834">
          <cell r="A3834" t="e">
            <v>#VALUE!</v>
          </cell>
          <cell r="B3834" t="str">
            <v>846500  סך הכל</v>
          </cell>
          <cell r="F3834" t="str">
            <v xml:space="preserve">שיקום נכים        </v>
          </cell>
          <cell r="H3834">
            <v>0.13593471409484703</v>
          </cell>
          <cell r="I3834">
            <v>73202700</v>
          </cell>
          <cell r="J3834">
            <v>64442700</v>
          </cell>
          <cell r="K3834">
            <v>41204811.310000002</v>
          </cell>
          <cell r="L3834">
            <v>63555800</v>
          </cell>
          <cell r="M3834">
            <v>69428790.560000002</v>
          </cell>
        </row>
        <row r="3835">
          <cell r="A3835">
            <v>18470000</v>
          </cell>
          <cell r="B3835">
            <v>0</v>
          </cell>
          <cell r="C3835">
            <v>847000</v>
          </cell>
          <cell r="D3835">
            <v>1</v>
          </cell>
          <cell r="F3835" t="str">
            <v>שיקום ליווי מניעה</v>
          </cell>
          <cell r="G3835" t="str">
            <v xml:space="preserve"> </v>
          </cell>
        </row>
        <row r="3836">
          <cell r="A3836">
            <v>1847100431</v>
          </cell>
          <cell r="B3836">
            <v>431</v>
          </cell>
          <cell r="C3836">
            <v>847100</v>
          </cell>
          <cell r="D3836">
            <v>1</v>
          </cell>
          <cell r="F3836" t="str">
            <v xml:space="preserve">חשמל              </v>
          </cell>
          <cell r="G3836" t="str">
            <v>קשיח</v>
          </cell>
          <cell r="H3836">
            <v>0</v>
          </cell>
          <cell r="I3836">
            <v>8400</v>
          </cell>
          <cell r="J3836">
            <v>8400</v>
          </cell>
          <cell r="K3836">
            <v>3091.09</v>
          </cell>
          <cell r="L3836">
            <v>8300</v>
          </cell>
          <cell r="M3836">
            <v>3720.63</v>
          </cell>
        </row>
        <row r="3837">
          <cell r="A3837">
            <v>1847100437</v>
          </cell>
          <cell r="B3837">
            <v>437</v>
          </cell>
          <cell r="C3837">
            <v>847100</v>
          </cell>
          <cell r="D3837">
            <v>1</v>
          </cell>
          <cell r="F3837" t="str">
            <v xml:space="preserve">אחזקת אזעקה       </v>
          </cell>
          <cell r="G3837" t="str">
            <v>קשיח</v>
          </cell>
          <cell r="H3837">
            <v>0</v>
          </cell>
          <cell r="I3837">
            <v>1300</v>
          </cell>
          <cell r="J3837">
            <v>1300</v>
          </cell>
          <cell r="K3837">
            <v>0</v>
          </cell>
          <cell r="L3837">
            <v>1300</v>
          </cell>
          <cell r="M3837">
            <v>610.74</v>
          </cell>
        </row>
        <row r="3838">
          <cell r="A3838">
            <v>1847100752</v>
          </cell>
          <cell r="B3838">
            <v>752</v>
          </cell>
          <cell r="C3838">
            <v>847100</v>
          </cell>
          <cell r="D3838">
            <v>1</v>
          </cell>
          <cell r="F3838" t="str">
            <v>נקיון מועדון נערות</v>
          </cell>
          <cell r="G3838" t="str">
            <v>קשיח</v>
          </cell>
          <cell r="H3838">
            <v>-0.6</v>
          </cell>
          <cell r="I3838">
            <v>20000</v>
          </cell>
          <cell r="J3838">
            <v>50000</v>
          </cell>
          <cell r="K3838">
            <v>6476.04</v>
          </cell>
          <cell r="L3838">
            <v>72000</v>
          </cell>
          <cell r="M3838">
            <v>50987.19</v>
          </cell>
        </row>
        <row r="3839">
          <cell r="A3839">
            <v>1847100782</v>
          </cell>
          <cell r="B3839">
            <v>782</v>
          </cell>
          <cell r="C3839">
            <v>847100</v>
          </cell>
          <cell r="D3839">
            <v>1</v>
          </cell>
          <cell r="F3839" t="str">
            <v>פעילות מועד' נערות</v>
          </cell>
          <cell r="G3839" t="str">
            <v>קשיח</v>
          </cell>
          <cell r="H3839">
            <v>0</v>
          </cell>
          <cell r="I3839">
            <v>7000</v>
          </cell>
          <cell r="J3839">
            <v>7000</v>
          </cell>
          <cell r="K3839">
            <v>903.8</v>
          </cell>
          <cell r="L3839">
            <v>7000</v>
          </cell>
          <cell r="M3839">
            <v>6439.63</v>
          </cell>
        </row>
        <row r="3840">
          <cell r="A3840">
            <v>1847100812</v>
          </cell>
          <cell r="B3840">
            <v>812</v>
          </cell>
          <cell r="C3840">
            <v>847100</v>
          </cell>
          <cell r="D3840">
            <v>1</v>
          </cell>
          <cell r="F3840" t="str">
            <v>בתים חמים לנערות</v>
          </cell>
          <cell r="G3840" t="str">
            <v>קשיח</v>
          </cell>
          <cell r="I3840">
            <v>0</v>
          </cell>
          <cell r="J3840">
            <v>0</v>
          </cell>
          <cell r="K3840">
            <v>0</v>
          </cell>
          <cell r="L3840">
            <v>0</v>
          </cell>
          <cell r="M3840">
            <v>0</v>
          </cell>
        </row>
        <row r="3841">
          <cell r="A3841">
            <v>1847100813</v>
          </cell>
          <cell r="B3841">
            <v>813</v>
          </cell>
          <cell r="C3841">
            <v>847100</v>
          </cell>
          <cell r="D3841">
            <v>1</v>
          </cell>
          <cell r="F3841" t="str">
            <v xml:space="preserve">מעונות חסות </v>
          </cell>
          <cell r="G3841" t="str">
            <v>קשיח</v>
          </cell>
          <cell r="H3841">
            <v>0</v>
          </cell>
          <cell r="I3841">
            <v>1942000</v>
          </cell>
          <cell r="J3841">
            <v>1942000</v>
          </cell>
          <cell r="K3841">
            <v>858423</v>
          </cell>
          <cell r="L3841">
            <v>1942000</v>
          </cell>
          <cell r="M3841">
            <v>2070847</v>
          </cell>
        </row>
        <row r="3842">
          <cell r="A3842">
            <v>1847100814</v>
          </cell>
          <cell r="B3842">
            <v>814</v>
          </cell>
          <cell r="C3842">
            <v>847100</v>
          </cell>
          <cell r="D3842">
            <v>1</v>
          </cell>
          <cell r="F3842" t="str">
            <v>נוצץ שירותים בקהילה</v>
          </cell>
          <cell r="G3842" t="str">
            <v>קשיח</v>
          </cell>
          <cell r="H3842">
            <v>-0.4391475042063937</v>
          </cell>
          <cell r="I3842">
            <v>1000000</v>
          </cell>
          <cell r="J3842">
            <v>1783000</v>
          </cell>
          <cell r="K3842">
            <v>554615.80000000005</v>
          </cell>
          <cell r="L3842">
            <v>1783000</v>
          </cell>
          <cell r="M3842">
            <v>836644.42</v>
          </cell>
        </row>
        <row r="3843">
          <cell r="A3843">
            <v>1847100816</v>
          </cell>
          <cell r="B3843">
            <v>816</v>
          </cell>
          <cell r="C3843">
            <v>847100</v>
          </cell>
          <cell r="D3843">
            <v>1</v>
          </cell>
          <cell r="F3843" t="str">
            <v xml:space="preserve">נוער וצעירים </v>
          </cell>
          <cell r="G3843" t="str">
            <v>קשיח</v>
          </cell>
          <cell r="I3843">
            <v>0</v>
          </cell>
          <cell r="J3843">
            <v>0</v>
          </cell>
          <cell r="K3843">
            <v>0</v>
          </cell>
          <cell r="L3843">
            <v>0</v>
          </cell>
          <cell r="M3843">
            <v>0</v>
          </cell>
        </row>
        <row r="3844">
          <cell r="A3844">
            <v>1847100817</v>
          </cell>
          <cell r="B3844">
            <v>817</v>
          </cell>
          <cell r="C3844">
            <v>847100</v>
          </cell>
          <cell r="D3844">
            <v>1</v>
          </cell>
          <cell r="F3844" t="str">
            <v>תכנית מית"ר</v>
          </cell>
          <cell r="G3844" t="str">
            <v>קשיח</v>
          </cell>
          <cell r="H3844">
            <v>0.11111111111111116</v>
          </cell>
          <cell r="I3844">
            <v>600000</v>
          </cell>
          <cell r="J3844">
            <v>540000</v>
          </cell>
          <cell r="K3844">
            <v>310999.07</v>
          </cell>
          <cell r="L3844">
            <v>600000</v>
          </cell>
          <cell r="M3844">
            <v>461217.56</v>
          </cell>
        </row>
        <row r="3845">
          <cell r="A3845">
            <v>1847100818</v>
          </cell>
          <cell r="B3845">
            <v>818</v>
          </cell>
          <cell r="C3845">
            <v>847100</v>
          </cell>
          <cell r="D3845">
            <v>1</v>
          </cell>
          <cell r="F3845" t="str">
            <v>חוץ ביתי נוצץ</v>
          </cell>
          <cell r="G3845" t="str">
            <v>קשיח</v>
          </cell>
          <cell r="H3845">
            <v>-1</v>
          </cell>
          <cell r="I3845">
            <v>0</v>
          </cell>
          <cell r="J3845">
            <v>250000</v>
          </cell>
          <cell r="K3845">
            <v>0</v>
          </cell>
          <cell r="L3845">
            <v>250000</v>
          </cell>
          <cell r="M3845">
            <v>0</v>
          </cell>
        </row>
        <row r="3846">
          <cell r="A3846">
            <v>1847100842</v>
          </cell>
          <cell r="B3846">
            <v>842</v>
          </cell>
          <cell r="C3846">
            <v>847100</v>
          </cell>
          <cell r="D3846">
            <v>1</v>
          </cell>
          <cell r="F3846" t="str">
            <v>תכנית "יתד"</v>
          </cell>
          <cell r="G3846" t="str">
            <v>קשיח</v>
          </cell>
          <cell r="H3846">
            <v>0.77777777777777768</v>
          </cell>
          <cell r="I3846">
            <v>896000</v>
          </cell>
          <cell r="J3846">
            <v>504000</v>
          </cell>
          <cell r="K3846">
            <v>485966</v>
          </cell>
          <cell r="L3846">
            <v>560000</v>
          </cell>
          <cell r="M3846">
            <v>703094.59</v>
          </cell>
        </row>
        <row r="3847">
          <cell r="A3847">
            <v>1847100843</v>
          </cell>
          <cell r="B3847">
            <v>843</v>
          </cell>
          <cell r="C3847">
            <v>847100</v>
          </cell>
          <cell r="D3847">
            <v>1</v>
          </cell>
          <cell r="F3847" t="str">
            <v>צעירים חוץ ביתי</v>
          </cell>
          <cell r="G3847" t="str">
            <v>קשיח</v>
          </cell>
          <cell r="I3847">
            <v>0</v>
          </cell>
          <cell r="J3847">
            <v>0</v>
          </cell>
          <cell r="K3847">
            <v>0</v>
          </cell>
          <cell r="L3847">
            <v>400000</v>
          </cell>
          <cell r="M3847">
            <v>0</v>
          </cell>
        </row>
        <row r="3848">
          <cell r="A3848">
            <v>1847100891</v>
          </cell>
          <cell r="B3848">
            <v>891</v>
          </cell>
          <cell r="C3848">
            <v>847100</v>
          </cell>
          <cell r="D3848">
            <v>1</v>
          </cell>
          <cell r="F3848" t="str">
            <v xml:space="preserve">מרכז ליעוץ מיני   </v>
          </cell>
          <cell r="G3848" t="str">
            <v>קשיח</v>
          </cell>
          <cell r="H3848">
            <v>0</v>
          </cell>
          <cell r="I3848">
            <v>24000</v>
          </cell>
          <cell r="J3848">
            <v>24000</v>
          </cell>
          <cell r="K3848">
            <v>0</v>
          </cell>
          <cell r="L3848">
            <v>24000</v>
          </cell>
          <cell r="M3848">
            <v>24000</v>
          </cell>
        </row>
        <row r="3849">
          <cell r="A3849">
            <v>1847100892</v>
          </cell>
          <cell r="B3849">
            <v>892</v>
          </cell>
          <cell r="C3849">
            <v>847100</v>
          </cell>
          <cell r="D3849">
            <v>1</v>
          </cell>
          <cell r="F3849" t="str">
            <v>פרוייקט גחליליות</v>
          </cell>
          <cell r="G3849" t="str">
            <v>קשיח</v>
          </cell>
          <cell r="H3849">
            <v>0.11111111111111116</v>
          </cell>
          <cell r="I3849">
            <v>65000</v>
          </cell>
          <cell r="J3849">
            <v>58500</v>
          </cell>
          <cell r="K3849">
            <v>32250</v>
          </cell>
          <cell r="L3849">
            <v>65000</v>
          </cell>
          <cell r="M3849">
            <v>65000</v>
          </cell>
        </row>
        <row r="3850">
          <cell r="A3850" t="e">
            <v>#VALUE!</v>
          </cell>
          <cell r="B3850" t="str">
            <v>847100  סך הכל</v>
          </cell>
          <cell r="F3850" t="str">
            <v>שיקום ליווי מניעה</v>
          </cell>
          <cell r="H3850">
            <v>-0.1169652877210634</v>
          </cell>
          <cell r="I3850">
            <v>4563700</v>
          </cell>
          <cell r="J3850">
            <v>5168200</v>
          </cell>
          <cell r="K3850">
            <v>2252724.7999999998</v>
          </cell>
          <cell r="L3850">
            <v>5712600</v>
          </cell>
          <cell r="M3850">
            <v>4222561.76</v>
          </cell>
        </row>
        <row r="3851">
          <cell r="A3851">
            <v>18472000</v>
          </cell>
          <cell r="B3851">
            <v>0</v>
          </cell>
          <cell r="C3851">
            <v>847200</v>
          </cell>
          <cell r="D3851">
            <v>1</v>
          </cell>
          <cell r="F3851" t="str">
            <v>מניעת אלימות וסמים</v>
          </cell>
          <cell r="G3851" t="str">
            <v xml:space="preserve"> </v>
          </cell>
        </row>
        <row r="3852">
          <cell r="A3852">
            <v>1847200110</v>
          </cell>
          <cell r="B3852">
            <v>110</v>
          </cell>
          <cell r="C3852">
            <v>847200</v>
          </cell>
          <cell r="D3852">
            <v>1</v>
          </cell>
          <cell r="F3852" t="str">
            <v>השכר הקובע-תקציבית</v>
          </cell>
          <cell r="G3852" t="str">
            <v>שכר</v>
          </cell>
          <cell r="H3852" t="e">
            <v>#DIV/0!</v>
          </cell>
          <cell r="I3852">
            <v>265579.5</v>
          </cell>
        </row>
        <row r="3853">
          <cell r="A3853">
            <v>1847200119</v>
          </cell>
          <cell r="B3853">
            <v>119</v>
          </cell>
          <cell r="C3853">
            <v>847200</v>
          </cell>
          <cell r="D3853">
            <v>1</v>
          </cell>
          <cell r="F3853" t="str">
            <v>השכר הקובע-צוברת</v>
          </cell>
          <cell r="G3853" t="str">
            <v>שכר</v>
          </cell>
          <cell r="H3853" t="e">
            <v>#DIV/0!</v>
          </cell>
          <cell r="I3853">
            <v>1842380.15</v>
          </cell>
        </row>
        <row r="3854">
          <cell r="A3854">
            <v>1847200122</v>
          </cell>
          <cell r="B3854">
            <v>122</v>
          </cell>
          <cell r="C3854">
            <v>847200</v>
          </cell>
          <cell r="D3854">
            <v>1</v>
          </cell>
          <cell r="F3854" t="str">
            <v xml:space="preserve">ביגוד             </v>
          </cell>
          <cell r="G3854" t="str">
            <v>שכר</v>
          </cell>
          <cell r="H3854" t="e">
            <v>#DIV/0!</v>
          </cell>
          <cell r="I3854">
            <v>9800.3381147540986</v>
          </cell>
        </row>
        <row r="3855">
          <cell r="A3855">
            <v>1847200126</v>
          </cell>
          <cell r="B3855">
            <v>126</v>
          </cell>
          <cell r="C3855">
            <v>847200</v>
          </cell>
          <cell r="D3855">
            <v>1</v>
          </cell>
          <cell r="F3855" t="str">
            <v xml:space="preserve">דמי הבראה         </v>
          </cell>
          <cell r="G3855" t="str">
            <v>שכר</v>
          </cell>
          <cell r="H3855" t="e">
            <v>#DIV/0!</v>
          </cell>
          <cell r="I3855">
            <v>23320.233606557376</v>
          </cell>
        </row>
        <row r="3856">
          <cell r="A3856">
            <v>1847200130</v>
          </cell>
          <cell r="B3856">
            <v>130</v>
          </cell>
          <cell r="C3856">
            <v>847200</v>
          </cell>
          <cell r="D3856">
            <v>1</v>
          </cell>
          <cell r="F3856" t="str">
            <v xml:space="preserve">שעות נוספות       </v>
          </cell>
          <cell r="G3856" t="str">
            <v>שכר</v>
          </cell>
          <cell r="H3856" t="e">
            <v>#DIV/0!</v>
          </cell>
          <cell r="I3856">
            <v>17200</v>
          </cell>
        </row>
        <row r="3857">
          <cell r="A3857">
            <v>1847200140</v>
          </cell>
          <cell r="B3857">
            <v>140</v>
          </cell>
          <cell r="C3857">
            <v>847200</v>
          </cell>
          <cell r="D3857">
            <v>1</v>
          </cell>
          <cell r="F3857" t="str">
            <v>השתתפות באחזקת רכב</v>
          </cell>
          <cell r="G3857" t="str">
            <v>שכר</v>
          </cell>
          <cell r="H3857" t="e">
            <v>#DIV/0!</v>
          </cell>
          <cell r="I3857">
            <v>84300</v>
          </cell>
        </row>
        <row r="3858">
          <cell r="A3858">
            <v>1847200780</v>
          </cell>
          <cell r="B3858">
            <v>780</v>
          </cell>
          <cell r="C3858">
            <v>847200</v>
          </cell>
          <cell r="D3858">
            <v>1</v>
          </cell>
          <cell r="F3858" t="str">
            <v>פעולות</v>
          </cell>
          <cell r="G3858" t="str">
            <v>גמיש</v>
          </cell>
          <cell r="H3858" t="e">
            <v>#DIV/0!</v>
          </cell>
          <cell r="I3858">
            <v>535500</v>
          </cell>
        </row>
        <row r="3859">
          <cell r="A3859">
            <v>1847200781</v>
          </cell>
          <cell r="B3859">
            <v>781</v>
          </cell>
          <cell r="C3859">
            <v>847200</v>
          </cell>
          <cell r="D3859">
            <v>1</v>
          </cell>
          <cell r="F3859" t="str">
            <v>עיר ללא אלימות</v>
          </cell>
          <cell r="G3859" t="str">
            <v>גמיש</v>
          </cell>
          <cell r="H3859" t="e">
            <v>#DIV/0!</v>
          </cell>
          <cell r="I3859">
            <v>0</v>
          </cell>
        </row>
        <row r="3860">
          <cell r="A3860" t="e">
            <v>#VALUE!</v>
          </cell>
          <cell r="B3860" t="str">
            <v>847200  סך הכל</v>
          </cell>
          <cell r="F3860" t="str">
            <v>מניעת אלימות וסמים</v>
          </cell>
          <cell r="H3860" t="e">
            <v>#DIV/0!</v>
          </cell>
          <cell r="I3860">
            <v>2778080.2217213116</v>
          </cell>
          <cell r="J3860">
            <v>0</v>
          </cell>
          <cell r="K3860">
            <v>0</v>
          </cell>
          <cell r="L3860">
            <v>0</v>
          </cell>
          <cell r="M3860">
            <v>0</v>
          </cell>
        </row>
        <row r="3861">
          <cell r="A3861">
            <v>18473000</v>
          </cell>
          <cell r="B3861">
            <v>0</v>
          </cell>
          <cell r="C3861">
            <v>847300</v>
          </cell>
          <cell r="D3861">
            <v>1</v>
          </cell>
          <cell r="F3861" t="str">
            <v xml:space="preserve">סמים              </v>
          </cell>
          <cell r="G3861" t="str">
            <v xml:space="preserve"> </v>
          </cell>
        </row>
        <row r="3862">
          <cell r="A3862">
            <v>1847300752</v>
          </cell>
          <cell r="B3862">
            <v>752</v>
          </cell>
          <cell r="C3862">
            <v>847300</v>
          </cell>
          <cell r="D3862">
            <v>1</v>
          </cell>
          <cell r="F3862" t="str">
            <v xml:space="preserve">נקיון בקבלנות     </v>
          </cell>
          <cell r="G3862" t="str">
            <v>קשיח</v>
          </cell>
          <cell r="H3862">
            <v>-1</v>
          </cell>
          <cell r="I3862">
            <v>0</v>
          </cell>
          <cell r="J3862">
            <v>32000</v>
          </cell>
          <cell r="K3862">
            <v>0</v>
          </cell>
          <cell r="L3862">
            <v>32000</v>
          </cell>
          <cell r="M3862">
            <v>0</v>
          </cell>
        </row>
        <row r="3863">
          <cell r="A3863">
            <v>1847300781</v>
          </cell>
          <cell r="B3863">
            <v>781</v>
          </cell>
          <cell r="C3863">
            <v>847300</v>
          </cell>
          <cell r="D3863">
            <v>1</v>
          </cell>
          <cell r="F3863" t="str">
            <v xml:space="preserve">צרכים מיוחדים     </v>
          </cell>
          <cell r="G3863" t="str">
            <v>קשיח</v>
          </cell>
          <cell r="H3863">
            <v>0</v>
          </cell>
          <cell r="I3863">
            <v>110000</v>
          </cell>
          <cell r="J3863">
            <v>110000</v>
          </cell>
          <cell r="K3863">
            <v>88523.18</v>
          </cell>
          <cell r="L3863">
            <v>110000</v>
          </cell>
          <cell r="M3863">
            <v>94380.02</v>
          </cell>
        </row>
        <row r="3864">
          <cell r="A3864">
            <v>1847300782</v>
          </cell>
          <cell r="B3864">
            <v>782</v>
          </cell>
          <cell r="C3864">
            <v>847300</v>
          </cell>
          <cell r="D3864">
            <v>1</v>
          </cell>
          <cell r="F3864" t="str">
            <v>טיפול במשפחות מכורים</v>
          </cell>
          <cell r="G3864" t="str">
            <v>גמיש</v>
          </cell>
          <cell r="H3864">
            <v>0</v>
          </cell>
          <cell r="I3864">
            <v>30000</v>
          </cell>
          <cell r="J3864">
            <v>30000</v>
          </cell>
          <cell r="K3864">
            <v>0</v>
          </cell>
          <cell r="L3864">
            <v>30000</v>
          </cell>
          <cell r="M3864">
            <v>8765</v>
          </cell>
        </row>
        <row r="3865">
          <cell r="A3865">
            <v>1847300783</v>
          </cell>
          <cell r="B3865">
            <v>783</v>
          </cell>
          <cell r="C3865">
            <v>847300</v>
          </cell>
          <cell r="D3865">
            <v>1</v>
          </cell>
          <cell r="F3865" t="str">
            <v>טיפול בנגמלים חוץ ביתי</v>
          </cell>
          <cell r="G3865" t="str">
            <v>קשיח</v>
          </cell>
          <cell r="I3865">
            <v>480000</v>
          </cell>
          <cell r="J3865">
            <v>0</v>
          </cell>
          <cell r="K3865">
            <v>0</v>
          </cell>
          <cell r="L3865">
            <v>0</v>
          </cell>
          <cell r="M3865">
            <v>0</v>
          </cell>
        </row>
        <row r="3866">
          <cell r="A3866">
            <v>1847300813</v>
          </cell>
          <cell r="B3866">
            <v>813</v>
          </cell>
          <cell r="C3866">
            <v>847300</v>
          </cell>
          <cell r="D3866">
            <v>1</v>
          </cell>
          <cell r="F3866" t="str">
            <v>טיפול בהתמכרויות</v>
          </cell>
          <cell r="G3866" t="str">
            <v>קשיח</v>
          </cell>
          <cell r="H3866">
            <v>0</v>
          </cell>
          <cell r="I3866">
            <v>480000</v>
          </cell>
          <cell r="J3866">
            <v>480000</v>
          </cell>
          <cell r="K3866">
            <v>207372.41</v>
          </cell>
          <cell r="L3866">
            <v>480000</v>
          </cell>
          <cell r="M3866">
            <v>454955.63</v>
          </cell>
        </row>
        <row r="3867">
          <cell r="A3867">
            <v>1847300816</v>
          </cell>
          <cell r="B3867">
            <v>816</v>
          </cell>
          <cell r="C3867">
            <v>847300</v>
          </cell>
          <cell r="D3867">
            <v>1</v>
          </cell>
          <cell r="F3867" t="str">
            <v>פרוייקטים לנגמלים</v>
          </cell>
          <cell r="G3867" t="str">
            <v>קשיח</v>
          </cell>
          <cell r="I3867">
            <v>0</v>
          </cell>
          <cell r="J3867">
            <v>0</v>
          </cell>
          <cell r="K3867">
            <v>0</v>
          </cell>
          <cell r="L3867">
            <v>0</v>
          </cell>
          <cell r="M3867">
            <v>0</v>
          </cell>
        </row>
        <row r="3868">
          <cell r="A3868">
            <v>1847300891</v>
          </cell>
          <cell r="B3868">
            <v>891</v>
          </cell>
          <cell r="C3868">
            <v>847300</v>
          </cell>
          <cell r="D3868">
            <v>1</v>
          </cell>
          <cell r="F3868" t="str">
            <v>מניעת שימוש בסמים ואלכוהול</v>
          </cell>
          <cell r="G3868" t="str">
            <v>גמיש</v>
          </cell>
          <cell r="H3868">
            <v>0.11111111111111116</v>
          </cell>
          <cell r="I3868">
            <v>150000</v>
          </cell>
          <cell r="J3868">
            <v>135000</v>
          </cell>
          <cell r="K3868">
            <v>87748.45</v>
          </cell>
          <cell r="L3868">
            <v>50000</v>
          </cell>
          <cell r="M3868">
            <v>48886</v>
          </cell>
        </row>
        <row r="3869">
          <cell r="A3869" t="e">
            <v>#VALUE!</v>
          </cell>
          <cell r="B3869" t="str">
            <v>847300  סך הכל</v>
          </cell>
          <cell r="F3869" t="str">
            <v xml:space="preserve">סמים              </v>
          </cell>
          <cell r="H3869">
            <v>0.58831003811944083</v>
          </cell>
          <cell r="I3869">
            <v>1250000</v>
          </cell>
          <cell r="J3869">
            <v>787000</v>
          </cell>
          <cell r="K3869">
            <v>383644.04</v>
          </cell>
          <cell r="L3869">
            <v>702000</v>
          </cell>
          <cell r="M3869">
            <v>606986.65</v>
          </cell>
        </row>
        <row r="3870">
          <cell r="A3870">
            <v>18480000</v>
          </cell>
          <cell r="B3870">
            <v>0</v>
          </cell>
          <cell r="C3870">
            <v>848000</v>
          </cell>
          <cell r="D3870">
            <v>1</v>
          </cell>
          <cell r="F3870" t="str">
            <v xml:space="preserve">עבודה קהילתית     </v>
          </cell>
          <cell r="G3870" t="str">
            <v xml:space="preserve"> </v>
          </cell>
        </row>
        <row r="3871">
          <cell r="A3871">
            <v>1848100431</v>
          </cell>
          <cell r="B3871">
            <v>431</v>
          </cell>
          <cell r="C3871">
            <v>848100</v>
          </cell>
          <cell r="D3871">
            <v>1</v>
          </cell>
          <cell r="F3871" t="str">
            <v xml:space="preserve">חשמל              </v>
          </cell>
          <cell r="G3871" t="str">
            <v>קשיח</v>
          </cell>
          <cell r="H3871">
            <v>0</v>
          </cell>
          <cell r="I3871">
            <v>3300</v>
          </cell>
          <cell r="J3871">
            <v>3300</v>
          </cell>
          <cell r="K3871">
            <v>0</v>
          </cell>
          <cell r="L3871">
            <v>3300</v>
          </cell>
          <cell r="M3871">
            <v>0</v>
          </cell>
        </row>
        <row r="3872">
          <cell r="A3872">
            <v>1848100437</v>
          </cell>
          <cell r="B3872">
            <v>437</v>
          </cell>
          <cell r="C3872">
            <v>848100</v>
          </cell>
          <cell r="D3872">
            <v>1</v>
          </cell>
          <cell r="F3872" t="str">
            <v xml:space="preserve">אחזקת אזעקה       </v>
          </cell>
          <cell r="G3872" t="str">
            <v>קשיח</v>
          </cell>
          <cell r="H3872">
            <v>0.14399999999999991</v>
          </cell>
          <cell r="I3872">
            <v>2860</v>
          </cell>
          <cell r="J3872">
            <v>2500</v>
          </cell>
          <cell r="K3872">
            <v>608.88</v>
          </cell>
          <cell r="L3872">
            <v>2500</v>
          </cell>
          <cell r="M3872">
            <v>2855.12</v>
          </cell>
        </row>
        <row r="3873">
          <cell r="A3873">
            <v>1848100511</v>
          </cell>
          <cell r="B3873">
            <v>511</v>
          </cell>
          <cell r="C3873">
            <v>848100</v>
          </cell>
          <cell r="D3873">
            <v>1</v>
          </cell>
          <cell r="F3873" t="str">
            <v xml:space="preserve">אירוח וכיבוד      </v>
          </cell>
          <cell r="G3873" t="str">
            <v>גמיש</v>
          </cell>
          <cell r="H3873">
            <v>0</v>
          </cell>
          <cell r="I3873">
            <v>3780</v>
          </cell>
          <cell r="J3873">
            <v>3780</v>
          </cell>
          <cell r="K3873">
            <v>854.25</v>
          </cell>
          <cell r="L3873">
            <v>4200</v>
          </cell>
          <cell r="M3873">
            <v>1841.23</v>
          </cell>
        </row>
        <row r="3874">
          <cell r="A3874">
            <v>1848100752</v>
          </cell>
          <cell r="B3874">
            <v>752</v>
          </cell>
          <cell r="C3874">
            <v>848100</v>
          </cell>
          <cell r="D3874">
            <v>1</v>
          </cell>
          <cell r="F3874" t="str">
            <v xml:space="preserve">נקיון בקבלנות     </v>
          </cell>
          <cell r="G3874" t="str">
            <v>קשיח</v>
          </cell>
          <cell r="H3874">
            <v>0.19999999999999996</v>
          </cell>
          <cell r="I3874">
            <v>18000</v>
          </cell>
          <cell r="J3874">
            <v>15000</v>
          </cell>
          <cell r="K3874">
            <v>5181.8</v>
          </cell>
          <cell r="L3874">
            <v>15000</v>
          </cell>
          <cell r="M3874">
            <v>14574.69</v>
          </cell>
        </row>
        <row r="3875">
          <cell r="A3875">
            <v>1848100781</v>
          </cell>
          <cell r="B3875">
            <v>781</v>
          </cell>
          <cell r="C3875">
            <v>848100</v>
          </cell>
          <cell r="D3875">
            <v>1</v>
          </cell>
          <cell r="F3875" t="str">
            <v>פע' משפ' חד-הוריות</v>
          </cell>
          <cell r="G3875" t="str">
            <v>גמיש</v>
          </cell>
          <cell r="H3875">
            <v>0</v>
          </cell>
          <cell r="I3875">
            <v>7000</v>
          </cell>
          <cell r="J3875">
            <v>7000</v>
          </cell>
          <cell r="K3875">
            <v>6600</v>
          </cell>
          <cell r="L3875">
            <v>7000</v>
          </cell>
          <cell r="M3875">
            <v>6934</v>
          </cell>
        </row>
        <row r="3876">
          <cell r="A3876">
            <v>1848100784</v>
          </cell>
          <cell r="B3876">
            <v>784</v>
          </cell>
          <cell r="C3876">
            <v>848100</v>
          </cell>
          <cell r="D3876">
            <v>1</v>
          </cell>
          <cell r="F3876" t="str">
            <v>פע' בקהילה+התנדבות</v>
          </cell>
          <cell r="G3876" t="str">
            <v>גמיש</v>
          </cell>
          <cell r="H3876">
            <v>-0.65277777777777779</v>
          </cell>
          <cell r="I3876">
            <v>5000</v>
          </cell>
          <cell r="J3876">
            <v>14400</v>
          </cell>
          <cell r="K3876">
            <v>645</v>
          </cell>
          <cell r="L3876">
            <v>16000</v>
          </cell>
          <cell r="M3876">
            <v>6296.88</v>
          </cell>
        </row>
        <row r="3877">
          <cell r="A3877">
            <v>1848100787</v>
          </cell>
          <cell r="B3877">
            <v>787</v>
          </cell>
          <cell r="C3877">
            <v>848100</v>
          </cell>
          <cell r="D3877">
            <v>1</v>
          </cell>
          <cell r="F3877" t="str">
            <v>מרכז גישור</v>
          </cell>
          <cell r="G3877" t="str">
            <v>גמיש</v>
          </cell>
          <cell r="H3877">
            <v>-0.20063948840927259</v>
          </cell>
          <cell r="I3877">
            <v>100000</v>
          </cell>
          <cell r="J3877">
            <v>125100</v>
          </cell>
          <cell r="K3877">
            <v>10287.24</v>
          </cell>
          <cell r="L3877">
            <v>50000</v>
          </cell>
          <cell r="M3877">
            <v>21907.82</v>
          </cell>
        </row>
        <row r="3878">
          <cell r="A3878">
            <v>1848100811</v>
          </cell>
          <cell r="B3878">
            <v>811</v>
          </cell>
          <cell r="C3878">
            <v>848100</v>
          </cell>
          <cell r="D3878">
            <v>1</v>
          </cell>
          <cell r="F3878" t="str">
            <v xml:space="preserve">פעולות התנדבות </v>
          </cell>
          <cell r="G3878" t="str">
            <v>קשיח</v>
          </cell>
          <cell r="H3878">
            <v>0</v>
          </cell>
          <cell r="I3878">
            <v>26000</v>
          </cell>
          <cell r="J3878">
            <v>26000</v>
          </cell>
          <cell r="K3878">
            <v>10902.67</v>
          </cell>
          <cell r="L3878">
            <v>50000</v>
          </cell>
          <cell r="M3878">
            <v>12594.23</v>
          </cell>
        </row>
        <row r="3879">
          <cell r="A3879">
            <v>1848100812</v>
          </cell>
          <cell r="B3879">
            <v>812</v>
          </cell>
          <cell r="C3879">
            <v>848100</v>
          </cell>
          <cell r="D3879">
            <v>1</v>
          </cell>
          <cell r="F3879" t="str">
            <v>פרוייקט עוצמה</v>
          </cell>
          <cell r="G3879" t="str">
            <v>קשיח</v>
          </cell>
          <cell r="H3879">
            <v>-0.52156862745098032</v>
          </cell>
          <cell r="I3879">
            <v>122000</v>
          </cell>
          <cell r="J3879">
            <v>255000</v>
          </cell>
          <cell r="K3879">
            <v>59948.9</v>
          </cell>
          <cell r="L3879">
            <v>255000</v>
          </cell>
          <cell r="M3879">
            <v>231313.35</v>
          </cell>
        </row>
        <row r="3880">
          <cell r="A3880">
            <v>1848100813</v>
          </cell>
          <cell r="B3880">
            <v>813</v>
          </cell>
          <cell r="C3880">
            <v>848100</v>
          </cell>
          <cell r="D3880">
            <v>1</v>
          </cell>
          <cell r="F3880" t="str">
            <v xml:space="preserve">עבודה קהילתית     </v>
          </cell>
          <cell r="G3880" t="str">
            <v>קשיח</v>
          </cell>
          <cell r="H3880">
            <v>0</v>
          </cell>
          <cell r="I3880">
            <v>19000</v>
          </cell>
          <cell r="J3880">
            <v>19000</v>
          </cell>
          <cell r="K3880">
            <v>0</v>
          </cell>
          <cell r="L3880">
            <v>19000</v>
          </cell>
          <cell r="M3880">
            <v>0</v>
          </cell>
        </row>
        <row r="3881">
          <cell r="A3881">
            <v>1848100816</v>
          </cell>
          <cell r="B3881">
            <v>816</v>
          </cell>
          <cell r="C3881">
            <v>848100</v>
          </cell>
          <cell r="D3881">
            <v>1</v>
          </cell>
          <cell r="F3881" t="str">
            <v>לשכת ייעוץ לאזרח</v>
          </cell>
          <cell r="G3881" t="str">
            <v>קשיח</v>
          </cell>
          <cell r="H3881">
            <v>0.45454545454545459</v>
          </cell>
          <cell r="I3881">
            <v>8000</v>
          </cell>
          <cell r="J3881">
            <v>5500</v>
          </cell>
          <cell r="K3881">
            <v>3586.29</v>
          </cell>
          <cell r="L3881">
            <v>20000</v>
          </cell>
          <cell r="M3881">
            <v>6269.29</v>
          </cell>
        </row>
        <row r="3882">
          <cell r="A3882">
            <v>1848100817</v>
          </cell>
          <cell r="B3882">
            <v>817</v>
          </cell>
          <cell r="C3882">
            <v>848100</v>
          </cell>
          <cell r="D3882">
            <v>1</v>
          </cell>
          <cell r="F3882" t="str">
            <v>פ.קהילתי גאוגרפי</v>
          </cell>
          <cell r="G3882" t="str">
            <v>קשיח</v>
          </cell>
          <cell r="I3882">
            <v>0</v>
          </cell>
          <cell r="J3882">
            <v>0</v>
          </cell>
          <cell r="K3882">
            <v>0</v>
          </cell>
          <cell r="L3882">
            <v>0</v>
          </cell>
          <cell r="M3882">
            <v>0</v>
          </cell>
        </row>
        <row r="3883">
          <cell r="A3883">
            <v>1848100931</v>
          </cell>
          <cell r="B3883">
            <v>931</v>
          </cell>
          <cell r="C3883">
            <v>848100</v>
          </cell>
          <cell r="D3883">
            <v>1</v>
          </cell>
          <cell r="F3883" t="str">
            <v xml:space="preserve">רכישות חד-פעמיות  </v>
          </cell>
          <cell r="G3883" t="str">
            <v>גמיש</v>
          </cell>
          <cell r="H3883">
            <v>-0.17695473251028804</v>
          </cell>
          <cell r="I3883">
            <v>10000</v>
          </cell>
          <cell r="J3883">
            <v>12150</v>
          </cell>
          <cell r="K3883">
            <v>3999.25</v>
          </cell>
          <cell r="L3883">
            <v>13500</v>
          </cell>
          <cell r="M3883">
            <v>9878.06</v>
          </cell>
        </row>
        <row r="3884">
          <cell r="A3884" t="e">
            <v>#VALUE!</v>
          </cell>
          <cell r="B3884" t="str">
            <v>848100  סך הכל</v>
          </cell>
          <cell r="F3884" t="str">
            <v xml:space="preserve">עבודה קהילתית     </v>
          </cell>
          <cell r="H3884">
            <v>-0.33513391852352015</v>
          </cell>
          <cell r="I3884">
            <v>324940</v>
          </cell>
          <cell r="J3884">
            <v>488730</v>
          </cell>
          <cell r="K3884">
            <v>102614.27999999998</v>
          </cell>
          <cell r="L3884">
            <v>455500</v>
          </cell>
          <cell r="M3884">
            <v>314464.67</v>
          </cell>
        </row>
        <row r="3885">
          <cell r="A3885">
            <v>18500000</v>
          </cell>
          <cell r="B3885">
            <v>0</v>
          </cell>
          <cell r="C3885">
            <v>850000</v>
          </cell>
          <cell r="D3885">
            <v>1</v>
          </cell>
          <cell r="F3885" t="str">
            <v xml:space="preserve">דת                </v>
          </cell>
          <cell r="G3885" t="str">
            <v xml:space="preserve"> </v>
          </cell>
          <cell r="L3885">
            <v>0</v>
          </cell>
        </row>
        <row r="3886">
          <cell r="A3886">
            <v>1851000811</v>
          </cell>
          <cell r="B3886">
            <v>811</v>
          </cell>
          <cell r="C3886">
            <v>851000</v>
          </cell>
          <cell r="D3886">
            <v>1</v>
          </cell>
          <cell r="F3886" t="str">
            <v>השתת'בתקציב המועצה</v>
          </cell>
          <cell r="G3886" t="str">
            <v>קשיח</v>
          </cell>
          <cell r="H3886">
            <v>3.1871569379684717E-2</v>
          </cell>
          <cell r="I3886">
            <v>8741500</v>
          </cell>
          <cell r="J3886">
            <v>8471500</v>
          </cell>
          <cell r="K3886">
            <v>4941706</v>
          </cell>
          <cell r="L3886">
            <v>8378400</v>
          </cell>
          <cell r="M3886">
            <v>8471449</v>
          </cell>
        </row>
        <row r="3887">
          <cell r="A3887">
            <v>1851000813</v>
          </cell>
          <cell r="B3887">
            <v>813</v>
          </cell>
          <cell r="C3887">
            <v>851000</v>
          </cell>
          <cell r="D3887">
            <v>1</v>
          </cell>
          <cell r="F3887" t="str">
            <v xml:space="preserve">ארנונה-מועצה דתית </v>
          </cell>
          <cell r="G3887" t="str">
            <v>קשיח</v>
          </cell>
          <cell r="H3887">
            <v>0</v>
          </cell>
          <cell r="I3887">
            <v>40000</v>
          </cell>
          <cell r="J3887">
            <v>40000</v>
          </cell>
          <cell r="K3887">
            <v>40894.019999999997</v>
          </cell>
          <cell r="L3887">
            <v>40000</v>
          </cell>
          <cell r="M3887">
            <v>39425.410000000003</v>
          </cell>
        </row>
        <row r="3888">
          <cell r="A3888">
            <v>1851000981</v>
          </cell>
          <cell r="B3888">
            <v>981</v>
          </cell>
          <cell r="C3888">
            <v>851000</v>
          </cell>
          <cell r="D3888">
            <v>1</v>
          </cell>
          <cell r="F3888" t="str">
            <v>הוצ' שנים קודמות</v>
          </cell>
          <cell r="G3888" t="str">
            <v>קשיח</v>
          </cell>
          <cell r="I3888">
            <v>0</v>
          </cell>
          <cell r="J3888">
            <v>0</v>
          </cell>
          <cell r="K3888">
            <v>0</v>
          </cell>
          <cell r="L3888">
            <v>556600</v>
          </cell>
          <cell r="M3888">
            <v>556600</v>
          </cell>
        </row>
        <row r="3889">
          <cell r="A3889" t="e">
            <v>#VALUE!</v>
          </cell>
          <cell r="B3889" t="str">
            <v>851000  סך הכל</v>
          </cell>
          <cell r="F3889" t="str">
            <v xml:space="preserve">המועצה הדתית      </v>
          </cell>
          <cell r="H3889">
            <v>3.1721788168947995E-2</v>
          </cell>
          <cell r="I3889">
            <v>8781500</v>
          </cell>
          <cell r="J3889">
            <v>8511500</v>
          </cell>
          <cell r="K3889">
            <v>4982600.0199999996</v>
          </cell>
          <cell r="L3889">
            <v>8975000</v>
          </cell>
          <cell r="M3889">
            <v>9067474.4100000001</v>
          </cell>
        </row>
        <row r="3890">
          <cell r="A3890">
            <v>18590000</v>
          </cell>
          <cell r="B3890">
            <v>0</v>
          </cell>
          <cell r="C3890">
            <v>859000</v>
          </cell>
          <cell r="D3890">
            <v>1</v>
          </cell>
          <cell r="F3890" t="str">
            <v xml:space="preserve">העדה השומרונית    </v>
          </cell>
          <cell r="G3890" t="str">
            <v xml:space="preserve"> </v>
          </cell>
        </row>
        <row r="3891">
          <cell r="A3891">
            <v>1859000810</v>
          </cell>
          <cell r="B3891">
            <v>810</v>
          </cell>
          <cell r="C3891">
            <v>859000</v>
          </cell>
          <cell r="D3891">
            <v>1</v>
          </cell>
          <cell r="F3891" t="str">
            <v>השת'-עדה השומרונית</v>
          </cell>
          <cell r="G3891" t="str">
            <v>קשיח</v>
          </cell>
          <cell r="H3891">
            <v>0</v>
          </cell>
          <cell r="I3891">
            <v>41000</v>
          </cell>
          <cell r="J3891">
            <v>41000</v>
          </cell>
          <cell r="K3891">
            <v>0</v>
          </cell>
          <cell r="L3891">
            <v>41000</v>
          </cell>
          <cell r="M3891">
            <v>41000</v>
          </cell>
        </row>
        <row r="3892">
          <cell r="A3892">
            <v>1859000811</v>
          </cell>
          <cell r="B3892">
            <v>811</v>
          </cell>
          <cell r="C3892">
            <v>859000</v>
          </cell>
          <cell r="D3892">
            <v>1</v>
          </cell>
          <cell r="F3892" t="str">
            <v>א.ב. חדשות השומרונים</v>
          </cell>
          <cell r="G3892" t="str">
            <v>גמיש</v>
          </cell>
          <cell r="H3892">
            <v>0</v>
          </cell>
          <cell r="I3892">
            <v>30000</v>
          </cell>
          <cell r="J3892">
            <v>30000</v>
          </cell>
          <cell r="K3892">
            <v>0</v>
          </cell>
          <cell r="L3892">
            <v>20000</v>
          </cell>
          <cell r="M3892">
            <v>20000</v>
          </cell>
        </row>
        <row r="3893">
          <cell r="A3893" t="e">
            <v>#VALUE!</v>
          </cell>
          <cell r="B3893" t="str">
            <v>859000  סך הכל</v>
          </cell>
          <cell r="F3893" t="str">
            <v xml:space="preserve">העדה השומרונית    </v>
          </cell>
          <cell r="H3893">
            <v>0</v>
          </cell>
          <cell r="I3893">
            <v>71000</v>
          </cell>
          <cell r="J3893">
            <v>71000</v>
          </cell>
          <cell r="K3893">
            <v>0</v>
          </cell>
          <cell r="L3893">
            <v>61000</v>
          </cell>
          <cell r="M3893">
            <v>61000</v>
          </cell>
        </row>
        <row r="3894">
          <cell r="A3894">
            <v>18600000</v>
          </cell>
          <cell r="B3894">
            <v>0</v>
          </cell>
          <cell r="C3894">
            <v>860000</v>
          </cell>
          <cell r="D3894">
            <v>1</v>
          </cell>
          <cell r="F3894" t="str">
            <v xml:space="preserve">קליטת עליה        </v>
          </cell>
          <cell r="G3894" t="str">
            <v xml:space="preserve"> </v>
          </cell>
        </row>
        <row r="3895">
          <cell r="A3895">
            <v>1868000119</v>
          </cell>
          <cell r="B3895">
            <v>119</v>
          </cell>
          <cell r="C3895">
            <v>868000</v>
          </cell>
          <cell r="D3895">
            <v>1</v>
          </cell>
          <cell r="F3895" t="str">
            <v xml:space="preserve">השכר הקובע-צוברת  </v>
          </cell>
          <cell r="G3895" t="str">
            <v>שכר</v>
          </cell>
          <cell r="H3895">
            <v>0.33099558617275782</v>
          </cell>
          <cell r="I3895">
            <v>1613299.7499999998</v>
          </cell>
          <cell r="J3895">
            <v>1212100</v>
          </cell>
          <cell r="K3895">
            <v>868882.46</v>
          </cell>
          <cell r="L3895">
            <v>1172600</v>
          </cell>
          <cell r="M3895">
            <v>1493501.56</v>
          </cell>
        </row>
        <row r="3896">
          <cell r="A3896">
            <v>1868000126</v>
          </cell>
          <cell r="B3896">
            <v>126</v>
          </cell>
          <cell r="C3896">
            <v>868000</v>
          </cell>
          <cell r="D3896">
            <v>1</v>
          </cell>
          <cell r="F3896" t="str">
            <v xml:space="preserve">דמי הבראה         </v>
          </cell>
          <cell r="G3896" t="str">
            <v>שכר</v>
          </cell>
          <cell r="H3896">
            <v>0.16243174008122452</v>
          </cell>
          <cell r="I3896">
            <v>38360.247422680412</v>
          </cell>
          <cell r="J3896">
            <v>33000</v>
          </cell>
          <cell r="K3896">
            <v>29482.44</v>
          </cell>
          <cell r="L3896">
            <v>27000</v>
          </cell>
          <cell r="M3896">
            <v>35538.120000000003</v>
          </cell>
        </row>
        <row r="3897">
          <cell r="A3897">
            <v>1868000130</v>
          </cell>
          <cell r="B3897">
            <v>130</v>
          </cell>
          <cell r="C3897">
            <v>868000</v>
          </cell>
          <cell r="D3897">
            <v>1</v>
          </cell>
          <cell r="F3897" t="str">
            <v xml:space="preserve">שעות נוספות       </v>
          </cell>
          <cell r="G3897" t="str">
            <v>שכר</v>
          </cell>
          <cell r="I3897">
            <v>0</v>
          </cell>
          <cell r="J3897">
            <v>0</v>
          </cell>
          <cell r="K3897">
            <v>1889.41</v>
          </cell>
          <cell r="L3897">
            <v>0</v>
          </cell>
          <cell r="M3897">
            <v>575.80999999999995</v>
          </cell>
        </row>
        <row r="3898">
          <cell r="A3898">
            <v>1868000140</v>
          </cell>
          <cell r="B3898">
            <v>140</v>
          </cell>
          <cell r="C3898">
            <v>868000</v>
          </cell>
          <cell r="D3898">
            <v>1</v>
          </cell>
          <cell r="F3898" t="str">
            <v>השתתפות באחזקת רכב</v>
          </cell>
          <cell r="G3898" t="str">
            <v>שכר</v>
          </cell>
          <cell r="H3898">
            <v>0</v>
          </cell>
          <cell r="I3898">
            <v>60000</v>
          </cell>
          <cell r="J3898">
            <v>60000</v>
          </cell>
          <cell r="K3898">
            <v>0</v>
          </cell>
          <cell r="L3898">
            <v>60000</v>
          </cell>
          <cell r="M3898">
            <v>0</v>
          </cell>
        </row>
        <row r="3899">
          <cell r="A3899">
            <v>1868000253</v>
          </cell>
          <cell r="B3899">
            <v>253</v>
          </cell>
          <cell r="C3899">
            <v>868000</v>
          </cell>
          <cell r="D3899">
            <v>1</v>
          </cell>
          <cell r="F3899" t="str">
            <v>עובדים חיצוניים</v>
          </cell>
          <cell r="G3899" t="str">
            <v>שכר</v>
          </cell>
          <cell r="I3899">
            <v>0</v>
          </cell>
          <cell r="J3899">
            <v>0</v>
          </cell>
          <cell r="K3899">
            <v>0</v>
          </cell>
          <cell r="L3899">
            <v>0</v>
          </cell>
          <cell r="M3899">
            <v>78827.320000000007</v>
          </cell>
        </row>
        <row r="3900">
          <cell r="A3900">
            <v>1868000423</v>
          </cell>
          <cell r="B3900">
            <v>423</v>
          </cell>
          <cell r="C3900">
            <v>868000</v>
          </cell>
          <cell r="D3900">
            <v>1</v>
          </cell>
          <cell r="F3900" t="str">
            <v xml:space="preserve">תחזוקת מבנה       </v>
          </cell>
          <cell r="G3900" t="str">
            <v>קשיח</v>
          </cell>
          <cell r="H3900">
            <v>0.22926829268292681</v>
          </cell>
          <cell r="I3900">
            <v>25200</v>
          </cell>
          <cell r="J3900">
            <v>20500</v>
          </cell>
          <cell r="K3900">
            <v>0</v>
          </cell>
          <cell r="L3900">
            <v>17900</v>
          </cell>
          <cell r="M3900">
            <v>17900</v>
          </cell>
        </row>
        <row r="3901">
          <cell r="A3901">
            <v>1868000431</v>
          </cell>
          <cell r="B3901">
            <v>431</v>
          </cell>
          <cell r="C3901">
            <v>868000</v>
          </cell>
          <cell r="D3901">
            <v>1</v>
          </cell>
          <cell r="F3901" t="str">
            <v xml:space="preserve">חשמל              </v>
          </cell>
          <cell r="G3901" t="str">
            <v>קשיח</v>
          </cell>
          <cell r="H3901">
            <v>-5.2631578947368474E-2</v>
          </cell>
          <cell r="I3901">
            <v>45000</v>
          </cell>
          <cell r="J3901">
            <v>47500</v>
          </cell>
          <cell r="K3901">
            <v>15183.23</v>
          </cell>
          <cell r="L3901">
            <v>27500</v>
          </cell>
          <cell r="M3901">
            <v>41310.1</v>
          </cell>
        </row>
        <row r="3902">
          <cell r="A3902">
            <v>1868000432</v>
          </cell>
          <cell r="B3902">
            <v>432</v>
          </cell>
          <cell r="C3902">
            <v>868000</v>
          </cell>
          <cell r="D3902">
            <v>1</v>
          </cell>
          <cell r="F3902" t="str">
            <v xml:space="preserve">מים               </v>
          </cell>
          <cell r="G3902" t="str">
            <v>קשיח</v>
          </cell>
          <cell r="H3902">
            <v>0</v>
          </cell>
          <cell r="I3902">
            <v>15200</v>
          </cell>
          <cell r="J3902">
            <v>15200</v>
          </cell>
          <cell r="K3902">
            <v>0</v>
          </cell>
          <cell r="L3902">
            <v>15000</v>
          </cell>
          <cell r="M3902">
            <v>0</v>
          </cell>
        </row>
        <row r="3903">
          <cell r="A3903">
            <v>1868000433</v>
          </cell>
          <cell r="B3903">
            <v>433</v>
          </cell>
          <cell r="C3903">
            <v>868000</v>
          </cell>
          <cell r="D3903">
            <v>1</v>
          </cell>
          <cell r="F3903" t="str">
            <v xml:space="preserve">חומרי נקיון       </v>
          </cell>
          <cell r="G3903" t="str">
            <v>גמיש</v>
          </cell>
          <cell r="H3903">
            <v>1.7777777777777777</v>
          </cell>
          <cell r="I3903">
            <v>2000</v>
          </cell>
          <cell r="J3903">
            <v>720</v>
          </cell>
          <cell r="K3903">
            <v>0</v>
          </cell>
          <cell r="L3903">
            <v>800</v>
          </cell>
          <cell r="M3903">
            <v>427.7</v>
          </cell>
        </row>
        <row r="3904">
          <cell r="A3904">
            <v>1868000437</v>
          </cell>
          <cell r="B3904">
            <v>437</v>
          </cell>
          <cell r="C3904">
            <v>868000</v>
          </cell>
          <cell r="D3904">
            <v>1</v>
          </cell>
          <cell r="F3904" t="str">
            <v xml:space="preserve">אחזקת אזעקה       </v>
          </cell>
          <cell r="G3904" t="str">
            <v>קשיח</v>
          </cell>
          <cell r="H3904">
            <v>-5.4054054054054057E-2</v>
          </cell>
          <cell r="I3904">
            <v>3500</v>
          </cell>
          <cell r="J3904">
            <v>3700</v>
          </cell>
          <cell r="K3904">
            <v>1231.92</v>
          </cell>
          <cell r="L3904">
            <v>2500</v>
          </cell>
          <cell r="M3904">
            <v>2442.96</v>
          </cell>
        </row>
        <row r="3905">
          <cell r="A3905">
            <v>1868000471</v>
          </cell>
          <cell r="B3905">
            <v>471</v>
          </cell>
          <cell r="C3905">
            <v>868000</v>
          </cell>
          <cell r="D3905">
            <v>1</v>
          </cell>
          <cell r="F3905" t="str">
            <v xml:space="preserve">מכשירי כתיבה      </v>
          </cell>
          <cell r="G3905" t="str">
            <v>גמיש</v>
          </cell>
          <cell r="H3905">
            <v>0.85185185185185186</v>
          </cell>
          <cell r="I3905">
            <v>1500</v>
          </cell>
          <cell r="J3905">
            <v>810</v>
          </cell>
          <cell r="K3905">
            <v>0</v>
          </cell>
          <cell r="L3905">
            <v>900</v>
          </cell>
          <cell r="M3905">
            <v>897.77</v>
          </cell>
        </row>
        <row r="3906">
          <cell r="A3906">
            <v>1868000751</v>
          </cell>
          <cell r="B3906">
            <v>751</v>
          </cell>
          <cell r="C3906">
            <v>868000</v>
          </cell>
          <cell r="D3906">
            <v>1</v>
          </cell>
          <cell r="F3906" t="str">
            <v xml:space="preserve">עבודות קבלניות    </v>
          </cell>
          <cell r="G3906" t="str">
            <v>גמיש</v>
          </cell>
          <cell r="H3906">
            <v>0</v>
          </cell>
          <cell r="I3906">
            <v>18000</v>
          </cell>
          <cell r="J3906">
            <v>18000</v>
          </cell>
          <cell r="K3906">
            <v>7735.24</v>
          </cell>
          <cell r="L3906">
            <v>0</v>
          </cell>
          <cell r="M3906">
            <v>0</v>
          </cell>
        </row>
        <row r="3907">
          <cell r="A3907">
            <v>1868000752</v>
          </cell>
          <cell r="B3907">
            <v>752</v>
          </cell>
          <cell r="C3907">
            <v>868000</v>
          </cell>
          <cell r="D3907">
            <v>1</v>
          </cell>
          <cell r="F3907" t="str">
            <v xml:space="preserve">נקיון בקבלנות     </v>
          </cell>
          <cell r="G3907" t="str">
            <v>קשיח</v>
          </cell>
          <cell r="H3907">
            <v>0.76470588235294112</v>
          </cell>
          <cell r="I3907">
            <v>120000</v>
          </cell>
          <cell r="J3907">
            <v>68000</v>
          </cell>
          <cell r="K3907">
            <v>32071.01</v>
          </cell>
          <cell r="L3907">
            <v>68000</v>
          </cell>
          <cell r="M3907">
            <v>67358.63</v>
          </cell>
        </row>
        <row r="3908">
          <cell r="A3908">
            <v>1868000756</v>
          </cell>
          <cell r="B3908">
            <v>756</v>
          </cell>
          <cell r="C3908">
            <v>868000</v>
          </cell>
          <cell r="D3908">
            <v>1</v>
          </cell>
          <cell r="F3908" t="str">
            <v>שמירה</v>
          </cell>
          <cell r="G3908" t="str">
            <v>קשיח</v>
          </cell>
          <cell r="H3908">
            <v>0</v>
          </cell>
          <cell r="I3908">
            <v>120000</v>
          </cell>
          <cell r="J3908">
            <v>120000</v>
          </cell>
          <cell r="K3908">
            <v>0</v>
          </cell>
          <cell r="L3908">
            <v>140000</v>
          </cell>
          <cell r="M3908">
            <v>11904.37</v>
          </cell>
        </row>
        <row r="3909">
          <cell r="A3909">
            <v>1868000780</v>
          </cell>
          <cell r="B3909">
            <v>780</v>
          </cell>
          <cell r="C3909">
            <v>868000</v>
          </cell>
          <cell r="D3909">
            <v>1</v>
          </cell>
          <cell r="F3909" t="str">
            <v>תוכנית מחוברים</v>
          </cell>
          <cell r="G3909" t="str">
            <v>קשיח</v>
          </cell>
          <cell r="I3909">
            <v>300000</v>
          </cell>
          <cell r="J3909">
            <v>0</v>
          </cell>
          <cell r="K3909">
            <v>0</v>
          </cell>
          <cell r="L3909">
            <v>0</v>
          </cell>
          <cell r="M3909">
            <v>0</v>
          </cell>
        </row>
        <row r="3910">
          <cell r="A3910">
            <v>1868000781</v>
          </cell>
          <cell r="B3910">
            <v>781</v>
          </cell>
          <cell r="C3910">
            <v>868000</v>
          </cell>
          <cell r="D3910">
            <v>1</v>
          </cell>
          <cell r="F3910" t="str">
            <v>קייטנות עולים,וטרנים,פרוייקטים</v>
          </cell>
          <cell r="G3910" t="str">
            <v>גמיש</v>
          </cell>
          <cell r="H3910">
            <v>0.24843945068664164</v>
          </cell>
          <cell r="I3910">
            <v>140000</v>
          </cell>
          <cell r="J3910">
            <v>112140</v>
          </cell>
          <cell r="K3910">
            <v>76680</v>
          </cell>
          <cell r="L3910">
            <v>112100</v>
          </cell>
          <cell r="M3910">
            <v>109637.88</v>
          </cell>
        </row>
        <row r="3911">
          <cell r="A3911">
            <v>1868000782</v>
          </cell>
          <cell r="B3911">
            <v>782</v>
          </cell>
          <cell r="C3911">
            <v>868000</v>
          </cell>
          <cell r="D3911">
            <v>1</v>
          </cell>
          <cell r="F3911" t="str">
            <v>פסטיבל ( כנגד הכנסות )</v>
          </cell>
          <cell r="G3911" t="str">
            <v>קשיח</v>
          </cell>
          <cell r="I3911">
            <v>0</v>
          </cell>
          <cell r="J3911">
            <v>0</v>
          </cell>
          <cell r="K3911">
            <v>0</v>
          </cell>
          <cell r="L3911">
            <v>0</v>
          </cell>
          <cell r="M3911">
            <v>0</v>
          </cell>
        </row>
        <row r="3912">
          <cell r="A3912">
            <v>1868000783</v>
          </cell>
          <cell r="B3912">
            <v>783</v>
          </cell>
          <cell r="C3912">
            <v>868000</v>
          </cell>
          <cell r="D3912">
            <v>1</v>
          </cell>
          <cell r="F3912" t="str">
            <v>עידוד העלייה</v>
          </cell>
          <cell r="G3912" t="str">
            <v>גמיש</v>
          </cell>
          <cell r="H3912">
            <v>0</v>
          </cell>
          <cell r="I3912">
            <v>100000</v>
          </cell>
          <cell r="J3912">
            <v>100000</v>
          </cell>
          <cell r="K3912">
            <v>16145.36</v>
          </cell>
          <cell r="L3912">
            <v>0</v>
          </cell>
          <cell r="M3912">
            <v>0</v>
          </cell>
        </row>
        <row r="3913">
          <cell r="A3913">
            <v>1868000784</v>
          </cell>
          <cell r="B3913">
            <v>784</v>
          </cell>
          <cell r="C3913">
            <v>868000</v>
          </cell>
          <cell r="D3913">
            <v>1</v>
          </cell>
          <cell r="F3913" t="str">
            <v>פעולות שונות</v>
          </cell>
          <cell r="G3913" t="str">
            <v>גמיש</v>
          </cell>
          <cell r="H3913">
            <v>0</v>
          </cell>
          <cell r="I3913">
            <v>160830</v>
          </cell>
          <cell r="J3913">
            <v>160830</v>
          </cell>
          <cell r="K3913">
            <v>23395.08</v>
          </cell>
          <cell r="L3913">
            <v>178700</v>
          </cell>
          <cell r="M3913">
            <v>84540.76</v>
          </cell>
        </row>
        <row r="3914">
          <cell r="A3914">
            <v>1868000810</v>
          </cell>
          <cell r="B3914">
            <v>810</v>
          </cell>
          <cell r="C3914">
            <v>868000</v>
          </cell>
          <cell r="D3914">
            <v>1</v>
          </cell>
          <cell r="F3914" t="str">
            <v>משרד הקליטה - מהכנסה</v>
          </cell>
          <cell r="G3914" t="str">
            <v>קשיח</v>
          </cell>
          <cell r="H3914">
            <v>-0.18353844118036255</v>
          </cell>
          <cell r="I3914">
            <v>617000</v>
          </cell>
          <cell r="J3914">
            <v>755700</v>
          </cell>
          <cell r="K3914">
            <v>163013.06</v>
          </cell>
          <cell r="L3914">
            <v>755700</v>
          </cell>
          <cell r="M3914">
            <v>403663.5</v>
          </cell>
        </row>
        <row r="3915">
          <cell r="A3915">
            <v>1868000930</v>
          </cell>
          <cell r="B3915">
            <v>930</v>
          </cell>
          <cell r="C3915">
            <v>868000</v>
          </cell>
          <cell r="D3915">
            <v>1</v>
          </cell>
          <cell r="F3915" t="str">
            <v>שילוב יוצאי אתיופיה וונדמה</v>
          </cell>
          <cell r="G3915" t="str">
            <v>קשיח</v>
          </cell>
          <cell r="H3915">
            <v>-0.27333333333333332</v>
          </cell>
          <cell r="I3915">
            <v>109000</v>
          </cell>
          <cell r="J3915">
            <v>150000</v>
          </cell>
          <cell r="K3915">
            <v>0</v>
          </cell>
          <cell r="L3915">
            <v>150000</v>
          </cell>
          <cell r="M3915">
            <v>36270</v>
          </cell>
        </row>
        <row r="3916">
          <cell r="A3916">
            <v>1868000981</v>
          </cell>
          <cell r="B3916">
            <v>981</v>
          </cell>
          <cell r="C3916">
            <v>868000</v>
          </cell>
          <cell r="D3916">
            <v>1</v>
          </cell>
          <cell r="F3916" t="str">
            <v>הוצאות משנים קודמות</v>
          </cell>
          <cell r="G3916" t="str">
            <v>קשיח</v>
          </cell>
          <cell r="I3916">
            <v>0</v>
          </cell>
          <cell r="J3916">
            <v>0</v>
          </cell>
          <cell r="K3916">
            <v>0</v>
          </cell>
          <cell r="L3916">
            <v>5000</v>
          </cell>
          <cell r="M3916">
            <v>4825</v>
          </cell>
        </row>
        <row r="3917">
          <cell r="A3917" t="e">
            <v>#VALUE!</v>
          </cell>
          <cell r="B3917" t="str">
            <v>868000  סך הכל</v>
          </cell>
          <cell r="F3917" t="str">
            <v>מחלקת קליטה ועליה</v>
          </cell>
          <cell r="H3917">
            <v>0.21217774908716569</v>
          </cell>
          <cell r="I3917">
            <v>3488889.9974226803</v>
          </cell>
          <cell r="J3917">
            <v>2878200</v>
          </cell>
          <cell r="K3917">
            <v>1235709.2100000002</v>
          </cell>
          <cell r="L3917">
            <v>2733700</v>
          </cell>
          <cell r="M3917">
            <v>2389621.4800000004</v>
          </cell>
        </row>
        <row r="3918">
          <cell r="A3918">
            <v>18700000</v>
          </cell>
          <cell r="B3918">
            <v>0</v>
          </cell>
          <cell r="C3918">
            <v>870000</v>
          </cell>
          <cell r="D3918">
            <v>1</v>
          </cell>
          <cell r="F3918" t="str">
            <v xml:space="preserve">איכות הסביבה      </v>
          </cell>
          <cell r="G3918" t="str">
            <v xml:space="preserve"> </v>
          </cell>
        </row>
        <row r="3919">
          <cell r="A3919">
            <v>1879000110</v>
          </cell>
          <cell r="B3919">
            <v>110</v>
          </cell>
          <cell r="C3919">
            <v>879000</v>
          </cell>
          <cell r="D3919">
            <v>1</v>
          </cell>
          <cell r="F3919" t="str">
            <v>השכר הקובע-תקציבית</v>
          </cell>
          <cell r="G3919" t="str">
            <v>שכר</v>
          </cell>
          <cell r="H3919">
            <v>2.5034578146611253E-2</v>
          </cell>
          <cell r="I3919">
            <v>148220</v>
          </cell>
          <cell r="J3919">
            <v>144600</v>
          </cell>
          <cell r="K3919">
            <v>21449.7</v>
          </cell>
          <cell r="L3919">
            <v>141800</v>
          </cell>
          <cell r="M3919">
            <v>157813.87</v>
          </cell>
        </row>
        <row r="3920">
          <cell r="A3920">
            <v>1879000119</v>
          </cell>
          <cell r="B3920">
            <v>119</v>
          </cell>
          <cell r="C3920">
            <v>879000</v>
          </cell>
          <cell r="D3920">
            <v>1</v>
          </cell>
          <cell r="F3920" t="str">
            <v xml:space="preserve">השכר הקובע-צוברת  </v>
          </cell>
          <cell r="G3920" t="str">
            <v>שכר</v>
          </cell>
          <cell r="H3920">
            <v>2.4999999999999911E-2</v>
          </cell>
          <cell r="I3920">
            <v>1191460</v>
          </cell>
          <cell r="J3920">
            <v>1162400</v>
          </cell>
          <cell r="K3920">
            <v>1266276.3400000001</v>
          </cell>
          <cell r="L3920">
            <v>1139600</v>
          </cell>
          <cell r="M3920">
            <v>1862788.37</v>
          </cell>
        </row>
        <row r="3921">
          <cell r="A3921">
            <v>1879000122</v>
          </cell>
          <cell r="B3921">
            <v>122</v>
          </cell>
          <cell r="C3921">
            <v>879000</v>
          </cell>
          <cell r="D3921">
            <v>1</v>
          </cell>
          <cell r="F3921" t="str">
            <v xml:space="preserve">ביגוד             </v>
          </cell>
          <cell r="G3921" t="str">
            <v>שכר</v>
          </cell>
          <cell r="H3921">
            <v>0</v>
          </cell>
          <cell r="I3921">
            <v>21000</v>
          </cell>
          <cell r="J3921">
            <v>21000</v>
          </cell>
          <cell r="K3921">
            <v>21252.67</v>
          </cell>
          <cell r="L3921">
            <v>15800</v>
          </cell>
          <cell r="M3921">
            <v>13761.78</v>
          </cell>
        </row>
        <row r="3922">
          <cell r="A3922">
            <v>1879000126</v>
          </cell>
          <cell r="B3922">
            <v>126</v>
          </cell>
          <cell r="C3922">
            <v>879000</v>
          </cell>
          <cell r="D3922">
            <v>1</v>
          </cell>
          <cell r="F3922" t="str">
            <v xml:space="preserve">דמי הבראה         </v>
          </cell>
          <cell r="G3922" t="str">
            <v>שכר</v>
          </cell>
          <cell r="H3922">
            <v>0</v>
          </cell>
          <cell r="I3922">
            <v>32000</v>
          </cell>
          <cell r="J3922">
            <v>32000</v>
          </cell>
          <cell r="K3922">
            <v>47489.55</v>
          </cell>
          <cell r="L3922">
            <v>32000</v>
          </cell>
          <cell r="M3922">
            <v>30921.26</v>
          </cell>
        </row>
        <row r="3923">
          <cell r="A3923">
            <v>1879000130</v>
          </cell>
          <cell r="B3923">
            <v>130</v>
          </cell>
          <cell r="C3923">
            <v>879000</v>
          </cell>
          <cell r="D3923">
            <v>1</v>
          </cell>
          <cell r="F3923" t="str">
            <v xml:space="preserve">שעות נוספות       </v>
          </cell>
          <cell r="G3923" t="str">
            <v>שכר</v>
          </cell>
          <cell r="I3923">
            <v>0</v>
          </cell>
          <cell r="J3923">
            <v>0</v>
          </cell>
          <cell r="K3923">
            <v>11068.64</v>
          </cell>
          <cell r="L3923">
            <v>0</v>
          </cell>
          <cell r="M3923">
            <v>0</v>
          </cell>
        </row>
        <row r="3924">
          <cell r="A3924">
            <v>1879000140</v>
          </cell>
          <cell r="B3924">
            <v>140</v>
          </cell>
          <cell r="C3924">
            <v>879000</v>
          </cell>
          <cell r="D3924">
            <v>1</v>
          </cell>
          <cell r="F3924" t="str">
            <v>השתתפות באחזקת רכב</v>
          </cell>
          <cell r="G3924" t="str">
            <v>שכר</v>
          </cell>
          <cell r="H3924">
            <v>0</v>
          </cell>
          <cell r="I3924">
            <v>191900</v>
          </cell>
          <cell r="J3924">
            <v>191900</v>
          </cell>
          <cell r="K3924">
            <v>168342.21</v>
          </cell>
          <cell r="L3924">
            <v>171900</v>
          </cell>
          <cell r="M3924">
            <v>256566.16</v>
          </cell>
        </row>
        <row r="3925">
          <cell r="A3925">
            <v>1879000253</v>
          </cell>
          <cell r="B3925">
            <v>253</v>
          </cell>
          <cell r="C3925">
            <v>879000</v>
          </cell>
          <cell r="D3925">
            <v>1</v>
          </cell>
          <cell r="F3925" t="str">
            <v xml:space="preserve">עובדים חיצוניים   </v>
          </cell>
          <cell r="G3925" t="str">
            <v>שכר</v>
          </cell>
          <cell r="I3925">
            <v>0</v>
          </cell>
          <cell r="J3925">
            <v>0</v>
          </cell>
          <cell r="K3925">
            <v>0</v>
          </cell>
          <cell r="L3925">
            <v>0</v>
          </cell>
          <cell r="M3925">
            <v>75037.960000000006</v>
          </cell>
        </row>
        <row r="3926">
          <cell r="A3926">
            <v>1879000433</v>
          </cell>
          <cell r="B3926">
            <v>433</v>
          </cell>
          <cell r="C3926">
            <v>879000</v>
          </cell>
          <cell r="D3926">
            <v>1</v>
          </cell>
          <cell r="F3926" t="str">
            <v xml:space="preserve">חומרי נקיון       </v>
          </cell>
          <cell r="G3926" t="str">
            <v>גמיש</v>
          </cell>
          <cell r="H3926">
            <v>0</v>
          </cell>
          <cell r="I3926">
            <v>2070</v>
          </cell>
          <cell r="J3926">
            <v>2070</v>
          </cell>
          <cell r="K3926">
            <v>784.12</v>
          </cell>
          <cell r="L3926">
            <v>2300</v>
          </cell>
          <cell r="M3926">
            <v>2208.39</v>
          </cell>
        </row>
        <row r="3927">
          <cell r="A3927">
            <v>1879000450</v>
          </cell>
          <cell r="B3927">
            <v>450</v>
          </cell>
          <cell r="C3927">
            <v>879000</v>
          </cell>
          <cell r="D3927">
            <v>1</v>
          </cell>
          <cell r="F3927" t="str">
            <v>אחזקת תמי 4</v>
          </cell>
          <cell r="G3927" t="str">
            <v>קשיח</v>
          </cell>
          <cell r="H3927">
            <v>0</v>
          </cell>
          <cell r="I3927">
            <v>500</v>
          </cell>
          <cell r="J3927">
            <v>500</v>
          </cell>
          <cell r="K3927">
            <v>0</v>
          </cell>
          <cell r="L3927">
            <v>500</v>
          </cell>
          <cell r="M3927">
            <v>0</v>
          </cell>
        </row>
        <row r="3928">
          <cell r="A3928">
            <v>1879000470</v>
          </cell>
          <cell r="B3928">
            <v>470</v>
          </cell>
          <cell r="C3928">
            <v>879000</v>
          </cell>
          <cell r="D3928">
            <v>1</v>
          </cell>
          <cell r="F3928" t="str">
            <v xml:space="preserve">אחזקת מכונות משרד </v>
          </cell>
          <cell r="G3928" t="str">
            <v>גמיש</v>
          </cell>
          <cell r="I3928">
            <v>0</v>
          </cell>
          <cell r="J3928">
            <v>0</v>
          </cell>
          <cell r="K3928">
            <v>0</v>
          </cell>
          <cell r="L3928">
            <v>1100</v>
          </cell>
          <cell r="M3928">
            <v>0</v>
          </cell>
        </row>
        <row r="3929">
          <cell r="A3929">
            <v>1879000471</v>
          </cell>
          <cell r="B3929">
            <v>471</v>
          </cell>
          <cell r="C3929">
            <v>879000</v>
          </cell>
          <cell r="D3929">
            <v>1</v>
          </cell>
          <cell r="F3929" t="str">
            <v xml:space="preserve">מכשירי כתיבה      </v>
          </cell>
          <cell r="G3929" t="str">
            <v>גמיש</v>
          </cell>
          <cell r="H3929">
            <v>0.66666666666666674</v>
          </cell>
          <cell r="I3929">
            <v>9000</v>
          </cell>
          <cell r="J3929">
            <v>5400</v>
          </cell>
          <cell r="K3929">
            <v>4122.38</v>
          </cell>
          <cell r="L3929">
            <v>12200</v>
          </cell>
          <cell r="M3929">
            <v>8663.5</v>
          </cell>
        </row>
        <row r="3930">
          <cell r="A3930">
            <v>1879000492</v>
          </cell>
          <cell r="B3930">
            <v>492</v>
          </cell>
          <cell r="C3930">
            <v>879000</v>
          </cell>
          <cell r="D3930">
            <v>1</v>
          </cell>
          <cell r="F3930" t="str">
            <v xml:space="preserve">השתתפות בעזר 092  </v>
          </cell>
          <cell r="G3930" t="str">
            <v>קשיח</v>
          </cell>
          <cell r="H3930">
            <v>0.31045751633986929</v>
          </cell>
          <cell r="I3930">
            <v>80200</v>
          </cell>
          <cell r="J3930">
            <v>61200</v>
          </cell>
          <cell r="K3930">
            <v>24182</v>
          </cell>
          <cell r="L3930">
            <v>51200</v>
          </cell>
          <cell r="M3930">
            <v>56327.32</v>
          </cell>
        </row>
        <row r="3931">
          <cell r="A3931">
            <v>1879000511</v>
          </cell>
          <cell r="B3931">
            <v>511</v>
          </cell>
          <cell r="C3931">
            <v>879000</v>
          </cell>
          <cell r="D3931">
            <v>1</v>
          </cell>
          <cell r="F3931" t="str">
            <v xml:space="preserve">אירוח וכיבוד      </v>
          </cell>
          <cell r="G3931" t="str">
            <v>גמיש</v>
          </cell>
          <cell r="H3931">
            <v>0.19658119658119655</v>
          </cell>
          <cell r="I3931">
            <v>7000</v>
          </cell>
          <cell r="J3931">
            <v>5850</v>
          </cell>
          <cell r="K3931">
            <v>3634.87</v>
          </cell>
          <cell r="L3931">
            <v>5900</v>
          </cell>
          <cell r="M3931">
            <v>5639.15</v>
          </cell>
        </row>
        <row r="3932">
          <cell r="A3932">
            <v>1879000522</v>
          </cell>
          <cell r="B3932">
            <v>522</v>
          </cell>
          <cell r="C3932">
            <v>879000</v>
          </cell>
          <cell r="D3932">
            <v>1</v>
          </cell>
          <cell r="F3932" t="str">
            <v xml:space="preserve">ספרים ועיתונים    </v>
          </cell>
          <cell r="G3932" t="str">
            <v>גמיש</v>
          </cell>
          <cell r="H3932">
            <v>0</v>
          </cell>
          <cell r="I3932">
            <v>1080</v>
          </cell>
          <cell r="J3932">
            <v>1080</v>
          </cell>
          <cell r="K3932">
            <v>92</v>
          </cell>
          <cell r="L3932">
            <v>1200</v>
          </cell>
          <cell r="M3932">
            <v>646.25</v>
          </cell>
        </row>
        <row r="3933">
          <cell r="A3933">
            <v>1879000544</v>
          </cell>
          <cell r="B3933">
            <v>544</v>
          </cell>
          <cell r="C3933">
            <v>879000</v>
          </cell>
          <cell r="D3933">
            <v>1</v>
          </cell>
          <cell r="F3933" t="str">
            <v xml:space="preserve">הוצאות דאר        </v>
          </cell>
          <cell r="G3933" t="str">
            <v>קשיח</v>
          </cell>
          <cell r="H3933">
            <v>0</v>
          </cell>
          <cell r="I3933">
            <v>200</v>
          </cell>
          <cell r="J3933">
            <v>200</v>
          </cell>
          <cell r="K3933">
            <v>0</v>
          </cell>
          <cell r="L3933">
            <v>500</v>
          </cell>
          <cell r="M3933">
            <v>500</v>
          </cell>
        </row>
        <row r="3934">
          <cell r="A3934">
            <v>1879000550</v>
          </cell>
          <cell r="B3934">
            <v>550</v>
          </cell>
          <cell r="C3934">
            <v>879000</v>
          </cell>
          <cell r="D3934">
            <v>1</v>
          </cell>
          <cell r="F3934" t="str">
            <v xml:space="preserve">פירסומים          </v>
          </cell>
          <cell r="G3934" t="str">
            <v>גמיש</v>
          </cell>
          <cell r="H3934">
            <v>0</v>
          </cell>
          <cell r="I3934">
            <v>2700</v>
          </cell>
          <cell r="J3934">
            <v>2700</v>
          </cell>
          <cell r="K3934">
            <v>0</v>
          </cell>
          <cell r="L3934">
            <v>2500</v>
          </cell>
          <cell r="M3934">
            <v>1628</v>
          </cell>
        </row>
        <row r="3935">
          <cell r="A3935">
            <v>1879000561</v>
          </cell>
          <cell r="B3935">
            <v>561</v>
          </cell>
          <cell r="C3935">
            <v>879000</v>
          </cell>
          <cell r="D3935">
            <v>1</v>
          </cell>
          <cell r="F3935" t="str">
            <v xml:space="preserve">שיכפולים          </v>
          </cell>
          <cell r="G3935" t="str">
            <v>גמיש</v>
          </cell>
          <cell r="H3935">
            <v>-1</v>
          </cell>
          <cell r="I3935">
            <v>0</v>
          </cell>
          <cell r="J3935">
            <v>1080</v>
          </cell>
          <cell r="K3935">
            <v>198.17</v>
          </cell>
          <cell r="L3935">
            <v>1200</v>
          </cell>
          <cell r="M3935">
            <v>251</v>
          </cell>
        </row>
        <row r="3936">
          <cell r="A3936">
            <v>1879000562</v>
          </cell>
          <cell r="B3936">
            <v>562</v>
          </cell>
          <cell r="C3936">
            <v>879000</v>
          </cell>
          <cell r="D3936">
            <v>1</v>
          </cell>
          <cell r="F3936" t="str">
            <v xml:space="preserve">הדפסות            </v>
          </cell>
          <cell r="G3936" t="str">
            <v>גמיש</v>
          </cell>
          <cell r="H3936">
            <v>0</v>
          </cell>
          <cell r="I3936">
            <v>2160</v>
          </cell>
          <cell r="J3936">
            <v>2160</v>
          </cell>
          <cell r="K3936">
            <v>0</v>
          </cell>
          <cell r="L3936">
            <v>2400</v>
          </cell>
          <cell r="M3936">
            <v>238</v>
          </cell>
        </row>
        <row r="3937">
          <cell r="A3937">
            <v>1879000571</v>
          </cell>
          <cell r="B3937">
            <v>571</v>
          </cell>
          <cell r="C3937">
            <v>879000</v>
          </cell>
          <cell r="D3937">
            <v>1</v>
          </cell>
          <cell r="F3937" t="str">
            <v xml:space="preserve">מיכון וענ"א       </v>
          </cell>
          <cell r="G3937" t="str">
            <v>קשיח</v>
          </cell>
          <cell r="H3937">
            <v>1.1387012987012985</v>
          </cell>
          <cell r="I3937">
            <v>247020</v>
          </cell>
          <cell r="J3937">
            <v>115500</v>
          </cell>
          <cell r="K3937">
            <v>57750</v>
          </cell>
          <cell r="L3937">
            <v>108200</v>
          </cell>
          <cell r="M3937">
            <v>108200</v>
          </cell>
        </row>
        <row r="3938">
          <cell r="A3938">
            <v>1879000580</v>
          </cell>
          <cell r="B3938">
            <v>580</v>
          </cell>
          <cell r="C3938">
            <v>879000</v>
          </cell>
          <cell r="D3938">
            <v>1</v>
          </cell>
          <cell r="F3938" t="str">
            <v>הפעלת גינות קהילתיות</v>
          </cell>
          <cell r="G3938" t="str">
            <v>גמיש</v>
          </cell>
          <cell r="H3938">
            <v>0.11111111111111116</v>
          </cell>
          <cell r="I3938">
            <v>50000</v>
          </cell>
          <cell r="J3938">
            <v>45000</v>
          </cell>
          <cell r="K3938">
            <v>4655.3</v>
          </cell>
          <cell r="L3938">
            <v>60000</v>
          </cell>
          <cell r="M3938">
            <v>48748.5</v>
          </cell>
        </row>
        <row r="3939">
          <cell r="A3939">
            <v>1879000710</v>
          </cell>
          <cell r="B3939">
            <v>710</v>
          </cell>
          <cell r="C3939">
            <v>879000</v>
          </cell>
          <cell r="D3939">
            <v>1</v>
          </cell>
          <cell r="F3939" t="str">
            <v xml:space="preserve">הובלות והסעות     </v>
          </cell>
          <cell r="G3939" t="str">
            <v>גמיש</v>
          </cell>
          <cell r="H3939">
            <v>0</v>
          </cell>
          <cell r="I3939">
            <v>6300</v>
          </cell>
          <cell r="J3939">
            <v>6300</v>
          </cell>
          <cell r="K3939">
            <v>3397.92</v>
          </cell>
          <cell r="L3939">
            <v>8600</v>
          </cell>
          <cell r="M3939">
            <v>707.9</v>
          </cell>
        </row>
        <row r="3940">
          <cell r="A3940">
            <v>1879000743</v>
          </cell>
          <cell r="B3940">
            <v>743</v>
          </cell>
          <cell r="C3940">
            <v>879000</v>
          </cell>
          <cell r="D3940">
            <v>1</v>
          </cell>
          <cell r="F3940" t="str">
            <v xml:space="preserve">אחזקת ציוד        </v>
          </cell>
          <cell r="G3940" t="str">
            <v>גמיש</v>
          </cell>
          <cell r="H3940">
            <v>0.14987080103359163</v>
          </cell>
          <cell r="I3940">
            <v>8900</v>
          </cell>
          <cell r="J3940">
            <v>7740</v>
          </cell>
          <cell r="K3940">
            <v>0</v>
          </cell>
          <cell r="L3940">
            <v>8600</v>
          </cell>
          <cell r="M3940">
            <v>0</v>
          </cell>
        </row>
        <row r="3941">
          <cell r="A3941">
            <v>1879000752</v>
          </cell>
          <cell r="B3941">
            <v>752</v>
          </cell>
          <cell r="C3941">
            <v>879000</v>
          </cell>
          <cell r="D3941">
            <v>1</v>
          </cell>
          <cell r="F3941" t="str">
            <v xml:space="preserve">נקיון בקבלנות     </v>
          </cell>
          <cell r="G3941" t="str">
            <v>קשיח</v>
          </cell>
          <cell r="H3941">
            <v>4.9723756906077332E-2</v>
          </cell>
          <cell r="I3941">
            <v>19000</v>
          </cell>
          <cell r="J3941">
            <v>18100</v>
          </cell>
          <cell r="K3941">
            <v>5576.64</v>
          </cell>
          <cell r="L3941">
            <v>18100</v>
          </cell>
          <cell r="M3941">
            <v>14672.6</v>
          </cell>
        </row>
        <row r="3942">
          <cell r="A3942">
            <v>1879000754</v>
          </cell>
          <cell r="B3942">
            <v>754</v>
          </cell>
          <cell r="C3942">
            <v>879000</v>
          </cell>
          <cell r="D3942">
            <v>1</v>
          </cell>
          <cell r="F3942" t="str">
            <v>גנן קהילתי</v>
          </cell>
          <cell r="G3942" t="str">
            <v>גמיש</v>
          </cell>
          <cell r="H3942">
            <v>0</v>
          </cell>
          <cell r="I3942">
            <v>90000</v>
          </cell>
          <cell r="J3942">
            <v>90000</v>
          </cell>
          <cell r="K3942">
            <v>27282.1</v>
          </cell>
          <cell r="L3942">
            <v>80000</v>
          </cell>
          <cell r="M3942">
            <v>36336.1</v>
          </cell>
        </row>
        <row r="3943">
          <cell r="A3943">
            <v>1879000757</v>
          </cell>
          <cell r="B3943">
            <v>757</v>
          </cell>
          <cell r="C3943">
            <v>879000</v>
          </cell>
          <cell r="D3943">
            <v>1</v>
          </cell>
          <cell r="F3943" t="str">
            <v>טיפול בזיהום אויר</v>
          </cell>
          <cell r="G3943" t="str">
            <v>קשיח</v>
          </cell>
          <cell r="I3943">
            <v>0</v>
          </cell>
          <cell r="J3943">
            <v>0</v>
          </cell>
          <cell r="K3943">
            <v>0</v>
          </cell>
          <cell r="L3943">
            <v>12400</v>
          </cell>
          <cell r="M3943">
            <v>0</v>
          </cell>
        </row>
        <row r="3944">
          <cell r="A3944">
            <v>1879000781</v>
          </cell>
          <cell r="B3944">
            <v>781</v>
          </cell>
          <cell r="C3944">
            <v>879000</v>
          </cell>
          <cell r="D3944">
            <v>1</v>
          </cell>
          <cell r="F3944" t="str">
            <v>קיימות</v>
          </cell>
          <cell r="G3944" t="str">
            <v>גמיש</v>
          </cell>
          <cell r="H3944">
            <v>0.50150150150150141</v>
          </cell>
          <cell r="I3944">
            <v>50000</v>
          </cell>
          <cell r="J3944">
            <v>33300</v>
          </cell>
          <cell r="K3944">
            <v>8845.26</v>
          </cell>
          <cell r="L3944">
            <v>40000</v>
          </cell>
          <cell r="M3944">
            <v>18481.560000000001</v>
          </cell>
        </row>
        <row r="3945">
          <cell r="A3945">
            <v>1879000791</v>
          </cell>
          <cell r="B3945">
            <v>791</v>
          </cell>
          <cell r="C3945">
            <v>879000</v>
          </cell>
          <cell r="D3945">
            <v>1</v>
          </cell>
          <cell r="F3945" t="str">
            <v>הוצאה כנגד הכנסה - פעילות תושבים</v>
          </cell>
          <cell r="G3945" t="str">
            <v>גמיש</v>
          </cell>
          <cell r="H3945">
            <v>0.33333333333333326</v>
          </cell>
          <cell r="I3945">
            <v>6000</v>
          </cell>
          <cell r="J3945">
            <v>4500</v>
          </cell>
          <cell r="K3945">
            <v>3776</v>
          </cell>
          <cell r="L3945">
            <v>0</v>
          </cell>
          <cell r="M3945">
            <v>0</v>
          </cell>
        </row>
        <row r="3946">
          <cell r="A3946">
            <v>1879000794</v>
          </cell>
          <cell r="B3946">
            <v>794</v>
          </cell>
          <cell r="C3946">
            <v>879000</v>
          </cell>
          <cell r="D3946">
            <v>1</v>
          </cell>
          <cell r="F3946" t="str">
            <v xml:space="preserve">השתתפות בעזר 094  </v>
          </cell>
          <cell r="G3946" t="str">
            <v>קשיח</v>
          </cell>
          <cell r="H3946">
            <v>0</v>
          </cell>
          <cell r="I3946">
            <v>5600</v>
          </cell>
          <cell r="J3946">
            <v>5600</v>
          </cell>
          <cell r="K3946">
            <v>2646</v>
          </cell>
          <cell r="L3946">
            <v>4500</v>
          </cell>
          <cell r="M3946">
            <v>5367</v>
          </cell>
        </row>
        <row r="3947">
          <cell r="A3947">
            <v>1879000931</v>
          </cell>
          <cell r="B3947">
            <v>931</v>
          </cell>
          <cell r="C3947">
            <v>879000</v>
          </cell>
          <cell r="D3947">
            <v>1</v>
          </cell>
          <cell r="F3947" t="str">
            <v xml:space="preserve">רכישות חד פעמיות  </v>
          </cell>
          <cell r="G3947" t="str">
            <v>גמיש</v>
          </cell>
          <cell r="H3947">
            <v>0</v>
          </cell>
          <cell r="I3947">
            <v>6570</v>
          </cell>
          <cell r="J3947">
            <v>6570</v>
          </cell>
          <cell r="K3947">
            <v>3576.58</v>
          </cell>
          <cell r="L3947">
            <v>7300</v>
          </cell>
          <cell r="M3947">
            <v>6069.44</v>
          </cell>
        </row>
        <row r="3948">
          <cell r="A3948" t="e">
            <v>#VALUE!</v>
          </cell>
          <cell r="B3948" t="str">
            <v>879000  סך הכל</v>
          </cell>
          <cell r="F3948" t="str">
            <v>מערך איכות הסביבה</v>
          </cell>
          <cell r="H3948">
            <v>0.10785814160416929</v>
          </cell>
          <cell r="I3948">
            <v>2178880</v>
          </cell>
          <cell r="J3948">
            <v>1966750</v>
          </cell>
          <cell r="K3948">
            <v>1686398.45</v>
          </cell>
          <cell r="L3948">
            <v>1929800</v>
          </cell>
          <cell r="M3948">
            <v>2711574.1100000003</v>
          </cell>
        </row>
        <row r="3949">
          <cell r="A3949">
            <v>1931000000</v>
          </cell>
          <cell r="B3949">
            <v>0</v>
          </cell>
          <cell r="C3949">
            <v>931000</v>
          </cell>
          <cell r="D3949">
            <v>1</v>
          </cell>
          <cell r="F3949" t="str">
            <v>אגף נכסים</v>
          </cell>
          <cell r="G3949" t="str">
            <v xml:space="preserve"> </v>
          </cell>
        </row>
        <row r="3950">
          <cell r="A3950">
            <v>1931000119</v>
          </cell>
          <cell r="B3950">
            <v>119</v>
          </cell>
          <cell r="C3950">
            <v>931000</v>
          </cell>
          <cell r="D3950">
            <v>1</v>
          </cell>
          <cell r="F3950" t="str">
            <v xml:space="preserve">השכר הקובע-צוברת  </v>
          </cell>
          <cell r="G3950" t="str">
            <v>שכר</v>
          </cell>
          <cell r="I3950">
            <v>125399.52499999999</v>
          </cell>
        </row>
        <row r="3951">
          <cell r="A3951">
            <v>1931000122</v>
          </cell>
          <cell r="B3951">
            <v>122</v>
          </cell>
          <cell r="C3951">
            <v>931000</v>
          </cell>
          <cell r="D3951">
            <v>1</v>
          </cell>
          <cell r="F3951" t="str">
            <v xml:space="preserve">ביגוד             </v>
          </cell>
          <cell r="G3951" t="str">
            <v>שכר</v>
          </cell>
          <cell r="I3951">
            <v>11900</v>
          </cell>
        </row>
        <row r="3952">
          <cell r="A3952">
            <v>1931000126</v>
          </cell>
          <cell r="B3952">
            <v>126</v>
          </cell>
          <cell r="C3952">
            <v>931000</v>
          </cell>
          <cell r="D3952">
            <v>1</v>
          </cell>
          <cell r="F3952" t="str">
            <v xml:space="preserve">דמי הבראה         </v>
          </cell>
          <cell r="G3952" t="str">
            <v>שכר</v>
          </cell>
          <cell r="I3952">
            <v>25720</v>
          </cell>
        </row>
        <row r="3953">
          <cell r="A3953">
            <v>1931000130</v>
          </cell>
          <cell r="B3953">
            <v>130</v>
          </cell>
          <cell r="C3953">
            <v>931000</v>
          </cell>
          <cell r="D3953">
            <v>1</v>
          </cell>
          <cell r="F3953" t="str">
            <v xml:space="preserve">שעות נוספות       </v>
          </cell>
          <cell r="G3953" t="str">
            <v>שכר</v>
          </cell>
          <cell r="I3953">
            <v>0</v>
          </cell>
        </row>
        <row r="3954">
          <cell r="A3954">
            <v>1931000140</v>
          </cell>
          <cell r="B3954">
            <v>140</v>
          </cell>
          <cell r="C3954">
            <v>931000</v>
          </cell>
          <cell r="D3954">
            <v>1</v>
          </cell>
          <cell r="F3954" t="str">
            <v>השתתפות באחזקת רכב</v>
          </cell>
          <cell r="G3954" t="str">
            <v>שכר</v>
          </cell>
          <cell r="I3954">
            <v>88130</v>
          </cell>
        </row>
        <row r="3955">
          <cell r="A3955">
            <v>1931000350</v>
          </cell>
          <cell r="B3955">
            <v>350</v>
          </cell>
          <cell r="C3955">
            <v>931000</v>
          </cell>
          <cell r="D3955">
            <v>1</v>
          </cell>
          <cell r="F3955" t="str">
            <v>ליסינג</v>
          </cell>
          <cell r="G3955" t="str">
            <v>שכר</v>
          </cell>
          <cell r="I3955">
            <v>54000</v>
          </cell>
        </row>
        <row r="3956">
          <cell r="A3956">
            <v>1931000351</v>
          </cell>
          <cell r="B3956">
            <v>351</v>
          </cell>
          <cell r="C3956">
            <v>931000</v>
          </cell>
          <cell r="D3956">
            <v>1</v>
          </cell>
          <cell r="F3956" t="str">
            <v>הוצאות</v>
          </cell>
          <cell r="G3956" t="str">
            <v>שכר</v>
          </cell>
          <cell r="I3956">
            <v>12000</v>
          </cell>
        </row>
        <row r="3957">
          <cell r="A3957">
            <v>1931000410</v>
          </cell>
          <cell r="B3957">
            <v>410</v>
          </cell>
          <cell r="C3957">
            <v>931000</v>
          </cell>
          <cell r="D3957">
            <v>1</v>
          </cell>
          <cell r="F3957" t="str">
            <v>שכירות רח' אילת</v>
          </cell>
          <cell r="G3957" t="str">
            <v>גמיש</v>
          </cell>
          <cell r="I3957">
            <v>1250000</v>
          </cell>
          <cell r="J3957">
            <v>0</v>
          </cell>
          <cell r="L3957">
            <v>0</v>
          </cell>
          <cell r="M3957">
            <v>0</v>
          </cell>
        </row>
        <row r="3958">
          <cell r="A3958">
            <v>1931000471</v>
          </cell>
          <cell r="B3958">
            <v>471</v>
          </cell>
          <cell r="C3958">
            <v>931000</v>
          </cell>
          <cell r="D3958">
            <v>1</v>
          </cell>
          <cell r="F3958" t="str">
            <v xml:space="preserve">מכשירי כתיבה      </v>
          </cell>
          <cell r="G3958" t="str">
            <v>גמיש</v>
          </cell>
          <cell r="I3958">
            <v>13700</v>
          </cell>
          <cell r="J3958">
            <v>0</v>
          </cell>
          <cell r="L3958">
            <v>0</v>
          </cell>
          <cell r="M3958">
            <v>0</v>
          </cell>
        </row>
        <row r="3959">
          <cell r="A3959">
            <v>1931000511</v>
          </cell>
          <cell r="B3959">
            <v>511</v>
          </cell>
          <cell r="C3959">
            <v>931000</v>
          </cell>
          <cell r="D3959">
            <v>1</v>
          </cell>
          <cell r="F3959" t="str">
            <v xml:space="preserve">אירוח וכיבוד      </v>
          </cell>
          <cell r="G3959" t="str">
            <v>גמיש</v>
          </cell>
          <cell r="I3959">
            <v>3000</v>
          </cell>
        </row>
        <row r="3960">
          <cell r="A3960">
            <v>1931000550</v>
          </cell>
          <cell r="B3960">
            <v>550</v>
          </cell>
          <cell r="C3960">
            <v>931000</v>
          </cell>
          <cell r="D3960">
            <v>1</v>
          </cell>
          <cell r="F3960" t="str">
            <v>פרסומים</v>
          </cell>
          <cell r="G3960" t="str">
            <v>גמיש</v>
          </cell>
          <cell r="I3960">
            <v>15000</v>
          </cell>
          <cell r="J3960">
            <v>0</v>
          </cell>
          <cell r="L3960">
            <v>0</v>
          </cell>
          <cell r="M3960">
            <v>0</v>
          </cell>
        </row>
        <row r="3961">
          <cell r="A3961">
            <v>1931000563</v>
          </cell>
          <cell r="B3961">
            <v>563</v>
          </cell>
          <cell r="C3961">
            <v>931000</v>
          </cell>
          <cell r="D3961">
            <v>1</v>
          </cell>
          <cell r="F3961" t="str">
            <v>הקלטה ותמלול ועדות הקצאה</v>
          </cell>
          <cell r="G3961" t="str">
            <v>גמיש</v>
          </cell>
          <cell r="I3961">
            <v>10800</v>
          </cell>
          <cell r="J3961">
            <v>0</v>
          </cell>
          <cell r="L3961">
            <v>0</v>
          </cell>
          <cell r="M3961">
            <v>0</v>
          </cell>
        </row>
        <row r="3962">
          <cell r="A3962">
            <v>1931000580</v>
          </cell>
          <cell r="B3962">
            <v>580</v>
          </cell>
          <cell r="C3962">
            <v>931000</v>
          </cell>
          <cell r="D3962">
            <v>1</v>
          </cell>
          <cell r="F3962" t="str">
            <v>שכ"ט שמאים</v>
          </cell>
          <cell r="G3962" t="str">
            <v>גמיש</v>
          </cell>
          <cell r="I3962">
            <v>2984000</v>
          </cell>
          <cell r="J3962">
            <v>0</v>
          </cell>
          <cell r="L3962">
            <v>0</v>
          </cell>
          <cell r="M3962">
            <v>0</v>
          </cell>
        </row>
        <row r="3963">
          <cell r="A3963">
            <v>1931000581</v>
          </cell>
          <cell r="B3963">
            <v>581</v>
          </cell>
          <cell r="C3963">
            <v>931000</v>
          </cell>
          <cell r="D3963">
            <v>1</v>
          </cell>
          <cell r="F3963" t="str">
            <v>שכ"ט שמאים מכריעים</v>
          </cell>
          <cell r="G3963" t="str">
            <v>גמיש</v>
          </cell>
          <cell r="I3963">
            <v>800000</v>
          </cell>
          <cell r="J3963">
            <v>0</v>
          </cell>
          <cell r="L3963">
            <v>0</v>
          </cell>
          <cell r="M3963">
            <v>0</v>
          </cell>
        </row>
        <row r="3964">
          <cell r="A3964">
            <v>1931000961</v>
          </cell>
          <cell r="B3964">
            <v>961</v>
          </cell>
          <cell r="C3964">
            <v>931000</v>
          </cell>
          <cell r="D3964">
            <v>1</v>
          </cell>
          <cell r="F3964" t="str">
            <v xml:space="preserve">רז' פעולות ורכישות </v>
          </cell>
          <cell r="G3964" t="str">
            <v>גמיש</v>
          </cell>
          <cell r="I3964">
            <v>0</v>
          </cell>
          <cell r="J3964">
            <v>0</v>
          </cell>
          <cell r="L3964">
            <v>0</v>
          </cell>
          <cell r="M3964">
            <v>0</v>
          </cell>
        </row>
        <row r="3965">
          <cell r="A3965" t="e">
            <v>#VALUE!</v>
          </cell>
          <cell r="B3965" t="str">
            <v>931000  סך הכל</v>
          </cell>
          <cell r="D3965">
            <v>1</v>
          </cell>
          <cell r="F3965" t="str">
            <v>אגף נכסים</v>
          </cell>
          <cell r="I3965">
            <v>5393649.5250000004</v>
          </cell>
          <cell r="J3965">
            <v>0</v>
          </cell>
          <cell r="K3965">
            <v>0</v>
          </cell>
          <cell r="L3965">
            <v>0</v>
          </cell>
          <cell r="M3965">
            <v>0</v>
          </cell>
        </row>
        <row r="3966">
          <cell r="A3966">
            <v>19390000</v>
          </cell>
          <cell r="B3966">
            <v>0</v>
          </cell>
          <cell r="C3966">
            <v>939000</v>
          </cell>
          <cell r="D3966">
            <v>1</v>
          </cell>
          <cell r="F3966" t="str">
            <v xml:space="preserve">נכסים אחרים       </v>
          </cell>
          <cell r="G3966" t="str">
            <v xml:space="preserve"> </v>
          </cell>
        </row>
        <row r="3967">
          <cell r="A3967">
            <v>1939000410</v>
          </cell>
          <cell r="B3967">
            <v>410</v>
          </cell>
          <cell r="C3967">
            <v>939000</v>
          </cell>
          <cell r="D3967">
            <v>1</v>
          </cell>
          <cell r="F3967" t="str">
            <v xml:space="preserve">דמי חכירה         </v>
          </cell>
          <cell r="G3967" t="str">
            <v>קשיח</v>
          </cell>
          <cell r="H3967">
            <v>0</v>
          </cell>
          <cell r="I3967">
            <v>13500</v>
          </cell>
          <cell r="J3967">
            <v>13500</v>
          </cell>
          <cell r="K3967">
            <v>0</v>
          </cell>
          <cell r="L3967">
            <v>13500</v>
          </cell>
          <cell r="M3967">
            <v>0</v>
          </cell>
        </row>
        <row r="3968">
          <cell r="A3968">
            <v>1939000412</v>
          </cell>
          <cell r="B3968">
            <v>412</v>
          </cell>
          <cell r="C3968">
            <v>939000</v>
          </cell>
          <cell r="D3968">
            <v>1</v>
          </cell>
          <cell r="F3968" t="str">
            <v xml:space="preserve">מס רכישה          </v>
          </cell>
          <cell r="G3968" t="str">
            <v>קשיח</v>
          </cell>
          <cell r="H3968">
            <v>-1</v>
          </cell>
          <cell r="I3968">
            <v>0</v>
          </cell>
          <cell r="J3968">
            <v>9000</v>
          </cell>
          <cell r="K3968">
            <v>0</v>
          </cell>
          <cell r="L3968">
            <v>9000</v>
          </cell>
          <cell r="M3968">
            <v>0</v>
          </cell>
        </row>
        <row r="3969">
          <cell r="A3969">
            <v>1939000432</v>
          </cell>
          <cell r="B3969">
            <v>432</v>
          </cell>
          <cell r="C3969">
            <v>939000</v>
          </cell>
          <cell r="D3969">
            <v>1</v>
          </cell>
          <cell r="F3969" t="str">
            <v>מים - נכסים</v>
          </cell>
          <cell r="G3969" t="str">
            <v>קשיח</v>
          </cell>
          <cell r="H3969">
            <v>-9.9009900990099098E-3</v>
          </cell>
          <cell r="I3969">
            <v>20000</v>
          </cell>
          <cell r="J3969">
            <v>20200</v>
          </cell>
          <cell r="K3969">
            <v>20000</v>
          </cell>
          <cell r="L3969">
            <v>20000</v>
          </cell>
          <cell r="M3969">
            <v>8714.3700000000008</v>
          </cell>
        </row>
        <row r="3970">
          <cell r="A3970">
            <v>1939000511</v>
          </cell>
          <cell r="B3970">
            <v>511</v>
          </cell>
          <cell r="C3970">
            <v>939000</v>
          </cell>
          <cell r="D3970">
            <v>1</v>
          </cell>
          <cell r="F3970" t="str">
            <v>אמות אירוח וכיבוד</v>
          </cell>
          <cell r="G3970" t="str">
            <v>גמיש</v>
          </cell>
          <cell r="I3970">
            <v>31000</v>
          </cell>
          <cell r="J3970">
            <v>0</v>
          </cell>
          <cell r="K3970">
            <v>0</v>
          </cell>
          <cell r="L3970">
            <v>0</v>
          </cell>
          <cell r="M3970">
            <v>0</v>
          </cell>
        </row>
        <row r="3971">
          <cell r="A3971">
            <v>1939000550</v>
          </cell>
          <cell r="B3971">
            <v>550</v>
          </cell>
          <cell r="C3971">
            <v>939000</v>
          </cell>
          <cell r="D3971">
            <v>1</v>
          </cell>
          <cell r="F3971" t="str">
            <v xml:space="preserve">פירסומים          </v>
          </cell>
          <cell r="G3971" t="str">
            <v>גמיש</v>
          </cell>
          <cell r="I3971">
            <v>0</v>
          </cell>
          <cell r="J3971">
            <v>0</v>
          </cell>
          <cell r="K3971">
            <v>0</v>
          </cell>
          <cell r="L3971">
            <v>900</v>
          </cell>
          <cell r="M3971">
            <v>0</v>
          </cell>
        </row>
        <row r="3972">
          <cell r="A3972">
            <v>1939000570</v>
          </cell>
          <cell r="B3972">
            <v>570</v>
          </cell>
          <cell r="C3972">
            <v>939000</v>
          </cell>
          <cell r="D3972">
            <v>1</v>
          </cell>
          <cell r="F3972" t="str">
            <v>תוכנת ניהול נכסים</v>
          </cell>
          <cell r="G3972" t="str">
            <v>קשיח</v>
          </cell>
          <cell r="I3972">
            <v>0</v>
          </cell>
          <cell r="J3972">
            <v>0</v>
          </cell>
          <cell r="K3972">
            <v>0</v>
          </cell>
          <cell r="L3972">
            <v>5600</v>
          </cell>
          <cell r="M3972">
            <v>0</v>
          </cell>
        </row>
        <row r="3973">
          <cell r="A3973">
            <v>1939000572</v>
          </cell>
          <cell r="B3973">
            <v>572</v>
          </cell>
          <cell r="C3973">
            <v>939000</v>
          </cell>
          <cell r="D3973">
            <v>1</v>
          </cell>
          <cell r="F3973" t="str">
            <v>דמי ניהול אמות</v>
          </cell>
          <cell r="G3973" t="str">
            <v>קשיח</v>
          </cell>
          <cell r="H3973">
            <v>0</v>
          </cell>
          <cell r="I3973">
            <v>300000</v>
          </cell>
          <cell r="J3973">
            <v>300000</v>
          </cell>
          <cell r="K3973">
            <v>179770.87</v>
          </cell>
          <cell r="L3973">
            <v>300000</v>
          </cell>
          <cell r="M3973">
            <v>277360.09999999998</v>
          </cell>
        </row>
        <row r="3974">
          <cell r="A3974">
            <v>1939000810</v>
          </cell>
          <cell r="B3974">
            <v>810</v>
          </cell>
          <cell r="C3974">
            <v>939000</v>
          </cell>
          <cell r="D3974">
            <v>1</v>
          </cell>
          <cell r="F3974" t="str">
            <v>ארנונה נכסי העירייה</v>
          </cell>
          <cell r="G3974" t="str">
            <v>קשיח</v>
          </cell>
          <cell r="H3974">
            <v>-1.0608702607582732E-2</v>
          </cell>
          <cell r="I3974">
            <v>12369370</v>
          </cell>
          <cell r="J3974">
            <v>12502000</v>
          </cell>
          <cell r="K3974">
            <v>12172179.75</v>
          </cell>
          <cell r="L3974">
            <v>8347500</v>
          </cell>
          <cell r="M3974">
            <v>11882281.039999999</v>
          </cell>
        </row>
        <row r="3975">
          <cell r="A3975">
            <v>1939000901</v>
          </cell>
          <cell r="B3975">
            <v>901</v>
          </cell>
          <cell r="C3975">
            <v>939000</v>
          </cell>
          <cell r="D3975">
            <v>1</v>
          </cell>
          <cell r="F3975" t="str">
            <v>קרן ארנונה</v>
          </cell>
          <cell r="G3975" t="str">
            <v>קשיח</v>
          </cell>
          <cell r="H3975">
            <v>-1</v>
          </cell>
          <cell r="I3975">
            <v>0</v>
          </cell>
          <cell r="J3975">
            <v>1900000</v>
          </cell>
          <cell r="K3975">
            <v>0</v>
          </cell>
          <cell r="L3975">
            <v>3000000</v>
          </cell>
          <cell r="M3975">
            <v>0</v>
          </cell>
        </row>
        <row r="3976">
          <cell r="A3976" t="e">
            <v>#VALUE!</v>
          </cell>
          <cell r="B3976" t="str">
            <v>939000  סך הכל</v>
          </cell>
          <cell r="F3976" t="str">
            <v xml:space="preserve">נכסים אחרים       </v>
          </cell>
          <cell r="H3976">
            <v>-0.13637646069435116</v>
          </cell>
          <cell r="I3976">
            <v>12733870</v>
          </cell>
          <cell r="J3976">
            <v>14744700</v>
          </cell>
          <cell r="K3976">
            <v>12371950.619999999</v>
          </cell>
          <cell r="L3976">
            <v>11696500</v>
          </cell>
          <cell r="M3976">
            <v>12168355.51</v>
          </cell>
        </row>
        <row r="3977">
          <cell r="A3977">
            <v>19900000</v>
          </cell>
          <cell r="B3977">
            <v>0</v>
          </cell>
          <cell r="C3977">
            <v>990000</v>
          </cell>
          <cell r="D3977">
            <v>1</v>
          </cell>
          <cell r="F3977" t="str">
            <v xml:space="preserve">תשלומים לא רגילים </v>
          </cell>
          <cell r="G3977" t="str">
            <v xml:space="preserve"> </v>
          </cell>
        </row>
        <row r="3978">
          <cell r="A3978">
            <v>1991100986</v>
          </cell>
          <cell r="B3978">
            <v>986</v>
          </cell>
          <cell r="C3978">
            <v>991100</v>
          </cell>
          <cell r="D3978">
            <v>1</v>
          </cell>
          <cell r="F3978" t="str">
            <v>התאם מלאי מחסן ודלק</v>
          </cell>
          <cell r="G3978" t="str">
            <v>קשיח</v>
          </cell>
          <cell r="H3978">
            <v>0</v>
          </cell>
          <cell r="I3978">
            <v>50000</v>
          </cell>
          <cell r="J3978">
            <v>50000</v>
          </cell>
          <cell r="K3978">
            <v>87777.25</v>
          </cell>
          <cell r="L3978">
            <v>50000</v>
          </cell>
          <cell r="M3978">
            <v>-18853.3</v>
          </cell>
        </row>
        <row r="3979">
          <cell r="A3979" t="e">
            <v>#VALUE!</v>
          </cell>
          <cell r="B3979" t="str">
            <v>991100  סך הכל</v>
          </cell>
          <cell r="F3979" t="str">
            <v xml:space="preserve">קרן מחסנים        </v>
          </cell>
          <cell r="H3979">
            <v>0</v>
          </cell>
          <cell r="I3979">
            <v>50000</v>
          </cell>
          <cell r="J3979">
            <v>50000</v>
          </cell>
          <cell r="K3979">
            <v>87777.25</v>
          </cell>
          <cell r="L3979">
            <v>50000</v>
          </cell>
          <cell r="M3979">
            <v>-18853.3</v>
          </cell>
        </row>
        <row r="3980">
          <cell r="A3980">
            <v>19917000</v>
          </cell>
          <cell r="B3980">
            <v>0</v>
          </cell>
          <cell r="C3980">
            <v>991700</v>
          </cell>
          <cell r="D3980">
            <v>1</v>
          </cell>
          <cell r="F3980" t="str">
            <v>העברה לתק' פיתוח</v>
          </cell>
          <cell r="G3980" t="str">
            <v xml:space="preserve"> </v>
          </cell>
        </row>
        <row r="3981">
          <cell r="A3981">
            <v>1991700930</v>
          </cell>
          <cell r="B3981">
            <v>930</v>
          </cell>
          <cell r="C3981">
            <v>991700</v>
          </cell>
          <cell r="D3981">
            <v>1</v>
          </cell>
          <cell r="F3981" t="str">
            <v>העברה לתב"רים</v>
          </cell>
          <cell r="G3981" t="str">
            <v>גמיש</v>
          </cell>
          <cell r="I3981">
            <v>0</v>
          </cell>
          <cell r="J3981">
            <v>0</v>
          </cell>
          <cell r="K3981">
            <v>0</v>
          </cell>
          <cell r="L3981">
            <v>0</v>
          </cell>
          <cell r="M3981">
            <v>1067500</v>
          </cell>
        </row>
        <row r="3982">
          <cell r="A3982" t="e">
            <v>#VALUE!</v>
          </cell>
          <cell r="B3982" t="str">
            <v>991700  סך הכל</v>
          </cell>
          <cell r="F3982" t="str">
            <v>הפרשות לתק' פיתוח</v>
          </cell>
          <cell r="I3982">
            <v>0</v>
          </cell>
          <cell r="J3982">
            <v>0</v>
          </cell>
          <cell r="K3982">
            <v>0</v>
          </cell>
          <cell r="L3982">
            <v>0</v>
          </cell>
          <cell r="M3982">
            <v>1067500</v>
          </cell>
        </row>
        <row r="3983">
          <cell r="A3983">
            <v>19918000</v>
          </cell>
          <cell r="B3983">
            <v>0</v>
          </cell>
          <cell r="C3983">
            <v>991800</v>
          </cell>
          <cell r="D3983">
            <v>1</v>
          </cell>
          <cell r="F3983" t="str">
            <v>תשלומים סוציאליים</v>
          </cell>
          <cell r="G3983" t="str">
            <v xml:space="preserve"> </v>
          </cell>
        </row>
        <row r="3984">
          <cell r="A3984">
            <v>1991800360</v>
          </cell>
          <cell r="B3984">
            <v>360</v>
          </cell>
          <cell r="C3984">
            <v>991800</v>
          </cell>
          <cell r="D3984">
            <v>1</v>
          </cell>
          <cell r="F3984" t="str">
            <v>שי לעובדים</v>
          </cell>
          <cell r="G3984" t="str">
            <v>שכר</v>
          </cell>
          <cell r="H3984">
            <v>0.10453648915187386</v>
          </cell>
          <cell r="I3984">
            <v>2800000</v>
          </cell>
          <cell r="J3984">
            <v>2535000</v>
          </cell>
          <cell r="K3984">
            <v>1212327.8</v>
          </cell>
          <cell r="L3984">
            <v>2385000</v>
          </cell>
          <cell r="M3984">
            <v>2243733.7000000002</v>
          </cell>
        </row>
        <row r="3985">
          <cell r="A3985">
            <v>1991800361</v>
          </cell>
          <cell r="B3985">
            <v>361</v>
          </cell>
          <cell r="C3985">
            <v>991800</v>
          </cell>
          <cell r="D3985">
            <v>1</v>
          </cell>
          <cell r="F3985" t="str">
            <v>שי לעובדים ארעיים</v>
          </cell>
          <cell r="G3985" t="str">
            <v>שכר</v>
          </cell>
          <cell r="H3985">
            <v>0.5</v>
          </cell>
          <cell r="I3985">
            <v>15000</v>
          </cell>
          <cell r="J3985">
            <v>10000</v>
          </cell>
          <cell r="K3985">
            <v>13106.1</v>
          </cell>
          <cell r="L3985">
            <v>10000</v>
          </cell>
          <cell r="M3985">
            <v>3586</v>
          </cell>
        </row>
        <row r="3986">
          <cell r="A3986" t="e">
            <v>#VALUE!</v>
          </cell>
          <cell r="B3986" t="str">
            <v>991800  סך הכל</v>
          </cell>
          <cell r="F3986" t="str">
            <v>תשלומים סוציאליים</v>
          </cell>
          <cell r="H3986">
            <v>0.10609037328094306</v>
          </cell>
          <cell r="I3986">
            <v>2815000</v>
          </cell>
          <cell r="J3986">
            <v>2545000</v>
          </cell>
          <cell r="K3986">
            <v>1225433.9000000001</v>
          </cell>
          <cell r="L3986">
            <v>2395000</v>
          </cell>
          <cell r="M3986">
            <v>2247319.7000000002</v>
          </cell>
        </row>
        <row r="3987">
          <cell r="A3987">
            <v>19919000</v>
          </cell>
          <cell r="B3987">
            <v>0</v>
          </cell>
          <cell r="C3987">
            <v>991900</v>
          </cell>
          <cell r="D3987">
            <v>1</v>
          </cell>
          <cell r="F3987" t="str">
            <v xml:space="preserve">גימלאות ופיצויים  </v>
          </cell>
          <cell r="G3987" t="str">
            <v xml:space="preserve"> </v>
          </cell>
        </row>
        <row r="3988">
          <cell r="A3988">
            <v>1991900310</v>
          </cell>
          <cell r="B3988">
            <v>310</v>
          </cell>
          <cell r="C3988">
            <v>991900</v>
          </cell>
          <cell r="D3988">
            <v>1</v>
          </cell>
          <cell r="F3988" t="str">
            <v xml:space="preserve">תשלומי פנסיות     </v>
          </cell>
          <cell r="G3988" t="str">
            <v>שכר</v>
          </cell>
          <cell r="H3988">
            <v>5.1470588235294157E-2</v>
          </cell>
          <cell r="I3988">
            <v>71500000</v>
          </cell>
          <cell r="J3988">
            <v>68000000</v>
          </cell>
          <cell r="K3988">
            <v>40232992.729999997</v>
          </cell>
          <cell r="L3988">
            <v>70000000</v>
          </cell>
          <cell r="M3988">
            <v>67906975.870000005</v>
          </cell>
        </row>
        <row r="3989">
          <cell r="A3989">
            <v>1991900311</v>
          </cell>
          <cell r="B3989">
            <v>311</v>
          </cell>
          <cell r="C3989">
            <v>991900</v>
          </cell>
          <cell r="D3989">
            <v>1</v>
          </cell>
          <cell r="F3989" t="str">
            <v xml:space="preserve">פנסיות לשארים     </v>
          </cell>
          <cell r="G3989" t="str">
            <v>שכר</v>
          </cell>
          <cell r="H3989">
            <v>0.10000000000000009</v>
          </cell>
          <cell r="I3989">
            <v>11000000</v>
          </cell>
          <cell r="J3989">
            <v>10000000</v>
          </cell>
          <cell r="K3989">
            <v>5464079.3899999997</v>
          </cell>
          <cell r="L3989">
            <v>11200000</v>
          </cell>
          <cell r="M3989">
            <v>9705980.6899999995</v>
          </cell>
        </row>
        <row r="3990">
          <cell r="A3990">
            <v>1991900320</v>
          </cell>
          <cell r="B3990">
            <v>320</v>
          </cell>
          <cell r="C3990">
            <v>991900</v>
          </cell>
          <cell r="D3990">
            <v>1</v>
          </cell>
          <cell r="F3990" t="str">
            <v xml:space="preserve">תשלומי פיצויים    </v>
          </cell>
          <cell r="G3990" t="str">
            <v>שכר</v>
          </cell>
          <cell r="H3990">
            <v>0</v>
          </cell>
          <cell r="I3990">
            <v>1000000</v>
          </cell>
          <cell r="J3990">
            <v>1000000</v>
          </cell>
          <cell r="K3990">
            <v>1113309.24</v>
          </cell>
          <cell r="L3990">
            <v>1000000</v>
          </cell>
          <cell r="M3990">
            <v>1321008.8600000001</v>
          </cell>
        </row>
        <row r="3991">
          <cell r="A3991">
            <v>1991900321</v>
          </cell>
          <cell r="B3991">
            <v>321</v>
          </cell>
          <cell r="C3991">
            <v>991900</v>
          </cell>
          <cell r="D3991">
            <v>1</v>
          </cell>
          <cell r="F3991" t="str">
            <v>תשלומי גמר חשבון</v>
          </cell>
          <cell r="G3991" t="str">
            <v>שכר</v>
          </cell>
          <cell r="H3991">
            <v>0</v>
          </cell>
          <cell r="I3991">
            <v>3000000</v>
          </cell>
          <cell r="J3991">
            <v>3000000</v>
          </cell>
          <cell r="K3991">
            <v>3096499.83</v>
          </cell>
          <cell r="L3991">
            <v>3000000</v>
          </cell>
          <cell r="M3991">
            <v>4819874.3099999996</v>
          </cell>
        </row>
        <row r="3992">
          <cell r="A3992">
            <v>1991900330</v>
          </cell>
          <cell r="B3992">
            <v>330</v>
          </cell>
          <cell r="C3992">
            <v>991900</v>
          </cell>
          <cell r="D3992">
            <v>1</v>
          </cell>
          <cell r="F3992" t="str">
            <v xml:space="preserve">פנסיות לאחרים     </v>
          </cell>
          <cell r="G3992" t="str">
            <v>שכר</v>
          </cell>
          <cell r="H3992">
            <v>0</v>
          </cell>
          <cell r="I3992">
            <v>1000000</v>
          </cell>
          <cell r="J3992">
            <v>1000000</v>
          </cell>
          <cell r="K3992">
            <v>563210.37</v>
          </cell>
          <cell r="L3992">
            <v>1000000</v>
          </cell>
          <cell r="M3992">
            <v>901897.74</v>
          </cell>
        </row>
        <row r="3993">
          <cell r="A3993">
            <v>1991900340</v>
          </cell>
          <cell r="B3993">
            <v>340</v>
          </cell>
          <cell r="C3993">
            <v>991900</v>
          </cell>
          <cell r="D3993">
            <v>1</v>
          </cell>
          <cell r="F3993" t="str">
            <v>רווחת גימלאי העירייה</v>
          </cell>
          <cell r="G3993" t="str">
            <v>שכר</v>
          </cell>
          <cell r="H3993">
            <v>0</v>
          </cell>
          <cell r="I3993">
            <v>550000</v>
          </cell>
          <cell r="J3993">
            <v>550000</v>
          </cell>
          <cell r="K3993">
            <v>530112</v>
          </cell>
          <cell r="L3993">
            <v>540000</v>
          </cell>
          <cell r="M3993">
            <v>513405.37</v>
          </cell>
        </row>
        <row r="3994">
          <cell r="A3994" t="e">
            <v>#VALUE!</v>
          </cell>
          <cell r="B3994" t="str">
            <v>991900  סך הכל</v>
          </cell>
          <cell r="F3994" t="str">
            <v xml:space="preserve">גימלאות ופיצויים  </v>
          </cell>
          <cell r="H3994">
            <v>5.3859964093357249E-2</v>
          </cell>
          <cell r="I3994">
            <v>88050000</v>
          </cell>
          <cell r="J3994">
            <v>83550000</v>
          </cell>
          <cell r="K3994">
            <v>51000203.559999995</v>
          </cell>
          <cell r="L3994">
            <v>86740000</v>
          </cell>
          <cell r="M3994">
            <v>85169142.840000004</v>
          </cell>
        </row>
        <row r="3995">
          <cell r="A3995">
            <v>19920000</v>
          </cell>
          <cell r="B3995">
            <v>0</v>
          </cell>
          <cell r="C3995">
            <v>992000</v>
          </cell>
          <cell r="D3995">
            <v>1</v>
          </cell>
          <cell r="F3995" t="str">
            <v xml:space="preserve">רזרבה תקציבית     </v>
          </cell>
          <cell r="G3995" t="str">
            <v xml:space="preserve"> </v>
          </cell>
        </row>
        <row r="3996">
          <cell r="A3996">
            <v>1992000960</v>
          </cell>
          <cell r="B3996">
            <v>960</v>
          </cell>
          <cell r="C3996">
            <v>992000</v>
          </cell>
          <cell r="D3996">
            <v>1</v>
          </cell>
          <cell r="F3996" t="str">
            <v xml:space="preserve">פעולות מיוחדות    </v>
          </cell>
          <cell r="G3996" t="str">
            <v>קשיח</v>
          </cell>
          <cell r="H3996">
            <v>0.12446522525915005</v>
          </cell>
          <cell r="I3996">
            <v>21500000</v>
          </cell>
          <cell r="J3996">
            <v>19120200</v>
          </cell>
          <cell r="K3996">
            <v>0</v>
          </cell>
          <cell r="L3996">
            <v>28504500</v>
          </cell>
          <cell r="M3996">
            <v>0</v>
          </cell>
        </row>
        <row r="3997">
          <cell r="A3997" t="e">
            <v>#VALUE!</v>
          </cell>
          <cell r="B3997" t="str">
            <v>992000  סך הכל</v>
          </cell>
          <cell r="F3997" t="str">
            <v xml:space="preserve">רזרבה תקציבית     </v>
          </cell>
          <cell r="H3997">
            <v>0.12446522525915005</v>
          </cell>
          <cell r="I3997">
            <v>21500000</v>
          </cell>
          <cell r="J3997">
            <v>19120200</v>
          </cell>
          <cell r="K3997">
            <v>0</v>
          </cell>
          <cell r="L3997">
            <v>28504500</v>
          </cell>
          <cell r="M3997">
            <v>0</v>
          </cell>
        </row>
        <row r="3998">
          <cell r="A3998">
            <v>19940000</v>
          </cell>
          <cell r="B3998">
            <v>0</v>
          </cell>
          <cell r="C3998">
            <v>994000</v>
          </cell>
          <cell r="D3998">
            <v>1</v>
          </cell>
          <cell r="F3998" t="str">
            <v>מיוחדות+בלתי נצפות</v>
          </cell>
          <cell r="G3998" t="str">
            <v xml:space="preserve"> </v>
          </cell>
        </row>
        <row r="3999">
          <cell r="A3999">
            <v>1994000901</v>
          </cell>
          <cell r="B3999">
            <v>901</v>
          </cell>
          <cell r="C3999">
            <v>994000</v>
          </cell>
          <cell r="D3999">
            <v>1</v>
          </cell>
          <cell r="F3999" t="str">
            <v>העברות לקרן ארנונה</v>
          </cell>
          <cell r="G3999" t="str">
            <v>קשיח</v>
          </cell>
          <cell r="I3999">
            <v>4766950</v>
          </cell>
        </row>
        <row r="4000">
          <cell r="A4000">
            <v>1994000970</v>
          </cell>
          <cell r="B4000">
            <v>970</v>
          </cell>
          <cell r="C4000">
            <v>994000</v>
          </cell>
          <cell r="D4000">
            <v>1</v>
          </cell>
          <cell r="F4000" t="str">
            <v xml:space="preserve">מ"ה הוצאות עודפות </v>
          </cell>
          <cell r="G4000" t="str">
            <v>קשיח</v>
          </cell>
          <cell r="H4000">
            <v>0</v>
          </cell>
          <cell r="I4000">
            <v>400000</v>
          </cell>
          <cell r="J4000">
            <v>400000</v>
          </cell>
          <cell r="K4000">
            <v>400000</v>
          </cell>
          <cell r="L4000">
            <v>400000</v>
          </cell>
          <cell r="M4000">
            <v>400000</v>
          </cell>
        </row>
        <row r="4001">
          <cell r="A4001">
            <v>1994000981</v>
          </cell>
          <cell r="B4001">
            <v>981</v>
          </cell>
          <cell r="C4001">
            <v>994000</v>
          </cell>
          <cell r="D4001">
            <v>1</v>
          </cell>
          <cell r="F4001" t="str">
            <v xml:space="preserve">הוצ' משנים קודמות </v>
          </cell>
          <cell r="G4001" t="str">
            <v>קשיח</v>
          </cell>
          <cell r="H4001">
            <v>1.5670380000000002</v>
          </cell>
          <cell r="I4001">
            <v>5134076</v>
          </cell>
          <cell r="J4001">
            <v>2000000</v>
          </cell>
          <cell r="K4001">
            <v>1927596.94</v>
          </cell>
          <cell r="L4001">
            <v>2000000</v>
          </cell>
          <cell r="M4001">
            <v>7270272.9299999997</v>
          </cell>
        </row>
        <row r="4002">
          <cell r="A4002" t="e">
            <v>#VALUE!</v>
          </cell>
          <cell r="B4002" t="str">
            <v>994000  סך הכל</v>
          </cell>
          <cell r="F4002" t="str">
            <v>מיוחדות+בלתי נצפות</v>
          </cell>
          <cell r="H4002">
            <v>3.2920941666666668</v>
          </cell>
          <cell r="I4002">
            <v>10301026</v>
          </cell>
          <cell r="J4002">
            <v>2400000</v>
          </cell>
          <cell r="K4002">
            <v>2327596.94</v>
          </cell>
          <cell r="L4002">
            <v>2400000</v>
          </cell>
          <cell r="M4002">
            <v>7670272.9299999997</v>
          </cell>
        </row>
        <row r="4003">
          <cell r="A4003">
            <v>19950000</v>
          </cell>
          <cell r="B4003">
            <v>0</v>
          </cell>
          <cell r="C4003">
            <v>995000</v>
          </cell>
          <cell r="D4003">
            <v>1</v>
          </cell>
          <cell r="F4003" t="str">
            <v xml:space="preserve">הנחות במיסים      </v>
          </cell>
          <cell r="G4003" t="str">
            <v xml:space="preserve"> </v>
          </cell>
        </row>
        <row r="4004">
          <cell r="A4004">
            <v>1995000861</v>
          </cell>
          <cell r="B4004">
            <v>861</v>
          </cell>
          <cell r="C4004">
            <v>995000</v>
          </cell>
          <cell r="D4004">
            <v>1</v>
          </cell>
          <cell r="F4004" t="str">
            <v xml:space="preserve">הנחות במסים       </v>
          </cell>
          <cell r="G4004" t="str">
            <v>קשיח</v>
          </cell>
          <cell r="H4004">
            <v>2.6785714285714191E-2</v>
          </cell>
          <cell r="I4004">
            <v>115000000</v>
          </cell>
          <cell r="J4004">
            <v>112000000</v>
          </cell>
          <cell r="K4004">
            <v>66972691.460000001</v>
          </cell>
          <cell r="L4004">
            <v>98000000</v>
          </cell>
          <cell r="M4004">
            <v>105173121.81999999</v>
          </cell>
        </row>
        <row r="4005">
          <cell r="A4005">
            <v>1995000863</v>
          </cell>
          <cell r="B4005">
            <v>863</v>
          </cell>
          <cell r="C4005">
            <v>995000</v>
          </cell>
          <cell r="D4005">
            <v>1</v>
          </cell>
          <cell r="F4005" t="str">
            <v>פטורים מארנונה</v>
          </cell>
          <cell r="G4005" t="str">
            <v>קשיח</v>
          </cell>
          <cell r="H4005">
            <v>-0.21052631578947367</v>
          </cell>
          <cell r="I4005">
            <v>15000000</v>
          </cell>
          <cell r="J4005">
            <v>19000000</v>
          </cell>
          <cell r="K4005">
            <v>5045809.93</v>
          </cell>
          <cell r="L4005">
            <v>23000000</v>
          </cell>
          <cell r="M4005">
            <v>11223469.640000001</v>
          </cell>
        </row>
        <row r="4006">
          <cell r="A4006">
            <v>1995000864</v>
          </cell>
          <cell r="B4006">
            <v>864</v>
          </cell>
          <cell r="C4006">
            <v>995000</v>
          </cell>
          <cell r="D4006">
            <v>1</v>
          </cell>
          <cell r="F4006" t="str">
            <v>פטורים - מוסדות</v>
          </cell>
          <cell r="G4006" t="str">
            <v>קשיח</v>
          </cell>
          <cell r="H4006">
            <v>0.11111111111111116</v>
          </cell>
          <cell r="I4006">
            <v>20000000</v>
          </cell>
          <cell r="J4006">
            <v>18000000</v>
          </cell>
          <cell r="K4006">
            <v>15366605.51</v>
          </cell>
          <cell r="L4006">
            <v>22000000</v>
          </cell>
          <cell r="M4006">
            <v>23252459.32</v>
          </cell>
        </row>
        <row r="4007">
          <cell r="A4007">
            <v>1995000865</v>
          </cell>
          <cell r="B4007">
            <v>865</v>
          </cell>
          <cell r="C4007">
            <v>995000</v>
          </cell>
          <cell r="D4007">
            <v>1</v>
          </cell>
          <cell r="F4007" t="str">
            <v>הנחות פטור קורונה</v>
          </cell>
          <cell r="G4007" t="str">
            <v>קשיח</v>
          </cell>
          <cell r="I4007">
            <v>0</v>
          </cell>
          <cell r="J4007">
            <v>0</v>
          </cell>
          <cell r="K4007">
            <v>0</v>
          </cell>
          <cell r="L4007">
            <v>0</v>
          </cell>
          <cell r="M4007">
            <v>-989.94</v>
          </cell>
        </row>
        <row r="4008">
          <cell r="A4008" t="e">
            <v>#VALUE!</v>
          </cell>
          <cell r="B4008" t="str">
            <v>995000  סך הכל</v>
          </cell>
          <cell r="F4008" t="str">
            <v xml:space="preserve">הנחות במיסים      </v>
          </cell>
          <cell r="H4008">
            <v>6.7114093959732557E-3</v>
          </cell>
          <cell r="I4008">
            <v>150000000</v>
          </cell>
          <cell r="J4008">
            <v>149000000</v>
          </cell>
          <cell r="K4008">
            <v>87385106.900000006</v>
          </cell>
          <cell r="L4008">
            <v>143000000</v>
          </cell>
          <cell r="M4008">
            <v>139648060.84</v>
          </cell>
        </row>
        <row r="4009">
          <cell r="B4009" t="str">
            <v>סה"כ  תשלומים</v>
          </cell>
          <cell r="H4009">
            <v>6.7236557419542375E-2</v>
          </cell>
          <cell r="I4009">
            <v>2040623000.0710039</v>
          </cell>
          <cell r="J4009">
            <v>1912062500</v>
          </cell>
          <cell r="K4009">
            <v>1050266017.7399999</v>
          </cell>
          <cell r="L4009">
            <v>1842554000</v>
          </cell>
          <cell r="M4009">
            <v>1848799142.6000013</v>
          </cell>
        </row>
        <row r="4010">
          <cell r="B4010" t="str">
            <v>סיכום כולל</v>
          </cell>
          <cell r="I4010">
            <v>7.1003913879394531E-2</v>
          </cell>
          <cell r="J4010">
            <v>0</v>
          </cell>
          <cell r="K4010">
            <v>15352401.320000052</v>
          </cell>
          <cell r="L4010">
            <v>0</v>
          </cell>
          <cell r="M4010">
            <v>-17190.099999904633</v>
          </cell>
        </row>
        <row r="4013">
          <cell r="F4013" t="str">
            <v>מבקר 0.16%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1761205830331"/>
    </sheetNames>
    <sheetDataSet>
      <sheetData sheetId="0">
        <row r="1">
          <cell r="A1" t="str">
            <v>חשבון</v>
          </cell>
          <cell r="B1" t="str">
            <v>שם חשבון</v>
          </cell>
          <cell r="C1" t="str">
            <v>תקציב יחסי</v>
          </cell>
          <cell r="D1" t="str">
            <v>ביצוע יחסי</v>
          </cell>
          <cell r="E1" t="str">
            <v>שריון יחסי</v>
          </cell>
          <cell r="F1" t="str">
            <v>ביצוע + שריון יחסי</v>
          </cell>
          <cell r="G1" t="str">
            <v>יתרת תקציב יחסי</v>
          </cell>
          <cell r="H1" t="str">
            <v>אחוז ביצוע יחסי</v>
          </cell>
          <cell r="I1" t="str">
            <v>תקציב שנתי</v>
          </cell>
          <cell r="J1" t="str">
            <v>ביצוע  שנתי</v>
          </cell>
        </row>
        <row r="2">
          <cell r="A2">
            <v>1092000110</v>
          </cell>
          <cell r="B2" t="str">
            <v>השכר הקובע-תקציבית</v>
          </cell>
          <cell r="C2">
            <v>179930</v>
          </cell>
          <cell r="D2">
            <v>202370.82</v>
          </cell>
          <cell r="E2">
            <v>0</v>
          </cell>
          <cell r="F2">
            <v>202370.82</v>
          </cell>
          <cell r="G2">
            <v>-22440.82</v>
          </cell>
          <cell r="H2">
            <v>112.47</v>
          </cell>
          <cell r="I2">
            <v>189400</v>
          </cell>
          <cell r="J2">
            <v>202370.82</v>
          </cell>
        </row>
        <row r="3">
          <cell r="A3">
            <v>1092000119</v>
          </cell>
          <cell r="B3" t="str">
            <v>השכר הקובע-צוברת</v>
          </cell>
          <cell r="C3">
            <v>237310</v>
          </cell>
          <cell r="D3">
            <v>342463.72</v>
          </cell>
          <cell r="E3">
            <v>0</v>
          </cell>
          <cell r="F3">
            <v>342463.72</v>
          </cell>
          <cell r="G3">
            <v>-105153.72</v>
          </cell>
          <cell r="H3">
            <v>144.31</v>
          </cell>
          <cell r="I3">
            <v>249800</v>
          </cell>
          <cell r="J3">
            <v>342463.72</v>
          </cell>
        </row>
        <row r="4">
          <cell r="A4">
            <v>1092000122</v>
          </cell>
          <cell r="B4" t="str">
            <v>ביגוד</v>
          </cell>
          <cell r="C4">
            <v>6555</v>
          </cell>
          <cell r="D4">
            <v>5834.13</v>
          </cell>
          <cell r="E4">
            <v>0</v>
          </cell>
          <cell r="F4">
            <v>5834.13</v>
          </cell>
          <cell r="G4">
            <v>720.87</v>
          </cell>
          <cell r="H4">
            <v>89</v>
          </cell>
          <cell r="I4">
            <v>6900</v>
          </cell>
          <cell r="J4">
            <v>5834.13</v>
          </cell>
        </row>
        <row r="5">
          <cell r="A5">
            <v>1092000126</v>
          </cell>
          <cell r="B5" t="str">
            <v>דמי הבראה</v>
          </cell>
          <cell r="C5">
            <v>16815</v>
          </cell>
          <cell r="D5">
            <v>18384.599999999999</v>
          </cell>
          <cell r="E5">
            <v>0</v>
          </cell>
          <cell r="F5">
            <v>18384.599999999999</v>
          </cell>
          <cell r="G5">
            <v>-1569.6</v>
          </cell>
          <cell r="H5">
            <v>109.33</v>
          </cell>
          <cell r="I5">
            <v>17700</v>
          </cell>
          <cell r="J5">
            <v>18384.599999999999</v>
          </cell>
        </row>
        <row r="6">
          <cell r="A6">
            <v>1092000130</v>
          </cell>
          <cell r="B6" t="str">
            <v>שעות נוספות</v>
          </cell>
          <cell r="C6">
            <v>60420</v>
          </cell>
          <cell r="D6">
            <v>42661.58</v>
          </cell>
          <cell r="E6">
            <v>0</v>
          </cell>
          <cell r="F6">
            <v>42661.58</v>
          </cell>
          <cell r="G6">
            <v>17758.419999999998</v>
          </cell>
          <cell r="H6">
            <v>70.599999999999994</v>
          </cell>
          <cell r="I6">
            <v>63600</v>
          </cell>
          <cell r="J6">
            <v>42661.58</v>
          </cell>
        </row>
        <row r="7">
          <cell r="A7">
            <v>1092000140</v>
          </cell>
          <cell r="B7" t="str">
            <v>השתתפות באחזקת רכב</v>
          </cell>
          <cell r="C7">
            <v>75620</v>
          </cell>
          <cell r="D7">
            <v>74564.429999999993</v>
          </cell>
          <cell r="E7">
            <v>0</v>
          </cell>
          <cell r="F7">
            <v>74564.429999999993</v>
          </cell>
          <cell r="G7">
            <v>1055.57</v>
          </cell>
          <cell r="H7">
            <v>98.6</v>
          </cell>
          <cell r="I7">
            <v>79600</v>
          </cell>
          <cell r="J7">
            <v>74564.429999999993</v>
          </cell>
        </row>
        <row r="8">
          <cell r="A8">
            <v>1092000253</v>
          </cell>
          <cell r="B8" t="str">
            <v>עובדים חיצוניים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A9">
            <v>1092000410</v>
          </cell>
          <cell r="B9" t="str">
            <v>השתתפות בועד בית</v>
          </cell>
          <cell r="C9">
            <v>9500</v>
          </cell>
          <cell r="D9">
            <v>8340</v>
          </cell>
          <cell r="E9">
            <v>0</v>
          </cell>
          <cell r="F9">
            <v>8340</v>
          </cell>
          <cell r="G9">
            <v>1160</v>
          </cell>
          <cell r="H9">
            <v>87.78</v>
          </cell>
          <cell r="I9">
            <v>10000</v>
          </cell>
          <cell r="J9">
            <v>8340</v>
          </cell>
        </row>
        <row r="10">
          <cell r="A10">
            <v>1092000411</v>
          </cell>
          <cell r="B10" t="str">
            <v>דמי שכירות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A11">
            <v>1092000420</v>
          </cell>
          <cell r="B11" t="str">
            <v>כיבוי אש</v>
          </cell>
          <cell r="C11">
            <v>40000</v>
          </cell>
          <cell r="D11">
            <v>26556.959999999999</v>
          </cell>
          <cell r="E11">
            <v>13436.28</v>
          </cell>
          <cell r="F11">
            <v>39993.24</v>
          </cell>
          <cell r="G11">
            <v>6.76</v>
          </cell>
          <cell r="H11">
            <v>99.98</v>
          </cell>
          <cell r="I11">
            <v>40000</v>
          </cell>
          <cell r="J11">
            <v>26556.959999999999</v>
          </cell>
        </row>
        <row r="12">
          <cell r="A12">
            <v>1092000423</v>
          </cell>
          <cell r="B12" t="str">
            <v>תחזוקת מבנה</v>
          </cell>
          <cell r="C12">
            <v>32300</v>
          </cell>
          <cell r="D12">
            <v>34000</v>
          </cell>
          <cell r="E12">
            <v>0</v>
          </cell>
          <cell r="F12">
            <v>34000</v>
          </cell>
          <cell r="G12">
            <v>-1700</v>
          </cell>
          <cell r="H12">
            <v>105.26</v>
          </cell>
          <cell r="I12">
            <v>34000</v>
          </cell>
          <cell r="J12">
            <v>34000</v>
          </cell>
        </row>
        <row r="13">
          <cell r="A13">
            <v>1092000431</v>
          </cell>
          <cell r="B13" t="str">
            <v>חשמל</v>
          </cell>
          <cell r="C13">
            <v>1045000</v>
          </cell>
          <cell r="D13">
            <v>1107023.24</v>
          </cell>
          <cell r="E13">
            <v>0</v>
          </cell>
          <cell r="F13">
            <v>1107023.24</v>
          </cell>
          <cell r="G13">
            <v>-62023.24</v>
          </cell>
          <cell r="H13">
            <v>105.93</v>
          </cell>
          <cell r="I13">
            <v>1100000</v>
          </cell>
          <cell r="J13">
            <v>1107023.24</v>
          </cell>
        </row>
        <row r="14">
          <cell r="A14">
            <v>1092000432</v>
          </cell>
          <cell r="B14" t="str">
            <v>מים</v>
          </cell>
          <cell r="C14">
            <v>228000</v>
          </cell>
          <cell r="D14">
            <v>49997.09</v>
          </cell>
          <cell r="E14">
            <v>0</v>
          </cell>
          <cell r="F14">
            <v>49997.09</v>
          </cell>
          <cell r="G14">
            <v>178002.91</v>
          </cell>
          <cell r="H14">
            <v>21.92</v>
          </cell>
          <cell r="I14">
            <v>240000</v>
          </cell>
          <cell r="J14">
            <v>49997.09</v>
          </cell>
        </row>
        <row r="15">
          <cell r="A15">
            <v>1092000433</v>
          </cell>
          <cell r="B15" t="str">
            <v>חומרי נקיון</v>
          </cell>
          <cell r="C15">
            <v>25270</v>
          </cell>
          <cell r="D15">
            <v>9031.91</v>
          </cell>
          <cell r="E15">
            <v>29.59</v>
          </cell>
          <cell r="F15">
            <v>9061.5</v>
          </cell>
          <cell r="G15">
            <v>16208.5</v>
          </cell>
          <cell r="H15">
            <v>35.85</v>
          </cell>
          <cell r="I15">
            <v>26600</v>
          </cell>
          <cell r="J15">
            <v>9031.91</v>
          </cell>
        </row>
        <row r="16">
          <cell r="A16">
            <v>1092000434</v>
          </cell>
          <cell r="B16" t="str">
            <v>חיטוי והדברה</v>
          </cell>
          <cell r="C16">
            <v>18300</v>
          </cell>
          <cell r="D16">
            <v>18070.46</v>
          </cell>
          <cell r="E16">
            <v>0</v>
          </cell>
          <cell r="F16">
            <v>18070.46</v>
          </cell>
          <cell r="G16">
            <v>229.54</v>
          </cell>
          <cell r="H16">
            <v>98.74</v>
          </cell>
          <cell r="I16">
            <v>18300</v>
          </cell>
          <cell r="J16">
            <v>18070.46</v>
          </cell>
        </row>
        <row r="17">
          <cell r="A17">
            <v>1092000435</v>
          </cell>
          <cell r="B17" t="str">
            <v>אחזקת מרכזיות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8">
          <cell r="A18">
            <v>1092000436</v>
          </cell>
          <cell r="B18" t="str">
            <v>אחזקת מזגנים</v>
          </cell>
          <cell r="C18">
            <v>72200</v>
          </cell>
          <cell r="D18">
            <v>4167.63</v>
          </cell>
          <cell r="E18">
            <v>0</v>
          </cell>
          <cell r="F18">
            <v>4167.63</v>
          </cell>
          <cell r="G18">
            <v>68032.37</v>
          </cell>
          <cell r="H18">
            <v>5.77</v>
          </cell>
          <cell r="I18">
            <v>76000</v>
          </cell>
          <cell r="J18">
            <v>4167.63</v>
          </cell>
        </row>
        <row r="19">
          <cell r="A19">
            <v>1092000437</v>
          </cell>
          <cell r="B19" t="str">
            <v>אחזקת אזעקה</v>
          </cell>
          <cell r="C19">
            <v>5035</v>
          </cell>
          <cell r="D19">
            <v>3027.49</v>
          </cell>
          <cell r="E19">
            <v>0</v>
          </cell>
          <cell r="F19">
            <v>3027.49</v>
          </cell>
          <cell r="G19">
            <v>2007.51</v>
          </cell>
          <cell r="H19">
            <v>60.12</v>
          </cell>
          <cell r="I19">
            <v>5300</v>
          </cell>
          <cell r="J19">
            <v>3027.49</v>
          </cell>
        </row>
        <row r="20">
          <cell r="A20">
            <v>1092000438</v>
          </cell>
          <cell r="B20" t="str">
            <v>בטוח ורשוי קשר</v>
          </cell>
          <cell r="C20">
            <v>234650</v>
          </cell>
          <cell r="D20">
            <v>39261.519999999997</v>
          </cell>
          <cell r="E20">
            <v>0</v>
          </cell>
          <cell r="F20">
            <v>39261.519999999997</v>
          </cell>
          <cell r="G20">
            <v>195388.48</v>
          </cell>
          <cell r="H20">
            <v>16.73</v>
          </cell>
          <cell r="I20">
            <v>247000</v>
          </cell>
          <cell r="J20">
            <v>39261.519999999997</v>
          </cell>
        </row>
        <row r="21">
          <cell r="A21">
            <v>1092000439</v>
          </cell>
          <cell r="B21" t="str">
            <v>השכרת איתוריות</v>
          </cell>
          <cell r="C21">
            <v>1615</v>
          </cell>
          <cell r="D21">
            <v>0</v>
          </cell>
          <cell r="E21">
            <v>0</v>
          </cell>
          <cell r="F21">
            <v>0</v>
          </cell>
          <cell r="G21">
            <v>1615</v>
          </cell>
          <cell r="H21">
            <v>0</v>
          </cell>
          <cell r="I21">
            <v>1700</v>
          </cell>
          <cell r="J21">
            <v>0</v>
          </cell>
        </row>
        <row r="22">
          <cell r="A22">
            <v>1092000441</v>
          </cell>
          <cell r="B22" t="str">
            <v>ביטוח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A23">
            <v>1092000450</v>
          </cell>
          <cell r="B23" t="str">
            <v>אחזקת תמי 4</v>
          </cell>
          <cell r="C23">
            <v>95000</v>
          </cell>
          <cell r="D23">
            <v>53758.46</v>
          </cell>
          <cell r="E23">
            <v>0.1</v>
          </cell>
          <cell r="F23">
            <v>53758.559999999998</v>
          </cell>
          <cell r="G23">
            <v>41241.440000000002</v>
          </cell>
          <cell r="H23">
            <v>56.58</v>
          </cell>
          <cell r="I23">
            <v>100000</v>
          </cell>
          <cell r="J23">
            <v>53758.46</v>
          </cell>
        </row>
        <row r="24">
          <cell r="A24">
            <v>1092000451</v>
          </cell>
          <cell r="B24" t="str">
            <v>אחזקת דפיברילטור</v>
          </cell>
          <cell r="C24">
            <v>4750</v>
          </cell>
          <cell r="D24">
            <v>2960.1</v>
          </cell>
          <cell r="E24">
            <v>2024.1</v>
          </cell>
          <cell r="F24">
            <v>4984.2</v>
          </cell>
          <cell r="G24">
            <v>-234.2</v>
          </cell>
          <cell r="H24">
            <v>104.93</v>
          </cell>
          <cell r="I24">
            <v>5000</v>
          </cell>
          <cell r="J24">
            <v>2960.1</v>
          </cell>
        </row>
        <row r="25">
          <cell r="A25">
            <v>1092000470</v>
          </cell>
          <cell r="B25" t="str">
            <v>אחזקת מכונות משרד</v>
          </cell>
          <cell r="C25">
            <v>7600</v>
          </cell>
          <cell r="D25">
            <v>6030.03</v>
          </cell>
          <cell r="E25">
            <v>1547.91</v>
          </cell>
          <cell r="F25">
            <v>7577.94</v>
          </cell>
          <cell r="G25">
            <v>22.06</v>
          </cell>
          <cell r="H25">
            <v>99.7</v>
          </cell>
          <cell r="I25">
            <v>7600</v>
          </cell>
          <cell r="J25">
            <v>6030.03</v>
          </cell>
        </row>
        <row r="26">
          <cell r="A26">
            <v>1092000474</v>
          </cell>
          <cell r="B26" t="str">
            <v>שרות למעליות</v>
          </cell>
          <cell r="C26">
            <v>55000</v>
          </cell>
          <cell r="D26">
            <v>56418</v>
          </cell>
          <cell r="E26">
            <v>1673.1</v>
          </cell>
          <cell r="F26">
            <v>58091.1</v>
          </cell>
          <cell r="G26">
            <v>-3091.1</v>
          </cell>
          <cell r="H26">
            <v>105.62</v>
          </cell>
          <cell r="I26">
            <v>55000</v>
          </cell>
          <cell r="J26">
            <v>56418</v>
          </cell>
        </row>
        <row r="27">
          <cell r="A27">
            <v>1092000476</v>
          </cell>
          <cell r="B27" t="str">
            <v>אחזקת גנרטור</v>
          </cell>
          <cell r="C27">
            <v>12825</v>
          </cell>
          <cell r="D27">
            <v>12928.5</v>
          </cell>
          <cell r="E27">
            <v>0</v>
          </cell>
          <cell r="F27">
            <v>12928.5</v>
          </cell>
          <cell r="G27">
            <v>-103.5</v>
          </cell>
          <cell r="H27">
            <v>100.8</v>
          </cell>
          <cell r="I27">
            <v>13500</v>
          </cell>
          <cell r="J27">
            <v>12928.5</v>
          </cell>
        </row>
        <row r="28">
          <cell r="A28">
            <v>1092000511</v>
          </cell>
          <cell r="B28" t="str">
            <v>שתיה לעובדים</v>
          </cell>
          <cell r="C28">
            <v>473400</v>
          </cell>
          <cell r="D28">
            <v>449325.44</v>
          </cell>
          <cell r="E28">
            <v>1372.06</v>
          </cell>
          <cell r="F28">
            <v>450697.5</v>
          </cell>
          <cell r="G28">
            <v>22702.5</v>
          </cell>
          <cell r="H28">
            <v>95.2</v>
          </cell>
          <cell r="I28">
            <v>473400</v>
          </cell>
          <cell r="J28">
            <v>449325.44</v>
          </cell>
        </row>
        <row r="29">
          <cell r="A29">
            <v>1092000540</v>
          </cell>
          <cell r="B29" t="str">
            <v>הוצאות טלפון</v>
          </cell>
          <cell r="C29">
            <v>760000</v>
          </cell>
          <cell r="D29">
            <v>820314.03</v>
          </cell>
          <cell r="E29">
            <v>0</v>
          </cell>
          <cell r="F29">
            <v>820314.03</v>
          </cell>
          <cell r="G29">
            <v>-60314.03</v>
          </cell>
          <cell r="H29">
            <v>107.93</v>
          </cell>
          <cell r="I29">
            <v>800000</v>
          </cell>
          <cell r="J29">
            <v>820314.03</v>
          </cell>
        </row>
        <row r="30">
          <cell r="A30">
            <v>1092000542</v>
          </cell>
          <cell r="B30" t="str">
            <v>מרכזיה טלולרית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A31">
            <v>1092000543</v>
          </cell>
          <cell r="B31" t="str">
            <v>טלפונים סלולריים</v>
          </cell>
          <cell r="C31">
            <v>400000</v>
          </cell>
          <cell r="D31">
            <v>436279.95</v>
          </cell>
          <cell r="E31">
            <v>6143</v>
          </cell>
          <cell r="F31">
            <v>442422.95</v>
          </cell>
          <cell r="G31">
            <v>-42422.95</v>
          </cell>
          <cell r="H31">
            <v>110.6</v>
          </cell>
          <cell r="I31">
            <v>400000</v>
          </cell>
          <cell r="J31">
            <v>436279.95</v>
          </cell>
        </row>
        <row r="32">
          <cell r="A32">
            <v>1092000545</v>
          </cell>
          <cell r="B32" t="str">
            <v>סלולריים - עובדים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A33">
            <v>1092000561</v>
          </cell>
          <cell r="B33" t="str">
            <v>שיכפולים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A34">
            <v>1092000710</v>
          </cell>
          <cell r="B34" t="str">
            <v>הובלות והסעות</v>
          </cell>
          <cell r="C34">
            <v>7000</v>
          </cell>
          <cell r="D34">
            <v>7043</v>
          </cell>
          <cell r="E34">
            <v>0</v>
          </cell>
          <cell r="F34">
            <v>7043</v>
          </cell>
          <cell r="G34">
            <v>-43</v>
          </cell>
          <cell r="H34">
            <v>100.61</v>
          </cell>
          <cell r="I34">
            <v>7000</v>
          </cell>
          <cell r="J34">
            <v>7043</v>
          </cell>
        </row>
        <row r="35">
          <cell r="A35">
            <v>1092000721</v>
          </cell>
          <cell r="B35" t="str">
            <v>חמרים-תחזוקת מבנים</v>
          </cell>
          <cell r="C35">
            <v>3610</v>
          </cell>
          <cell r="D35">
            <v>429.52</v>
          </cell>
          <cell r="E35">
            <v>0</v>
          </cell>
          <cell r="F35">
            <v>429.52</v>
          </cell>
          <cell r="G35">
            <v>3180.48</v>
          </cell>
          <cell r="H35">
            <v>11.89</v>
          </cell>
          <cell r="I35">
            <v>3800</v>
          </cell>
          <cell r="J35">
            <v>429.52</v>
          </cell>
        </row>
        <row r="36">
          <cell r="A36">
            <v>1092000722</v>
          </cell>
          <cell r="B36" t="str">
            <v>חמרים-תחזוקה עצמית</v>
          </cell>
          <cell r="C36">
            <v>21660</v>
          </cell>
          <cell r="D36">
            <v>15980.49</v>
          </cell>
          <cell r="E36">
            <v>6752.73</v>
          </cell>
          <cell r="F36">
            <v>22733.22</v>
          </cell>
          <cell r="G36">
            <v>-1073.22</v>
          </cell>
          <cell r="H36">
            <v>104.95</v>
          </cell>
          <cell r="I36">
            <v>22800</v>
          </cell>
          <cell r="J36">
            <v>15980.49</v>
          </cell>
        </row>
        <row r="37">
          <cell r="A37">
            <v>1092000742</v>
          </cell>
          <cell r="B37" t="str">
            <v>כלים וציוד</v>
          </cell>
          <cell r="C37">
            <v>2185</v>
          </cell>
          <cell r="D37">
            <v>1126</v>
          </cell>
          <cell r="E37">
            <v>0</v>
          </cell>
          <cell r="F37">
            <v>1126</v>
          </cell>
          <cell r="G37">
            <v>1059</v>
          </cell>
          <cell r="H37">
            <v>51.53</v>
          </cell>
          <cell r="I37">
            <v>2300</v>
          </cell>
          <cell r="J37">
            <v>1126</v>
          </cell>
        </row>
        <row r="38">
          <cell r="A38">
            <v>1092000751</v>
          </cell>
          <cell r="B38" t="str">
            <v>עבודות קבלניות</v>
          </cell>
          <cell r="C38">
            <v>110000</v>
          </cell>
          <cell r="D38">
            <v>109889</v>
          </cell>
          <cell r="E38">
            <v>0</v>
          </cell>
          <cell r="F38">
            <v>109889</v>
          </cell>
          <cell r="G38">
            <v>111</v>
          </cell>
          <cell r="H38">
            <v>99.89</v>
          </cell>
          <cell r="I38">
            <v>110000</v>
          </cell>
          <cell r="J38">
            <v>109889</v>
          </cell>
        </row>
        <row r="39">
          <cell r="A39">
            <v>1092000752</v>
          </cell>
          <cell r="B39" t="str">
            <v>נקיון בקבלנות</v>
          </cell>
          <cell r="C39">
            <v>1130000</v>
          </cell>
          <cell r="D39">
            <v>1256687.03</v>
          </cell>
          <cell r="E39">
            <v>0</v>
          </cell>
          <cell r="F39">
            <v>1256687.03</v>
          </cell>
          <cell r="G39">
            <v>-126687.03</v>
          </cell>
          <cell r="H39">
            <v>111.21</v>
          </cell>
          <cell r="I39">
            <v>1130000</v>
          </cell>
          <cell r="J39">
            <v>1256687.03</v>
          </cell>
        </row>
        <row r="40">
          <cell r="A40">
            <v>1092000756</v>
          </cell>
          <cell r="B40" t="str">
            <v>שמירה בקבלנות</v>
          </cell>
          <cell r="C40">
            <v>1235000</v>
          </cell>
          <cell r="D40">
            <v>2388204.87</v>
          </cell>
          <cell r="E40">
            <v>1900</v>
          </cell>
          <cell r="F40">
            <v>2390104.87</v>
          </cell>
          <cell r="G40">
            <v>-1155104.8700000001</v>
          </cell>
          <cell r="H40">
            <v>193.53</v>
          </cell>
          <cell r="I40">
            <v>1300000</v>
          </cell>
          <cell r="J40">
            <v>2388204.87</v>
          </cell>
        </row>
        <row r="41">
          <cell r="A41">
            <v>1092000757</v>
          </cell>
          <cell r="B41" t="str">
            <v>אבטחת בית רותר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</row>
        <row r="42">
          <cell r="A42">
            <v>1092000758</v>
          </cell>
          <cell r="B42" t="str">
            <v>אבטחה בניין מלט"ב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A43">
            <v>1092000780</v>
          </cell>
          <cell r="B43" t="str">
            <v>השכרת פרומפטר</v>
          </cell>
          <cell r="C43">
            <v>28500</v>
          </cell>
          <cell r="D43">
            <v>0</v>
          </cell>
          <cell r="E43">
            <v>0</v>
          </cell>
          <cell r="F43">
            <v>0</v>
          </cell>
          <cell r="G43">
            <v>28500</v>
          </cell>
          <cell r="H43">
            <v>0</v>
          </cell>
          <cell r="I43">
            <v>30000</v>
          </cell>
          <cell r="J43">
            <v>0</v>
          </cell>
        </row>
        <row r="44">
          <cell r="A44">
            <v>1092000789</v>
          </cell>
          <cell r="B44" t="str">
            <v>כביסה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</row>
        <row r="45">
          <cell r="A45">
            <v>1092000794</v>
          </cell>
          <cell r="B45" t="str">
            <v>השתתפות בעזר 094</v>
          </cell>
          <cell r="C45">
            <v>47500</v>
          </cell>
          <cell r="D45">
            <v>59636</v>
          </cell>
          <cell r="E45">
            <v>0</v>
          </cell>
          <cell r="F45">
            <v>59636</v>
          </cell>
          <cell r="G45">
            <v>-12136</v>
          </cell>
          <cell r="H45">
            <v>125.54</v>
          </cell>
          <cell r="I45">
            <v>50000</v>
          </cell>
          <cell r="J45">
            <v>59636</v>
          </cell>
        </row>
        <row r="46">
          <cell r="A46">
            <v>1092000931</v>
          </cell>
          <cell r="B46" t="str">
            <v>רכישת ציוד</v>
          </cell>
          <cell r="C46">
            <v>23000</v>
          </cell>
          <cell r="D46">
            <v>22051.26</v>
          </cell>
          <cell r="E46">
            <v>267.93</v>
          </cell>
          <cell r="F46">
            <v>22319.19</v>
          </cell>
          <cell r="G46">
            <v>680.81</v>
          </cell>
          <cell r="H46">
            <v>97.03</v>
          </cell>
          <cell r="I46">
            <v>23000</v>
          </cell>
          <cell r="J46">
            <v>22051.26</v>
          </cell>
        </row>
        <row r="47">
          <cell r="A47">
            <v>1092000932</v>
          </cell>
          <cell r="B47" t="str">
            <v>אג' טלוויזיה וכבלים</v>
          </cell>
          <cell r="C47">
            <v>15200</v>
          </cell>
          <cell r="D47">
            <v>14058.21</v>
          </cell>
          <cell r="E47">
            <v>0</v>
          </cell>
          <cell r="F47">
            <v>14058.21</v>
          </cell>
          <cell r="G47">
            <v>1141.79</v>
          </cell>
          <cell r="H47">
            <v>92.48</v>
          </cell>
          <cell r="I47">
            <v>16000</v>
          </cell>
          <cell r="J47">
            <v>14058.21</v>
          </cell>
        </row>
        <row r="48">
          <cell r="A48">
            <v>1092000933</v>
          </cell>
          <cell r="B48" t="str">
            <v>התקנה ואחזקת טלפון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</row>
        <row r="49">
          <cell r="A49">
            <v>1092000934</v>
          </cell>
          <cell r="B49" t="str">
            <v>רכישות/פע' חד-פעמי</v>
          </cell>
          <cell r="C49">
            <v>25000</v>
          </cell>
          <cell r="D49">
            <v>22800.1</v>
          </cell>
          <cell r="E49">
            <v>1106.2</v>
          </cell>
          <cell r="F49">
            <v>23906.3</v>
          </cell>
          <cell r="G49">
            <v>1093.7</v>
          </cell>
          <cell r="H49">
            <v>95.62</v>
          </cell>
          <cell r="I49">
            <v>25000</v>
          </cell>
          <cell r="J49">
            <v>22800.1</v>
          </cell>
        </row>
        <row r="50">
          <cell r="A50">
            <v>1092100492</v>
          </cell>
          <cell r="B50" t="str">
            <v>השתתפות בעזר 092</v>
          </cell>
          <cell r="C50">
            <v>-6631285</v>
          </cell>
          <cell r="D50">
            <v>-7721675.5700000003</v>
          </cell>
          <cell r="E50">
            <v>0</v>
          </cell>
          <cell r="F50">
            <v>-7721675.5700000003</v>
          </cell>
          <cell r="G50">
            <v>1090390.57</v>
          </cell>
          <cell r="H50">
            <v>116.44</v>
          </cell>
          <cell r="I50">
            <v>-6980300</v>
          </cell>
          <cell r="J50">
            <v>-7721675.5700000003</v>
          </cell>
        </row>
        <row r="51">
          <cell r="A51">
            <v>1094000110</v>
          </cell>
          <cell r="B51" t="str">
            <v>השכר הקובע-תקציבית</v>
          </cell>
          <cell r="C51">
            <v>551950</v>
          </cell>
          <cell r="D51">
            <v>642596.13</v>
          </cell>
          <cell r="E51">
            <v>0</v>
          </cell>
          <cell r="F51">
            <v>642596.13</v>
          </cell>
          <cell r="G51">
            <v>-90646.13</v>
          </cell>
          <cell r="H51">
            <v>116.42</v>
          </cell>
          <cell r="I51">
            <v>581000</v>
          </cell>
          <cell r="J51">
            <v>642596.13</v>
          </cell>
        </row>
        <row r="52">
          <cell r="A52">
            <v>1094000119</v>
          </cell>
          <cell r="B52" t="str">
            <v>השכר הקובע-צוברת</v>
          </cell>
          <cell r="C52">
            <v>426550</v>
          </cell>
          <cell r="D52">
            <v>703700.58</v>
          </cell>
          <cell r="E52">
            <v>0</v>
          </cell>
          <cell r="F52">
            <v>703700.58</v>
          </cell>
          <cell r="G52">
            <v>-277150.58</v>
          </cell>
          <cell r="H52">
            <v>164.97</v>
          </cell>
          <cell r="I52">
            <v>449000</v>
          </cell>
          <cell r="J52">
            <v>703700.58</v>
          </cell>
        </row>
        <row r="53">
          <cell r="A53">
            <v>1094000122</v>
          </cell>
          <cell r="B53" t="str">
            <v>ביגוד</v>
          </cell>
          <cell r="C53">
            <v>15580</v>
          </cell>
          <cell r="D53">
            <v>15913.93</v>
          </cell>
          <cell r="E53">
            <v>0</v>
          </cell>
          <cell r="F53">
            <v>15913.93</v>
          </cell>
          <cell r="G53">
            <v>-333.93</v>
          </cell>
          <cell r="H53">
            <v>102.14</v>
          </cell>
          <cell r="I53">
            <v>16400</v>
          </cell>
          <cell r="J53">
            <v>15913.93</v>
          </cell>
        </row>
        <row r="54">
          <cell r="A54">
            <v>1094000126</v>
          </cell>
          <cell r="B54" t="str">
            <v>דמי הבראה</v>
          </cell>
          <cell r="C54">
            <v>35720</v>
          </cell>
          <cell r="D54">
            <v>48409.56</v>
          </cell>
          <cell r="E54">
            <v>0</v>
          </cell>
          <cell r="F54">
            <v>48409.56</v>
          </cell>
          <cell r="G54">
            <v>-12689.56</v>
          </cell>
          <cell r="H54">
            <v>135.52000000000001</v>
          </cell>
          <cell r="I54">
            <v>37600</v>
          </cell>
          <cell r="J54">
            <v>48409.56</v>
          </cell>
        </row>
        <row r="55">
          <cell r="A55">
            <v>1094000130</v>
          </cell>
          <cell r="B55" t="str">
            <v>שעות נוספות</v>
          </cell>
          <cell r="C55">
            <v>51870</v>
          </cell>
          <cell r="D55">
            <v>93156.42</v>
          </cell>
          <cell r="E55">
            <v>0</v>
          </cell>
          <cell r="F55">
            <v>93156.42</v>
          </cell>
          <cell r="G55">
            <v>-41286.42</v>
          </cell>
          <cell r="H55">
            <v>179.59</v>
          </cell>
          <cell r="I55">
            <v>54600</v>
          </cell>
          <cell r="J55">
            <v>93156.42</v>
          </cell>
        </row>
        <row r="56">
          <cell r="A56">
            <v>1094000140</v>
          </cell>
          <cell r="B56" t="str">
            <v>השתתפות באחזקת רכב</v>
          </cell>
          <cell r="C56">
            <v>77710</v>
          </cell>
          <cell r="D56">
            <v>98900.32</v>
          </cell>
          <cell r="E56">
            <v>0</v>
          </cell>
          <cell r="F56">
            <v>98900.32</v>
          </cell>
          <cell r="G56">
            <v>-21190.32</v>
          </cell>
          <cell r="H56">
            <v>127.26</v>
          </cell>
          <cell r="I56">
            <v>81800</v>
          </cell>
          <cell r="J56">
            <v>98900.32</v>
          </cell>
        </row>
        <row r="57">
          <cell r="A57">
            <v>1094000253</v>
          </cell>
          <cell r="B57" t="str">
            <v>עובדים חיצוניים</v>
          </cell>
          <cell r="C57">
            <v>14250</v>
          </cell>
          <cell r="D57">
            <v>45231.08</v>
          </cell>
          <cell r="E57">
            <v>0</v>
          </cell>
          <cell r="F57">
            <v>45231.08</v>
          </cell>
          <cell r="G57">
            <v>-30981.08</v>
          </cell>
          <cell r="H57">
            <v>317.41000000000003</v>
          </cell>
          <cell r="I57">
            <v>15000</v>
          </cell>
          <cell r="J57">
            <v>45231.08</v>
          </cell>
        </row>
        <row r="58">
          <cell r="A58">
            <v>1094000420</v>
          </cell>
          <cell r="B58" t="str">
            <v>כיבוי אש</v>
          </cell>
          <cell r="C58">
            <v>5700</v>
          </cell>
          <cell r="D58">
            <v>5118.21</v>
          </cell>
          <cell r="E58">
            <v>0</v>
          </cell>
          <cell r="F58">
            <v>5118.21</v>
          </cell>
          <cell r="G58">
            <v>581.79</v>
          </cell>
          <cell r="H58">
            <v>89.79</v>
          </cell>
          <cell r="I58">
            <v>6000</v>
          </cell>
          <cell r="J58">
            <v>5118.21</v>
          </cell>
        </row>
        <row r="59">
          <cell r="A59">
            <v>1094000423</v>
          </cell>
          <cell r="B59" t="str">
            <v>תחזוקת מבנה</v>
          </cell>
          <cell r="C59">
            <v>63650</v>
          </cell>
          <cell r="D59">
            <v>67000</v>
          </cell>
          <cell r="E59">
            <v>0</v>
          </cell>
          <cell r="F59">
            <v>67000</v>
          </cell>
          <cell r="G59">
            <v>-3350</v>
          </cell>
          <cell r="H59">
            <v>105.26</v>
          </cell>
          <cell r="I59">
            <v>67000</v>
          </cell>
          <cell r="J59">
            <v>67000</v>
          </cell>
        </row>
        <row r="60">
          <cell r="A60">
            <v>1094000433</v>
          </cell>
          <cell r="B60" t="str">
            <v>חומרי נקיון</v>
          </cell>
          <cell r="C60">
            <v>11000</v>
          </cell>
          <cell r="D60">
            <v>10640.01</v>
          </cell>
          <cell r="E60">
            <v>0</v>
          </cell>
          <cell r="F60">
            <v>10640.01</v>
          </cell>
          <cell r="G60">
            <v>359.99</v>
          </cell>
          <cell r="H60">
            <v>96.72</v>
          </cell>
          <cell r="I60">
            <v>11000</v>
          </cell>
          <cell r="J60">
            <v>10640.01</v>
          </cell>
        </row>
        <row r="61">
          <cell r="A61">
            <v>1094000437</v>
          </cell>
          <cell r="B61" t="str">
            <v>אחזקת אזעקה</v>
          </cell>
          <cell r="C61">
            <v>5320</v>
          </cell>
          <cell r="D61">
            <v>4071.6</v>
          </cell>
          <cell r="E61">
            <v>0</v>
          </cell>
          <cell r="F61">
            <v>4071.6</v>
          </cell>
          <cell r="G61">
            <v>1248.4000000000001</v>
          </cell>
          <cell r="H61">
            <v>76.53</v>
          </cell>
          <cell r="I61">
            <v>5600</v>
          </cell>
          <cell r="J61">
            <v>4071.6</v>
          </cell>
        </row>
        <row r="62">
          <cell r="A62">
            <v>1094000441</v>
          </cell>
          <cell r="B62" t="str">
            <v>ביטוח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</row>
        <row r="63">
          <cell r="A63">
            <v>1094000450</v>
          </cell>
          <cell r="B63" t="str">
            <v>אחזקת תמי 4</v>
          </cell>
          <cell r="C63">
            <v>1045</v>
          </cell>
          <cell r="D63">
            <v>0</v>
          </cell>
          <cell r="E63">
            <v>0</v>
          </cell>
          <cell r="F63">
            <v>0</v>
          </cell>
          <cell r="G63">
            <v>1045</v>
          </cell>
          <cell r="H63">
            <v>0</v>
          </cell>
          <cell r="I63">
            <v>1100</v>
          </cell>
          <cell r="J63">
            <v>0</v>
          </cell>
        </row>
        <row r="64">
          <cell r="A64">
            <v>1094000451</v>
          </cell>
          <cell r="B64" t="str">
            <v>אחזקת דפיברילטור</v>
          </cell>
          <cell r="C64">
            <v>2850</v>
          </cell>
          <cell r="D64">
            <v>273.77999999999997</v>
          </cell>
          <cell r="E64">
            <v>1949.22</v>
          </cell>
          <cell r="F64">
            <v>2223</v>
          </cell>
          <cell r="G64">
            <v>627</v>
          </cell>
          <cell r="H64">
            <v>78</v>
          </cell>
          <cell r="I64">
            <v>3000</v>
          </cell>
          <cell r="J64">
            <v>273.77999999999997</v>
          </cell>
        </row>
        <row r="65">
          <cell r="A65">
            <v>1094000470</v>
          </cell>
          <cell r="B65" t="str">
            <v>אחזקת מכונות משרד</v>
          </cell>
          <cell r="C65">
            <v>2185</v>
          </cell>
          <cell r="D65">
            <v>39.94</v>
          </cell>
          <cell r="E65">
            <v>0</v>
          </cell>
          <cell r="F65">
            <v>39.94</v>
          </cell>
          <cell r="G65">
            <v>2145.06</v>
          </cell>
          <cell r="H65">
            <v>1.82</v>
          </cell>
          <cell r="I65">
            <v>2300</v>
          </cell>
          <cell r="J65">
            <v>39.94</v>
          </cell>
        </row>
        <row r="66">
          <cell r="A66">
            <v>1094000471</v>
          </cell>
          <cell r="B66" t="str">
            <v>מכשירי כתיבה</v>
          </cell>
          <cell r="C66">
            <v>14000</v>
          </cell>
          <cell r="D66">
            <v>15075.87</v>
          </cell>
          <cell r="E66">
            <v>0</v>
          </cell>
          <cell r="F66">
            <v>15075.87</v>
          </cell>
          <cell r="G66">
            <v>-1075.8699999999999</v>
          </cell>
          <cell r="H66">
            <v>107.68</v>
          </cell>
          <cell r="I66">
            <v>14000</v>
          </cell>
          <cell r="J66">
            <v>15075.87</v>
          </cell>
        </row>
        <row r="67">
          <cell r="A67">
            <v>1094000492</v>
          </cell>
          <cell r="B67" t="str">
            <v>השתתפות בעזר 092</v>
          </cell>
          <cell r="C67">
            <v>175940</v>
          </cell>
          <cell r="D67">
            <v>202789</v>
          </cell>
          <cell r="E67">
            <v>0</v>
          </cell>
          <cell r="F67">
            <v>202789</v>
          </cell>
          <cell r="G67">
            <v>-26849</v>
          </cell>
          <cell r="H67">
            <v>115.26</v>
          </cell>
          <cell r="I67">
            <v>185200</v>
          </cell>
          <cell r="J67">
            <v>202789</v>
          </cell>
        </row>
        <row r="68">
          <cell r="A68">
            <v>1094000511</v>
          </cell>
          <cell r="B68" t="str">
            <v>אירוח וכיבוד</v>
          </cell>
          <cell r="C68">
            <v>6500</v>
          </cell>
          <cell r="D68">
            <v>6821</v>
          </cell>
          <cell r="E68">
            <v>27.14</v>
          </cell>
          <cell r="F68">
            <v>6848.14</v>
          </cell>
          <cell r="G68">
            <v>-348.14</v>
          </cell>
          <cell r="H68">
            <v>105.35</v>
          </cell>
          <cell r="I68">
            <v>6500</v>
          </cell>
          <cell r="J68">
            <v>6821</v>
          </cell>
        </row>
        <row r="69">
          <cell r="A69">
            <v>1094000540</v>
          </cell>
          <cell r="B69" t="str">
            <v>הוצאות טלפון</v>
          </cell>
          <cell r="C69">
            <v>1425</v>
          </cell>
          <cell r="D69">
            <v>0</v>
          </cell>
          <cell r="E69">
            <v>0</v>
          </cell>
          <cell r="F69">
            <v>0</v>
          </cell>
          <cell r="G69">
            <v>1425</v>
          </cell>
          <cell r="H69">
            <v>0</v>
          </cell>
          <cell r="I69">
            <v>1500</v>
          </cell>
          <cell r="J69">
            <v>0</v>
          </cell>
        </row>
        <row r="70">
          <cell r="A70">
            <v>1094000544</v>
          </cell>
          <cell r="B70" t="str">
            <v>הוצאות דאר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A71">
            <v>1094000550</v>
          </cell>
          <cell r="B71" t="str">
            <v>פירסומים</v>
          </cell>
          <cell r="C71">
            <v>2850</v>
          </cell>
          <cell r="D71">
            <v>5553</v>
          </cell>
          <cell r="E71">
            <v>0</v>
          </cell>
          <cell r="F71">
            <v>5553</v>
          </cell>
          <cell r="G71">
            <v>-2703</v>
          </cell>
          <cell r="H71">
            <v>194.84</v>
          </cell>
          <cell r="I71">
            <v>3000</v>
          </cell>
          <cell r="J71">
            <v>5553</v>
          </cell>
        </row>
        <row r="72">
          <cell r="A72">
            <v>1094000561</v>
          </cell>
          <cell r="B72" t="str">
            <v>שיכפולים</v>
          </cell>
          <cell r="C72">
            <v>380</v>
          </cell>
          <cell r="D72">
            <v>0</v>
          </cell>
          <cell r="E72">
            <v>0</v>
          </cell>
          <cell r="F72">
            <v>0</v>
          </cell>
          <cell r="G72">
            <v>380</v>
          </cell>
          <cell r="H72">
            <v>0</v>
          </cell>
          <cell r="I72">
            <v>400</v>
          </cell>
          <cell r="J72">
            <v>0</v>
          </cell>
        </row>
        <row r="73">
          <cell r="A73">
            <v>1094000571</v>
          </cell>
          <cell r="B73" t="str">
            <v>מיכון וענ"א</v>
          </cell>
          <cell r="C73">
            <v>121030</v>
          </cell>
          <cell r="D73">
            <v>127400</v>
          </cell>
          <cell r="E73">
            <v>0</v>
          </cell>
          <cell r="F73">
            <v>127400</v>
          </cell>
          <cell r="G73">
            <v>-6370</v>
          </cell>
          <cell r="H73">
            <v>105.26</v>
          </cell>
          <cell r="I73">
            <v>127400</v>
          </cell>
          <cell r="J73">
            <v>127400</v>
          </cell>
        </row>
        <row r="74">
          <cell r="A74">
            <v>1094000596</v>
          </cell>
          <cell r="B74" t="str">
            <v>השתתפות בעזר 096</v>
          </cell>
          <cell r="C74">
            <v>104500</v>
          </cell>
          <cell r="D74">
            <v>102817</v>
          </cell>
          <cell r="E74">
            <v>0</v>
          </cell>
          <cell r="F74">
            <v>102817</v>
          </cell>
          <cell r="G74">
            <v>1683</v>
          </cell>
          <cell r="H74">
            <v>98.38</v>
          </cell>
          <cell r="I74">
            <v>110000</v>
          </cell>
          <cell r="J74">
            <v>102817</v>
          </cell>
        </row>
        <row r="75">
          <cell r="A75">
            <v>1094000721</v>
          </cell>
          <cell r="B75" t="str">
            <v>חמרים-תחזוקת מבנים</v>
          </cell>
          <cell r="C75">
            <v>1425</v>
          </cell>
          <cell r="D75">
            <v>0</v>
          </cell>
          <cell r="E75">
            <v>0</v>
          </cell>
          <cell r="F75">
            <v>0</v>
          </cell>
          <cell r="G75">
            <v>1425</v>
          </cell>
          <cell r="H75">
            <v>0</v>
          </cell>
          <cell r="I75">
            <v>1500</v>
          </cell>
          <cell r="J75">
            <v>0</v>
          </cell>
        </row>
        <row r="76">
          <cell r="A76">
            <v>1094000742</v>
          </cell>
          <cell r="B76" t="str">
            <v>כלים וציוד</v>
          </cell>
          <cell r="C76">
            <v>4085</v>
          </cell>
          <cell r="D76">
            <v>3100</v>
          </cell>
          <cell r="E76">
            <v>0</v>
          </cell>
          <cell r="F76">
            <v>3100</v>
          </cell>
          <cell r="G76">
            <v>985</v>
          </cell>
          <cell r="H76">
            <v>75.88</v>
          </cell>
          <cell r="I76">
            <v>4300</v>
          </cell>
          <cell r="J76">
            <v>3100</v>
          </cell>
        </row>
        <row r="77">
          <cell r="A77">
            <v>1094000751</v>
          </cell>
          <cell r="B77" t="str">
            <v>עבודות קבלניות</v>
          </cell>
          <cell r="C77">
            <v>40000</v>
          </cell>
          <cell r="D77">
            <v>37636</v>
          </cell>
          <cell r="E77">
            <v>760.5</v>
          </cell>
          <cell r="F77">
            <v>38396.5</v>
          </cell>
          <cell r="G77">
            <v>1603.5</v>
          </cell>
          <cell r="H77">
            <v>95.99</v>
          </cell>
          <cell r="I77">
            <v>40000</v>
          </cell>
          <cell r="J77">
            <v>37636</v>
          </cell>
        </row>
        <row r="78">
          <cell r="A78">
            <v>1094000752</v>
          </cell>
          <cell r="B78" t="str">
            <v>נקיון בקבלנות</v>
          </cell>
          <cell r="C78">
            <v>102000</v>
          </cell>
          <cell r="D78">
            <v>99833.52</v>
          </cell>
          <cell r="E78">
            <v>0</v>
          </cell>
          <cell r="F78">
            <v>99833.52</v>
          </cell>
          <cell r="G78">
            <v>2166.48</v>
          </cell>
          <cell r="H78">
            <v>97.87</v>
          </cell>
          <cell r="I78">
            <v>102000</v>
          </cell>
          <cell r="J78">
            <v>99833.52</v>
          </cell>
        </row>
        <row r="79">
          <cell r="A79">
            <v>1094000756</v>
          </cell>
          <cell r="B79" t="str">
            <v>שמירה בקבלנות</v>
          </cell>
          <cell r="C79">
            <v>313500</v>
          </cell>
          <cell r="D79">
            <v>361140.38</v>
          </cell>
          <cell r="E79">
            <v>0</v>
          </cell>
          <cell r="F79">
            <v>361140.38</v>
          </cell>
          <cell r="G79">
            <v>-47640.38</v>
          </cell>
          <cell r="H79">
            <v>115.19</v>
          </cell>
          <cell r="I79">
            <v>330000</v>
          </cell>
          <cell r="J79">
            <v>361140.38</v>
          </cell>
        </row>
        <row r="80">
          <cell r="A80">
            <v>1094000757</v>
          </cell>
          <cell r="B80" t="str">
            <v>פינויים</v>
          </cell>
          <cell r="C80">
            <v>9500</v>
          </cell>
          <cell r="D80">
            <v>7722</v>
          </cell>
          <cell r="E80">
            <v>0</v>
          </cell>
          <cell r="F80">
            <v>7722</v>
          </cell>
          <cell r="G80">
            <v>1778</v>
          </cell>
          <cell r="H80">
            <v>81.28</v>
          </cell>
          <cell r="I80">
            <v>10000</v>
          </cell>
          <cell r="J80">
            <v>7722</v>
          </cell>
        </row>
        <row r="81">
          <cell r="A81">
            <v>1094000930</v>
          </cell>
          <cell r="B81" t="str">
            <v>רכישות חד פעמיות</v>
          </cell>
          <cell r="C81">
            <v>2850</v>
          </cell>
          <cell r="D81">
            <v>2763.06</v>
          </cell>
          <cell r="E81">
            <v>0</v>
          </cell>
          <cell r="F81">
            <v>2763.06</v>
          </cell>
          <cell r="G81">
            <v>86.94</v>
          </cell>
          <cell r="H81">
            <v>96.94</v>
          </cell>
          <cell r="I81">
            <v>3000</v>
          </cell>
          <cell r="J81">
            <v>2763.06</v>
          </cell>
        </row>
        <row r="82">
          <cell r="A82">
            <v>1094000931</v>
          </cell>
          <cell r="B82" t="str">
            <v>אביזרי בטיחות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</row>
        <row r="83">
          <cell r="A83">
            <v>1094100794</v>
          </cell>
          <cell r="B83" t="str">
            <v>השתתפות בעזר 094</v>
          </cell>
          <cell r="C83">
            <v>-2156690</v>
          </cell>
          <cell r="D83">
            <v>-2707702.39</v>
          </cell>
          <cell r="E83">
            <v>0</v>
          </cell>
          <cell r="F83">
            <v>-2707702.39</v>
          </cell>
          <cell r="G83">
            <v>551012.39</v>
          </cell>
          <cell r="H83">
            <v>125.54</v>
          </cell>
          <cell r="I83">
            <v>-2270200</v>
          </cell>
          <cell r="J83">
            <v>-2707702.39</v>
          </cell>
        </row>
        <row r="84">
          <cell r="A84">
            <v>1096000110</v>
          </cell>
          <cell r="B84" t="str">
            <v>השכר הקובע-תקציבית</v>
          </cell>
          <cell r="C84">
            <v>142500</v>
          </cell>
          <cell r="D84">
            <v>148370.85999999999</v>
          </cell>
          <cell r="E84">
            <v>0</v>
          </cell>
          <cell r="F84">
            <v>148370.85999999999</v>
          </cell>
          <cell r="G84">
            <v>-5870.86</v>
          </cell>
          <cell r="H84">
            <v>104.11</v>
          </cell>
          <cell r="I84">
            <v>150000</v>
          </cell>
          <cell r="J84">
            <v>148370.85999999999</v>
          </cell>
        </row>
        <row r="85">
          <cell r="A85">
            <v>1096000119</v>
          </cell>
          <cell r="B85" t="str">
            <v>השכר הקובע-צוברת</v>
          </cell>
          <cell r="C85">
            <v>379620</v>
          </cell>
          <cell r="D85">
            <v>376254.71</v>
          </cell>
          <cell r="E85">
            <v>0</v>
          </cell>
          <cell r="F85">
            <v>376254.71</v>
          </cell>
          <cell r="G85">
            <v>3365.29</v>
          </cell>
          <cell r="H85">
            <v>99.11</v>
          </cell>
          <cell r="I85">
            <v>399600</v>
          </cell>
          <cell r="J85">
            <v>376254.71</v>
          </cell>
        </row>
        <row r="86">
          <cell r="A86">
            <v>1096000122</v>
          </cell>
          <cell r="B86" t="str">
            <v>ביגוד</v>
          </cell>
          <cell r="C86">
            <v>5035</v>
          </cell>
          <cell r="D86">
            <v>6077.5</v>
          </cell>
          <cell r="E86">
            <v>0</v>
          </cell>
          <cell r="F86">
            <v>6077.5</v>
          </cell>
          <cell r="G86">
            <v>-1042.5</v>
          </cell>
          <cell r="H86">
            <v>120.7</v>
          </cell>
          <cell r="I86">
            <v>5300</v>
          </cell>
          <cell r="J86">
            <v>6077.5</v>
          </cell>
        </row>
        <row r="87">
          <cell r="A87">
            <v>1096000126</v>
          </cell>
          <cell r="B87" t="str">
            <v>דמי הבראה</v>
          </cell>
          <cell r="C87">
            <v>11400</v>
          </cell>
          <cell r="D87">
            <v>14554.4</v>
          </cell>
          <cell r="E87">
            <v>0</v>
          </cell>
          <cell r="F87">
            <v>14554.4</v>
          </cell>
          <cell r="G87">
            <v>-3154.4</v>
          </cell>
          <cell r="H87">
            <v>127.67</v>
          </cell>
          <cell r="I87">
            <v>12000</v>
          </cell>
          <cell r="J87">
            <v>14554.4</v>
          </cell>
        </row>
        <row r="88">
          <cell r="A88">
            <v>1096000130</v>
          </cell>
          <cell r="B88" t="str">
            <v>שעות נוספות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</row>
        <row r="89">
          <cell r="A89">
            <v>1096000140</v>
          </cell>
          <cell r="B89" t="str">
            <v>השתתפות באחזקת רכב</v>
          </cell>
          <cell r="C89">
            <v>61940</v>
          </cell>
          <cell r="D89">
            <v>72400.679999999993</v>
          </cell>
          <cell r="E89">
            <v>0</v>
          </cell>
          <cell r="F89">
            <v>72400.679999999993</v>
          </cell>
          <cell r="G89">
            <v>-10460.68</v>
          </cell>
          <cell r="H89">
            <v>116.88</v>
          </cell>
          <cell r="I89">
            <v>65200</v>
          </cell>
          <cell r="J89">
            <v>72400.679999999993</v>
          </cell>
        </row>
        <row r="90">
          <cell r="A90">
            <v>1096000420</v>
          </cell>
          <cell r="B90" t="str">
            <v>כיבוי אש</v>
          </cell>
          <cell r="C90">
            <v>4800</v>
          </cell>
          <cell r="D90">
            <v>3999.04</v>
          </cell>
          <cell r="E90">
            <v>0</v>
          </cell>
          <cell r="F90">
            <v>3999.04</v>
          </cell>
          <cell r="G90">
            <v>800.96</v>
          </cell>
          <cell r="H90">
            <v>83.31</v>
          </cell>
          <cell r="I90">
            <v>4800</v>
          </cell>
          <cell r="J90">
            <v>3999.04</v>
          </cell>
        </row>
        <row r="91">
          <cell r="A91">
            <v>1096000432</v>
          </cell>
          <cell r="B91" t="str">
            <v>מים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</row>
        <row r="92">
          <cell r="A92">
            <v>1096000433</v>
          </cell>
          <cell r="B92" t="str">
            <v>חומרי נקיון</v>
          </cell>
          <cell r="C92">
            <v>5200</v>
          </cell>
          <cell r="D92">
            <v>5153.3900000000003</v>
          </cell>
          <cell r="E92">
            <v>46.23</v>
          </cell>
          <cell r="F92">
            <v>5199.62</v>
          </cell>
          <cell r="G92">
            <v>0.38</v>
          </cell>
          <cell r="H92">
            <v>99.99</v>
          </cell>
          <cell r="I92">
            <v>5200</v>
          </cell>
          <cell r="J92">
            <v>5153.3900000000003</v>
          </cell>
        </row>
        <row r="93">
          <cell r="A93">
            <v>1096000437</v>
          </cell>
          <cell r="B93" t="str">
            <v>מערכת אזעקה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A94">
            <v>1096000441</v>
          </cell>
          <cell r="B94" t="str">
            <v>ביטוח רכב</v>
          </cell>
          <cell r="C94">
            <v>788161</v>
          </cell>
          <cell r="D94">
            <v>829643</v>
          </cell>
          <cell r="E94">
            <v>0</v>
          </cell>
          <cell r="F94">
            <v>829643</v>
          </cell>
          <cell r="G94">
            <v>-41482</v>
          </cell>
          <cell r="H94">
            <v>105.26</v>
          </cell>
          <cell r="I94">
            <v>829643</v>
          </cell>
          <cell r="J94">
            <v>829643</v>
          </cell>
        </row>
        <row r="95">
          <cell r="A95">
            <v>1096000470</v>
          </cell>
          <cell r="B95" t="str">
            <v>אחזקת מכונות משרד</v>
          </cell>
          <cell r="C95">
            <v>1000</v>
          </cell>
          <cell r="D95">
            <v>970</v>
          </cell>
          <cell r="E95">
            <v>0</v>
          </cell>
          <cell r="F95">
            <v>970</v>
          </cell>
          <cell r="G95">
            <v>30</v>
          </cell>
          <cell r="H95">
            <v>97</v>
          </cell>
          <cell r="I95">
            <v>1000</v>
          </cell>
          <cell r="J95">
            <v>970</v>
          </cell>
        </row>
        <row r="96">
          <cell r="A96">
            <v>1096000471</v>
          </cell>
          <cell r="B96" t="str">
            <v>מכשירי כתיבה</v>
          </cell>
          <cell r="C96">
            <v>4500</v>
          </cell>
          <cell r="D96">
            <v>4370.32</v>
          </cell>
          <cell r="E96">
            <v>0</v>
          </cell>
          <cell r="F96">
            <v>4370.32</v>
          </cell>
          <cell r="G96">
            <v>129.68</v>
          </cell>
          <cell r="H96">
            <v>97.11</v>
          </cell>
          <cell r="I96">
            <v>4500</v>
          </cell>
          <cell r="J96">
            <v>4370.32</v>
          </cell>
        </row>
        <row r="97">
          <cell r="A97">
            <v>1096000492</v>
          </cell>
          <cell r="B97" t="str">
            <v>השתתפות בעזר 092</v>
          </cell>
          <cell r="C97">
            <v>66975</v>
          </cell>
          <cell r="D97">
            <v>77195</v>
          </cell>
          <cell r="E97">
            <v>0</v>
          </cell>
          <cell r="F97">
            <v>77195</v>
          </cell>
          <cell r="G97">
            <v>-10220</v>
          </cell>
          <cell r="H97">
            <v>115.25</v>
          </cell>
          <cell r="I97">
            <v>70500</v>
          </cell>
          <cell r="J97">
            <v>77195</v>
          </cell>
        </row>
        <row r="98">
          <cell r="A98">
            <v>1096000511</v>
          </cell>
          <cell r="B98" t="str">
            <v>אירוח וכיבוד</v>
          </cell>
          <cell r="C98">
            <v>2900</v>
          </cell>
          <cell r="D98">
            <v>2712.75</v>
          </cell>
          <cell r="E98">
            <v>0</v>
          </cell>
          <cell r="F98">
            <v>2712.75</v>
          </cell>
          <cell r="G98">
            <v>187.25</v>
          </cell>
          <cell r="H98">
            <v>93.54</v>
          </cell>
          <cell r="I98">
            <v>2900</v>
          </cell>
          <cell r="J98">
            <v>2712.75</v>
          </cell>
        </row>
        <row r="99">
          <cell r="A99">
            <v>1096000512</v>
          </cell>
          <cell r="B99" t="str">
            <v>נסיעות ואש"ל</v>
          </cell>
          <cell r="C99">
            <v>95</v>
          </cell>
          <cell r="D99">
            <v>0</v>
          </cell>
          <cell r="E99">
            <v>0</v>
          </cell>
          <cell r="F99">
            <v>0</v>
          </cell>
          <cell r="G99">
            <v>95</v>
          </cell>
          <cell r="H99">
            <v>0</v>
          </cell>
          <cell r="I99">
            <v>100</v>
          </cell>
          <cell r="J99">
            <v>0</v>
          </cell>
        </row>
        <row r="100">
          <cell r="A100">
            <v>1096000522</v>
          </cell>
          <cell r="B100" t="str">
            <v>ספרים ועיתונים</v>
          </cell>
          <cell r="C100">
            <v>760</v>
          </cell>
          <cell r="D100">
            <v>0</v>
          </cell>
          <cell r="E100">
            <v>0</v>
          </cell>
          <cell r="F100">
            <v>0</v>
          </cell>
          <cell r="G100">
            <v>760</v>
          </cell>
          <cell r="H100">
            <v>0</v>
          </cell>
          <cell r="I100">
            <v>800</v>
          </cell>
          <cell r="J100">
            <v>0</v>
          </cell>
        </row>
        <row r="101">
          <cell r="A101">
            <v>1096000540</v>
          </cell>
          <cell r="B101" t="str">
            <v>הוצאות טלפון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</row>
        <row r="102">
          <cell r="A102">
            <v>1096000544</v>
          </cell>
          <cell r="B102" t="str">
            <v>הוצאות דאר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A103">
            <v>1096000550</v>
          </cell>
          <cell r="B103" t="str">
            <v>פירסומים</v>
          </cell>
          <cell r="C103">
            <v>8550</v>
          </cell>
          <cell r="D103">
            <v>4010</v>
          </cell>
          <cell r="E103">
            <v>0</v>
          </cell>
          <cell r="F103">
            <v>4010</v>
          </cell>
          <cell r="G103">
            <v>4540</v>
          </cell>
          <cell r="H103">
            <v>46.9</v>
          </cell>
          <cell r="I103">
            <v>9000</v>
          </cell>
          <cell r="J103">
            <v>4010</v>
          </cell>
        </row>
        <row r="104">
          <cell r="A104">
            <v>1096000561</v>
          </cell>
          <cell r="B104" t="str">
            <v>שיכפולים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</row>
        <row r="105">
          <cell r="A105">
            <v>1096000571</v>
          </cell>
          <cell r="B105" t="str">
            <v>מיכון וענ"א</v>
          </cell>
          <cell r="C105">
            <v>53295</v>
          </cell>
          <cell r="D105">
            <v>56100</v>
          </cell>
          <cell r="E105">
            <v>0</v>
          </cell>
          <cell r="F105">
            <v>56100</v>
          </cell>
          <cell r="G105">
            <v>-2805</v>
          </cell>
          <cell r="H105">
            <v>105.26</v>
          </cell>
          <cell r="I105">
            <v>56100</v>
          </cell>
          <cell r="J105">
            <v>56100</v>
          </cell>
        </row>
        <row r="106">
          <cell r="A106">
            <v>1096000580</v>
          </cell>
          <cell r="B106" t="str">
            <v>שמאות</v>
          </cell>
          <cell r="C106">
            <v>2280</v>
          </cell>
          <cell r="D106">
            <v>1860</v>
          </cell>
          <cell r="E106">
            <v>0</v>
          </cell>
          <cell r="F106">
            <v>1860</v>
          </cell>
          <cell r="G106">
            <v>420</v>
          </cell>
          <cell r="H106">
            <v>81.569999999999993</v>
          </cell>
          <cell r="I106">
            <v>2400</v>
          </cell>
          <cell r="J106">
            <v>1860</v>
          </cell>
        </row>
        <row r="107">
          <cell r="A107">
            <v>1096000715</v>
          </cell>
          <cell r="B107" t="str">
            <v>עבודות קבלניות-רכב</v>
          </cell>
          <cell r="C107">
            <v>3610</v>
          </cell>
          <cell r="D107">
            <v>0</v>
          </cell>
          <cell r="E107">
            <v>0</v>
          </cell>
          <cell r="F107">
            <v>0</v>
          </cell>
          <cell r="G107">
            <v>3610</v>
          </cell>
          <cell r="H107">
            <v>0</v>
          </cell>
          <cell r="I107">
            <v>3800</v>
          </cell>
          <cell r="J107">
            <v>0</v>
          </cell>
        </row>
        <row r="108">
          <cell r="A108">
            <v>1096000721</v>
          </cell>
          <cell r="B108" t="str">
            <v>חמרים-תחזוקת מבנים</v>
          </cell>
          <cell r="C108">
            <v>760</v>
          </cell>
          <cell r="D108">
            <v>0</v>
          </cell>
          <cell r="E108">
            <v>0</v>
          </cell>
          <cell r="F108">
            <v>0</v>
          </cell>
          <cell r="G108">
            <v>760</v>
          </cell>
          <cell r="H108">
            <v>0</v>
          </cell>
          <cell r="I108">
            <v>800</v>
          </cell>
          <cell r="J108">
            <v>0</v>
          </cell>
        </row>
        <row r="109">
          <cell r="A109">
            <v>1096000731</v>
          </cell>
          <cell r="B109" t="str">
            <v>בנזין</v>
          </cell>
          <cell r="C109">
            <v>285000</v>
          </cell>
          <cell r="D109">
            <v>284249.59000000003</v>
          </cell>
          <cell r="E109">
            <v>0</v>
          </cell>
          <cell r="F109">
            <v>284249.59000000003</v>
          </cell>
          <cell r="G109">
            <v>750.41</v>
          </cell>
          <cell r="H109">
            <v>99.73</v>
          </cell>
          <cell r="I109">
            <v>300000</v>
          </cell>
          <cell r="J109">
            <v>284249.59000000003</v>
          </cell>
        </row>
        <row r="110">
          <cell r="A110">
            <v>1096000733</v>
          </cell>
          <cell r="B110" t="str">
            <v>נוהל 6</v>
          </cell>
          <cell r="C110">
            <v>2280</v>
          </cell>
          <cell r="D110">
            <v>2194</v>
          </cell>
          <cell r="E110">
            <v>0</v>
          </cell>
          <cell r="F110">
            <v>2194</v>
          </cell>
          <cell r="G110">
            <v>86</v>
          </cell>
          <cell r="H110">
            <v>96.22</v>
          </cell>
          <cell r="I110">
            <v>2400</v>
          </cell>
          <cell r="J110">
            <v>2194</v>
          </cell>
        </row>
        <row r="111">
          <cell r="A111">
            <v>1096000734</v>
          </cell>
          <cell r="B111" t="str">
            <v>סולר</v>
          </cell>
          <cell r="C111">
            <v>1092500</v>
          </cell>
          <cell r="D111">
            <v>1006483.85</v>
          </cell>
          <cell r="E111">
            <v>0</v>
          </cell>
          <cell r="F111">
            <v>1006483.85</v>
          </cell>
          <cell r="G111">
            <v>86016.15</v>
          </cell>
          <cell r="H111">
            <v>92.12</v>
          </cell>
          <cell r="I111">
            <v>1150000</v>
          </cell>
          <cell r="J111">
            <v>1006483.85</v>
          </cell>
        </row>
        <row r="112">
          <cell r="A112">
            <v>1096000736</v>
          </cell>
          <cell r="B112" t="str">
            <v>שמנים ומשחות</v>
          </cell>
          <cell r="C112">
            <v>17100</v>
          </cell>
          <cell r="D112">
            <v>4653.5600000000004</v>
          </cell>
          <cell r="E112">
            <v>0</v>
          </cell>
          <cell r="F112">
            <v>4653.5600000000004</v>
          </cell>
          <cell r="G112">
            <v>12446.44</v>
          </cell>
          <cell r="H112">
            <v>27.21</v>
          </cell>
          <cell r="I112">
            <v>18000</v>
          </cell>
          <cell r="J112">
            <v>4653.5600000000004</v>
          </cell>
        </row>
        <row r="113">
          <cell r="A113">
            <v>1096000737</v>
          </cell>
          <cell r="B113" t="str">
            <v>אגרת רשוי רכב</v>
          </cell>
          <cell r="C113">
            <v>135000</v>
          </cell>
          <cell r="D113">
            <v>142173</v>
          </cell>
          <cell r="E113">
            <v>0</v>
          </cell>
          <cell r="F113">
            <v>142173</v>
          </cell>
          <cell r="G113">
            <v>-7173</v>
          </cell>
          <cell r="H113">
            <v>105.31</v>
          </cell>
          <cell r="I113">
            <v>135000</v>
          </cell>
          <cell r="J113">
            <v>142173</v>
          </cell>
        </row>
        <row r="114">
          <cell r="A114">
            <v>1096000742</v>
          </cell>
          <cell r="B114" t="str">
            <v>כלים וציוד</v>
          </cell>
          <cell r="C114">
            <v>6300</v>
          </cell>
          <cell r="D114">
            <v>6291.69</v>
          </cell>
          <cell r="E114">
            <v>0</v>
          </cell>
          <cell r="F114">
            <v>6291.69</v>
          </cell>
          <cell r="G114">
            <v>8.31</v>
          </cell>
          <cell r="H114">
            <v>99.86</v>
          </cell>
          <cell r="I114">
            <v>6300</v>
          </cell>
          <cell r="J114">
            <v>6291.69</v>
          </cell>
        </row>
        <row r="115">
          <cell r="A115">
            <v>1096000746</v>
          </cell>
          <cell r="B115" t="str">
            <v>השתתפות עצמית</v>
          </cell>
          <cell r="C115">
            <v>150000</v>
          </cell>
          <cell r="D115">
            <v>157021</v>
          </cell>
          <cell r="E115">
            <v>0</v>
          </cell>
          <cell r="F115">
            <v>157021</v>
          </cell>
          <cell r="G115">
            <v>-7021</v>
          </cell>
          <cell r="H115">
            <v>104.68</v>
          </cell>
          <cell r="I115">
            <v>150000</v>
          </cell>
          <cell r="J115">
            <v>157021</v>
          </cell>
        </row>
        <row r="116">
          <cell r="A116">
            <v>1096000750</v>
          </cell>
          <cell r="B116" t="str">
            <v>שטיפת רכבים</v>
          </cell>
          <cell r="C116">
            <v>34200</v>
          </cell>
          <cell r="D116">
            <v>16904.810000000001</v>
          </cell>
          <cell r="E116">
            <v>0</v>
          </cell>
          <cell r="F116">
            <v>16904.810000000001</v>
          </cell>
          <cell r="G116">
            <v>17295.189999999999</v>
          </cell>
          <cell r="H116">
            <v>49.42</v>
          </cell>
          <cell r="I116">
            <v>36000</v>
          </cell>
          <cell r="J116">
            <v>16904.810000000001</v>
          </cell>
        </row>
        <row r="117">
          <cell r="A117">
            <v>1096000751</v>
          </cell>
          <cell r="B117" t="str">
            <v>עבודות קבלניות</v>
          </cell>
          <cell r="C117">
            <v>13300</v>
          </cell>
          <cell r="D117">
            <v>3955</v>
          </cell>
          <cell r="E117">
            <v>4000</v>
          </cell>
          <cell r="F117">
            <v>7955</v>
          </cell>
          <cell r="G117">
            <v>5345</v>
          </cell>
          <cell r="H117">
            <v>59.81</v>
          </cell>
          <cell r="I117">
            <v>14000</v>
          </cell>
          <cell r="J117">
            <v>3955</v>
          </cell>
        </row>
        <row r="118">
          <cell r="A118">
            <v>1096000752</v>
          </cell>
          <cell r="B118" t="str">
            <v>נקיון בקבלנות</v>
          </cell>
          <cell r="C118">
            <v>31350</v>
          </cell>
          <cell r="D118">
            <v>31081.97</v>
          </cell>
          <cell r="E118">
            <v>0</v>
          </cell>
          <cell r="F118">
            <v>31081.97</v>
          </cell>
          <cell r="G118">
            <v>268.02999999999997</v>
          </cell>
          <cell r="H118">
            <v>99.14</v>
          </cell>
          <cell r="I118">
            <v>33000</v>
          </cell>
          <cell r="J118">
            <v>31081.97</v>
          </cell>
        </row>
        <row r="119">
          <cell r="A119">
            <v>1096000755</v>
          </cell>
          <cell r="B119" t="str">
            <v>אחזקת איתורן</v>
          </cell>
          <cell r="C119">
            <v>76000</v>
          </cell>
          <cell r="D119">
            <v>49487</v>
          </cell>
          <cell r="E119">
            <v>0</v>
          </cell>
          <cell r="F119">
            <v>49487</v>
          </cell>
          <cell r="G119">
            <v>26513</v>
          </cell>
          <cell r="H119">
            <v>65.11</v>
          </cell>
          <cell r="I119">
            <v>80000</v>
          </cell>
          <cell r="J119">
            <v>49487</v>
          </cell>
        </row>
        <row r="120">
          <cell r="A120">
            <v>1096000756</v>
          </cell>
          <cell r="B120" t="str">
            <v>שמירה בקבלנות</v>
          </cell>
          <cell r="C120">
            <v>313500</v>
          </cell>
          <cell r="D120">
            <v>330000</v>
          </cell>
          <cell r="E120">
            <v>0</v>
          </cell>
          <cell r="F120">
            <v>330000</v>
          </cell>
          <cell r="G120">
            <v>-16500</v>
          </cell>
          <cell r="H120">
            <v>105.26</v>
          </cell>
          <cell r="I120">
            <v>330000</v>
          </cell>
          <cell r="J120">
            <v>330000</v>
          </cell>
        </row>
        <row r="121">
          <cell r="A121">
            <v>1096000757</v>
          </cell>
          <cell r="B121" t="str">
            <v>טיפול ברכב</v>
          </cell>
          <cell r="C121">
            <v>1710000</v>
          </cell>
          <cell r="D121">
            <v>1627914.75</v>
          </cell>
          <cell r="E121">
            <v>0</v>
          </cell>
          <cell r="F121">
            <v>1627914.75</v>
          </cell>
          <cell r="G121">
            <v>82085.25</v>
          </cell>
          <cell r="H121">
            <v>95.19</v>
          </cell>
          <cell r="I121">
            <v>1800000</v>
          </cell>
          <cell r="J121">
            <v>1627914.75</v>
          </cell>
        </row>
        <row r="122">
          <cell r="A122">
            <v>1096000758</v>
          </cell>
          <cell r="B122" t="str">
            <v>שיפוצים</v>
          </cell>
          <cell r="C122">
            <v>237500</v>
          </cell>
          <cell r="D122">
            <v>151716</v>
          </cell>
          <cell r="E122">
            <v>0</v>
          </cell>
          <cell r="F122">
            <v>151716</v>
          </cell>
          <cell r="G122">
            <v>85784</v>
          </cell>
          <cell r="H122">
            <v>63.88</v>
          </cell>
          <cell r="I122">
            <v>250000</v>
          </cell>
          <cell r="J122">
            <v>151716</v>
          </cell>
        </row>
        <row r="123">
          <cell r="A123">
            <v>1096000759</v>
          </cell>
          <cell r="B123" t="str">
            <v>פחחות וצבע</v>
          </cell>
          <cell r="C123">
            <v>36100</v>
          </cell>
          <cell r="D123">
            <v>35889</v>
          </cell>
          <cell r="E123">
            <v>0</v>
          </cell>
          <cell r="F123">
            <v>35889</v>
          </cell>
          <cell r="G123">
            <v>211</v>
          </cell>
          <cell r="H123">
            <v>99.41</v>
          </cell>
          <cell r="I123">
            <v>38000</v>
          </cell>
          <cell r="J123">
            <v>35889</v>
          </cell>
        </row>
        <row r="124">
          <cell r="A124">
            <v>1096000780</v>
          </cell>
          <cell r="B124" t="str">
            <v>יועצים</v>
          </cell>
          <cell r="C124">
            <v>336000</v>
          </cell>
          <cell r="D124">
            <v>335556</v>
          </cell>
          <cell r="E124">
            <v>0</v>
          </cell>
          <cell r="F124">
            <v>335556</v>
          </cell>
          <cell r="G124">
            <v>444</v>
          </cell>
          <cell r="H124">
            <v>99.86</v>
          </cell>
          <cell r="I124">
            <v>336000</v>
          </cell>
          <cell r="J124">
            <v>335556</v>
          </cell>
        </row>
        <row r="125">
          <cell r="A125">
            <v>1096000781</v>
          </cell>
          <cell r="B125" t="str">
            <v>טכס נהג מצטיין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A126">
            <v>1096000794</v>
          </cell>
          <cell r="B126" t="str">
            <v>השתתפות בעזר 094</v>
          </cell>
          <cell r="C126">
            <v>28975</v>
          </cell>
          <cell r="D126">
            <v>36378</v>
          </cell>
          <cell r="E126">
            <v>0</v>
          </cell>
          <cell r="F126">
            <v>36378</v>
          </cell>
          <cell r="G126">
            <v>-7403</v>
          </cell>
          <cell r="H126">
            <v>125.54</v>
          </cell>
          <cell r="I126">
            <v>30500</v>
          </cell>
          <cell r="J126">
            <v>36378</v>
          </cell>
        </row>
        <row r="127">
          <cell r="A127">
            <v>1096100596</v>
          </cell>
          <cell r="B127" t="str">
            <v>השתתפות בעזר 096</v>
          </cell>
          <cell r="C127">
            <v>-6016201</v>
          </cell>
          <cell r="D127">
            <v>-5825620.8700000001</v>
          </cell>
          <cell r="E127">
            <v>0</v>
          </cell>
          <cell r="F127">
            <v>-5825620.8700000001</v>
          </cell>
          <cell r="G127">
            <v>-190580.13</v>
          </cell>
          <cell r="H127">
            <v>96.83</v>
          </cell>
          <cell r="I127">
            <v>-6332843</v>
          </cell>
          <cell r="J127">
            <v>-5825620.8700000001</v>
          </cell>
        </row>
        <row r="128">
          <cell r="A128">
            <v>1110000110</v>
          </cell>
          <cell r="B128" t="str">
            <v>ארנונה כללית</v>
          </cell>
          <cell r="C128">
            <v>-735000000</v>
          </cell>
          <cell r="D128">
            <v>-760029164.20000005</v>
          </cell>
          <cell r="E128">
            <v>0</v>
          </cell>
          <cell r="F128">
            <v>-760029164.20000005</v>
          </cell>
          <cell r="G128">
            <v>25029164.199999999</v>
          </cell>
          <cell r="H128">
            <v>103.4</v>
          </cell>
          <cell r="I128">
            <v>-735000000</v>
          </cell>
          <cell r="J128">
            <v>-760029164.20000005</v>
          </cell>
        </row>
        <row r="129">
          <cell r="A129">
            <v>1110000111</v>
          </cell>
          <cell r="B129" t="str">
            <v>ארנונה - מ.ג.ע.ר</v>
          </cell>
          <cell r="C129">
            <v>0</v>
          </cell>
          <cell r="D129">
            <v>-1812.38</v>
          </cell>
          <cell r="E129">
            <v>0</v>
          </cell>
          <cell r="F129">
            <v>-1812.38</v>
          </cell>
          <cell r="G129">
            <v>1812.38</v>
          </cell>
          <cell r="H129">
            <v>0</v>
          </cell>
          <cell r="I129">
            <v>0</v>
          </cell>
          <cell r="J129">
            <v>-1812.38</v>
          </cell>
        </row>
        <row r="130">
          <cell r="A130">
            <v>1110000112</v>
          </cell>
          <cell r="B130" t="str">
            <v>אגרות משפט</v>
          </cell>
          <cell r="C130">
            <v>-200000</v>
          </cell>
          <cell r="D130">
            <v>-156740.15</v>
          </cell>
          <cell r="E130">
            <v>0</v>
          </cell>
          <cell r="F130">
            <v>-156740.15</v>
          </cell>
          <cell r="G130">
            <v>-43259.85</v>
          </cell>
          <cell r="H130">
            <v>78.37</v>
          </cell>
          <cell r="I130">
            <v>-200000</v>
          </cell>
          <cell r="J130">
            <v>-156740.15</v>
          </cell>
        </row>
        <row r="131">
          <cell r="A131">
            <v>1110000113</v>
          </cell>
          <cell r="B131" t="str">
            <v>החזר הוצאות משפט</v>
          </cell>
          <cell r="C131">
            <v>-550000</v>
          </cell>
          <cell r="D131">
            <v>-1097325.96</v>
          </cell>
          <cell r="E131">
            <v>0</v>
          </cell>
          <cell r="F131">
            <v>-1097325.96</v>
          </cell>
          <cell r="G131">
            <v>547325.96</v>
          </cell>
          <cell r="H131">
            <v>199.51</v>
          </cell>
          <cell r="I131">
            <v>-550000</v>
          </cell>
          <cell r="J131">
            <v>-1097325.96</v>
          </cell>
        </row>
        <row r="132">
          <cell r="A132">
            <v>1110000114</v>
          </cell>
          <cell r="B132" t="str">
            <v>ארנונה-עסקים מילגם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</row>
        <row r="133">
          <cell r="A133">
            <v>1110000115</v>
          </cell>
          <cell r="B133" t="str">
            <v>ארנונה-מגורים מילגם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</row>
        <row r="134">
          <cell r="A134">
            <v>1110000116</v>
          </cell>
          <cell r="B134" t="str">
            <v>עיקולי בנקים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A135">
            <v>1110000117</v>
          </cell>
          <cell r="B135" t="str">
            <v>דרישה - מילגם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</row>
        <row r="136">
          <cell r="A136">
            <v>1110000175</v>
          </cell>
          <cell r="B136" t="str">
            <v>גביות לחלוקה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A137">
            <v>1110000176</v>
          </cell>
          <cell r="B137" t="str">
            <v>גביות שונות לחלוקה</v>
          </cell>
          <cell r="C137">
            <v>0</v>
          </cell>
          <cell r="D137">
            <v>16287.62</v>
          </cell>
          <cell r="E137">
            <v>0</v>
          </cell>
          <cell r="F137">
            <v>16287.62</v>
          </cell>
          <cell r="G137">
            <v>-16287.62</v>
          </cell>
          <cell r="H137">
            <v>0</v>
          </cell>
          <cell r="I137">
            <v>0</v>
          </cell>
          <cell r="J137">
            <v>16287.62</v>
          </cell>
        </row>
        <row r="138">
          <cell r="A138">
            <v>1110000177</v>
          </cell>
          <cell r="B138" t="str">
            <v>גביות - קו פתוח</v>
          </cell>
          <cell r="C138">
            <v>0</v>
          </cell>
          <cell r="D138">
            <v>51870.44</v>
          </cell>
          <cell r="E138">
            <v>0</v>
          </cell>
          <cell r="F138">
            <v>51870.44</v>
          </cell>
          <cell r="G138">
            <v>-51870.44</v>
          </cell>
          <cell r="H138">
            <v>0</v>
          </cell>
          <cell r="I138">
            <v>0</v>
          </cell>
          <cell r="J138">
            <v>51870.44</v>
          </cell>
        </row>
        <row r="139">
          <cell r="A139">
            <v>1110000178</v>
          </cell>
          <cell r="B139" t="str">
            <v>כרט' אשראי-קו פתוח</v>
          </cell>
          <cell r="C139">
            <v>0</v>
          </cell>
          <cell r="D139">
            <v>5642.98</v>
          </cell>
          <cell r="E139">
            <v>0</v>
          </cell>
          <cell r="F139">
            <v>5642.98</v>
          </cell>
          <cell r="G139">
            <v>-5642.98</v>
          </cell>
          <cell r="H139">
            <v>0</v>
          </cell>
          <cell r="I139">
            <v>0</v>
          </cell>
          <cell r="J139">
            <v>5642.98</v>
          </cell>
        </row>
        <row r="140">
          <cell r="A140">
            <v>1110000179</v>
          </cell>
          <cell r="B140" t="str">
            <v>הפרשה לתביעות משפטיות בארנונה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A141">
            <v>1110000590</v>
          </cell>
          <cell r="B141" t="str">
            <v>ארנונה מחסני ערכות מגן</v>
          </cell>
          <cell r="C141">
            <v>-100000</v>
          </cell>
          <cell r="D141">
            <v>-100000</v>
          </cell>
          <cell r="E141">
            <v>0</v>
          </cell>
          <cell r="F141">
            <v>-100000</v>
          </cell>
          <cell r="G141">
            <v>0</v>
          </cell>
          <cell r="H141">
            <v>100</v>
          </cell>
          <cell r="I141">
            <v>-100000</v>
          </cell>
          <cell r="J141">
            <v>-100000</v>
          </cell>
        </row>
        <row r="142">
          <cell r="A142">
            <v>1110000910</v>
          </cell>
          <cell r="B142" t="str">
            <v>שיפוי-אזרחים ותיקים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</row>
        <row r="143">
          <cell r="A143">
            <v>1110000911</v>
          </cell>
          <cell r="B143" t="str">
            <v>ותיקים-משנים קודמות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</row>
        <row r="144">
          <cell r="A144">
            <v>1112000980</v>
          </cell>
          <cell r="B144" t="str">
            <v>שיפוי ארנונה</v>
          </cell>
          <cell r="C144">
            <v>0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</row>
        <row r="145">
          <cell r="A145">
            <v>1112000981</v>
          </cell>
          <cell r="B145" t="str">
            <v>שיפוי ארנונה שנים קודמות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</row>
        <row r="146">
          <cell r="A146">
            <v>1115000110</v>
          </cell>
          <cell r="B146" t="str">
            <v>הכנסה משחרורים</v>
          </cell>
          <cell r="C146">
            <v>-98000000</v>
          </cell>
          <cell r="D146">
            <v>-105150973.98</v>
          </cell>
          <cell r="E146">
            <v>0</v>
          </cell>
          <cell r="F146">
            <v>-105150973.98</v>
          </cell>
          <cell r="G146">
            <v>7150973.9800000004</v>
          </cell>
          <cell r="H146">
            <v>107.29</v>
          </cell>
          <cell r="I146">
            <v>-98000000</v>
          </cell>
          <cell r="J146">
            <v>-105150973.98</v>
          </cell>
        </row>
        <row r="147">
          <cell r="A147">
            <v>1115000111</v>
          </cell>
          <cell r="B147" t="str">
            <v>החזר הנחות מימון</v>
          </cell>
          <cell r="C147">
            <v>-1561500</v>
          </cell>
          <cell r="D147">
            <v>-1554255.89</v>
          </cell>
          <cell r="E147">
            <v>0</v>
          </cell>
          <cell r="F147">
            <v>-1554255.89</v>
          </cell>
          <cell r="G147">
            <v>-7244.11</v>
          </cell>
          <cell r="H147">
            <v>99.53</v>
          </cell>
          <cell r="I147">
            <v>-1561500</v>
          </cell>
          <cell r="J147">
            <v>-1554255.89</v>
          </cell>
        </row>
        <row r="148">
          <cell r="A148">
            <v>1115000112</v>
          </cell>
          <cell r="B148" t="str">
            <v>פטורים מארנונה</v>
          </cell>
          <cell r="C148">
            <v>-23000000</v>
          </cell>
          <cell r="D148">
            <v>-11223469.640000001</v>
          </cell>
          <cell r="E148">
            <v>0</v>
          </cell>
          <cell r="F148">
            <v>-11223469.640000001</v>
          </cell>
          <cell r="G148">
            <v>-11776530.359999999</v>
          </cell>
          <cell r="H148">
            <v>48.79</v>
          </cell>
          <cell r="I148">
            <v>-23000000</v>
          </cell>
          <cell r="J148">
            <v>-11223469.640000001</v>
          </cell>
        </row>
        <row r="149">
          <cell r="A149">
            <v>1115000114</v>
          </cell>
          <cell r="B149" t="str">
            <v>פטורים - מוסדות</v>
          </cell>
          <cell r="C149">
            <v>-22000000</v>
          </cell>
          <cell r="D149">
            <v>-23252459.32</v>
          </cell>
          <cell r="E149">
            <v>0</v>
          </cell>
          <cell r="F149">
            <v>-23252459.32</v>
          </cell>
          <cell r="G149">
            <v>1252459.32</v>
          </cell>
          <cell r="H149">
            <v>105.69</v>
          </cell>
          <cell r="I149">
            <v>-22000000</v>
          </cell>
          <cell r="J149">
            <v>-23252459.32</v>
          </cell>
        </row>
        <row r="150">
          <cell r="A150">
            <v>1115000115</v>
          </cell>
          <cell r="B150" t="str">
            <v>הנחות פטור קורונה</v>
          </cell>
          <cell r="C150">
            <v>0</v>
          </cell>
          <cell r="D150">
            <v>989.94</v>
          </cell>
          <cell r="E150">
            <v>0</v>
          </cell>
          <cell r="F150">
            <v>989.94</v>
          </cell>
          <cell r="G150">
            <v>-989.94</v>
          </cell>
          <cell r="H150">
            <v>0</v>
          </cell>
          <cell r="I150">
            <v>0</v>
          </cell>
          <cell r="J150">
            <v>989.94</v>
          </cell>
        </row>
        <row r="151">
          <cell r="A151">
            <v>1121000290</v>
          </cell>
          <cell r="B151" t="str">
            <v>תעודות ואשורים</v>
          </cell>
          <cell r="C151">
            <v>-300000</v>
          </cell>
          <cell r="D151">
            <v>-185220.21</v>
          </cell>
          <cell r="E151">
            <v>0</v>
          </cell>
          <cell r="F151">
            <v>-185220.21</v>
          </cell>
          <cell r="G151">
            <v>-114779.79</v>
          </cell>
          <cell r="H151">
            <v>61.74</v>
          </cell>
          <cell r="I151">
            <v>-300000</v>
          </cell>
          <cell r="J151">
            <v>-185220.21</v>
          </cell>
        </row>
        <row r="152">
          <cell r="A152">
            <v>1122000290</v>
          </cell>
          <cell r="B152" t="str">
            <v>אגרת רשיונות שלטים</v>
          </cell>
          <cell r="C152">
            <v>-8000000</v>
          </cell>
          <cell r="D152">
            <v>-9205140.2300000004</v>
          </cell>
          <cell r="E152">
            <v>0</v>
          </cell>
          <cell r="F152">
            <v>-9205140.2300000004</v>
          </cell>
          <cell r="G152">
            <v>1205140.23</v>
          </cell>
          <cell r="H152">
            <v>115.06</v>
          </cell>
          <cell r="I152">
            <v>-8000000</v>
          </cell>
          <cell r="J152">
            <v>-9205140.2300000004</v>
          </cell>
        </row>
        <row r="153">
          <cell r="A153">
            <v>1122000291</v>
          </cell>
          <cell r="B153" t="str">
            <v>החזר אג' משפט-שילוט</v>
          </cell>
          <cell r="C153">
            <v>-2000</v>
          </cell>
          <cell r="D153">
            <v>-15629.44</v>
          </cell>
          <cell r="E153">
            <v>0</v>
          </cell>
          <cell r="F153">
            <v>-15629.44</v>
          </cell>
          <cell r="G153">
            <v>13629.44</v>
          </cell>
          <cell r="H153">
            <v>781.47</v>
          </cell>
          <cell r="I153">
            <v>-2000</v>
          </cell>
          <cell r="J153">
            <v>-15629.44</v>
          </cell>
        </row>
        <row r="154">
          <cell r="A154">
            <v>1124000290</v>
          </cell>
          <cell r="B154" t="str">
            <v>מודעות על לוחות</v>
          </cell>
          <cell r="C154">
            <v>-9000</v>
          </cell>
          <cell r="D154">
            <v>-3488.95</v>
          </cell>
          <cell r="E154">
            <v>0</v>
          </cell>
          <cell r="F154">
            <v>-3488.95</v>
          </cell>
          <cell r="G154">
            <v>-5511.05</v>
          </cell>
          <cell r="H154">
            <v>38.76</v>
          </cell>
          <cell r="I154">
            <v>-9000</v>
          </cell>
          <cell r="J154">
            <v>-3488.95</v>
          </cell>
        </row>
        <row r="155">
          <cell r="A155">
            <v>1129000290</v>
          </cell>
          <cell r="B155" t="str">
            <v>אגרת חניה  מוניות</v>
          </cell>
          <cell r="C155">
            <v>-45000</v>
          </cell>
          <cell r="D155">
            <v>-43094.65</v>
          </cell>
          <cell r="E155">
            <v>0</v>
          </cell>
          <cell r="F155">
            <v>-43094.65</v>
          </cell>
          <cell r="G155">
            <v>-1905.35</v>
          </cell>
          <cell r="H155">
            <v>95.76</v>
          </cell>
          <cell r="I155">
            <v>-45000</v>
          </cell>
          <cell r="J155">
            <v>-43094.65</v>
          </cell>
        </row>
        <row r="156">
          <cell r="A156">
            <v>1160000840</v>
          </cell>
          <cell r="B156" t="str">
            <v>ביוב התר בניה-מלוה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</row>
        <row r="157">
          <cell r="A157">
            <v>1160000841</v>
          </cell>
          <cell r="B157" t="str">
            <v>כביש-תאו'בניה-מלוה</v>
          </cell>
          <cell r="C157">
            <v>-8461000</v>
          </cell>
          <cell r="D157">
            <v>-8461000</v>
          </cell>
          <cell r="E157">
            <v>0</v>
          </cell>
          <cell r="F157">
            <v>-8461000</v>
          </cell>
          <cell r="G157">
            <v>0</v>
          </cell>
          <cell r="H157">
            <v>100</v>
          </cell>
          <cell r="I157">
            <v>-8461000</v>
          </cell>
          <cell r="J157">
            <v>-8461000</v>
          </cell>
        </row>
        <row r="158">
          <cell r="A158">
            <v>1160000842</v>
          </cell>
          <cell r="B158" t="str">
            <v>תעול היתר בניה-מלו</v>
          </cell>
          <cell r="C158">
            <v>-200000</v>
          </cell>
          <cell r="D158">
            <v>-200000</v>
          </cell>
          <cell r="E158">
            <v>0</v>
          </cell>
          <cell r="F158">
            <v>-200000</v>
          </cell>
          <cell r="G158">
            <v>0</v>
          </cell>
          <cell r="H158">
            <v>100</v>
          </cell>
          <cell r="I158">
            <v>-200000</v>
          </cell>
          <cell r="J158">
            <v>-200000</v>
          </cell>
        </row>
        <row r="159">
          <cell r="A159">
            <v>1160000843</v>
          </cell>
          <cell r="B159" t="str">
            <v>מים היתר בניה-מלוה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</row>
        <row r="160">
          <cell r="A160">
            <v>1160000844</v>
          </cell>
          <cell r="B160" t="str">
            <v>החזר מילוות-השבחה</v>
          </cell>
          <cell r="C160">
            <v>-56828800</v>
          </cell>
          <cell r="D160">
            <v>-56828800</v>
          </cell>
          <cell r="E160">
            <v>0</v>
          </cell>
          <cell r="F160">
            <v>-56828800</v>
          </cell>
          <cell r="G160">
            <v>0</v>
          </cell>
          <cell r="H160">
            <v>100</v>
          </cell>
          <cell r="I160">
            <v>-56828800</v>
          </cell>
          <cell r="J160">
            <v>-56828800</v>
          </cell>
        </row>
        <row r="161">
          <cell r="A161">
            <v>1192000910</v>
          </cell>
          <cell r="B161" t="str">
            <v>החזר בגין הסכם שכר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</row>
        <row r="162">
          <cell r="A162">
            <v>1192000912</v>
          </cell>
          <cell r="B162" t="str">
            <v>פנים-הכנסות מתשאולים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</row>
        <row r="163">
          <cell r="A163">
            <v>1192000913</v>
          </cell>
          <cell r="B163" t="str">
            <v>מענק רזרבת שר הפנים</v>
          </cell>
          <cell r="C163">
            <v>0</v>
          </cell>
          <cell r="D163">
            <v>-537957</v>
          </cell>
          <cell r="E163">
            <v>0</v>
          </cell>
          <cell r="F163">
            <v>-537957</v>
          </cell>
          <cell r="G163">
            <v>537957</v>
          </cell>
          <cell r="H163">
            <v>0</v>
          </cell>
          <cell r="I163">
            <v>0</v>
          </cell>
          <cell r="J163">
            <v>-537957</v>
          </cell>
        </row>
        <row r="164">
          <cell r="A164">
            <v>1192000914</v>
          </cell>
          <cell r="B164" t="str">
            <v>החזר הנחת ארנונה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</row>
        <row r="165">
          <cell r="A165">
            <v>1192000980</v>
          </cell>
          <cell r="B165" t="str">
            <v>שיפוי משרד הפנים</v>
          </cell>
          <cell r="C165">
            <v>0</v>
          </cell>
          <cell r="D165">
            <v>-13408</v>
          </cell>
          <cell r="E165">
            <v>0</v>
          </cell>
          <cell r="F165">
            <v>-13408</v>
          </cell>
          <cell r="G165">
            <v>13408</v>
          </cell>
          <cell r="H165">
            <v>0</v>
          </cell>
          <cell r="I165">
            <v>0</v>
          </cell>
          <cell r="J165">
            <v>-13408</v>
          </cell>
        </row>
        <row r="166">
          <cell r="A166">
            <v>1192100910</v>
          </cell>
          <cell r="B166" t="str">
            <v>פנ'מענק ניהול כספי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</row>
        <row r="167">
          <cell r="A167">
            <v>1194000910</v>
          </cell>
          <cell r="B167" t="str">
            <v>מענק מ'הפנים-קליטה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A168">
            <v>1196100910</v>
          </cell>
          <cell r="B168" t="str">
            <v>בחירות:רשות מקומית</v>
          </cell>
          <cell r="C168">
            <v>-1847670</v>
          </cell>
          <cell r="D168">
            <v>-1864470</v>
          </cell>
          <cell r="E168">
            <v>0</v>
          </cell>
          <cell r="F168">
            <v>-1864470</v>
          </cell>
          <cell r="G168">
            <v>16800</v>
          </cell>
          <cell r="H168">
            <v>100.9</v>
          </cell>
          <cell r="I168">
            <v>-1847670</v>
          </cell>
          <cell r="J168">
            <v>-1864470</v>
          </cell>
        </row>
        <row r="169">
          <cell r="A169">
            <v>1212200690</v>
          </cell>
          <cell r="B169" t="str">
            <v>הכנ.מפינ.מכו.פר.א.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</row>
        <row r="170">
          <cell r="A170">
            <v>1212200692</v>
          </cell>
          <cell r="B170" t="str">
            <v>ניקוי מגרשים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A171">
            <v>1212300690</v>
          </cell>
          <cell r="B171" t="str">
            <v>אריזות כתומים-הפרדה במקור</v>
          </cell>
          <cell r="C171">
            <v>-2000000</v>
          </cell>
          <cell r="D171">
            <v>-757304.16</v>
          </cell>
          <cell r="E171">
            <v>0</v>
          </cell>
          <cell r="F171">
            <v>-757304.16</v>
          </cell>
          <cell r="G171">
            <v>-1242695.8400000001</v>
          </cell>
          <cell r="H171">
            <v>37.86</v>
          </cell>
          <cell r="I171">
            <v>-2000000</v>
          </cell>
          <cell r="J171">
            <v>-757304.16</v>
          </cell>
        </row>
        <row r="172">
          <cell r="A172">
            <v>1212300691</v>
          </cell>
          <cell r="B172" t="str">
            <v>מכירת מיכלי אשפה</v>
          </cell>
          <cell r="C172">
            <v>0</v>
          </cell>
          <cell r="D172">
            <v>-133966.54999999999</v>
          </cell>
          <cell r="E172">
            <v>0</v>
          </cell>
          <cell r="F172">
            <v>-133966.54999999999</v>
          </cell>
          <cell r="G172">
            <v>133966.54999999999</v>
          </cell>
          <cell r="H172">
            <v>0</v>
          </cell>
          <cell r="I172">
            <v>0</v>
          </cell>
          <cell r="J172">
            <v>-133966.54999999999</v>
          </cell>
        </row>
        <row r="173">
          <cell r="A173">
            <v>1212300692</v>
          </cell>
          <cell r="B173" t="str">
            <v>הכנסות סילוק פסולת עיסקית</v>
          </cell>
          <cell r="C173">
            <v>-10100000</v>
          </cell>
          <cell r="D173">
            <v>-9060289.5299999993</v>
          </cell>
          <cell r="E173">
            <v>0</v>
          </cell>
          <cell r="F173">
            <v>-9060289.5299999993</v>
          </cell>
          <cell r="G173">
            <v>-1039710.47</v>
          </cell>
          <cell r="H173">
            <v>89.7</v>
          </cell>
          <cell r="I173">
            <v>-10100000</v>
          </cell>
          <cell r="J173">
            <v>-9060289.5299999993</v>
          </cell>
        </row>
        <row r="174">
          <cell r="A174">
            <v>1212300693</v>
          </cell>
          <cell r="B174" t="str">
            <v>מכירת בקבוקי פלסטיק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</row>
        <row r="175">
          <cell r="A175">
            <v>1212300694</v>
          </cell>
          <cell r="B175" t="str">
            <v>מכירת נייר</v>
          </cell>
          <cell r="C175">
            <v>-78000</v>
          </cell>
          <cell r="D175">
            <v>-13278.61</v>
          </cell>
          <cell r="E175">
            <v>0</v>
          </cell>
          <cell r="F175">
            <v>-13278.61</v>
          </cell>
          <cell r="G175">
            <v>-64721.39</v>
          </cell>
          <cell r="H175">
            <v>17.02</v>
          </cell>
          <cell r="I175">
            <v>-78000</v>
          </cell>
          <cell r="J175">
            <v>-13278.61</v>
          </cell>
        </row>
        <row r="176">
          <cell r="A176">
            <v>1212300695</v>
          </cell>
          <cell r="B176" t="str">
            <v>מכירת בגדים משומשים</v>
          </cell>
          <cell r="C176">
            <v>-1800</v>
          </cell>
          <cell r="D176">
            <v>0</v>
          </cell>
          <cell r="E176">
            <v>0</v>
          </cell>
          <cell r="F176">
            <v>0</v>
          </cell>
          <cell r="G176">
            <v>-1800</v>
          </cell>
          <cell r="H176">
            <v>0</v>
          </cell>
          <cell r="I176">
            <v>-1800</v>
          </cell>
          <cell r="J176">
            <v>0</v>
          </cell>
        </row>
        <row r="177">
          <cell r="A177">
            <v>1212300696</v>
          </cell>
          <cell r="B177" t="str">
            <v>מכירת קרטון למיחזור</v>
          </cell>
          <cell r="C177">
            <v>-26400</v>
          </cell>
          <cell r="D177">
            <v>-24820.95</v>
          </cell>
          <cell r="E177">
            <v>0</v>
          </cell>
          <cell r="F177">
            <v>-24820.95</v>
          </cell>
          <cell r="G177">
            <v>-1579.05</v>
          </cell>
          <cell r="H177">
            <v>94.01</v>
          </cell>
          <cell r="I177">
            <v>-26400</v>
          </cell>
          <cell r="J177">
            <v>-24820.95</v>
          </cell>
        </row>
        <row r="178">
          <cell r="A178">
            <v>1212300697</v>
          </cell>
          <cell r="B178" t="str">
            <v>קרטון - תאגיד תמיר</v>
          </cell>
          <cell r="C178">
            <v>-607000</v>
          </cell>
          <cell r="D178">
            <v>-151880.4</v>
          </cell>
          <cell r="E178">
            <v>0</v>
          </cell>
          <cell r="F178">
            <v>-151880.4</v>
          </cell>
          <cell r="G178">
            <v>-455119.6</v>
          </cell>
          <cell r="H178">
            <v>25.02</v>
          </cell>
          <cell r="I178">
            <v>-607000</v>
          </cell>
          <cell r="J178">
            <v>-151880.4</v>
          </cell>
        </row>
        <row r="179">
          <cell r="A179">
            <v>1212300698</v>
          </cell>
          <cell r="B179" t="str">
            <v>גזם-איגוד תברואה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</row>
        <row r="180">
          <cell r="A180">
            <v>1212300699</v>
          </cell>
          <cell r="B180" t="str">
            <v>מכירת פסולת אלקטרונית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A181">
            <v>1212300990</v>
          </cell>
          <cell r="B181" t="str">
            <v>מיחזור פלסטיק+נייר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</row>
        <row r="182">
          <cell r="A182">
            <v>1212300991</v>
          </cell>
          <cell r="B182" t="str">
            <v>אתר הפסולת-איכה"ס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</row>
        <row r="183">
          <cell r="A183">
            <v>1212600590</v>
          </cell>
          <cell r="B183" t="str">
            <v>הכנסות שמירה</v>
          </cell>
          <cell r="C183">
            <v>-400000</v>
          </cell>
          <cell r="D183">
            <v>-452648.93</v>
          </cell>
          <cell r="E183">
            <v>0</v>
          </cell>
          <cell r="F183">
            <v>-452648.93</v>
          </cell>
          <cell r="G183">
            <v>52648.93</v>
          </cell>
          <cell r="H183">
            <v>113.16</v>
          </cell>
          <cell r="I183">
            <v>-400000</v>
          </cell>
          <cell r="J183">
            <v>-452648.93</v>
          </cell>
        </row>
        <row r="184">
          <cell r="A184">
            <v>1212600591</v>
          </cell>
          <cell r="B184" t="str">
            <v>חניית  משאיות</v>
          </cell>
          <cell r="C184">
            <v>-110400</v>
          </cell>
          <cell r="D184">
            <v>-111626.4</v>
          </cell>
          <cell r="E184">
            <v>0</v>
          </cell>
          <cell r="F184">
            <v>-111626.4</v>
          </cell>
          <cell r="G184">
            <v>1226.4000000000001</v>
          </cell>
          <cell r="H184">
            <v>101.11</v>
          </cell>
          <cell r="I184">
            <v>-110400</v>
          </cell>
          <cell r="J184">
            <v>-111626.4</v>
          </cell>
        </row>
        <row r="185">
          <cell r="A185">
            <v>1212600592</v>
          </cell>
          <cell r="B185" t="str">
            <v>החזר חשמל מקבלן אשפה</v>
          </cell>
          <cell r="C185">
            <v>-60500</v>
          </cell>
          <cell r="D185">
            <v>6113</v>
          </cell>
          <cell r="E185">
            <v>0</v>
          </cell>
          <cell r="F185">
            <v>6113</v>
          </cell>
          <cell r="G185">
            <v>-66613</v>
          </cell>
          <cell r="H185">
            <v>-10.1</v>
          </cell>
          <cell r="I185">
            <v>-60500</v>
          </cell>
          <cell r="J185">
            <v>6113</v>
          </cell>
        </row>
        <row r="186">
          <cell r="A186">
            <v>1213300310</v>
          </cell>
          <cell r="B186" t="str">
            <v>רישוי עסקים</v>
          </cell>
          <cell r="C186">
            <v>-250000</v>
          </cell>
          <cell r="D186">
            <v>-316029.53000000003</v>
          </cell>
          <cell r="E186">
            <v>0</v>
          </cell>
          <cell r="F186">
            <v>-316029.53000000003</v>
          </cell>
          <cell r="G186">
            <v>66029.53</v>
          </cell>
          <cell r="H186">
            <v>126.41</v>
          </cell>
          <cell r="I186">
            <v>-250000</v>
          </cell>
          <cell r="J186">
            <v>-316029.53000000003</v>
          </cell>
        </row>
        <row r="187">
          <cell r="A187">
            <v>1214000220</v>
          </cell>
          <cell r="B187" t="str">
            <v>אג'רישוי/חיסון כלב ואג' עופות</v>
          </cell>
          <cell r="C187">
            <v>-1250000</v>
          </cell>
          <cell r="D187">
            <v>-1537191.64</v>
          </cell>
          <cell r="E187">
            <v>0</v>
          </cell>
          <cell r="F187">
            <v>-1537191.64</v>
          </cell>
          <cell r="G187">
            <v>287191.64</v>
          </cell>
          <cell r="H187">
            <v>122.97</v>
          </cell>
          <cell r="I187">
            <v>-1250000</v>
          </cell>
          <cell r="J187">
            <v>-1537191.64</v>
          </cell>
        </row>
        <row r="188">
          <cell r="A188">
            <v>1214000221</v>
          </cell>
          <cell r="B188" t="str">
            <v>הובלה ושהייה בכלביה</v>
          </cell>
          <cell r="C188">
            <v>-11000</v>
          </cell>
          <cell r="D188">
            <v>-9771.5</v>
          </cell>
          <cell r="E188">
            <v>0</v>
          </cell>
          <cell r="F188">
            <v>-9771.5</v>
          </cell>
          <cell r="G188">
            <v>-1228.5</v>
          </cell>
          <cell r="H188">
            <v>88.83</v>
          </cell>
          <cell r="I188">
            <v>-11000</v>
          </cell>
          <cell r="J188">
            <v>-9771.5</v>
          </cell>
        </row>
        <row r="189">
          <cell r="A189">
            <v>1214000222</v>
          </cell>
          <cell r="B189" t="str">
            <v>החזקת בע"ח / בעלי  כנף</v>
          </cell>
          <cell r="C189">
            <v>-4000</v>
          </cell>
          <cell r="D189">
            <v>-1320</v>
          </cell>
          <cell r="E189">
            <v>0</v>
          </cell>
          <cell r="F189">
            <v>-1320</v>
          </cell>
          <cell r="G189">
            <v>-2680</v>
          </cell>
          <cell r="H189">
            <v>33</v>
          </cell>
          <cell r="I189">
            <v>-4000</v>
          </cell>
          <cell r="J189">
            <v>-1320</v>
          </cell>
        </row>
        <row r="190">
          <cell r="A190">
            <v>1214000690</v>
          </cell>
          <cell r="B190" t="str">
            <v>הסגר כלבים ביתי</v>
          </cell>
          <cell r="C190">
            <v>-6000</v>
          </cell>
          <cell r="D190">
            <v>-11488</v>
          </cell>
          <cell r="E190">
            <v>0</v>
          </cell>
          <cell r="F190">
            <v>-11488</v>
          </cell>
          <cell r="G190">
            <v>5488</v>
          </cell>
          <cell r="H190">
            <v>191.46</v>
          </cell>
          <cell r="I190">
            <v>-6000</v>
          </cell>
          <cell r="J190">
            <v>-11488</v>
          </cell>
        </row>
        <row r="191">
          <cell r="A191">
            <v>1214000790</v>
          </cell>
          <cell r="B191" t="str">
            <v>בדיקת בשר ודגים</v>
          </cell>
          <cell r="C191">
            <v>-750000</v>
          </cell>
          <cell r="D191">
            <v>-1049810.3799999999</v>
          </cell>
          <cell r="E191">
            <v>0</v>
          </cell>
          <cell r="F191">
            <v>-1049810.3799999999</v>
          </cell>
          <cell r="G191">
            <v>299810.38</v>
          </cell>
          <cell r="H191">
            <v>139.97</v>
          </cell>
          <cell r="I191">
            <v>-750000</v>
          </cell>
          <cell r="J191">
            <v>-1049810.3799999999</v>
          </cell>
        </row>
        <row r="192">
          <cell r="A192">
            <v>1214000791</v>
          </cell>
          <cell r="B192" t="str">
            <v>בדיקות משנה תחנה איזורית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A193">
            <v>1214000990</v>
          </cell>
          <cell r="B193" t="str">
            <v>עיקור חתולים וכלבים</v>
          </cell>
          <cell r="C193">
            <v>-200000</v>
          </cell>
          <cell r="D193">
            <v>-265772.96999999997</v>
          </cell>
          <cell r="E193">
            <v>0</v>
          </cell>
          <cell r="F193">
            <v>-265772.96999999997</v>
          </cell>
          <cell r="G193">
            <v>65772.97</v>
          </cell>
          <cell r="H193">
            <v>132.88</v>
          </cell>
          <cell r="I193">
            <v>-200000</v>
          </cell>
          <cell r="J193">
            <v>-265772.96999999997</v>
          </cell>
        </row>
        <row r="194">
          <cell r="A194">
            <v>1221000000</v>
          </cell>
          <cell r="B194" t="str">
            <v>מינהל שמירה וביטחון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</row>
        <row r="195">
          <cell r="A195">
            <v>1221000420</v>
          </cell>
          <cell r="B195" t="str">
            <v>עבור שרותי קב"טים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</row>
        <row r="196">
          <cell r="A196">
            <v>1222100910</v>
          </cell>
          <cell r="B196" t="str">
            <v>השתתפות הממשלה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</row>
        <row r="197">
          <cell r="A197">
            <v>1222200220</v>
          </cell>
          <cell r="B197" t="str">
            <v>אגרת ביטחון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</row>
        <row r="198">
          <cell r="A198">
            <v>1223000640</v>
          </cell>
          <cell r="B198" t="str">
            <v>שכר דירה ממקלטים</v>
          </cell>
          <cell r="C198">
            <v>-25000</v>
          </cell>
          <cell r="D198">
            <v>-62470</v>
          </cell>
          <cell r="E198">
            <v>0</v>
          </cell>
          <cell r="F198">
            <v>-62470</v>
          </cell>
          <cell r="G198">
            <v>37470</v>
          </cell>
          <cell r="H198">
            <v>249.88</v>
          </cell>
          <cell r="I198">
            <v>-25000</v>
          </cell>
          <cell r="J198">
            <v>-62470</v>
          </cell>
        </row>
        <row r="199">
          <cell r="A199">
            <v>1223000791</v>
          </cell>
          <cell r="B199" t="str">
            <v>השתת' בת-ים בהג"א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</row>
        <row r="200">
          <cell r="A200">
            <v>1223000792</v>
          </cell>
          <cell r="B200" t="str">
            <v>השתת' אזור בהג"א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</row>
        <row r="201">
          <cell r="A201">
            <v>1223000910</v>
          </cell>
          <cell r="B201" t="str">
            <v>שידרוג מקלטים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</row>
        <row r="202">
          <cell r="A202">
            <v>1226100910</v>
          </cell>
          <cell r="B202" t="str">
            <v>השתלמויות לפס"ח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</row>
        <row r="203">
          <cell r="A203">
            <v>1226100912</v>
          </cell>
          <cell r="B203" t="str">
            <v>הצטיידות חרום קורונה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A204">
            <v>1229999910</v>
          </cell>
          <cell r="B204" t="str">
            <v>כיסוי הוצאות לשעת חירום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</row>
        <row r="205">
          <cell r="A205">
            <v>1231000690</v>
          </cell>
          <cell r="B205" t="str">
            <v>משרד מהנדס הרשות</v>
          </cell>
          <cell r="C205">
            <v>0</v>
          </cell>
          <cell r="D205">
            <v>-10967.23</v>
          </cell>
          <cell r="E205">
            <v>0</v>
          </cell>
          <cell r="F205">
            <v>-10967.23</v>
          </cell>
          <cell r="G205">
            <v>10967.23</v>
          </cell>
          <cell r="H205">
            <v>0</v>
          </cell>
          <cell r="I205">
            <v>0</v>
          </cell>
          <cell r="J205">
            <v>-10967.23</v>
          </cell>
        </row>
        <row r="206">
          <cell r="A206">
            <v>1231000691</v>
          </cell>
          <cell r="B206" t="str">
            <v>אג.בגין מסירת מידע</v>
          </cell>
          <cell r="C206">
            <v>-150000</v>
          </cell>
          <cell r="D206">
            <v>-102522</v>
          </cell>
          <cell r="E206">
            <v>0</v>
          </cell>
          <cell r="F206">
            <v>-102522</v>
          </cell>
          <cell r="G206">
            <v>-47478</v>
          </cell>
          <cell r="H206">
            <v>68.34</v>
          </cell>
          <cell r="I206">
            <v>-150000</v>
          </cell>
          <cell r="J206">
            <v>-102522</v>
          </cell>
        </row>
        <row r="207">
          <cell r="A207">
            <v>1231000692</v>
          </cell>
          <cell r="B207" t="str">
            <v>תעודת עובד ציבור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</row>
        <row r="208">
          <cell r="A208">
            <v>1232200690</v>
          </cell>
          <cell r="B208" t="str">
            <v>הצבת סככות אוטובוס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</row>
        <row r="209">
          <cell r="A209">
            <v>1232300690</v>
          </cell>
          <cell r="B209" t="str">
            <v>הדבקת מודעות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A210">
            <v>1232300691</v>
          </cell>
          <cell r="B210" t="str">
            <v>הכנסות ממחלקות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</row>
        <row r="211">
          <cell r="A211">
            <v>1232400410</v>
          </cell>
          <cell r="B211" t="str">
            <v>הצבה / העתקה עמוד חניה לנכים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</row>
        <row r="212">
          <cell r="A212">
            <v>1232400991</v>
          </cell>
          <cell r="B212" t="str">
            <v>החזר בגין אחזקת רמזורים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</row>
        <row r="213">
          <cell r="A213">
            <v>1233000290</v>
          </cell>
          <cell r="B213" t="str">
            <v>רשיונות בניה-כללי</v>
          </cell>
          <cell r="C213">
            <v>-6000000</v>
          </cell>
          <cell r="D213">
            <v>-8774515.5399999991</v>
          </cell>
          <cell r="E213">
            <v>0</v>
          </cell>
          <cell r="F213">
            <v>-8774515.5399999991</v>
          </cell>
          <cell r="G213">
            <v>2774515.54</v>
          </cell>
          <cell r="H213">
            <v>146.24</v>
          </cell>
          <cell r="I213">
            <v>-6000000</v>
          </cell>
          <cell r="J213">
            <v>-8774515.5399999991</v>
          </cell>
        </row>
        <row r="214">
          <cell r="A214">
            <v>1233000310</v>
          </cell>
          <cell r="B214" t="str">
            <v>היטל השבחה מפיתוח</v>
          </cell>
          <cell r="C214">
            <v>-32171400</v>
          </cell>
          <cell r="D214">
            <v>-27599770</v>
          </cell>
          <cell r="E214">
            <v>0</v>
          </cell>
          <cell r="F214">
            <v>-27599770</v>
          </cell>
          <cell r="G214">
            <v>-4571630</v>
          </cell>
          <cell r="H214">
            <v>85.78</v>
          </cell>
          <cell r="I214">
            <v>-32171400</v>
          </cell>
          <cell r="J214">
            <v>-27599770</v>
          </cell>
        </row>
        <row r="215">
          <cell r="A215">
            <v>1233000690</v>
          </cell>
          <cell r="B215" t="str">
            <v>החזר דמי בדיקה פרטי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</row>
        <row r="216">
          <cell r="A216">
            <v>1233000691</v>
          </cell>
          <cell r="B216" t="str">
            <v>קנסות מנהליים-חריגות בניה</v>
          </cell>
          <cell r="C216">
            <v>-66547</v>
          </cell>
          <cell r="D216">
            <v>-66547</v>
          </cell>
          <cell r="E216">
            <v>0</v>
          </cell>
          <cell r="F216">
            <v>-66547</v>
          </cell>
          <cell r="G216">
            <v>0</v>
          </cell>
          <cell r="H216">
            <v>100</v>
          </cell>
          <cell r="I216">
            <v>-66547</v>
          </cell>
          <cell r="J216">
            <v>-66547</v>
          </cell>
        </row>
        <row r="217">
          <cell r="A217">
            <v>1233000692</v>
          </cell>
          <cell r="B217" t="str">
            <v>הכנסות מבנים מסוכנים</v>
          </cell>
          <cell r="C217">
            <v>0</v>
          </cell>
          <cell r="D217">
            <v>-2328.5500000000002</v>
          </cell>
          <cell r="E217">
            <v>0</v>
          </cell>
          <cell r="F217">
            <v>-2328.5500000000002</v>
          </cell>
          <cell r="G217">
            <v>2328.5500000000002</v>
          </cell>
          <cell r="H217">
            <v>0</v>
          </cell>
          <cell r="I217">
            <v>0</v>
          </cell>
          <cell r="J217">
            <v>-2328.5500000000002</v>
          </cell>
        </row>
        <row r="218">
          <cell r="A218">
            <v>1233000990</v>
          </cell>
          <cell r="B218" t="str">
            <v>תמרוץ דיור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</row>
        <row r="219">
          <cell r="A219">
            <v>1241000790</v>
          </cell>
          <cell r="B219" t="str">
            <v>עיר בריאה - רשות ניקוז ירקון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A220">
            <v>1241000923</v>
          </cell>
          <cell r="B220" t="str">
            <v>עיר בריאה - הגנת הסביבה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</row>
        <row r="221">
          <cell r="A221">
            <v>1242000690</v>
          </cell>
          <cell r="B221" t="str">
            <v>חילוט ערבות-חול</v>
          </cell>
          <cell r="C221">
            <v>0</v>
          </cell>
          <cell r="D221">
            <v>-108000</v>
          </cell>
          <cell r="E221">
            <v>0</v>
          </cell>
          <cell r="F221">
            <v>-108000</v>
          </cell>
          <cell r="G221">
            <v>108000</v>
          </cell>
          <cell r="H221">
            <v>0</v>
          </cell>
          <cell r="I221">
            <v>0</v>
          </cell>
          <cell r="J221">
            <v>-108000</v>
          </cell>
        </row>
        <row r="222">
          <cell r="A222">
            <v>1243000690</v>
          </cell>
          <cell r="B222" t="str">
            <v>השתת' במאור שלטים</v>
          </cell>
          <cell r="C222">
            <v>-50000</v>
          </cell>
          <cell r="D222">
            <v>0</v>
          </cell>
          <cell r="E222">
            <v>0</v>
          </cell>
          <cell r="F222">
            <v>0</v>
          </cell>
          <cell r="G222">
            <v>-50000</v>
          </cell>
          <cell r="H222">
            <v>0</v>
          </cell>
          <cell r="I222">
            <v>-50000</v>
          </cell>
          <cell r="J222">
            <v>0</v>
          </cell>
        </row>
        <row r="223">
          <cell r="A223">
            <v>1244000990</v>
          </cell>
          <cell r="B223" t="str">
            <v>פגיעות בתמרורים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</row>
        <row r="224">
          <cell r="A224">
            <v>1244000991</v>
          </cell>
          <cell r="B224" t="str">
            <v>משרד התחבורה-סימון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A225">
            <v>1244000992</v>
          </cell>
          <cell r="B225" t="str">
            <v>מש'תחבורה-ב'בדרכים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A226">
            <v>1244000993</v>
          </cell>
          <cell r="B226" t="str">
            <v>בטיחות מהכנסה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</row>
        <row r="227">
          <cell r="A227">
            <v>1245000410</v>
          </cell>
          <cell r="B227" t="str">
            <v>חיבור תיעול ע"ח צרכן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</row>
        <row r="228">
          <cell r="A228">
            <v>1245000790</v>
          </cell>
          <cell r="B228" t="str">
            <v>רשות ניקוז ירקון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</row>
        <row r="229">
          <cell r="A229">
            <v>1246100640</v>
          </cell>
          <cell r="B229" t="str">
            <v>דמי שכירות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</row>
        <row r="230">
          <cell r="A230">
            <v>1246100691</v>
          </cell>
          <cell r="B230" t="str">
            <v>מכירת סכך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</row>
        <row r="231">
          <cell r="A231">
            <v>1246100692</v>
          </cell>
          <cell r="B231" t="str">
            <v>פינת ליטוף</v>
          </cell>
          <cell r="C231">
            <v>-120000</v>
          </cell>
          <cell r="D231">
            <v>-196098</v>
          </cell>
          <cell r="E231">
            <v>0</v>
          </cell>
          <cell r="F231">
            <v>-196098</v>
          </cell>
          <cell r="G231">
            <v>76098</v>
          </cell>
          <cell r="H231">
            <v>163.41</v>
          </cell>
          <cell r="I231">
            <v>-120000</v>
          </cell>
          <cell r="J231">
            <v>-196098</v>
          </cell>
        </row>
        <row r="232">
          <cell r="A232">
            <v>1246100693</v>
          </cell>
          <cell r="B232" t="str">
            <v>הכנסות גן הקקטוסים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A233">
            <v>1246500690</v>
          </cell>
          <cell r="B233" t="str">
            <v>הכנסות מהמשתלה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</row>
        <row r="234">
          <cell r="A234">
            <v>1254000420</v>
          </cell>
          <cell r="B234" t="str">
            <v>השת' הורים במשלחות</v>
          </cell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</row>
        <row r="235">
          <cell r="A235">
            <v>1254000770</v>
          </cell>
          <cell r="B235" t="str">
            <v>השתתפות ממשלת גרמניה במשלחות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</row>
        <row r="236">
          <cell r="A236">
            <v>1254000771</v>
          </cell>
          <cell r="B236" t="str">
            <v>פרוייקט האיחוד R&amp;D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</row>
        <row r="237">
          <cell r="A237">
            <v>1254000772</v>
          </cell>
          <cell r="B237" t="str">
            <v>פרוייקט האיחוד-נער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A238">
            <v>1267000540</v>
          </cell>
          <cell r="B238" t="str">
            <v>הכנסות מתביעות ביטוח</v>
          </cell>
          <cell r="C238">
            <v>0</v>
          </cell>
          <cell r="D238">
            <v>-42661.599999999999</v>
          </cell>
          <cell r="E238">
            <v>0</v>
          </cell>
          <cell r="F238">
            <v>-42661.599999999999</v>
          </cell>
          <cell r="G238">
            <v>42661.599999999999</v>
          </cell>
          <cell r="H238">
            <v>0</v>
          </cell>
          <cell r="I238">
            <v>0</v>
          </cell>
          <cell r="J238">
            <v>-42661.599999999999</v>
          </cell>
        </row>
        <row r="239">
          <cell r="A239">
            <v>1269000114</v>
          </cell>
          <cell r="B239" t="str">
            <v>רישום מטלטלין מילגם</v>
          </cell>
          <cell r="C239">
            <v>-60000</v>
          </cell>
          <cell r="D239">
            <v>-40517.24</v>
          </cell>
          <cell r="E239">
            <v>0</v>
          </cell>
          <cell r="F239">
            <v>-40517.24</v>
          </cell>
          <cell r="G239">
            <v>-19482.759999999998</v>
          </cell>
          <cell r="H239">
            <v>67.52</v>
          </cell>
          <cell r="I239">
            <v>-60000</v>
          </cell>
          <cell r="J239">
            <v>-40517.24</v>
          </cell>
        </row>
        <row r="240">
          <cell r="A240">
            <v>1269000115</v>
          </cell>
          <cell r="B240" t="str">
            <v>עיקולי בנק מילגם</v>
          </cell>
          <cell r="C240">
            <v>-17000</v>
          </cell>
          <cell r="D240">
            <v>-25660.94</v>
          </cell>
          <cell r="E240">
            <v>0</v>
          </cell>
          <cell r="F240">
            <v>-25660.94</v>
          </cell>
          <cell r="G240">
            <v>8660.94</v>
          </cell>
          <cell r="H240">
            <v>150.94</v>
          </cell>
          <cell r="I240">
            <v>-17000</v>
          </cell>
          <cell r="J240">
            <v>-25660.94</v>
          </cell>
        </row>
        <row r="241">
          <cell r="A241">
            <v>1269000116</v>
          </cell>
          <cell r="B241" t="str">
            <v>רישום עיקול בטאבו</v>
          </cell>
          <cell r="C241">
            <v>0</v>
          </cell>
          <cell r="D241">
            <v>-75.349999999999994</v>
          </cell>
          <cell r="E241">
            <v>0</v>
          </cell>
          <cell r="F241">
            <v>-75.349999999999994</v>
          </cell>
          <cell r="G241">
            <v>75.349999999999994</v>
          </cell>
          <cell r="H241">
            <v>0</v>
          </cell>
          <cell r="I241">
            <v>0</v>
          </cell>
          <cell r="J241">
            <v>-75.349999999999994</v>
          </cell>
        </row>
        <row r="242">
          <cell r="A242">
            <v>1269000117</v>
          </cell>
          <cell r="B242" t="str">
            <v>דרישות ידניות - מילגם</v>
          </cell>
          <cell r="C242">
            <v>0</v>
          </cell>
          <cell r="D242">
            <v>-74.95</v>
          </cell>
          <cell r="E242">
            <v>0</v>
          </cell>
          <cell r="F242">
            <v>-74.95</v>
          </cell>
          <cell r="G242">
            <v>74.95</v>
          </cell>
          <cell r="H242">
            <v>0</v>
          </cell>
          <cell r="I242">
            <v>0</v>
          </cell>
          <cell r="J242">
            <v>-74.95</v>
          </cell>
        </row>
        <row r="243">
          <cell r="A243">
            <v>1269000290</v>
          </cell>
          <cell r="B243" t="str">
            <v>עיקול בנק מגער</v>
          </cell>
          <cell r="C243">
            <v>-183000</v>
          </cell>
          <cell r="D243">
            <v>-171477.41</v>
          </cell>
          <cell r="E243">
            <v>0</v>
          </cell>
          <cell r="F243">
            <v>-171477.41</v>
          </cell>
          <cell r="G243">
            <v>-11522.59</v>
          </cell>
          <cell r="H243">
            <v>93.7</v>
          </cell>
          <cell r="I243">
            <v>-183000</v>
          </cell>
          <cell r="J243">
            <v>-171477.41</v>
          </cell>
        </row>
        <row r="244">
          <cell r="A244">
            <v>1269000291</v>
          </cell>
          <cell r="B244" t="str">
            <v>עיקול ברישום מגער</v>
          </cell>
          <cell r="C244">
            <v>-640000</v>
          </cell>
          <cell r="D244">
            <v>-455202.1</v>
          </cell>
          <cell r="E244">
            <v>0</v>
          </cell>
          <cell r="F244">
            <v>-455202.1</v>
          </cell>
          <cell r="G244">
            <v>-184797.9</v>
          </cell>
          <cell r="H244">
            <v>71.12</v>
          </cell>
          <cell r="I244">
            <v>-640000</v>
          </cell>
          <cell r="J244">
            <v>-455202.1</v>
          </cell>
        </row>
        <row r="245">
          <cell r="A245">
            <v>1269000292</v>
          </cell>
          <cell r="B245" t="str">
            <v>עיקול בפועל מגער</v>
          </cell>
          <cell r="C245">
            <v>-275000</v>
          </cell>
          <cell r="D245">
            <v>-181949.72</v>
          </cell>
          <cell r="E245">
            <v>0</v>
          </cell>
          <cell r="F245">
            <v>-181949.72</v>
          </cell>
          <cell r="G245">
            <v>-93050.28</v>
          </cell>
          <cell r="H245">
            <v>66.16</v>
          </cell>
          <cell r="I245">
            <v>-275000</v>
          </cell>
          <cell r="J245">
            <v>-181949.72</v>
          </cell>
        </row>
        <row r="246">
          <cell r="A246">
            <v>1269000293</v>
          </cell>
          <cell r="B246" t="str">
            <v>עיקול מקרקעין מגער</v>
          </cell>
          <cell r="C246">
            <v>-5000</v>
          </cell>
          <cell r="D246">
            <v>-136</v>
          </cell>
          <cell r="E246">
            <v>0</v>
          </cell>
          <cell r="F246">
            <v>-136</v>
          </cell>
          <cell r="G246">
            <v>-4864</v>
          </cell>
          <cell r="H246">
            <v>2.72</v>
          </cell>
          <cell r="I246">
            <v>-5000</v>
          </cell>
          <cell r="J246">
            <v>-136</v>
          </cell>
        </row>
        <row r="247">
          <cell r="A247">
            <v>1269000294</v>
          </cell>
          <cell r="B247" t="str">
            <v>דרישה פרטנית מגער</v>
          </cell>
          <cell r="C247">
            <v>-1000</v>
          </cell>
          <cell r="D247">
            <v>-431.99</v>
          </cell>
          <cell r="E247">
            <v>0</v>
          </cell>
          <cell r="F247">
            <v>-431.99</v>
          </cell>
          <cell r="G247">
            <v>-568.01</v>
          </cell>
          <cell r="H247">
            <v>43.19</v>
          </cell>
          <cell r="I247">
            <v>-1000</v>
          </cell>
          <cell r="J247">
            <v>-431.99</v>
          </cell>
        </row>
        <row r="248">
          <cell r="A248">
            <v>1269000691</v>
          </cell>
          <cell r="B248" t="str">
            <v>רש"ת-הצבת אנטנות בבי"ס</v>
          </cell>
          <cell r="C248">
            <v>-3500</v>
          </cell>
          <cell r="D248">
            <v>-1450</v>
          </cell>
          <cell r="E248">
            <v>0</v>
          </cell>
          <cell r="F248">
            <v>-1450</v>
          </cell>
          <cell r="G248">
            <v>-2050</v>
          </cell>
          <cell r="H248">
            <v>41.42</v>
          </cell>
          <cell r="I248">
            <v>-3500</v>
          </cell>
          <cell r="J248">
            <v>-1450</v>
          </cell>
        </row>
        <row r="249">
          <cell r="A249">
            <v>1269000692</v>
          </cell>
          <cell r="B249" t="str">
            <v>עיקולי בנק</v>
          </cell>
          <cell r="C249">
            <v>-25000</v>
          </cell>
          <cell r="D249">
            <v>-8835.9699999999993</v>
          </cell>
          <cell r="E249">
            <v>0</v>
          </cell>
          <cell r="F249">
            <v>-8835.9699999999993</v>
          </cell>
          <cell r="G249">
            <v>-16164.03</v>
          </cell>
          <cell r="H249">
            <v>35.340000000000003</v>
          </cell>
          <cell r="I249">
            <v>-25000</v>
          </cell>
          <cell r="J249">
            <v>-8835.9699999999993</v>
          </cell>
        </row>
        <row r="250">
          <cell r="A250">
            <v>1269000693</v>
          </cell>
          <cell r="B250" t="str">
            <v>אגרת מסירת מידע</v>
          </cell>
          <cell r="C250">
            <v>-1000</v>
          </cell>
          <cell r="D250">
            <v>-2133</v>
          </cell>
          <cell r="E250">
            <v>0</v>
          </cell>
          <cell r="F250">
            <v>-2133</v>
          </cell>
          <cell r="G250">
            <v>1133</v>
          </cell>
          <cell r="H250">
            <v>213.3</v>
          </cell>
          <cell r="I250">
            <v>-1000</v>
          </cell>
          <cell r="J250">
            <v>-2133</v>
          </cell>
        </row>
        <row r="251">
          <cell r="A251">
            <v>1269000696</v>
          </cell>
          <cell r="B251" t="str">
            <v>הכנסות מעמד האשה</v>
          </cell>
          <cell r="C251">
            <v>-40000</v>
          </cell>
          <cell r="D251">
            <v>-56277</v>
          </cell>
          <cell r="E251">
            <v>0</v>
          </cell>
          <cell r="F251">
            <v>-56277</v>
          </cell>
          <cell r="G251">
            <v>16277</v>
          </cell>
          <cell r="H251">
            <v>140.69</v>
          </cell>
          <cell r="I251">
            <v>-40000</v>
          </cell>
          <cell r="J251">
            <v>-56277</v>
          </cell>
        </row>
        <row r="252">
          <cell r="A252">
            <v>1269000697</v>
          </cell>
          <cell r="B252" t="str">
            <v>החזר מביטוח תאונות צד ג'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</row>
        <row r="253">
          <cell r="A253">
            <v>1269000925</v>
          </cell>
          <cell r="B253" t="str">
            <v>ניטור-רשות שדות התעופה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</row>
        <row r="254">
          <cell r="A254">
            <v>1269100410</v>
          </cell>
          <cell r="B254" t="str">
            <v>הכ' מקורסים והשתל'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</row>
        <row r="255">
          <cell r="A255">
            <v>1269100690</v>
          </cell>
          <cell r="B255" t="str">
            <v>צילום מסמכים לצבור</v>
          </cell>
          <cell r="C255">
            <v>0</v>
          </cell>
          <cell r="D255">
            <v>-206.6</v>
          </cell>
          <cell r="E255">
            <v>0</v>
          </cell>
          <cell r="F255">
            <v>-206.6</v>
          </cell>
          <cell r="G255">
            <v>206.6</v>
          </cell>
          <cell r="H255">
            <v>0</v>
          </cell>
          <cell r="I255">
            <v>0</v>
          </cell>
          <cell r="J255">
            <v>-206.6</v>
          </cell>
        </row>
        <row r="256">
          <cell r="A256">
            <v>1269100691</v>
          </cell>
          <cell r="B256" t="str">
            <v>הכנסות מאפסנאות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</row>
        <row r="257">
          <cell r="A257">
            <v>1269100692</v>
          </cell>
          <cell r="B257" t="str">
            <v>מכירת מכרזים</v>
          </cell>
          <cell r="C257">
            <v>-100000</v>
          </cell>
          <cell r="D257">
            <v>-60000</v>
          </cell>
          <cell r="E257">
            <v>0</v>
          </cell>
          <cell r="F257">
            <v>-60000</v>
          </cell>
          <cell r="G257">
            <v>-40000</v>
          </cell>
          <cell r="H257">
            <v>60</v>
          </cell>
          <cell r="I257">
            <v>-100000</v>
          </cell>
          <cell r="J257">
            <v>-60000</v>
          </cell>
        </row>
        <row r="258">
          <cell r="A258">
            <v>1269100693</v>
          </cell>
          <cell r="B258" t="str">
            <v>מכירת ספר חוקי עזר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</row>
        <row r="259">
          <cell r="A259">
            <v>1269110410</v>
          </cell>
          <cell r="B259" t="str">
            <v>הכנסות מפעולות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</row>
        <row r="260">
          <cell r="A260">
            <v>1269200691</v>
          </cell>
          <cell r="B260" t="str">
            <v>הכנסות ממחלקות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</row>
        <row r="261">
          <cell r="A261">
            <v>1269400690</v>
          </cell>
          <cell r="B261" t="str">
            <v>הכנס' משיפוץ תכולה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A262">
            <v>1269800790</v>
          </cell>
          <cell r="B262" t="str">
            <v>השתתפויות שונות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</row>
        <row r="263">
          <cell r="A263">
            <v>1269800791</v>
          </cell>
          <cell r="B263" t="str">
            <v>תוכניות עבודה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</row>
        <row r="264">
          <cell r="A264">
            <v>1269800910</v>
          </cell>
          <cell r="B264" t="str">
            <v>ג'וינט/משרד הפנים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</row>
        <row r="265">
          <cell r="A265">
            <v>1269800990</v>
          </cell>
          <cell r="B265" t="str">
            <v>מממשלה-עבור סיורים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</row>
        <row r="266">
          <cell r="A266">
            <v>1273000520</v>
          </cell>
          <cell r="B266" t="str">
            <v>החזר שכר חב לנכסים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A267">
            <v>1273000640</v>
          </cell>
          <cell r="B267" t="str">
            <v>הכנסות משרד-חכ"ל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</row>
        <row r="268">
          <cell r="A268">
            <v>1273000641</v>
          </cell>
          <cell r="B268" t="str">
            <v>ביטוח-כנגד הוצאות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</row>
        <row r="269">
          <cell r="A269">
            <v>1281100290</v>
          </cell>
          <cell r="B269" t="str">
            <v>מגער פיקוח דרישה ראשונה</v>
          </cell>
          <cell r="C269">
            <v>-10000</v>
          </cell>
          <cell r="D269">
            <v>-835.42</v>
          </cell>
          <cell r="E269">
            <v>0</v>
          </cell>
          <cell r="F269">
            <v>-835.42</v>
          </cell>
          <cell r="G269">
            <v>-9164.58</v>
          </cell>
          <cell r="H269">
            <v>8.35</v>
          </cell>
          <cell r="I269">
            <v>-10000</v>
          </cell>
          <cell r="J269">
            <v>-835.42</v>
          </cell>
        </row>
        <row r="270">
          <cell r="A270">
            <v>1281100291</v>
          </cell>
          <cell r="B270" t="str">
            <v>מגער פיקוח דרישה שניה</v>
          </cell>
          <cell r="C270">
            <v>-5000</v>
          </cell>
          <cell r="D270">
            <v>-5568.28</v>
          </cell>
          <cell r="E270">
            <v>0</v>
          </cell>
          <cell r="F270">
            <v>-5568.28</v>
          </cell>
          <cell r="G270">
            <v>568.28</v>
          </cell>
          <cell r="H270">
            <v>111.36</v>
          </cell>
          <cell r="I270">
            <v>-5000</v>
          </cell>
          <cell r="J270">
            <v>-5568.28</v>
          </cell>
        </row>
        <row r="271">
          <cell r="A271">
            <v>1281100292</v>
          </cell>
          <cell r="B271" t="str">
            <v>עיקול בנק מגער פיקוח</v>
          </cell>
          <cell r="C271">
            <v>-5000</v>
          </cell>
          <cell r="D271">
            <v>0</v>
          </cell>
          <cell r="E271">
            <v>0</v>
          </cell>
          <cell r="F271">
            <v>0</v>
          </cell>
          <cell r="G271">
            <v>-5000</v>
          </cell>
          <cell r="H271">
            <v>0</v>
          </cell>
          <cell r="I271">
            <v>-5000</v>
          </cell>
          <cell r="J271">
            <v>0</v>
          </cell>
        </row>
        <row r="272">
          <cell r="A272">
            <v>1281100293</v>
          </cell>
          <cell r="B272" t="str">
            <v>עיקול ברישום מגער פיקוח</v>
          </cell>
          <cell r="C272">
            <v>-1000</v>
          </cell>
          <cell r="D272">
            <v>0</v>
          </cell>
          <cell r="E272">
            <v>0</v>
          </cell>
          <cell r="F272">
            <v>0</v>
          </cell>
          <cell r="G272">
            <v>-1000</v>
          </cell>
          <cell r="H272">
            <v>0</v>
          </cell>
          <cell r="I272">
            <v>-1000</v>
          </cell>
          <cell r="J272">
            <v>0</v>
          </cell>
        </row>
        <row r="273">
          <cell r="A273">
            <v>1281100294</v>
          </cell>
          <cell r="B273" t="str">
            <v>עיקול בפועל מגער פיקוח</v>
          </cell>
          <cell r="C273">
            <v>-1000</v>
          </cell>
          <cell r="D273">
            <v>0</v>
          </cell>
          <cell r="E273">
            <v>0</v>
          </cell>
          <cell r="F273">
            <v>0</v>
          </cell>
          <cell r="G273">
            <v>-1000</v>
          </cell>
          <cell r="H273">
            <v>0</v>
          </cell>
          <cell r="I273">
            <v>-1000</v>
          </cell>
          <cell r="J273">
            <v>0</v>
          </cell>
        </row>
        <row r="274">
          <cell r="A274">
            <v>1281100420</v>
          </cell>
          <cell r="B274" t="str">
            <v>קנסות ברירת משפט</v>
          </cell>
          <cell r="C274">
            <v>-2500000</v>
          </cell>
          <cell r="D274">
            <v>-1706742.92</v>
          </cell>
          <cell r="E274">
            <v>0</v>
          </cell>
          <cell r="F274">
            <v>-1706742.92</v>
          </cell>
          <cell r="G274">
            <v>-793257.08</v>
          </cell>
          <cell r="H274">
            <v>68.260000000000005</v>
          </cell>
          <cell r="I274">
            <v>-2500000</v>
          </cell>
          <cell r="J274">
            <v>-1706742.92</v>
          </cell>
        </row>
        <row r="275">
          <cell r="A275">
            <v>1281100421</v>
          </cell>
          <cell r="B275" t="str">
            <v>עמלות אכיפת גבייה</v>
          </cell>
          <cell r="C275">
            <v>-500</v>
          </cell>
          <cell r="D275">
            <v>-503.23</v>
          </cell>
          <cell r="E275">
            <v>0</v>
          </cell>
          <cell r="F275">
            <v>-503.23</v>
          </cell>
          <cell r="G275">
            <v>3.23</v>
          </cell>
          <cell r="H275">
            <v>100.64</v>
          </cell>
          <cell r="I275">
            <v>-500</v>
          </cell>
          <cell r="J275">
            <v>-503.23</v>
          </cell>
        </row>
        <row r="276">
          <cell r="A276">
            <v>1281100422</v>
          </cell>
          <cell r="B276" t="str">
            <v>אגרות קנסות ברירת משפט</v>
          </cell>
          <cell r="C276">
            <v>-100</v>
          </cell>
          <cell r="D276">
            <v>-70.459999999999994</v>
          </cell>
          <cell r="E276">
            <v>0</v>
          </cell>
          <cell r="F276">
            <v>-70.459999999999994</v>
          </cell>
          <cell r="G276">
            <v>-29.54</v>
          </cell>
          <cell r="H276">
            <v>70.459999999999994</v>
          </cell>
          <cell r="I276">
            <v>-100</v>
          </cell>
          <cell r="J276">
            <v>-70.459999999999994</v>
          </cell>
        </row>
        <row r="277">
          <cell r="A277">
            <v>1281100424</v>
          </cell>
          <cell r="B277" t="str">
            <v>אגרות פיקוח מילגם</v>
          </cell>
          <cell r="C277">
            <v>-1250</v>
          </cell>
          <cell r="D277">
            <v>-5187.2700000000004</v>
          </cell>
          <cell r="E277">
            <v>0</v>
          </cell>
          <cell r="F277">
            <v>-5187.2700000000004</v>
          </cell>
          <cell r="G277">
            <v>3937.27</v>
          </cell>
          <cell r="H277">
            <v>414.98</v>
          </cell>
          <cell r="I277">
            <v>-1250</v>
          </cell>
          <cell r="J277">
            <v>-5187.2700000000004</v>
          </cell>
        </row>
        <row r="278">
          <cell r="A278">
            <v>1281100425</v>
          </cell>
          <cell r="B278" t="str">
            <v>אכיפה לדו גלגלי חשמלי</v>
          </cell>
          <cell r="C278">
            <v>0</v>
          </cell>
          <cell r="D278">
            <v>-3000</v>
          </cell>
          <cell r="E278">
            <v>0</v>
          </cell>
          <cell r="F278">
            <v>-3000</v>
          </cell>
          <cell r="G278">
            <v>3000</v>
          </cell>
          <cell r="H278">
            <v>0</v>
          </cell>
          <cell r="I278">
            <v>0</v>
          </cell>
          <cell r="J278">
            <v>-3000</v>
          </cell>
        </row>
        <row r="279">
          <cell r="A279">
            <v>1281100690</v>
          </cell>
          <cell r="B279" t="str">
            <v>הכנסות שונות</v>
          </cell>
          <cell r="C279">
            <v>-500000</v>
          </cell>
          <cell r="D279">
            <v>-277506.05</v>
          </cell>
          <cell r="E279">
            <v>0</v>
          </cell>
          <cell r="F279">
            <v>-277506.05</v>
          </cell>
          <cell r="G279">
            <v>-222493.95</v>
          </cell>
          <cell r="H279">
            <v>55.5</v>
          </cell>
          <cell r="I279">
            <v>-500000</v>
          </cell>
          <cell r="J279">
            <v>-277506.05</v>
          </cell>
        </row>
        <row r="280">
          <cell r="A280">
            <v>1281200290</v>
          </cell>
          <cell r="B280" t="str">
            <v>מגער חניה דרישה ראשונה</v>
          </cell>
          <cell r="C280">
            <v>-180000</v>
          </cell>
          <cell r="D280">
            <v>-51126.8</v>
          </cell>
          <cell r="E280">
            <v>0</v>
          </cell>
          <cell r="F280">
            <v>-51126.8</v>
          </cell>
          <cell r="G280">
            <v>-128873.2</v>
          </cell>
          <cell r="H280">
            <v>28.4</v>
          </cell>
          <cell r="I280">
            <v>-180000</v>
          </cell>
          <cell r="J280">
            <v>-51126.8</v>
          </cell>
        </row>
        <row r="281">
          <cell r="A281">
            <v>1281200291</v>
          </cell>
          <cell r="B281" t="str">
            <v>מגער חניה דרישה שניה</v>
          </cell>
          <cell r="C281">
            <v>-260000</v>
          </cell>
          <cell r="D281">
            <v>-22074</v>
          </cell>
          <cell r="E281">
            <v>0</v>
          </cell>
          <cell r="F281">
            <v>-22074</v>
          </cell>
          <cell r="G281">
            <v>-237926</v>
          </cell>
          <cell r="H281">
            <v>8.49</v>
          </cell>
          <cell r="I281">
            <v>-260000</v>
          </cell>
          <cell r="J281">
            <v>-22074</v>
          </cell>
        </row>
        <row r="282">
          <cell r="A282">
            <v>1281200292</v>
          </cell>
          <cell r="B282" t="str">
            <v>עיקול בנק מגער חניה</v>
          </cell>
          <cell r="C282">
            <v>-310000</v>
          </cell>
          <cell r="D282">
            <v>-14826.5</v>
          </cell>
          <cell r="E282">
            <v>0</v>
          </cell>
          <cell r="F282">
            <v>-14826.5</v>
          </cell>
          <cell r="G282">
            <v>-295173.5</v>
          </cell>
          <cell r="H282">
            <v>4.78</v>
          </cell>
          <cell r="I282">
            <v>-310000</v>
          </cell>
          <cell r="J282">
            <v>-14826.5</v>
          </cell>
        </row>
        <row r="283">
          <cell r="A283">
            <v>1281200293</v>
          </cell>
          <cell r="B283" t="str">
            <v>עיקול ברישום מגער חניה</v>
          </cell>
          <cell r="C283">
            <v>-310000</v>
          </cell>
          <cell r="D283">
            <v>-9400</v>
          </cell>
          <cell r="E283">
            <v>0</v>
          </cell>
          <cell r="F283">
            <v>-9400</v>
          </cell>
          <cell r="G283">
            <v>-300600</v>
          </cell>
          <cell r="H283">
            <v>3.03</v>
          </cell>
          <cell r="I283">
            <v>-310000</v>
          </cell>
          <cell r="J283">
            <v>-9400</v>
          </cell>
        </row>
        <row r="284">
          <cell r="A284">
            <v>1281200294</v>
          </cell>
          <cell r="B284" t="str">
            <v>עיקול בפועל מגער חניה</v>
          </cell>
          <cell r="C284">
            <v>-310000</v>
          </cell>
          <cell r="D284">
            <v>0</v>
          </cell>
          <cell r="E284">
            <v>0</v>
          </cell>
          <cell r="F284">
            <v>0</v>
          </cell>
          <cell r="G284">
            <v>-310000</v>
          </cell>
          <cell r="H284">
            <v>0</v>
          </cell>
          <cell r="I284">
            <v>-310000</v>
          </cell>
          <cell r="J284">
            <v>0</v>
          </cell>
        </row>
        <row r="285">
          <cell r="A285">
            <v>1281200420</v>
          </cell>
          <cell r="B285" t="str">
            <v>קנסות רשות חניה</v>
          </cell>
          <cell r="C285">
            <v>-22500000</v>
          </cell>
          <cell r="D285">
            <v>-19513103.530000001</v>
          </cell>
          <cell r="E285">
            <v>0</v>
          </cell>
          <cell r="F285">
            <v>-19513103.530000001</v>
          </cell>
          <cell r="G285">
            <v>-2986896.47</v>
          </cell>
          <cell r="H285">
            <v>86.72</v>
          </cell>
          <cell r="I285">
            <v>-22500000</v>
          </cell>
          <cell r="J285">
            <v>-19513103.530000001</v>
          </cell>
        </row>
        <row r="286">
          <cell r="A286">
            <v>1281200421</v>
          </cell>
          <cell r="B286" t="str">
            <v>עמלות מילגם-לא כולל מע"מ</v>
          </cell>
          <cell r="C286">
            <v>-15000</v>
          </cell>
          <cell r="D286">
            <v>-10180.43</v>
          </cell>
          <cell r="E286">
            <v>0</v>
          </cell>
          <cell r="F286">
            <v>-10180.43</v>
          </cell>
          <cell r="G286">
            <v>-4819.57</v>
          </cell>
          <cell r="H286">
            <v>67.86</v>
          </cell>
          <cell r="I286">
            <v>-15000</v>
          </cell>
          <cell r="J286">
            <v>-10180.43</v>
          </cell>
        </row>
        <row r="287">
          <cell r="A287">
            <v>1281200422</v>
          </cell>
          <cell r="B287" t="str">
            <v>עמלות מילגם-כולל מע"מ</v>
          </cell>
          <cell r="C287">
            <v>-15000</v>
          </cell>
          <cell r="D287">
            <v>-25873.61</v>
          </cell>
          <cell r="E287">
            <v>0</v>
          </cell>
          <cell r="F287">
            <v>-25873.61</v>
          </cell>
          <cell r="G287">
            <v>10873.61</v>
          </cell>
          <cell r="H287">
            <v>172.49</v>
          </cell>
          <cell r="I287">
            <v>-15000</v>
          </cell>
          <cell r="J287">
            <v>-25873.61</v>
          </cell>
        </row>
        <row r="288">
          <cell r="A288">
            <v>1281200424</v>
          </cell>
          <cell r="B288" t="str">
            <v>אגרות אכיפה קנסות מילגם</v>
          </cell>
          <cell r="C288">
            <v>-100000</v>
          </cell>
          <cell r="D288">
            <v>-52689.91</v>
          </cell>
          <cell r="E288">
            <v>0</v>
          </cell>
          <cell r="F288">
            <v>-52689.91</v>
          </cell>
          <cell r="G288">
            <v>-47310.09</v>
          </cell>
          <cell r="H288">
            <v>52.68</v>
          </cell>
          <cell r="I288">
            <v>-100000</v>
          </cell>
          <cell r="J288">
            <v>-52689.91</v>
          </cell>
        </row>
        <row r="289">
          <cell r="A289">
            <v>1281200425</v>
          </cell>
          <cell r="B289" t="str">
            <v>קנסות דיגיטלי ונתצ"ים</v>
          </cell>
          <cell r="C289">
            <v>0</v>
          </cell>
          <cell r="D289">
            <v>0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</row>
        <row r="290">
          <cell r="A290">
            <v>1281200426</v>
          </cell>
          <cell r="B290" t="str">
            <v>הכנסות חנייה בכחול לבן</v>
          </cell>
          <cell r="C290">
            <v>0</v>
          </cell>
          <cell r="D290">
            <v>0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</row>
        <row r="291">
          <cell r="A291">
            <v>1281200427</v>
          </cell>
          <cell r="B291" t="str">
            <v>הכנסות מדוחות חנייה בכחול לבן</v>
          </cell>
          <cell r="C291">
            <v>0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</row>
        <row r="292">
          <cell r="A292">
            <v>1281200428</v>
          </cell>
          <cell r="B292" t="str">
            <v>הכנסות מתשלום הנפקת תווי תושב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</row>
        <row r="293">
          <cell r="A293">
            <v>1281200650</v>
          </cell>
          <cell r="B293" t="str">
            <v>כרטיסי חניה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</row>
        <row r="294">
          <cell r="A294">
            <v>1281300000</v>
          </cell>
          <cell r="B294" t="str">
            <v>השיטור העירוני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A295">
            <v>1281300220</v>
          </cell>
          <cell r="B295" t="str">
            <v>אגרת השיטור העירוני</v>
          </cell>
          <cell r="C295">
            <v>-8236400</v>
          </cell>
          <cell r="D295">
            <v>-9023593.8900000006</v>
          </cell>
          <cell r="E295">
            <v>0</v>
          </cell>
          <cell r="F295">
            <v>-9023593.8900000006</v>
          </cell>
          <cell r="G295">
            <v>787193.89</v>
          </cell>
          <cell r="H295">
            <v>109.55</v>
          </cell>
          <cell r="I295">
            <v>-8236400</v>
          </cell>
          <cell r="J295">
            <v>-9023593.8900000006</v>
          </cell>
        </row>
        <row r="296">
          <cell r="A296">
            <v>1281300433</v>
          </cell>
          <cell r="B296" t="str">
            <v>הכנסות משנים קודמות</v>
          </cell>
          <cell r="C296">
            <v>-900000</v>
          </cell>
          <cell r="D296">
            <v>0</v>
          </cell>
          <cell r="E296">
            <v>0</v>
          </cell>
          <cell r="F296">
            <v>0</v>
          </cell>
          <cell r="G296">
            <v>-900000</v>
          </cell>
          <cell r="H296">
            <v>0</v>
          </cell>
          <cell r="I296">
            <v>-900000</v>
          </cell>
          <cell r="J296">
            <v>0</v>
          </cell>
        </row>
        <row r="297">
          <cell r="A297">
            <v>1282000690</v>
          </cell>
          <cell r="B297" t="str">
            <v>קנסות בית המשפט</v>
          </cell>
          <cell r="C297">
            <v>-2000000</v>
          </cell>
          <cell r="D297">
            <v>-948126.25</v>
          </cell>
          <cell r="E297">
            <v>0</v>
          </cell>
          <cell r="F297">
            <v>-948126.25</v>
          </cell>
          <cell r="G297">
            <v>-1051873.75</v>
          </cell>
          <cell r="H297">
            <v>47.4</v>
          </cell>
          <cell r="I297">
            <v>-2000000</v>
          </cell>
          <cell r="J297">
            <v>-948126.25</v>
          </cell>
        </row>
        <row r="298">
          <cell r="A298">
            <v>1282100000</v>
          </cell>
          <cell r="B298" t="str">
            <v>בית הדין למשמעת</v>
          </cell>
          <cell r="C298">
            <v>0</v>
          </cell>
          <cell r="D298">
            <v>0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A299">
            <v>1282100790</v>
          </cell>
          <cell r="B299" t="str">
            <v>מר'שילטון-הוצ'שוטף</v>
          </cell>
          <cell r="C299">
            <v>0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</row>
        <row r="300">
          <cell r="A300">
            <v>1311100410</v>
          </cell>
          <cell r="B300" t="str">
            <v>הכנסות מרכז טכנולוגי</v>
          </cell>
          <cell r="C300">
            <v>-30000</v>
          </cell>
          <cell r="D300">
            <v>-34785</v>
          </cell>
          <cell r="E300">
            <v>0</v>
          </cell>
          <cell r="F300">
            <v>-34785</v>
          </cell>
          <cell r="G300">
            <v>4785</v>
          </cell>
          <cell r="H300">
            <v>115.95</v>
          </cell>
          <cell r="I300">
            <v>-30000</v>
          </cell>
          <cell r="J300">
            <v>-34785</v>
          </cell>
        </row>
        <row r="301">
          <cell r="A301">
            <v>1311100420</v>
          </cell>
          <cell r="B301" t="str">
            <v>הכנ' בגין ילדי חוץ</v>
          </cell>
          <cell r="C301">
            <v>-380000</v>
          </cell>
          <cell r="D301">
            <v>-581710.86</v>
          </cell>
          <cell r="E301">
            <v>0</v>
          </cell>
          <cell r="F301">
            <v>-581710.86</v>
          </cell>
          <cell r="G301">
            <v>201710.86</v>
          </cell>
          <cell r="H301">
            <v>153.08000000000001</v>
          </cell>
          <cell r="I301">
            <v>-380000</v>
          </cell>
          <cell r="J301">
            <v>-581710.86</v>
          </cell>
        </row>
        <row r="302">
          <cell r="A302">
            <v>1311100421</v>
          </cell>
          <cell r="B302" t="str">
            <v>הכנסות שמ"ש</v>
          </cell>
          <cell r="C302">
            <v>-200000</v>
          </cell>
          <cell r="D302">
            <v>-150640.5</v>
          </cell>
          <cell r="E302">
            <v>0</v>
          </cell>
          <cell r="F302">
            <v>-150640.5</v>
          </cell>
          <cell r="G302">
            <v>-49359.5</v>
          </cell>
          <cell r="H302">
            <v>75.319999999999993</v>
          </cell>
          <cell r="I302">
            <v>-200000</v>
          </cell>
          <cell r="J302">
            <v>-150640.5</v>
          </cell>
        </row>
        <row r="303">
          <cell r="A303">
            <v>1311100422</v>
          </cell>
          <cell r="B303" t="str">
            <v>פעולות מינהל החנוך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</row>
        <row r="304">
          <cell r="A304">
            <v>1311100423</v>
          </cell>
          <cell r="B304" t="str">
            <v>מזנונים-אגף אירגון</v>
          </cell>
          <cell r="C304">
            <v>-50000</v>
          </cell>
          <cell r="D304">
            <v>-57011.23</v>
          </cell>
          <cell r="E304">
            <v>0</v>
          </cell>
          <cell r="F304">
            <v>-57011.23</v>
          </cell>
          <cell r="G304">
            <v>7011.23</v>
          </cell>
          <cell r="H304">
            <v>114.02</v>
          </cell>
          <cell r="I304">
            <v>-50000</v>
          </cell>
          <cell r="J304">
            <v>-57011.23</v>
          </cell>
        </row>
        <row r="305">
          <cell r="A305">
            <v>1311100424</v>
          </cell>
          <cell r="B305" t="str">
            <v>מזנונים-בתי ספר</v>
          </cell>
          <cell r="C305">
            <v>-450000</v>
          </cell>
          <cell r="D305">
            <v>-437739.65</v>
          </cell>
          <cell r="E305">
            <v>0</v>
          </cell>
          <cell r="F305">
            <v>-437739.65</v>
          </cell>
          <cell r="G305">
            <v>-12260.35</v>
          </cell>
          <cell r="H305">
            <v>97.27</v>
          </cell>
          <cell r="I305">
            <v>-450000</v>
          </cell>
          <cell r="J305">
            <v>-437739.65</v>
          </cell>
        </row>
        <row r="306">
          <cell r="A306">
            <v>1311100425</v>
          </cell>
          <cell r="B306" t="str">
            <v>מחשב לכל ילד</v>
          </cell>
          <cell r="C306">
            <v>-40000</v>
          </cell>
          <cell r="D306">
            <v>-14040</v>
          </cell>
          <cell r="E306">
            <v>0</v>
          </cell>
          <cell r="F306">
            <v>-14040</v>
          </cell>
          <cell r="G306">
            <v>-25960</v>
          </cell>
          <cell r="H306">
            <v>35.1</v>
          </cell>
          <cell r="I306">
            <v>-40000</v>
          </cell>
          <cell r="J306">
            <v>-14040</v>
          </cell>
        </row>
        <row r="307">
          <cell r="A307">
            <v>1311100426</v>
          </cell>
          <cell r="B307" t="str">
            <v>השת' בי"ס למנב"סים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</row>
        <row r="308">
          <cell r="A308">
            <v>1311100427</v>
          </cell>
          <cell r="B308" t="str">
            <v>שמ"ש מיחשוב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</row>
        <row r="309">
          <cell r="A309">
            <v>1311100428</v>
          </cell>
          <cell r="B309" t="str">
            <v>הכנסות כנגד הוצאות</v>
          </cell>
          <cell r="C309">
            <v>-1500000</v>
          </cell>
          <cell r="D309">
            <v>-1406401.26</v>
          </cell>
          <cell r="E309">
            <v>0</v>
          </cell>
          <cell r="F309">
            <v>-1406401.26</v>
          </cell>
          <cell r="G309">
            <v>-93598.74</v>
          </cell>
          <cell r="H309">
            <v>93.76</v>
          </cell>
          <cell r="I309">
            <v>-1500000</v>
          </cell>
          <cell r="J309">
            <v>-1406401.26</v>
          </cell>
        </row>
        <row r="310">
          <cell r="A310">
            <v>1311100429</v>
          </cell>
          <cell r="B310" t="str">
            <v>חדשנות-פעילות</v>
          </cell>
          <cell r="C310">
            <v>-30000</v>
          </cell>
          <cell r="D310">
            <v>-15250</v>
          </cell>
          <cell r="E310">
            <v>0</v>
          </cell>
          <cell r="F310">
            <v>-15250</v>
          </cell>
          <cell r="G310">
            <v>-14750</v>
          </cell>
          <cell r="H310">
            <v>50.83</v>
          </cell>
          <cell r="I310">
            <v>-30000</v>
          </cell>
          <cell r="J310">
            <v>-15250</v>
          </cell>
        </row>
        <row r="311">
          <cell r="A311">
            <v>1311100430</v>
          </cell>
          <cell r="B311" t="str">
            <v>חדשנות אתחלא-השכרת נכסים</v>
          </cell>
          <cell r="C311">
            <v>-35000</v>
          </cell>
          <cell r="D311">
            <v>-36550</v>
          </cell>
          <cell r="E311">
            <v>0</v>
          </cell>
          <cell r="F311">
            <v>-36550</v>
          </cell>
          <cell r="G311">
            <v>1550</v>
          </cell>
          <cell r="H311">
            <v>104.42</v>
          </cell>
          <cell r="I311">
            <v>-35000</v>
          </cell>
          <cell r="J311">
            <v>-36550</v>
          </cell>
        </row>
        <row r="312">
          <cell r="A312">
            <v>1311100433</v>
          </cell>
          <cell r="B312" t="str">
            <v>הכנסות שנים קודמות-חינוך</v>
          </cell>
          <cell r="C312">
            <v>-1623000</v>
          </cell>
          <cell r="D312">
            <v>-1560171.2</v>
          </cell>
          <cell r="E312">
            <v>0</v>
          </cell>
          <cell r="F312">
            <v>-1560171.2</v>
          </cell>
          <cell r="G312">
            <v>-62828.800000000003</v>
          </cell>
          <cell r="H312">
            <v>96.12</v>
          </cell>
          <cell r="I312">
            <v>-1623000</v>
          </cell>
          <cell r="J312">
            <v>-1560171.2</v>
          </cell>
        </row>
        <row r="313">
          <cell r="A313">
            <v>1311100920</v>
          </cell>
          <cell r="B313" t="str">
            <v>מחשב לכל ילד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</row>
        <row r="314">
          <cell r="A314">
            <v>1311100921</v>
          </cell>
          <cell r="B314" t="str">
            <v>מלגות לפולין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</row>
        <row r="315">
          <cell r="A315">
            <v>1311100922</v>
          </cell>
          <cell r="B315" t="str">
            <v>השתת'מ'החנוך בקב"ס</v>
          </cell>
          <cell r="C315">
            <v>-1258900</v>
          </cell>
          <cell r="D315">
            <v>-1253819.5</v>
          </cell>
          <cell r="E315">
            <v>0</v>
          </cell>
          <cell r="F315">
            <v>-1253819.5</v>
          </cell>
          <cell r="G315">
            <v>-5080.5</v>
          </cell>
          <cell r="H315">
            <v>99.59</v>
          </cell>
          <cell r="I315">
            <v>-1258900</v>
          </cell>
          <cell r="J315">
            <v>-1253819.5</v>
          </cell>
        </row>
        <row r="316">
          <cell r="A316">
            <v>1311100923</v>
          </cell>
          <cell r="B316" t="str">
            <v>תכנית תקשוב-תשלומים שוטפים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</row>
        <row r="317">
          <cell r="A317">
            <v>1311100924</v>
          </cell>
          <cell r="B317" t="str">
            <v>החזר גימלה</v>
          </cell>
          <cell r="C317">
            <v>-400000</v>
          </cell>
          <cell r="D317">
            <v>-417329.23</v>
          </cell>
          <cell r="E317">
            <v>0</v>
          </cell>
          <cell r="F317">
            <v>-417329.23</v>
          </cell>
          <cell r="G317">
            <v>17329.23</v>
          </cell>
          <cell r="H317">
            <v>104.33</v>
          </cell>
          <cell r="I317">
            <v>-400000</v>
          </cell>
          <cell r="J317">
            <v>-417329.23</v>
          </cell>
        </row>
        <row r="318">
          <cell r="A318">
            <v>1311100925</v>
          </cell>
          <cell r="B318" t="str">
            <v>מנהל תחום התנדבותי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A319">
            <v>1311100929</v>
          </cell>
          <cell r="B319" t="str">
            <v>הכנסות מ.החינוך-מרכז טכנולוגי</v>
          </cell>
          <cell r="C319">
            <v>-2400000</v>
          </cell>
          <cell r="D319">
            <v>-228595</v>
          </cell>
          <cell r="E319">
            <v>0</v>
          </cell>
          <cell r="F319">
            <v>-228595</v>
          </cell>
          <cell r="G319">
            <v>-2171405</v>
          </cell>
          <cell r="H319">
            <v>9.52</v>
          </cell>
          <cell r="I319">
            <v>-2400000</v>
          </cell>
          <cell r="J319">
            <v>-228595</v>
          </cell>
        </row>
        <row r="320">
          <cell r="A320">
            <v>1311100935</v>
          </cell>
          <cell r="B320" t="str">
            <v>משרד החינוך-בטיחות</v>
          </cell>
          <cell r="C320">
            <v>0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</row>
        <row r="321">
          <cell r="A321">
            <v>1311100936</v>
          </cell>
          <cell r="B321" t="str">
            <v>בטיחות בדרכים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A322">
            <v>1311100937</v>
          </cell>
          <cell r="B322" t="str">
            <v>הכנסות משנים קודמות-משרד החינו</v>
          </cell>
          <cell r="C322">
            <v>-17000000</v>
          </cell>
          <cell r="D322">
            <v>-20271161.309999999</v>
          </cell>
          <cell r="E322">
            <v>0</v>
          </cell>
          <cell r="F322">
            <v>-20271161.309999999</v>
          </cell>
          <cell r="G322">
            <v>3271161.31</v>
          </cell>
          <cell r="H322">
            <v>119.24</v>
          </cell>
          <cell r="I322">
            <v>-17000000</v>
          </cell>
          <cell r="J322">
            <v>-20271161.309999999</v>
          </cell>
        </row>
        <row r="323">
          <cell r="A323">
            <v>1311100940</v>
          </cell>
          <cell r="B323" t="str">
            <v>פרס חינוך ישובי</v>
          </cell>
          <cell r="C323">
            <v>0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</row>
        <row r="324">
          <cell r="A324">
            <v>1311100953</v>
          </cell>
          <cell r="B324" t="str">
            <v>מערכת גפ"ן</v>
          </cell>
          <cell r="C324">
            <v>-3939400</v>
          </cell>
          <cell r="D324">
            <v>-3874006</v>
          </cell>
          <cell r="E324">
            <v>0</v>
          </cell>
          <cell r="F324">
            <v>-3874006</v>
          </cell>
          <cell r="G324">
            <v>-65394</v>
          </cell>
          <cell r="H324">
            <v>98.34</v>
          </cell>
          <cell r="I324">
            <v>-3939400</v>
          </cell>
          <cell r="J324">
            <v>-3874006</v>
          </cell>
        </row>
        <row r="325">
          <cell r="A325">
            <v>1311200410</v>
          </cell>
          <cell r="B325" t="str">
            <v>הכנסות הורים-רש"י</v>
          </cell>
          <cell r="C325">
            <v>-89000</v>
          </cell>
          <cell r="D325">
            <v>0</v>
          </cell>
          <cell r="E325">
            <v>0</v>
          </cell>
          <cell r="F325">
            <v>0</v>
          </cell>
          <cell r="G325">
            <v>-89000</v>
          </cell>
          <cell r="H325">
            <v>0</v>
          </cell>
          <cell r="I325">
            <v>-89000</v>
          </cell>
          <cell r="J325">
            <v>0</v>
          </cell>
        </row>
        <row r="326">
          <cell r="A326">
            <v>1311200411</v>
          </cell>
          <cell r="B326" t="str">
            <v>קיטנה-השת' הורים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</row>
        <row r="327">
          <cell r="A327">
            <v>1311200412</v>
          </cell>
          <cell r="B327" t="str">
            <v>השתתפות ביוזמות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A328">
            <v>1311200421</v>
          </cell>
          <cell r="B328" t="str">
            <v>קרן קרב</v>
          </cell>
          <cell r="C328">
            <v>0</v>
          </cell>
          <cell r="D328">
            <v>-17486.46</v>
          </cell>
          <cell r="E328">
            <v>0</v>
          </cell>
          <cell r="F328">
            <v>-17486.46</v>
          </cell>
          <cell r="G328">
            <v>17486.46</v>
          </cell>
          <cell r="H328">
            <v>0</v>
          </cell>
          <cell r="I328">
            <v>0</v>
          </cell>
          <cell r="J328">
            <v>-17486.46</v>
          </cell>
        </row>
        <row r="329">
          <cell r="A329">
            <v>1311200430</v>
          </cell>
          <cell r="B329" t="str">
            <v>הכנסות קרן סקטא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</row>
        <row r="330">
          <cell r="A330">
            <v>1311200490</v>
          </cell>
          <cell r="B330" t="str">
            <v>הכנ' מארועי סייעות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</row>
        <row r="331">
          <cell r="A331">
            <v>1311200790</v>
          </cell>
          <cell r="B331" t="str">
            <v>עיר בריאה - רשות ניקוז ירקון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</row>
        <row r="332">
          <cell r="A332">
            <v>1311200920</v>
          </cell>
          <cell r="B332" t="str">
            <v>הכנסות מקרן רש"י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A333">
            <v>1311200921</v>
          </cell>
          <cell r="B333" t="str">
            <v>קרן רש"י-הזנה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</row>
        <row r="334">
          <cell r="A334">
            <v>1311200922</v>
          </cell>
          <cell r="B334" t="str">
            <v>קיטנה-רש"י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</row>
        <row r="335">
          <cell r="A335">
            <v>1311200923</v>
          </cell>
          <cell r="B335" t="str">
            <v>עיר בריאה - הגנת הסביבה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</row>
        <row r="336">
          <cell r="A336">
            <v>1311200929</v>
          </cell>
          <cell r="B336" t="str">
            <v>עיר פעילה ובריאה</v>
          </cell>
          <cell r="C336">
            <v>-134000</v>
          </cell>
          <cell r="D336">
            <v>0</v>
          </cell>
          <cell r="E336">
            <v>0</v>
          </cell>
          <cell r="F336">
            <v>0</v>
          </cell>
          <cell r="G336">
            <v>-134000</v>
          </cell>
          <cell r="H336">
            <v>0</v>
          </cell>
          <cell r="I336">
            <v>-134000</v>
          </cell>
          <cell r="J336">
            <v>0</v>
          </cell>
        </row>
        <row r="337">
          <cell r="A337">
            <v>1311300000</v>
          </cell>
          <cell r="B337" t="str">
            <v>יוזמות מינהל חינוך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</row>
        <row r="338">
          <cell r="A338">
            <v>1311300482</v>
          </cell>
          <cell r="B338" t="str">
            <v>יוזמות מהכנסות תלמדי חוץ</v>
          </cell>
          <cell r="C338">
            <v>-120000</v>
          </cell>
          <cell r="D338">
            <v>-59600</v>
          </cell>
          <cell r="E338">
            <v>0</v>
          </cell>
          <cell r="F338">
            <v>-59600</v>
          </cell>
          <cell r="G338">
            <v>-60400</v>
          </cell>
          <cell r="H338">
            <v>49.66</v>
          </cell>
          <cell r="I338">
            <v>-120000</v>
          </cell>
          <cell r="J338">
            <v>-59600</v>
          </cell>
        </row>
        <row r="339">
          <cell r="A339">
            <v>1311300920</v>
          </cell>
          <cell r="B339" t="str">
            <v>הכנסות משה"ח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</row>
        <row r="340">
          <cell r="A340">
            <v>1311304000</v>
          </cell>
          <cell r="B340" t="str">
            <v>יוזמות גנ"י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A341">
            <v>1311304420</v>
          </cell>
          <cell r="B341" t="str">
            <v>הכנסות עבור יוזמות גנ"י</v>
          </cell>
          <cell r="C341">
            <v>-100000</v>
          </cell>
          <cell r="D341">
            <v>0</v>
          </cell>
          <cell r="E341">
            <v>0</v>
          </cell>
          <cell r="F341">
            <v>0</v>
          </cell>
          <cell r="G341">
            <v>-100000</v>
          </cell>
          <cell r="H341">
            <v>0</v>
          </cell>
          <cell r="I341">
            <v>-100000</v>
          </cell>
          <cell r="J341">
            <v>0</v>
          </cell>
        </row>
        <row r="342">
          <cell r="A342">
            <v>1311305410</v>
          </cell>
          <cell r="B342" t="str">
            <v>הכנסות מרכז מצטיינים</v>
          </cell>
          <cell r="C342">
            <v>-120000</v>
          </cell>
          <cell r="D342">
            <v>-191809</v>
          </cell>
          <cell r="E342">
            <v>0</v>
          </cell>
          <cell r="F342">
            <v>-191809</v>
          </cell>
          <cell r="G342">
            <v>71809</v>
          </cell>
          <cell r="H342">
            <v>159.84</v>
          </cell>
          <cell r="I342">
            <v>-120000</v>
          </cell>
          <cell r="J342">
            <v>-191809</v>
          </cell>
        </row>
        <row r="343">
          <cell r="A343">
            <v>1311306420</v>
          </cell>
          <cell r="B343" t="str">
            <v>תוצר שנת ה - 60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</row>
        <row r="344">
          <cell r="A344">
            <v>1311400423</v>
          </cell>
          <cell r="B344" t="str">
            <v>מניעת אלימות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</row>
        <row r="345">
          <cell r="A345">
            <v>1311400790</v>
          </cell>
          <cell r="B345" t="str">
            <v>אפוטרופוס כללי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</row>
        <row r="346">
          <cell r="A346">
            <v>1311400791</v>
          </cell>
          <cell r="B346" t="str">
            <v>קרן ידידות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A347">
            <v>1311400920</v>
          </cell>
          <cell r="B347" t="str">
            <v>משרד החינוך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</row>
        <row r="348">
          <cell r="A348">
            <v>1311400923</v>
          </cell>
          <cell r="B348" t="str">
            <v>אס"א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</row>
        <row r="349">
          <cell r="A349">
            <v>1311400937</v>
          </cell>
          <cell r="B349" t="str">
            <v>הכנסות משנים קודמות</v>
          </cell>
          <cell r="C349">
            <v>0</v>
          </cell>
          <cell r="D349">
            <v>-190411</v>
          </cell>
          <cell r="E349">
            <v>0</v>
          </cell>
          <cell r="F349">
            <v>-190411</v>
          </cell>
          <cell r="G349">
            <v>190411</v>
          </cell>
          <cell r="H349">
            <v>0</v>
          </cell>
          <cell r="I349">
            <v>0</v>
          </cell>
          <cell r="J349">
            <v>-190411</v>
          </cell>
        </row>
        <row r="350">
          <cell r="A350">
            <v>1311400990</v>
          </cell>
          <cell r="B350" t="str">
            <v>המשרד לביטחון פנים</v>
          </cell>
          <cell r="C350">
            <v>-1610600</v>
          </cell>
          <cell r="D350">
            <v>-626695</v>
          </cell>
          <cell r="E350">
            <v>0</v>
          </cell>
          <cell r="F350">
            <v>-626695</v>
          </cell>
          <cell r="G350">
            <v>-983905</v>
          </cell>
          <cell r="H350">
            <v>38.909999999999997</v>
          </cell>
          <cell r="I350">
            <v>-1610600</v>
          </cell>
          <cell r="J350">
            <v>-626695</v>
          </cell>
        </row>
        <row r="351">
          <cell r="A351">
            <v>1312200312</v>
          </cell>
          <cell r="B351" t="str">
            <v>מסיבות כיתתיות</v>
          </cell>
          <cell r="C351">
            <v>-58600</v>
          </cell>
          <cell r="D351">
            <v>-135288</v>
          </cell>
          <cell r="E351">
            <v>0</v>
          </cell>
          <cell r="F351">
            <v>-135288</v>
          </cell>
          <cell r="G351">
            <v>76688</v>
          </cell>
          <cell r="H351">
            <v>230.86</v>
          </cell>
          <cell r="I351">
            <v>-58600</v>
          </cell>
          <cell r="J351">
            <v>-135288</v>
          </cell>
        </row>
        <row r="352">
          <cell r="A352">
            <v>1312200410</v>
          </cell>
          <cell r="B352" t="str">
            <v>הש' השתלמות עוזרות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</row>
        <row r="353">
          <cell r="A353">
            <v>1312200490</v>
          </cell>
          <cell r="B353" t="str">
            <v>אכיפה משפטית-שכל"מ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</row>
        <row r="354">
          <cell r="A354">
            <v>1312200491</v>
          </cell>
          <cell r="B354" t="str">
            <v>סל תרבות</v>
          </cell>
          <cell r="C354">
            <v>-505400</v>
          </cell>
          <cell r="D354">
            <v>-438822.97</v>
          </cell>
          <cell r="E354">
            <v>0</v>
          </cell>
          <cell r="F354">
            <v>-438822.97</v>
          </cell>
          <cell r="G354">
            <v>-66577.03</v>
          </cell>
          <cell r="H354">
            <v>86.82</v>
          </cell>
          <cell r="I354">
            <v>-505400</v>
          </cell>
          <cell r="J354">
            <v>-438822.97</v>
          </cell>
        </row>
        <row r="355">
          <cell r="A355">
            <v>1312200910</v>
          </cell>
          <cell r="B355" t="str">
            <v>פנים-הש' עז' גננות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</row>
        <row r="356">
          <cell r="A356">
            <v>1312200920</v>
          </cell>
          <cell r="B356" t="str">
            <v>הש' מ'חינוך-רכישות</v>
          </cell>
          <cell r="C356">
            <v>-30000</v>
          </cell>
          <cell r="D356">
            <v>0</v>
          </cell>
          <cell r="E356">
            <v>0</v>
          </cell>
          <cell r="F356">
            <v>0</v>
          </cell>
          <cell r="G356">
            <v>-30000</v>
          </cell>
          <cell r="H356">
            <v>0</v>
          </cell>
          <cell r="I356">
            <v>-30000</v>
          </cell>
          <cell r="J356">
            <v>0</v>
          </cell>
        </row>
        <row r="357">
          <cell r="A357">
            <v>1312200921</v>
          </cell>
          <cell r="B357" t="str">
            <v>עוזרות לגננות</v>
          </cell>
          <cell r="C357">
            <v>-22000000</v>
          </cell>
          <cell r="D357">
            <v>-20818670.219999999</v>
          </cell>
          <cell r="E357">
            <v>0</v>
          </cell>
          <cell r="F357">
            <v>-20818670.219999999</v>
          </cell>
          <cell r="G357">
            <v>-1181329.78</v>
          </cell>
          <cell r="H357">
            <v>94.63</v>
          </cell>
          <cell r="I357">
            <v>-22000000</v>
          </cell>
          <cell r="J357">
            <v>-20818670.219999999</v>
          </cell>
        </row>
        <row r="358">
          <cell r="A358">
            <v>1312200922</v>
          </cell>
          <cell r="B358" t="str">
            <v>השתתפות בהזנה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</row>
        <row r="359">
          <cell r="A359">
            <v>1312200924</v>
          </cell>
          <cell r="B359" t="str">
            <v>חינוך מיוחד-חופשות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</row>
        <row r="360">
          <cell r="A360">
            <v>1312200925</v>
          </cell>
          <cell r="B360" t="str">
            <v>גננות מדינה בתקן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A361">
            <v>1312200936</v>
          </cell>
          <cell r="B361" t="str">
            <v>נאמן קורונה גני ילדים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</row>
        <row r="362">
          <cell r="A362">
            <v>1312200944</v>
          </cell>
          <cell r="B362" t="str">
            <v>מעונות יום ממונה+הדרכה</v>
          </cell>
          <cell r="C362">
            <v>-60000</v>
          </cell>
          <cell r="D362">
            <v>-546193.67000000004</v>
          </cell>
          <cell r="E362">
            <v>0</v>
          </cell>
          <cell r="F362">
            <v>-546193.67000000004</v>
          </cell>
          <cell r="G362">
            <v>486193.67</v>
          </cell>
          <cell r="H362">
            <v>910.32</v>
          </cell>
          <cell r="I362">
            <v>-60000</v>
          </cell>
          <cell r="J362">
            <v>-546193.67000000004</v>
          </cell>
        </row>
        <row r="363">
          <cell r="A363">
            <v>1312210430</v>
          </cell>
          <cell r="B363" t="str">
            <v>השת' מוס' ילדי חוץ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</row>
        <row r="364">
          <cell r="A364">
            <v>1312210491</v>
          </cell>
          <cell r="B364" t="str">
            <v>הכנסות מארועים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</row>
        <row r="365">
          <cell r="A365">
            <v>1312210790</v>
          </cell>
          <cell r="B365" t="str">
            <v>גן לכיש - איל"ן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</row>
        <row r="366">
          <cell r="A366">
            <v>1312210920</v>
          </cell>
          <cell r="B366" t="str">
            <v>השת'מ'חינוך-רכישות</v>
          </cell>
          <cell r="C366">
            <v>-20000</v>
          </cell>
          <cell r="D366">
            <v>-37689.43</v>
          </cell>
          <cell r="E366">
            <v>0</v>
          </cell>
          <cell r="F366">
            <v>-37689.43</v>
          </cell>
          <cell r="G366">
            <v>17689.43</v>
          </cell>
          <cell r="H366">
            <v>188.44</v>
          </cell>
          <cell r="I366">
            <v>-20000</v>
          </cell>
          <cell r="J366">
            <v>-37689.43</v>
          </cell>
        </row>
        <row r="367">
          <cell r="A367">
            <v>1312210922</v>
          </cell>
          <cell r="B367" t="str">
            <v>השתתפות בהזנה</v>
          </cell>
          <cell r="C367">
            <v>-897200</v>
          </cell>
          <cell r="D367">
            <v>-942042.77</v>
          </cell>
          <cell r="E367">
            <v>0</v>
          </cell>
          <cell r="F367">
            <v>-942042.77</v>
          </cell>
          <cell r="G367">
            <v>44842.77</v>
          </cell>
          <cell r="H367">
            <v>104.99</v>
          </cell>
          <cell r="I367">
            <v>-897200</v>
          </cell>
          <cell r="J367">
            <v>-942042.77</v>
          </cell>
        </row>
        <row r="368">
          <cell r="A368">
            <v>1312210924</v>
          </cell>
          <cell r="B368" t="str">
            <v>חינוך מיוחד-חופשות</v>
          </cell>
          <cell r="C368">
            <v>-1674200</v>
          </cell>
          <cell r="D368">
            <v>-1630819.3</v>
          </cell>
          <cell r="E368">
            <v>0</v>
          </cell>
          <cell r="F368">
            <v>-1630819.3</v>
          </cell>
          <cell r="G368">
            <v>-43380.7</v>
          </cell>
          <cell r="H368">
            <v>97.4</v>
          </cell>
          <cell r="I368">
            <v>-1674200</v>
          </cell>
          <cell r="J368">
            <v>-1630819.3</v>
          </cell>
        </row>
        <row r="369">
          <cell r="A369">
            <v>1312210928</v>
          </cell>
          <cell r="B369" t="str">
            <v>שר' הקף-יול"א ח.מ.</v>
          </cell>
          <cell r="C369">
            <v>-393500</v>
          </cell>
          <cell r="D369">
            <v>-389108</v>
          </cell>
          <cell r="E369">
            <v>0</v>
          </cell>
          <cell r="F369">
            <v>-389108</v>
          </cell>
          <cell r="G369">
            <v>-4392</v>
          </cell>
          <cell r="H369">
            <v>98.88</v>
          </cell>
          <cell r="I369">
            <v>-393500</v>
          </cell>
          <cell r="J369">
            <v>-389108</v>
          </cell>
        </row>
        <row r="370">
          <cell r="A370">
            <v>1312210930</v>
          </cell>
          <cell r="B370" t="str">
            <v>סיוע לניהול עצמי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</row>
        <row r="371">
          <cell r="A371">
            <v>1312300410</v>
          </cell>
          <cell r="B371" t="str">
            <v>שכ"ל גני ילדים</v>
          </cell>
          <cell r="C371">
            <v>-100000</v>
          </cell>
          <cell r="D371">
            <v>-69608.539999999994</v>
          </cell>
          <cell r="E371">
            <v>0</v>
          </cell>
          <cell r="F371">
            <v>-69608.539999999994</v>
          </cell>
          <cell r="G371">
            <v>-30391.46</v>
          </cell>
          <cell r="H371">
            <v>69.599999999999994</v>
          </cell>
          <cell r="I371">
            <v>-100000</v>
          </cell>
          <cell r="J371">
            <v>-69608.539999999994</v>
          </cell>
        </row>
        <row r="372">
          <cell r="A372">
            <v>1312300492</v>
          </cell>
          <cell r="B372" t="str">
            <v>העשרה אשכול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</row>
        <row r="373">
          <cell r="A373">
            <v>1312300493</v>
          </cell>
          <cell r="B373" t="str">
            <v>בגובה העיניים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A374">
            <v>1312300494</v>
          </cell>
          <cell r="B374" t="str">
            <v>מרכז מוסיקה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</row>
        <row r="375">
          <cell r="A375">
            <v>1312300790</v>
          </cell>
          <cell r="B375" t="str">
            <v>מעג"ן - קרן שטיינמינץ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A376">
            <v>1312300920</v>
          </cell>
          <cell r="B376" t="str">
            <v>השתת הממשלה בטרום</v>
          </cell>
          <cell r="C376">
            <v>0</v>
          </cell>
          <cell r="D376">
            <v>0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</row>
        <row r="377">
          <cell r="A377">
            <v>1312300921</v>
          </cell>
          <cell r="B377" t="str">
            <v>החזר שכל"מ ממשלה</v>
          </cell>
          <cell r="C377">
            <v>-58000000</v>
          </cell>
          <cell r="D377">
            <v>-55486400.07</v>
          </cell>
          <cell r="E377">
            <v>0</v>
          </cell>
          <cell r="F377">
            <v>-55486400.07</v>
          </cell>
          <cell r="G377">
            <v>-2513599.9300000002</v>
          </cell>
          <cell r="H377">
            <v>95.66</v>
          </cell>
          <cell r="I377">
            <v>-58000000</v>
          </cell>
          <cell r="J377">
            <v>-55486400.07</v>
          </cell>
        </row>
        <row r="378">
          <cell r="A378">
            <v>1312300922</v>
          </cell>
          <cell r="B378" t="str">
            <v>סייעת שניה לגילאי 3-4</v>
          </cell>
          <cell r="C378">
            <v>-12000000</v>
          </cell>
          <cell r="D378">
            <v>-5976280.9299999997</v>
          </cell>
          <cell r="E378">
            <v>0</v>
          </cell>
          <cell r="F378">
            <v>-5976280.9299999997</v>
          </cell>
          <cell r="G378">
            <v>-6023719.0700000003</v>
          </cell>
          <cell r="H378">
            <v>49.8</v>
          </cell>
          <cell r="I378">
            <v>-12000000</v>
          </cell>
          <cell r="J378">
            <v>-5976280.9299999997</v>
          </cell>
        </row>
        <row r="379">
          <cell r="A379">
            <v>1312300923</v>
          </cell>
          <cell r="B379" t="str">
            <v>העשרת הסביבה</v>
          </cell>
          <cell r="C379">
            <v>-142000</v>
          </cell>
          <cell r="D379">
            <v>0</v>
          </cell>
          <cell r="E379">
            <v>0</v>
          </cell>
          <cell r="F379">
            <v>0</v>
          </cell>
          <cell r="G379">
            <v>-142000</v>
          </cell>
          <cell r="H379">
            <v>0</v>
          </cell>
          <cell r="I379">
            <v>-142000</v>
          </cell>
          <cell r="J379">
            <v>0</v>
          </cell>
        </row>
        <row r="380">
          <cell r="A380">
            <v>1312310494</v>
          </cell>
          <cell r="B380" t="str">
            <v>יוזמות הרצוג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</row>
        <row r="381">
          <cell r="A381">
            <v>1312310923</v>
          </cell>
          <cell r="B381" t="str">
            <v>משרד החינוך-יוזמות</v>
          </cell>
          <cell r="C381">
            <v>0</v>
          </cell>
          <cell r="D381">
            <v>0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A382">
            <v>1312320411</v>
          </cell>
          <cell r="B382" t="str">
            <v>פעולות סקט"א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</row>
        <row r="383">
          <cell r="A383">
            <v>1312320430</v>
          </cell>
          <cell r="B383" t="str">
            <v>קרן סקט"א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</row>
        <row r="384">
          <cell r="A384">
            <v>1312330493</v>
          </cell>
          <cell r="B384" t="str">
            <v>בגובה העיניים</v>
          </cell>
          <cell r="C384">
            <v>-250000</v>
          </cell>
          <cell r="D384">
            <v>-212486.25</v>
          </cell>
          <cell r="E384">
            <v>0</v>
          </cell>
          <cell r="F384">
            <v>-212486.25</v>
          </cell>
          <cell r="G384">
            <v>-37513.75</v>
          </cell>
          <cell r="H384">
            <v>84.99</v>
          </cell>
          <cell r="I384">
            <v>-250000</v>
          </cell>
          <cell r="J384">
            <v>-212486.25</v>
          </cell>
        </row>
        <row r="385">
          <cell r="A385">
            <v>1312340496</v>
          </cell>
          <cell r="B385" t="str">
            <v>הכנסות גלריה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A386">
            <v>1312350492</v>
          </cell>
          <cell r="B386" t="str">
            <v>הכנסות אשכול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A387">
            <v>1312350923</v>
          </cell>
          <cell r="B387" t="str">
            <v>משרד החינוך-אשכול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</row>
        <row r="388">
          <cell r="A388">
            <v>1312360495</v>
          </cell>
          <cell r="B388" t="str">
            <v>ריתמוסיקה</v>
          </cell>
          <cell r="C388">
            <v>-3500000</v>
          </cell>
          <cell r="D388">
            <v>-4127928.99</v>
          </cell>
          <cell r="E388">
            <v>0</v>
          </cell>
          <cell r="F388">
            <v>-4127928.99</v>
          </cell>
          <cell r="G388">
            <v>627928.99</v>
          </cell>
          <cell r="H388">
            <v>117.94</v>
          </cell>
          <cell r="I388">
            <v>-3500000</v>
          </cell>
          <cell r="J388">
            <v>-4127928.99</v>
          </cell>
        </row>
        <row r="389">
          <cell r="A389">
            <v>1312370493</v>
          </cell>
          <cell r="B389" t="str">
            <v>תיאטרון בובות</v>
          </cell>
          <cell r="C389">
            <v>-250000</v>
          </cell>
          <cell r="D389">
            <v>-212070.77</v>
          </cell>
          <cell r="E389">
            <v>0</v>
          </cell>
          <cell r="F389">
            <v>-212070.77</v>
          </cell>
          <cell r="G389">
            <v>-37929.230000000003</v>
          </cell>
          <cell r="H389">
            <v>84.82</v>
          </cell>
          <cell r="I389">
            <v>-250000</v>
          </cell>
          <cell r="J389">
            <v>-212070.77</v>
          </cell>
        </row>
        <row r="390">
          <cell r="A390">
            <v>1312370920</v>
          </cell>
          <cell r="B390" t="str">
            <v>מש' התרבות והספורט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</row>
        <row r="391">
          <cell r="A391">
            <v>1312370990</v>
          </cell>
          <cell r="B391" t="str">
            <v>מש' התרבות והספורט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</row>
        <row r="392">
          <cell r="A392">
            <v>1312500410</v>
          </cell>
          <cell r="B392" t="str">
            <v>יול"א בגנים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A393">
            <v>1312500411</v>
          </cell>
          <cell r="B393" t="str">
            <v>יול"א חובות עבר</v>
          </cell>
          <cell r="C393">
            <v>0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</row>
        <row r="394">
          <cell r="A394">
            <v>1312500421</v>
          </cell>
          <cell r="B394" t="str">
            <v>גביה מהורים-ניצנים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</row>
        <row r="395">
          <cell r="A395">
            <v>1312500920</v>
          </cell>
          <cell r="B395" t="str">
            <v>צהרונים - פרוייקט ניצנים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A396">
            <v>1312800422</v>
          </cell>
          <cell r="B396" t="str">
            <v>קייטנות גני-ילדים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</row>
        <row r="397">
          <cell r="A397">
            <v>1313200312</v>
          </cell>
          <cell r="B397" t="str">
            <v>מסיבות כיתתיות</v>
          </cell>
          <cell r="C397">
            <v>-310800</v>
          </cell>
          <cell r="D397">
            <v>-334792</v>
          </cell>
          <cell r="E397">
            <v>0</v>
          </cell>
          <cell r="F397">
            <v>-334792</v>
          </cell>
          <cell r="G397">
            <v>23992</v>
          </cell>
          <cell r="H397">
            <v>107.71</v>
          </cell>
          <cell r="I397">
            <v>-310800</v>
          </cell>
          <cell r="J397">
            <v>-334792</v>
          </cell>
        </row>
        <row r="398">
          <cell r="A398">
            <v>1313200414</v>
          </cell>
          <cell r="B398" t="str">
            <v>תל"ן דביר</v>
          </cell>
          <cell r="C398">
            <v>0</v>
          </cell>
          <cell r="D398">
            <v>0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A399">
            <v>1313200420</v>
          </cell>
          <cell r="B399" t="str">
            <v>רכישות מהורים 50%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</row>
        <row r="400">
          <cell r="A400">
            <v>1313200427</v>
          </cell>
          <cell r="B400" t="str">
            <v>הכנסות אפיק</v>
          </cell>
          <cell r="C400">
            <v>0</v>
          </cell>
          <cell r="D400">
            <v>0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</row>
        <row r="401">
          <cell r="A401">
            <v>1313200430</v>
          </cell>
          <cell r="B401" t="str">
            <v>תלמידי חוץ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A402">
            <v>1313200440</v>
          </cell>
          <cell r="B402" t="str">
            <v>הכנסות גפ"ן בית ספרי</v>
          </cell>
          <cell r="C402">
            <v>-400000</v>
          </cell>
          <cell r="D402">
            <v>-399225.28</v>
          </cell>
          <cell r="E402">
            <v>0</v>
          </cell>
          <cell r="F402">
            <v>-399225.28</v>
          </cell>
          <cell r="G402">
            <v>-774.72</v>
          </cell>
          <cell r="H402">
            <v>99.8</v>
          </cell>
          <cell r="I402">
            <v>-400000</v>
          </cell>
          <cell r="J402">
            <v>-399225.28</v>
          </cell>
        </row>
        <row r="403">
          <cell r="A403">
            <v>1313200490</v>
          </cell>
          <cell r="B403" t="str">
            <v>הכנסות מארועים</v>
          </cell>
          <cell r="C403">
            <v>0</v>
          </cell>
          <cell r="D403">
            <v>0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</row>
        <row r="404">
          <cell r="A404">
            <v>1313200491</v>
          </cell>
          <cell r="B404" t="str">
            <v>רכישות דרך מחסן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0</v>
          </cell>
          <cell r="J404">
            <v>0</v>
          </cell>
        </row>
        <row r="405">
          <cell r="A405">
            <v>1313200650</v>
          </cell>
          <cell r="B405" t="str">
            <v>דמי שימוש-בית כנסת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</row>
        <row r="406">
          <cell r="A406">
            <v>1313200790</v>
          </cell>
          <cell r="B406" t="str">
            <v>תרומה-קרן אריסון</v>
          </cell>
          <cell r="C406">
            <v>0</v>
          </cell>
          <cell r="D406">
            <v>0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A407">
            <v>1313200791</v>
          </cell>
          <cell r="B407" t="str">
            <v>התבור - בטל"א</v>
          </cell>
          <cell r="C407">
            <v>0</v>
          </cell>
          <cell r="D407">
            <v>0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</row>
        <row r="408">
          <cell r="A408">
            <v>1313200911</v>
          </cell>
          <cell r="B408" t="str">
            <v>פע' חוויתית תכנית יהודית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</row>
        <row r="409">
          <cell r="A409">
            <v>1313200915</v>
          </cell>
          <cell r="B409" t="str">
            <v>קייטנת קיץ בחטיבות ותיכוניים</v>
          </cell>
          <cell r="C409">
            <v>0</v>
          </cell>
          <cell r="D409">
            <v>0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</row>
        <row r="410">
          <cell r="A410">
            <v>1313200920</v>
          </cell>
          <cell r="B410" t="str">
            <v>מזכירות</v>
          </cell>
          <cell r="C410">
            <v>-984500</v>
          </cell>
          <cell r="D410">
            <v>-1257819.3899999999</v>
          </cell>
          <cell r="E410">
            <v>0</v>
          </cell>
          <cell r="F410">
            <v>-1257819.3899999999</v>
          </cell>
          <cell r="G410">
            <v>273319.39</v>
          </cell>
          <cell r="H410">
            <v>127.76</v>
          </cell>
          <cell r="I410">
            <v>-984500</v>
          </cell>
          <cell r="J410">
            <v>-1257819.3899999999</v>
          </cell>
        </row>
        <row r="411">
          <cell r="A411">
            <v>1313200921</v>
          </cell>
          <cell r="B411" t="str">
            <v>שרתים</v>
          </cell>
          <cell r="C411">
            <v>-2509400</v>
          </cell>
          <cell r="D411">
            <v>-3296619.79</v>
          </cell>
          <cell r="E411">
            <v>0</v>
          </cell>
          <cell r="F411">
            <v>-3296619.79</v>
          </cell>
          <cell r="G411">
            <v>787219.79</v>
          </cell>
          <cell r="H411">
            <v>131.37</v>
          </cell>
          <cell r="I411">
            <v>-2509400</v>
          </cell>
          <cell r="J411">
            <v>-3296619.79</v>
          </cell>
        </row>
        <row r="412">
          <cell r="A412">
            <v>1313200922</v>
          </cell>
          <cell r="B412" t="str">
            <v>השתתפות בהזנה</v>
          </cell>
          <cell r="C412">
            <v>0</v>
          </cell>
          <cell r="D412">
            <v>0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A413">
            <v>1313200923</v>
          </cell>
          <cell r="B413" t="str">
            <v>לימודי יהדות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</row>
        <row r="414">
          <cell r="A414">
            <v>1313200924</v>
          </cell>
          <cell r="B414" t="str">
            <v>השתת הממשלה בקב"ט</v>
          </cell>
          <cell r="C414">
            <v>-589400</v>
          </cell>
          <cell r="D414">
            <v>-704190.75</v>
          </cell>
          <cell r="E414">
            <v>0</v>
          </cell>
          <cell r="F414">
            <v>-704190.75</v>
          </cell>
          <cell r="G414">
            <v>114790.75</v>
          </cell>
          <cell r="H414">
            <v>119.47</v>
          </cell>
          <cell r="I414">
            <v>-589400</v>
          </cell>
          <cell r="J414">
            <v>-704190.75</v>
          </cell>
        </row>
        <row r="415">
          <cell r="A415">
            <v>1313200925</v>
          </cell>
          <cell r="B415" t="str">
            <v>קבוצות טפוליות</v>
          </cell>
          <cell r="C415">
            <v>-1247600</v>
          </cell>
          <cell r="D415">
            <v>-1394020.28</v>
          </cell>
          <cell r="E415">
            <v>0</v>
          </cell>
          <cell r="F415">
            <v>-1394020.28</v>
          </cell>
          <cell r="G415">
            <v>146420.28</v>
          </cell>
          <cell r="H415">
            <v>111.73</v>
          </cell>
          <cell r="I415">
            <v>-1247600</v>
          </cell>
          <cell r="J415">
            <v>-1394020.28</v>
          </cell>
        </row>
        <row r="416">
          <cell r="A416">
            <v>1313200926</v>
          </cell>
          <cell r="B416" t="str">
            <v>הכנסות שונות משה"ח</v>
          </cell>
          <cell r="C416">
            <v>0</v>
          </cell>
          <cell r="D416">
            <v>0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A417">
            <v>1313200927</v>
          </cell>
          <cell r="B417" t="str">
            <v>השת' ממשלה-פרוייקט</v>
          </cell>
          <cell r="C417">
            <v>-175000</v>
          </cell>
          <cell r="D417">
            <v>-7576</v>
          </cell>
          <cell r="E417">
            <v>0</v>
          </cell>
          <cell r="F417">
            <v>-7576</v>
          </cell>
          <cell r="G417">
            <v>-167424</v>
          </cell>
          <cell r="H417">
            <v>4.32</v>
          </cell>
          <cell r="I417">
            <v>-175000</v>
          </cell>
          <cell r="J417">
            <v>-7576</v>
          </cell>
        </row>
        <row r="418">
          <cell r="A418">
            <v>1313200928</v>
          </cell>
          <cell r="B418" t="str">
            <v>השת' מ' חנוך-ספורט</v>
          </cell>
          <cell r="C418">
            <v>0</v>
          </cell>
          <cell r="D418">
            <v>0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</row>
        <row r="419">
          <cell r="A419">
            <v>1313200929</v>
          </cell>
          <cell r="B419" t="str">
            <v>מחוננים</v>
          </cell>
          <cell r="C419">
            <v>-150000</v>
          </cell>
          <cell r="D419">
            <v>-159612</v>
          </cell>
          <cell r="E419">
            <v>0</v>
          </cell>
          <cell r="F419">
            <v>-159612</v>
          </cell>
          <cell r="G419">
            <v>9612</v>
          </cell>
          <cell r="H419">
            <v>106.4</v>
          </cell>
          <cell r="I419">
            <v>-150000</v>
          </cell>
          <cell r="J419">
            <v>-159612</v>
          </cell>
        </row>
        <row r="420">
          <cell r="A420">
            <v>1313200930</v>
          </cell>
          <cell r="B420" t="str">
            <v>סיוע לניהול עצמי</v>
          </cell>
          <cell r="C420">
            <v>0</v>
          </cell>
          <cell r="D420">
            <v>0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</row>
        <row r="421">
          <cell r="A421">
            <v>1313200931</v>
          </cell>
          <cell r="B421" t="str">
            <v>שרת'/מז' ניהול עצמי</v>
          </cell>
          <cell r="C421">
            <v>-14478000</v>
          </cell>
          <cell r="D421">
            <v>-15252336.57</v>
          </cell>
          <cell r="E421">
            <v>0</v>
          </cell>
          <cell r="F421">
            <v>-15252336.57</v>
          </cell>
          <cell r="G421">
            <v>774336.57</v>
          </cell>
          <cell r="H421">
            <v>105.34</v>
          </cell>
          <cell r="I421">
            <v>-14478000</v>
          </cell>
          <cell r="J421">
            <v>-15252336.57</v>
          </cell>
        </row>
        <row r="422">
          <cell r="A422">
            <v>1313200932</v>
          </cell>
          <cell r="B422" t="str">
            <v>תוספת דיפרנציאלית ניהול עצמי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A423">
            <v>1313200936</v>
          </cell>
          <cell r="B423" t="str">
            <v>נאמני קורונה</v>
          </cell>
          <cell r="C423">
            <v>0</v>
          </cell>
          <cell r="D423">
            <v>0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A424">
            <v>1313200938</v>
          </cell>
          <cell r="B424" t="str">
            <v>עוזרי חינוך - קורונה</v>
          </cell>
          <cell r="C424">
            <v>0</v>
          </cell>
          <cell r="D424">
            <v>0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</row>
        <row r="425">
          <cell r="A425">
            <v>1313200944</v>
          </cell>
          <cell r="B425" t="str">
            <v>החזר הבראה ויובל</v>
          </cell>
          <cell r="C425">
            <v>0</v>
          </cell>
          <cell r="D425">
            <v>0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</row>
        <row r="426">
          <cell r="A426">
            <v>1313200950</v>
          </cell>
          <cell r="B426" t="str">
            <v>שגרירי מפתח הל"ב</v>
          </cell>
          <cell r="C426">
            <v>-30000</v>
          </cell>
          <cell r="D426">
            <v>0</v>
          </cell>
          <cell r="E426">
            <v>0</v>
          </cell>
          <cell r="F426">
            <v>0</v>
          </cell>
          <cell r="G426">
            <v>-30000</v>
          </cell>
          <cell r="H426">
            <v>0</v>
          </cell>
          <cell r="I426">
            <v>-30000</v>
          </cell>
          <cell r="J426">
            <v>0</v>
          </cell>
        </row>
        <row r="427">
          <cell r="A427">
            <v>1313200951</v>
          </cell>
          <cell r="B427" t="str">
            <v>ציוד ומכשירי חנ"ג</v>
          </cell>
          <cell r="C427">
            <v>0</v>
          </cell>
          <cell r="D427">
            <v>0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</row>
        <row r="428">
          <cell r="A428">
            <v>1313200952</v>
          </cell>
          <cell r="B428" t="str">
            <v>יסודי-הכלה והשתלבות</v>
          </cell>
          <cell r="C428">
            <v>0</v>
          </cell>
          <cell r="D428">
            <v>0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</row>
        <row r="429">
          <cell r="A429">
            <v>1313200953</v>
          </cell>
          <cell r="B429" t="str">
            <v>מערכת גפ"ן</v>
          </cell>
          <cell r="C429">
            <v>0</v>
          </cell>
          <cell r="D429">
            <v>0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A430">
            <v>1313200954</v>
          </cell>
          <cell r="B430" t="str">
            <v>גפ"ן בית ספרי יסודי</v>
          </cell>
          <cell r="C430">
            <v>-20000000</v>
          </cell>
          <cell r="D430">
            <v>-16465579.869999999</v>
          </cell>
          <cell r="E430">
            <v>0</v>
          </cell>
          <cell r="F430">
            <v>-16465579.869999999</v>
          </cell>
          <cell r="G430">
            <v>-3534420.13</v>
          </cell>
          <cell r="H430">
            <v>82.32</v>
          </cell>
          <cell r="I430">
            <v>-20000000</v>
          </cell>
          <cell r="J430">
            <v>-16465579.869999999</v>
          </cell>
        </row>
        <row r="431">
          <cell r="A431">
            <v>1313200990</v>
          </cell>
          <cell r="B431" t="str">
            <v>הכנסות מתי"א</v>
          </cell>
          <cell r="C431">
            <v>0</v>
          </cell>
          <cell r="D431">
            <v>0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</row>
        <row r="432">
          <cell r="A432">
            <v>1313201420</v>
          </cell>
          <cell r="B432" t="str">
            <v>הזנה - הורים</v>
          </cell>
          <cell r="C432">
            <v>0</v>
          </cell>
          <cell r="D432">
            <v>-108</v>
          </cell>
          <cell r="E432">
            <v>0</v>
          </cell>
          <cell r="F432">
            <v>-108</v>
          </cell>
          <cell r="G432">
            <v>108</v>
          </cell>
          <cell r="H432">
            <v>0</v>
          </cell>
          <cell r="I432">
            <v>0</v>
          </cell>
          <cell r="J432">
            <v>-108</v>
          </cell>
        </row>
        <row r="433">
          <cell r="A433">
            <v>1313201421</v>
          </cell>
          <cell r="B433" t="str">
            <v>גביה מהורים-ניצנים יסודי</v>
          </cell>
          <cell r="C433">
            <v>-13000000</v>
          </cell>
          <cell r="D433">
            <v>-8155542</v>
          </cell>
          <cell r="E433">
            <v>0</v>
          </cell>
          <cell r="F433">
            <v>-8155542</v>
          </cell>
          <cell r="G433">
            <v>-4844458</v>
          </cell>
          <cell r="H433">
            <v>62.73</v>
          </cell>
          <cell r="I433">
            <v>-13000000</v>
          </cell>
          <cell r="J433">
            <v>-8155542</v>
          </cell>
        </row>
        <row r="434">
          <cell r="A434">
            <v>1313201920</v>
          </cell>
          <cell r="B434" t="str">
            <v>צהרונים - ניצנים  ממשה"ח</v>
          </cell>
          <cell r="C434">
            <v>-6350000</v>
          </cell>
          <cell r="D434">
            <v>-5988301.5300000003</v>
          </cell>
          <cell r="E434">
            <v>0</v>
          </cell>
          <cell r="F434">
            <v>-5988301.5300000003</v>
          </cell>
          <cell r="G434">
            <v>-361698.47</v>
          </cell>
          <cell r="H434">
            <v>94.3</v>
          </cell>
          <cell r="I434">
            <v>-6350000</v>
          </cell>
          <cell r="J434">
            <v>-5988301.5300000003</v>
          </cell>
        </row>
        <row r="435">
          <cell r="A435">
            <v>1313201921</v>
          </cell>
          <cell r="B435" t="str">
            <v>מסגרות חינוכיות בחופשות</v>
          </cell>
          <cell r="C435">
            <v>-2150000</v>
          </cell>
          <cell r="D435">
            <v>-3390654.08</v>
          </cell>
          <cell r="E435">
            <v>0</v>
          </cell>
          <cell r="F435">
            <v>-3390654.08</v>
          </cell>
          <cell r="G435">
            <v>1240654.08</v>
          </cell>
          <cell r="H435">
            <v>157.69999999999999</v>
          </cell>
          <cell r="I435">
            <v>-2150000</v>
          </cell>
          <cell r="J435">
            <v>-3390654.08</v>
          </cell>
        </row>
        <row r="436">
          <cell r="A436">
            <v>1313201922</v>
          </cell>
          <cell r="B436" t="str">
            <v>הזנה - משה"ח</v>
          </cell>
          <cell r="C436">
            <v>0</v>
          </cell>
          <cell r="D436">
            <v>0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</row>
        <row r="437">
          <cell r="A437">
            <v>1313201923</v>
          </cell>
          <cell r="B437" t="str">
            <v>משה"ח - סייעות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A438">
            <v>1313201941</v>
          </cell>
          <cell r="B438" t="str">
            <v>מסגרות קיץ משה"ח</v>
          </cell>
          <cell r="C438">
            <v>-5028000</v>
          </cell>
          <cell r="D438">
            <v>-4989250.3899999997</v>
          </cell>
          <cell r="E438">
            <v>0</v>
          </cell>
          <cell r="F438">
            <v>-4989250.3899999997</v>
          </cell>
          <cell r="G438">
            <v>-38749.61</v>
          </cell>
          <cell r="H438">
            <v>99.22</v>
          </cell>
          <cell r="I438">
            <v>-5028000</v>
          </cell>
          <cell r="J438">
            <v>-4989250.3899999997</v>
          </cell>
        </row>
        <row r="439">
          <cell r="A439">
            <v>1313202420</v>
          </cell>
          <cell r="B439" t="str">
            <v>הזנה - הורים</v>
          </cell>
          <cell r="C439">
            <v>0</v>
          </cell>
          <cell r="D439">
            <v>0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</row>
        <row r="440">
          <cell r="A440">
            <v>1313202920</v>
          </cell>
          <cell r="B440" t="str">
            <v>הכנסות משה"ח</v>
          </cell>
          <cell r="C440">
            <v>0</v>
          </cell>
          <cell r="D440">
            <v>0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</row>
        <row r="441">
          <cell r="A441">
            <v>1313202921</v>
          </cell>
          <cell r="B441" t="str">
            <v>הכנסות בגין ימי ו'</v>
          </cell>
          <cell r="C441">
            <v>0</v>
          </cell>
          <cell r="D441">
            <v>0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A442">
            <v>1313202922</v>
          </cell>
          <cell r="B442" t="str">
            <v>הזנה - משה"ח</v>
          </cell>
          <cell r="C442">
            <v>0</v>
          </cell>
          <cell r="D442">
            <v>0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</row>
        <row r="443">
          <cell r="A443">
            <v>1313202923</v>
          </cell>
          <cell r="B443" t="str">
            <v>משה"ח - סייעות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</row>
        <row r="444">
          <cell r="A444">
            <v>1313203420</v>
          </cell>
          <cell r="B444" t="str">
            <v>הזנה - הורים</v>
          </cell>
          <cell r="C444">
            <v>0</v>
          </cell>
          <cell r="D444">
            <v>0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</row>
        <row r="445">
          <cell r="A445">
            <v>1313203920</v>
          </cell>
          <cell r="B445" t="str">
            <v>הכנסות משה"ח</v>
          </cell>
          <cell r="C445">
            <v>0</v>
          </cell>
          <cell r="D445">
            <v>0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</row>
        <row r="446">
          <cell r="A446">
            <v>1313203921</v>
          </cell>
          <cell r="B446" t="str">
            <v>הכנסות בגין ימי ו'</v>
          </cell>
          <cell r="C446">
            <v>0</v>
          </cell>
          <cell r="D446">
            <v>0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</row>
        <row r="447">
          <cell r="A447">
            <v>1313203922</v>
          </cell>
          <cell r="B447" t="str">
            <v>הזנה - משה"ח</v>
          </cell>
          <cell r="C447">
            <v>0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</row>
        <row r="448">
          <cell r="A448">
            <v>1313203923</v>
          </cell>
          <cell r="B448" t="str">
            <v>משה"ח - סייעות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</row>
        <row r="449">
          <cell r="A449">
            <v>1313204420</v>
          </cell>
          <cell r="B449" t="str">
            <v>הזנה - הורים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</row>
        <row r="450">
          <cell r="A450">
            <v>1313204920</v>
          </cell>
          <cell r="B450" t="str">
            <v>הכנסות משה"ח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A451">
            <v>1313204921</v>
          </cell>
          <cell r="B451" t="str">
            <v>הכנסות בגין ימי ו'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</row>
        <row r="452">
          <cell r="A452">
            <v>1313204922</v>
          </cell>
          <cell r="B452" t="str">
            <v>הזנה - משה"ח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</row>
        <row r="453">
          <cell r="A453">
            <v>1313204923</v>
          </cell>
          <cell r="B453" t="str">
            <v>משה"ח - סייעות</v>
          </cell>
          <cell r="C453">
            <v>0</v>
          </cell>
          <cell r="D453">
            <v>0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</row>
        <row r="454">
          <cell r="A454">
            <v>1313205420</v>
          </cell>
          <cell r="B454" t="str">
            <v>הזנה - הורים</v>
          </cell>
          <cell r="C454">
            <v>0</v>
          </cell>
          <cell r="D454">
            <v>0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A455">
            <v>1313205920</v>
          </cell>
          <cell r="B455" t="str">
            <v>הכנסות משה"ח'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</row>
        <row r="456">
          <cell r="A456">
            <v>1313205921</v>
          </cell>
          <cell r="B456" t="str">
            <v>הכנסות בגין ימי ו'</v>
          </cell>
          <cell r="C456">
            <v>0</v>
          </cell>
          <cell r="D456">
            <v>0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</row>
        <row r="457">
          <cell r="A457">
            <v>1313205922</v>
          </cell>
          <cell r="B457" t="str">
            <v>הזנה - משה"ח</v>
          </cell>
          <cell r="C457">
            <v>0</v>
          </cell>
          <cell r="D457">
            <v>0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</row>
        <row r="458">
          <cell r="A458">
            <v>1313205923</v>
          </cell>
          <cell r="B458" t="str">
            <v>משה"ח - סייעות</v>
          </cell>
          <cell r="C458">
            <v>0</v>
          </cell>
          <cell r="D458">
            <v>0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A459">
            <v>1313206420</v>
          </cell>
          <cell r="B459" t="str">
            <v>הזנה - הורים</v>
          </cell>
          <cell r="C459">
            <v>0</v>
          </cell>
          <cell r="D459">
            <v>0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</row>
        <row r="460">
          <cell r="A460">
            <v>1313206920</v>
          </cell>
          <cell r="B460" t="str">
            <v>הכנסות משה"ח</v>
          </cell>
          <cell r="C460">
            <v>0</v>
          </cell>
          <cell r="D460">
            <v>0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</row>
        <row r="461">
          <cell r="A461">
            <v>1313206921</v>
          </cell>
          <cell r="B461" t="str">
            <v>הכנסות בגין ימי ו'</v>
          </cell>
          <cell r="C461">
            <v>0</v>
          </cell>
          <cell r="D461">
            <v>0</v>
          </cell>
          <cell r="E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A462">
            <v>1313206922</v>
          </cell>
          <cell r="B462" t="str">
            <v>הזנה - משה"ח</v>
          </cell>
          <cell r="C462">
            <v>0</v>
          </cell>
          <cell r="D462">
            <v>0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</row>
        <row r="463">
          <cell r="A463">
            <v>1313206923</v>
          </cell>
          <cell r="B463" t="str">
            <v>משה"ח - סייעות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</row>
        <row r="464">
          <cell r="A464">
            <v>1313300312</v>
          </cell>
          <cell r="B464" t="str">
            <v>מסיבות כיתתיות</v>
          </cell>
          <cell r="C464">
            <v>-10000</v>
          </cell>
          <cell r="D464">
            <v>-10934</v>
          </cell>
          <cell r="E464">
            <v>0</v>
          </cell>
          <cell r="F464">
            <v>-10934</v>
          </cell>
          <cell r="G464">
            <v>934</v>
          </cell>
          <cell r="H464">
            <v>109.34</v>
          </cell>
          <cell r="I464">
            <v>-10000</v>
          </cell>
          <cell r="J464">
            <v>-10934</v>
          </cell>
        </row>
        <row r="465">
          <cell r="A465">
            <v>1313300420</v>
          </cell>
          <cell r="B465" t="str">
            <v>סייעות ע"ח רשויות מקומיות אחר</v>
          </cell>
          <cell r="C465">
            <v>0</v>
          </cell>
          <cell r="D465">
            <v>0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</row>
        <row r="466">
          <cell r="A466">
            <v>1313300422</v>
          </cell>
          <cell r="B466" t="str">
            <v>מועדונית עמל</v>
          </cell>
          <cell r="C466">
            <v>0</v>
          </cell>
          <cell r="D466">
            <v>0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</row>
        <row r="467">
          <cell r="A467">
            <v>1313300430</v>
          </cell>
          <cell r="B467" t="str">
            <v>השתת' מוסד'ילד חוץ</v>
          </cell>
          <cell r="C467">
            <v>-2700000</v>
          </cell>
          <cell r="D467">
            <v>-1409722</v>
          </cell>
          <cell r="E467">
            <v>0</v>
          </cell>
          <cell r="F467">
            <v>-1409722</v>
          </cell>
          <cell r="G467">
            <v>-1290278</v>
          </cell>
          <cell r="H467">
            <v>52.21</v>
          </cell>
          <cell r="I467">
            <v>-2700000</v>
          </cell>
          <cell r="J467">
            <v>-1409722</v>
          </cell>
        </row>
        <row r="468">
          <cell r="A468">
            <v>1313300691</v>
          </cell>
          <cell r="B468" t="str">
            <v>הכנסות מייצור בחלץ</v>
          </cell>
          <cell r="C468">
            <v>0</v>
          </cell>
          <cell r="D468">
            <v>0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A469">
            <v>1313300737</v>
          </cell>
          <cell r="B469" t="str">
            <v>התבור-בטל"א</v>
          </cell>
          <cell r="C469">
            <v>0</v>
          </cell>
          <cell r="D469">
            <v>0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A470">
            <v>1313300920</v>
          </cell>
          <cell r="B470" t="str">
            <v>סייעות טיפוליות</v>
          </cell>
          <cell r="C470">
            <v>-81000000</v>
          </cell>
          <cell r="D470">
            <v>-85071674.310000002</v>
          </cell>
          <cell r="E470">
            <v>0</v>
          </cell>
          <cell r="F470">
            <v>-85071674.310000002</v>
          </cell>
          <cell r="G470">
            <v>4071674.31</v>
          </cell>
          <cell r="H470">
            <v>105.02</v>
          </cell>
          <cell r="I470">
            <v>-81000000</v>
          </cell>
          <cell r="J470">
            <v>-85071674.310000002</v>
          </cell>
        </row>
        <row r="471">
          <cell r="A471">
            <v>1313300921</v>
          </cell>
          <cell r="B471" t="str">
            <v>לבורנט וספרן- חלץ</v>
          </cell>
          <cell r="C471">
            <v>-176000</v>
          </cell>
          <cell r="D471">
            <v>-206329.03</v>
          </cell>
          <cell r="E471">
            <v>0</v>
          </cell>
          <cell r="F471">
            <v>-206329.03</v>
          </cell>
          <cell r="G471">
            <v>30329.03</v>
          </cell>
          <cell r="H471">
            <v>117.23</v>
          </cell>
          <cell r="I471">
            <v>-176000</v>
          </cell>
          <cell r="J471">
            <v>-206329.03</v>
          </cell>
        </row>
        <row r="472">
          <cell r="A472">
            <v>1313300922</v>
          </cell>
          <cell r="B472" t="str">
            <v>השת' בהזנה</v>
          </cell>
          <cell r="C472">
            <v>-2532900</v>
          </cell>
          <cell r="D472">
            <v>-3033204.47</v>
          </cell>
          <cell r="E472">
            <v>0</v>
          </cell>
          <cell r="F472">
            <v>-3033204.47</v>
          </cell>
          <cell r="G472">
            <v>500304.47</v>
          </cell>
          <cell r="H472">
            <v>119.75</v>
          </cell>
          <cell r="I472">
            <v>-2532900</v>
          </cell>
          <cell r="J472">
            <v>-3033204.47</v>
          </cell>
        </row>
        <row r="473">
          <cell r="A473">
            <v>1313300923</v>
          </cell>
          <cell r="B473" t="str">
            <v>השתתפות משרד החינוך</v>
          </cell>
          <cell r="C473">
            <v>-150000</v>
          </cell>
          <cell r="D473">
            <v>-132313</v>
          </cell>
          <cell r="E473">
            <v>0</v>
          </cell>
          <cell r="F473">
            <v>-132313</v>
          </cell>
          <cell r="G473">
            <v>-17687</v>
          </cell>
          <cell r="H473">
            <v>88.2</v>
          </cell>
          <cell r="I473">
            <v>-150000</v>
          </cell>
          <cell r="J473">
            <v>-132313</v>
          </cell>
        </row>
        <row r="474">
          <cell r="A474">
            <v>1313300924</v>
          </cell>
          <cell r="B474" t="str">
            <v>חינוך מיוחד-חופשות</v>
          </cell>
          <cell r="C474">
            <v>-2695700</v>
          </cell>
          <cell r="D474">
            <v>-3348536.44</v>
          </cell>
          <cell r="E474">
            <v>0</v>
          </cell>
          <cell r="F474">
            <v>-3348536.44</v>
          </cell>
          <cell r="G474">
            <v>652836.43999999994</v>
          </cell>
          <cell r="H474">
            <v>124.21</v>
          </cell>
          <cell r="I474">
            <v>-2695700</v>
          </cell>
          <cell r="J474">
            <v>-3348536.44</v>
          </cell>
        </row>
        <row r="475">
          <cell r="A475">
            <v>1313300925</v>
          </cell>
          <cell r="B475" t="str">
            <v>שרתים+מזכירות אפיק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A476">
            <v>1313300926</v>
          </cell>
          <cell r="B476" t="str">
            <v>שרתים+מזכיר'-מתי"א</v>
          </cell>
          <cell r="C476">
            <v>-331300</v>
          </cell>
          <cell r="D476">
            <v>-383286.2</v>
          </cell>
          <cell r="E476">
            <v>0</v>
          </cell>
          <cell r="F476">
            <v>-383286.2</v>
          </cell>
          <cell r="G476">
            <v>51986.2</v>
          </cell>
          <cell r="H476">
            <v>115.69</v>
          </cell>
          <cell r="I476">
            <v>-331300</v>
          </cell>
          <cell r="J476">
            <v>-383286.2</v>
          </cell>
        </row>
        <row r="477">
          <cell r="A477">
            <v>1313300927</v>
          </cell>
          <cell r="B477" t="str">
            <v>השתתפות מש' החינוך בבחינות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</row>
        <row r="478">
          <cell r="A478">
            <v>1313300928</v>
          </cell>
          <cell r="B478" t="str">
            <v>שר' הקף-יול"א ח.מ.</v>
          </cell>
          <cell r="C478">
            <v>-231500</v>
          </cell>
          <cell r="D478">
            <v>-255172</v>
          </cell>
          <cell r="E478">
            <v>0</v>
          </cell>
          <cell r="F478">
            <v>-255172</v>
          </cell>
          <cell r="G478">
            <v>23672</v>
          </cell>
          <cell r="H478">
            <v>110.22</v>
          </cell>
          <cell r="I478">
            <v>-231500</v>
          </cell>
          <cell r="J478">
            <v>-255172</v>
          </cell>
        </row>
        <row r="479">
          <cell r="A479">
            <v>1313300929</v>
          </cell>
          <cell r="B479" t="str">
            <v>סייעות רפואיות</v>
          </cell>
          <cell r="C479">
            <v>0</v>
          </cell>
          <cell r="D479">
            <v>0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</row>
        <row r="480">
          <cell r="A480">
            <v>1313300938</v>
          </cell>
          <cell r="B480" t="str">
            <v>השתת' מש' החינוך בטיולים</v>
          </cell>
          <cell r="C480">
            <v>0</v>
          </cell>
          <cell r="D480">
            <v>0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</row>
        <row r="481">
          <cell r="A481">
            <v>1313300953</v>
          </cell>
          <cell r="B481" t="str">
            <v>מערכת גפ"ן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A482">
            <v>1313300954</v>
          </cell>
          <cell r="B482" t="str">
            <v>הכנסות גפ"ן בית ספרי</v>
          </cell>
          <cell r="C482">
            <v>0</v>
          </cell>
          <cell r="D482">
            <v>0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</row>
        <row r="483">
          <cell r="A483">
            <v>1313310312</v>
          </cell>
          <cell r="B483" t="str">
            <v>מסיבות כיתתיות</v>
          </cell>
          <cell r="C483">
            <v>-2000</v>
          </cell>
          <cell r="D483">
            <v>-1870</v>
          </cell>
          <cell r="E483">
            <v>0</v>
          </cell>
          <cell r="F483">
            <v>-1870</v>
          </cell>
          <cell r="G483">
            <v>-130</v>
          </cell>
          <cell r="H483">
            <v>93.5</v>
          </cell>
          <cell r="I483">
            <v>-2000</v>
          </cell>
          <cell r="J483">
            <v>-1870</v>
          </cell>
        </row>
        <row r="484">
          <cell r="A484">
            <v>1313310430</v>
          </cell>
          <cell r="B484" t="str">
            <v>השתתפות מוסדות</v>
          </cell>
          <cell r="C484">
            <v>-450000</v>
          </cell>
          <cell r="D484">
            <v>-221590</v>
          </cell>
          <cell r="E484">
            <v>0</v>
          </cell>
          <cell r="F484">
            <v>-221590</v>
          </cell>
          <cell r="G484">
            <v>-228410</v>
          </cell>
          <cell r="H484">
            <v>49.24</v>
          </cell>
          <cell r="I484">
            <v>-450000</v>
          </cell>
          <cell r="J484">
            <v>-221590</v>
          </cell>
        </row>
        <row r="485">
          <cell r="A485">
            <v>1313310920</v>
          </cell>
          <cell r="B485" t="str">
            <v>סייעות טיפוליות</v>
          </cell>
          <cell r="C485">
            <v>-2100000</v>
          </cell>
          <cell r="D485">
            <v>-2348806.59</v>
          </cell>
          <cell r="E485">
            <v>0</v>
          </cell>
          <cell r="F485">
            <v>-2348806.59</v>
          </cell>
          <cell r="G485">
            <v>248806.59</v>
          </cell>
          <cell r="H485">
            <v>111.84</v>
          </cell>
          <cell r="I485">
            <v>-2100000</v>
          </cell>
          <cell r="J485">
            <v>-2348806.59</v>
          </cell>
        </row>
        <row r="486">
          <cell r="A486">
            <v>1313310921</v>
          </cell>
          <cell r="B486" t="str">
            <v>מזכירות ושרתים</v>
          </cell>
          <cell r="C486">
            <v>-344500</v>
          </cell>
          <cell r="D486">
            <v>-380165.14</v>
          </cell>
          <cell r="E486">
            <v>0</v>
          </cell>
          <cell r="F486">
            <v>-380165.14</v>
          </cell>
          <cell r="G486">
            <v>35665.14</v>
          </cell>
          <cell r="H486">
            <v>110.35</v>
          </cell>
          <cell r="I486">
            <v>-344500</v>
          </cell>
          <cell r="J486">
            <v>-380165.14</v>
          </cell>
        </row>
        <row r="487">
          <cell r="A487">
            <v>1313310922</v>
          </cell>
          <cell r="B487" t="str">
            <v>השת' בהזנה</v>
          </cell>
          <cell r="C487">
            <v>-310000</v>
          </cell>
          <cell r="D487">
            <v>-341438.41</v>
          </cell>
          <cell r="E487">
            <v>0</v>
          </cell>
          <cell r="F487">
            <v>-341438.41</v>
          </cell>
          <cell r="G487">
            <v>31438.41</v>
          </cell>
          <cell r="H487">
            <v>110.14</v>
          </cell>
          <cell r="I487">
            <v>-310000</v>
          </cell>
          <cell r="J487">
            <v>-341438.41</v>
          </cell>
        </row>
        <row r="488">
          <cell r="A488">
            <v>1313310923</v>
          </cell>
          <cell r="B488" t="str">
            <v>השתתפות מש' החינוך בבחינות</v>
          </cell>
          <cell r="C488">
            <v>0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</row>
        <row r="489">
          <cell r="A489">
            <v>1313310924</v>
          </cell>
          <cell r="B489" t="str">
            <v>חינוך מיוחד-חופשות</v>
          </cell>
          <cell r="C489">
            <v>-148800</v>
          </cell>
          <cell r="D489">
            <v>-136545.29999999999</v>
          </cell>
          <cell r="E489">
            <v>0</v>
          </cell>
          <cell r="F489">
            <v>-136545.29999999999</v>
          </cell>
          <cell r="G489">
            <v>-12254.7</v>
          </cell>
          <cell r="H489">
            <v>91.76</v>
          </cell>
          <cell r="I489">
            <v>-148800</v>
          </cell>
          <cell r="J489">
            <v>-136545.29999999999</v>
          </cell>
        </row>
        <row r="490">
          <cell r="A490">
            <v>1313310938</v>
          </cell>
          <cell r="B490" t="str">
            <v>השתת' מש' החינוך בטיולים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</row>
        <row r="491">
          <cell r="A491">
            <v>1313310953</v>
          </cell>
          <cell r="B491" t="str">
            <v>מערכת גפ"ן</v>
          </cell>
          <cell r="C491">
            <v>0</v>
          </cell>
          <cell r="D491">
            <v>0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</row>
        <row r="492">
          <cell r="A492">
            <v>1313310954</v>
          </cell>
          <cell r="B492" t="str">
            <v>הכנסות גפ"ן בית ספרי</v>
          </cell>
          <cell r="C492">
            <v>0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</row>
        <row r="493">
          <cell r="A493">
            <v>1313600421</v>
          </cell>
          <cell r="B493" t="str">
            <v>גביה מהורים-ניצנים יסודי</v>
          </cell>
          <cell r="C493">
            <v>0</v>
          </cell>
          <cell r="D493">
            <v>0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A494">
            <v>1313610421</v>
          </cell>
          <cell r="B494" t="str">
            <v>גביה מהורים-ניצנים קיץ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A495">
            <v>1313700610</v>
          </cell>
          <cell r="B495" t="str">
            <v>מכירות תוצרת הח</v>
          </cell>
          <cell r="C495">
            <v>0</v>
          </cell>
          <cell r="D495">
            <v>0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</row>
        <row r="496">
          <cell r="A496">
            <v>1313700920</v>
          </cell>
          <cell r="B496" t="str">
            <v>הסעות ילדים</v>
          </cell>
          <cell r="C496">
            <v>-200000</v>
          </cell>
          <cell r="D496">
            <v>0</v>
          </cell>
          <cell r="E496">
            <v>0</v>
          </cell>
          <cell r="F496">
            <v>0</v>
          </cell>
          <cell r="G496">
            <v>-200000</v>
          </cell>
          <cell r="H496">
            <v>0</v>
          </cell>
          <cell r="I496">
            <v>-200000</v>
          </cell>
          <cell r="J496">
            <v>0</v>
          </cell>
        </row>
        <row r="497">
          <cell r="A497">
            <v>1313700921</v>
          </cell>
          <cell r="B497" t="str">
            <v>הצטיידות</v>
          </cell>
          <cell r="C497">
            <v>-105000</v>
          </cell>
          <cell r="D497">
            <v>-49317.1</v>
          </cell>
          <cell r="E497">
            <v>0</v>
          </cell>
          <cell r="F497">
            <v>-49317.1</v>
          </cell>
          <cell r="G497">
            <v>-55682.9</v>
          </cell>
          <cell r="H497">
            <v>46.96</v>
          </cell>
          <cell r="I497">
            <v>-105000</v>
          </cell>
          <cell r="J497">
            <v>-49317.1</v>
          </cell>
        </row>
        <row r="498">
          <cell r="A498">
            <v>1313700922</v>
          </cell>
          <cell r="B498" t="str">
            <v>שרת ומזכירה</v>
          </cell>
          <cell r="C498">
            <v>-279300</v>
          </cell>
          <cell r="D498">
            <v>-320411.71999999997</v>
          </cell>
          <cell r="E498">
            <v>0</v>
          </cell>
          <cell r="F498">
            <v>-320411.71999999997</v>
          </cell>
          <cell r="G498">
            <v>41111.72</v>
          </cell>
          <cell r="H498">
            <v>114.71</v>
          </cell>
          <cell r="I498">
            <v>-279300</v>
          </cell>
          <cell r="J498">
            <v>-320411.71999999997</v>
          </cell>
        </row>
        <row r="499">
          <cell r="A499">
            <v>1313800420</v>
          </cell>
          <cell r="B499" t="str">
            <v>הכנסות מקייטנות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</row>
        <row r="500">
          <cell r="A500">
            <v>1313800920</v>
          </cell>
          <cell r="B500" t="str">
            <v>מש'החנוך אולפן קיץ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</row>
        <row r="501">
          <cell r="A501">
            <v>1314100921</v>
          </cell>
          <cell r="B501" t="str">
            <v>השתת' ממשלה - חט"ב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</row>
        <row r="502">
          <cell r="A502">
            <v>1315100420</v>
          </cell>
          <cell r="B502" t="str">
            <v>הכשרת מזכירות</v>
          </cell>
          <cell r="C502">
            <v>0</v>
          </cell>
          <cell r="D502">
            <v>0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</row>
        <row r="503">
          <cell r="A503">
            <v>1315100441</v>
          </cell>
          <cell r="B503" t="str">
            <v>החזר ביטוח אורט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</row>
        <row r="504">
          <cell r="A504">
            <v>1315100490</v>
          </cell>
          <cell r="B504" t="str">
            <v>מענק קרן ידידי העיר חולון</v>
          </cell>
          <cell r="C504">
            <v>0</v>
          </cell>
          <cell r="D504">
            <v>0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A505">
            <v>1315100491</v>
          </cell>
          <cell r="B505" t="str">
            <v>הכנסות מארועים</v>
          </cell>
          <cell r="C505">
            <v>0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A506">
            <v>1315100492</v>
          </cell>
          <cell r="B506" t="str">
            <v>שעות תיגבור</v>
          </cell>
          <cell r="C506">
            <v>0</v>
          </cell>
          <cell r="D506">
            <v>0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</row>
        <row r="507">
          <cell r="A507">
            <v>1315100493</v>
          </cell>
          <cell r="B507" t="str">
            <v>השאלת ספרים חט"ב</v>
          </cell>
          <cell r="C507">
            <v>-60000</v>
          </cell>
          <cell r="D507">
            <v>-53257.84</v>
          </cell>
          <cell r="E507">
            <v>0</v>
          </cell>
          <cell r="F507">
            <v>-53257.84</v>
          </cell>
          <cell r="G507">
            <v>-6742.16</v>
          </cell>
          <cell r="H507">
            <v>88.76</v>
          </cell>
          <cell r="I507">
            <v>-60000</v>
          </cell>
          <cell r="J507">
            <v>-53257.84</v>
          </cell>
        </row>
        <row r="508">
          <cell r="A508">
            <v>1315100921</v>
          </cell>
          <cell r="B508" t="str">
            <v>רכז עירוני לבגרות חברתית</v>
          </cell>
          <cell r="C508">
            <v>0</v>
          </cell>
          <cell r="D508">
            <v>0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</row>
        <row r="509">
          <cell r="A509">
            <v>1315100922</v>
          </cell>
          <cell r="B509" t="str">
            <v>פרויקטים בהשתתפות משרד החינוך</v>
          </cell>
          <cell r="C509">
            <v>-300000</v>
          </cell>
          <cell r="D509">
            <v>-226548</v>
          </cell>
          <cell r="E509">
            <v>0</v>
          </cell>
          <cell r="F509">
            <v>-226548</v>
          </cell>
          <cell r="G509">
            <v>-73452</v>
          </cell>
          <cell r="H509">
            <v>75.510000000000005</v>
          </cell>
          <cell r="I509">
            <v>-300000</v>
          </cell>
          <cell r="J509">
            <v>-226548</v>
          </cell>
        </row>
        <row r="510">
          <cell r="A510">
            <v>1315100923</v>
          </cell>
          <cell r="B510" t="str">
            <v>הכנסות אומ"ץ</v>
          </cell>
          <cell r="C510">
            <v>0</v>
          </cell>
          <cell r="D510">
            <v>0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</row>
        <row r="511">
          <cell r="A511">
            <v>1315100924</v>
          </cell>
          <cell r="B511" t="str">
            <v>משלחות ספורט</v>
          </cell>
          <cell r="C511">
            <v>-40000</v>
          </cell>
          <cell r="D511">
            <v>0</v>
          </cell>
          <cell r="E511">
            <v>0</v>
          </cell>
          <cell r="F511">
            <v>0</v>
          </cell>
          <cell r="G511">
            <v>-40000</v>
          </cell>
          <cell r="H511">
            <v>0</v>
          </cell>
          <cell r="I511">
            <v>-40000</v>
          </cell>
          <cell r="J511">
            <v>0</v>
          </cell>
        </row>
        <row r="512">
          <cell r="A512">
            <v>1315100925</v>
          </cell>
          <cell r="B512" t="str">
            <v>שביתה הכנ' משה"ח</v>
          </cell>
          <cell r="C512">
            <v>0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</row>
        <row r="513">
          <cell r="A513">
            <v>1315100929</v>
          </cell>
          <cell r="B513" t="str">
            <v>חוגי טכנולוגיה-משרד המדע</v>
          </cell>
          <cell r="C513">
            <v>0</v>
          </cell>
          <cell r="D513">
            <v>0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</row>
        <row r="514">
          <cell r="A514">
            <v>1315100944</v>
          </cell>
          <cell r="B514" t="str">
            <v>החזר הבראה ויובל</v>
          </cell>
          <cell r="C514">
            <v>0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</row>
        <row r="515">
          <cell r="A515">
            <v>1315100990</v>
          </cell>
          <cell r="B515" t="str">
            <v>קשישים-שוויון חברתי</v>
          </cell>
          <cell r="C515">
            <v>0</v>
          </cell>
          <cell r="D515">
            <v>0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</row>
        <row r="516">
          <cell r="A516">
            <v>1315110921</v>
          </cell>
          <cell r="B516" t="str">
            <v>מצויינות - משה"ח</v>
          </cell>
          <cell r="C516">
            <v>0</v>
          </cell>
          <cell r="D516">
            <v>0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</row>
        <row r="517">
          <cell r="A517">
            <v>1315110922</v>
          </cell>
          <cell r="B517" t="str">
            <v>תפ"ן - משה"ח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</row>
        <row r="518">
          <cell r="A518">
            <v>1315110923</v>
          </cell>
          <cell r="B518" t="str">
            <v>אומ"ץ - משה"ח</v>
          </cell>
          <cell r="C518">
            <v>-40000</v>
          </cell>
          <cell r="D518">
            <v>0</v>
          </cell>
          <cell r="E518">
            <v>0</v>
          </cell>
          <cell r="F518">
            <v>0</v>
          </cell>
          <cell r="G518">
            <v>-40000</v>
          </cell>
          <cell r="H518">
            <v>0</v>
          </cell>
          <cell r="I518">
            <v>-40000</v>
          </cell>
          <cell r="J518">
            <v>0</v>
          </cell>
        </row>
        <row r="519">
          <cell r="A519">
            <v>1315120921</v>
          </cell>
          <cell r="B519" t="str">
            <v>מצויינות - משה"ח</v>
          </cell>
          <cell r="C519">
            <v>0</v>
          </cell>
          <cell r="D519">
            <v>0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</row>
        <row r="520">
          <cell r="A520">
            <v>1315120922</v>
          </cell>
          <cell r="B520" t="str">
            <v>תפ"ן - משה"ח</v>
          </cell>
          <cell r="C520">
            <v>0</v>
          </cell>
          <cell r="D520">
            <v>0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A521">
            <v>1315120923</v>
          </cell>
          <cell r="B521" t="str">
            <v>אומ"ץ - משה"ח</v>
          </cell>
          <cell r="C521">
            <v>0</v>
          </cell>
          <cell r="D521">
            <v>0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</row>
        <row r="522">
          <cell r="A522">
            <v>1315130921</v>
          </cell>
          <cell r="B522" t="str">
            <v>מצויינות - משה"ח</v>
          </cell>
          <cell r="C522">
            <v>0</v>
          </cell>
          <cell r="D522">
            <v>0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</row>
        <row r="523">
          <cell r="A523">
            <v>1315130922</v>
          </cell>
          <cell r="B523" t="str">
            <v>תפ"ן - משה"ח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</row>
        <row r="524">
          <cell r="A524">
            <v>1315130923</v>
          </cell>
          <cell r="B524" t="str">
            <v>אומ"ץ - משה"ח</v>
          </cell>
          <cell r="C524">
            <v>-120000</v>
          </cell>
          <cell r="D524">
            <v>-29999.96</v>
          </cell>
          <cell r="E524">
            <v>0</v>
          </cell>
          <cell r="F524">
            <v>-29999.96</v>
          </cell>
          <cell r="G524">
            <v>-90000.04</v>
          </cell>
          <cell r="H524">
            <v>24.99</v>
          </cell>
          <cell r="I524">
            <v>-120000</v>
          </cell>
          <cell r="J524">
            <v>-29999.96</v>
          </cell>
        </row>
        <row r="525">
          <cell r="A525">
            <v>1315140921</v>
          </cell>
          <cell r="B525" t="str">
            <v>מצויינות - משה"ח</v>
          </cell>
          <cell r="C525">
            <v>0</v>
          </cell>
          <cell r="D525">
            <v>0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</row>
        <row r="526">
          <cell r="A526">
            <v>1315140922</v>
          </cell>
          <cell r="B526" t="str">
            <v>תפ"ן - משה"ח</v>
          </cell>
          <cell r="C526">
            <v>0</v>
          </cell>
          <cell r="D526">
            <v>0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</row>
        <row r="527">
          <cell r="A527">
            <v>1315140923</v>
          </cell>
          <cell r="B527" t="str">
            <v>אומ"ץ - משה"ח</v>
          </cell>
          <cell r="C527">
            <v>-40000</v>
          </cell>
          <cell r="D527">
            <v>0</v>
          </cell>
          <cell r="E527">
            <v>0</v>
          </cell>
          <cell r="F527">
            <v>0</v>
          </cell>
          <cell r="G527">
            <v>-40000</v>
          </cell>
          <cell r="H527">
            <v>0</v>
          </cell>
          <cell r="I527">
            <v>-40000</v>
          </cell>
          <cell r="J527">
            <v>0</v>
          </cell>
        </row>
        <row r="528">
          <cell r="A528">
            <v>1315150921</v>
          </cell>
          <cell r="B528" t="str">
            <v>מצויינות - משה"ח</v>
          </cell>
          <cell r="C528">
            <v>0</v>
          </cell>
          <cell r="D528">
            <v>0</v>
          </cell>
          <cell r="E528">
            <v>0</v>
          </cell>
          <cell r="F528">
            <v>0</v>
          </cell>
          <cell r="G528">
            <v>0</v>
          </cell>
          <cell r="H528">
            <v>0</v>
          </cell>
          <cell r="I528">
            <v>0</v>
          </cell>
          <cell r="J528">
            <v>0</v>
          </cell>
        </row>
        <row r="529">
          <cell r="A529">
            <v>1315150922</v>
          </cell>
          <cell r="B529" t="str">
            <v>תפ"ן - משה"ח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</row>
        <row r="530">
          <cell r="A530">
            <v>1315150923</v>
          </cell>
          <cell r="B530" t="str">
            <v>אומ"ץ - משה"ח</v>
          </cell>
          <cell r="C530">
            <v>-20000</v>
          </cell>
          <cell r="D530">
            <v>-12599.92</v>
          </cell>
          <cell r="E530">
            <v>0</v>
          </cell>
          <cell r="F530">
            <v>-12599.92</v>
          </cell>
          <cell r="G530">
            <v>-7400.08</v>
          </cell>
          <cell r="H530">
            <v>62.99</v>
          </cell>
          <cell r="I530">
            <v>-20000</v>
          </cell>
          <cell r="J530">
            <v>-12599.92</v>
          </cell>
        </row>
        <row r="531">
          <cell r="A531">
            <v>1315160921</v>
          </cell>
          <cell r="B531" t="str">
            <v>מצויינות - משה"ח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</row>
        <row r="532">
          <cell r="A532">
            <v>1315160922</v>
          </cell>
          <cell r="B532" t="str">
            <v>תפ"ן - משה"ח</v>
          </cell>
          <cell r="C532">
            <v>0</v>
          </cell>
          <cell r="D532">
            <v>0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</row>
        <row r="533">
          <cell r="A533">
            <v>1315160923</v>
          </cell>
          <cell r="B533" t="str">
            <v>אומ"ץ - משה"ח</v>
          </cell>
          <cell r="C533">
            <v>-80000</v>
          </cell>
          <cell r="D533">
            <v>0</v>
          </cell>
          <cell r="E533">
            <v>0</v>
          </cell>
          <cell r="F533">
            <v>0</v>
          </cell>
          <cell r="G533">
            <v>-80000</v>
          </cell>
          <cell r="H533">
            <v>0</v>
          </cell>
          <cell r="I533">
            <v>-80000</v>
          </cell>
          <cell r="J533">
            <v>0</v>
          </cell>
        </row>
        <row r="534">
          <cell r="A534">
            <v>1315170915</v>
          </cell>
          <cell r="B534" t="str">
            <v>קייטנת קיץ בחטיבות ותיכוניים</v>
          </cell>
          <cell r="C534">
            <v>0</v>
          </cell>
          <cell r="D534">
            <v>0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</row>
        <row r="535">
          <cell r="A535">
            <v>1315170921</v>
          </cell>
          <cell r="B535" t="str">
            <v>מצויינות - משה"ח</v>
          </cell>
          <cell r="C535">
            <v>0</v>
          </cell>
          <cell r="D535">
            <v>0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</row>
        <row r="536">
          <cell r="A536">
            <v>1315170922</v>
          </cell>
          <cell r="B536" t="str">
            <v>תפ"ן - משה"ח</v>
          </cell>
          <cell r="C536">
            <v>0</v>
          </cell>
          <cell r="D536">
            <v>0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</row>
        <row r="537">
          <cell r="A537">
            <v>1315170923</v>
          </cell>
          <cell r="B537" t="str">
            <v>אומ"ץ - משה"ח</v>
          </cell>
          <cell r="C537">
            <v>-80000</v>
          </cell>
          <cell r="D537">
            <v>0</v>
          </cell>
          <cell r="E537">
            <v>0</v>
          </cell>
          <cell r="F537">
            <v>0</v>
          </cell>
          <cell r="G537">
            <v>-80000</v>
          </cell>
          <cell r="H537">
            <v>0</v>
          </cell>
          <cell r="I537">
            <v>-80000</v>
          </cell>
          <cell r="J537">
            <v>0</v>
          </cell>
        </row>
        <row r="538">
          <cell r="A538">
            <v>1315180921</v>
          </cell>
          <cell r="B538" t="str">
            <v>מצויינות - משה"ח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A539">
            <v>1315180922</v>
          </cell>
          <cell r="B539" t="str">
            <v>תפ"ן - משה"ח</v>
          </cell>
          <cell r="C539">
            <v>0</v>
          </cell>
          <cell r="D539">
            <v>0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</row>
        <row r="540">
          <cell r="A540">
            <v>1315180923</v>
          </cell>
          <cell r="B540" t="str">
            <v>אומ"ץ - משה"ח</v>
          </cell>
          <cell r="C540">
            <v>-40000</v>
          </cell>
          <cell r="D540">
            <v>-49099.92</v>
          </cell>
          <cell r="E540">
            <v>0</v>
          </cell>
          <cell r="F540">
            <v>-49099.92</v>
          </cell>
          <cell r="G540">
            <v>9099.92</v>
          </cell>
          <cell r="H540">
            <v>122.74</v>
          </cell>
          <cell r="I540">
            <v>-40000</v>
          </cell>
          <cell r="J540">
            <v>-49099.92</v>
          </cell>
        </row>
        <row r="541">
          <cell r="A541">
            <v>1315190000</v>
          </cell>
          <cell r="B541" t="str">
            <v>יוזמות - עתידים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</row>
        <row r="542">
          <cell r="A542">
            <v>1315190921</v>
          </cell>
          <cell r="B542" t="str">
            <v>מצויינות - משה"ח</v>
          </cell>
          <cell r="C542">
            <v>0</v>
          </cell>
          <cell r="D542">
            <v>0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</row>
        <row r="543">
          <cell r="A543">
            <v>1315190922</v>
          </cell>
          <cell r="B543" t="str">
            <v>תפ"ן - משה"ח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</row>
        <row r="544">
          <cell r="A544">
            <v>1315190923</v>
          </cell>
          <cell r="B544" t="str">
            <v>אומ"ץ - משה"ח</v>
          </cell>
          <cell r="C544">
            <v>-80000</v>
          </cell>
          <cell r="D544">
            <v>0</v>
          </cell>
          <cell r="E544">
            <v>0</v>
          </cell>
          <cell r="F544">
            <v>0</v>
          </cell>
          <cell r="G544">
            <v>-80000</v>
          </cell>
          <cell r="H544">
            <v>0</v>
          </cell>
          <cell r="I544">
            <v>-80000</v>
          </cell>
          <cell r="J544">
            <v>0</v>
          </cell>
        </row>
        <row r="545">
          <cell r="A545">
            <v>1315710312</v>
          </cell>
          <cell r="B545" t="str">
            <v>מסיבות כיתתיות</v>
          </cell>
          <cell r="C545">
            <v>-23000</v>
          </cell>
          <cell r="D545">
            <v>-24442</v>
          </cell>
          <cell r="E545">
            <v>0</v>
          </cell>
          <cell r="F545">
            <v>-24442</v>
          </cell>
          <cell r="G545">
            <v>1442</v>
          </cell>
          <cell r="H545">
            <v>106.26</v>
          </cell>
          <cell r="I545">
            <v>-23000</v>
          </cell>
          <cell r="J545">
            <v>-24442</v>
          </cell>
        </row>
        <row r="546">
          <cell r="A546">
            <v>1315710416</v>
          </cell>
          <cell r="B546" t="str">
            <v>פר' קשישים - משתתפים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</row>
        <row r="547">
          <cell r="A547">
            <v>1315710417</v>
          </cell>
          <cell r="B547" t="str">
            <v>דמי בחינות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</row>
        <row r="548">
          <cell r="A548">
            <v>1315710420</v>
          </cell>
          <cell r="B548" t="str">
            <v>.</v>
          </cell>
          <cell r="C548">
            <v>0</v>
          </cell>
          <cell r="D548">
            <v>0</v>
          </cell>
          <cell r="E548">
            <v>0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</row>
        <row r="549">
          <cell r="A549">
            <v>1315710440</v>
          </cell>
          <cell r="B549" t="str">
            <v>הכנסות גפ"ן בית ספרי</v>
          </cell>
          <cell r="C549">
            <v>0</v>
          </cell>
          <cell r="D549">
            <v>-374626</v>
          </cell>
          <cell r="E549">
            <v>0</v>
          </cell>
          <cell r="F549">
            <v>-374626</v>
          </cell>
          <cell r="G549">
            <v>374626</v>
          </cell>
          <cell r="H549">
            <v>0</v>
          </cell>
          <cell r="I549">
            <v>0</v>
          </cell>
          <cell r="J549">
            <v>-374626</v>
          </cell>
        </row>
        <row r="550">
          <cell r="A550">
            <v>1315710452</v>
          </cell>
          <cell r="B550" t="str">
            <v>השתתפות עירונית בגפ"ן</v>
          </cell>
          <cell r="C550">
            <v>0</v>
          </cell>
          <cell r="D550">
            <v>0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</row>
        <row r="551">
          <cell r="A551">
            <v>1315710915</v>
          </cell>
          <cell r="B551" t="str">
            <v>קייטנת קיץ בחטיבות ותיכוניים</v>
          </cell>
          <cell r="C551">
            <v>0</v>
          </cell>
          <cell r="D551">
            <v>0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A552">
            <v>1315710920</v>
          </cell>
          <cell r="B552" t="str">
            <v>השתת' ממשלה - חט"ע</v>
          </cell>
          <cell r="C552">
            <v>-10515400</v>
          </cell>
          <cell r="D552">
            <v>-11641892.029999999</v>
          </cell>
          <cell r="E552">
            <v>0</v>
          </cell>
          <cell r="F552">
            <v>-11641892.029999999</v>
          </cell>
          <cell r="G552">
            <v>1126492.03</v>
          </cell>
          <cell r="H552">
            <v>110.71</v>
          </cell>
          <cell r="I552">
            <v>-10515400</v>
          </cell>
          <cell r="J552">
            <v>-11641892.029999999</v>
          </cell>
        </row>
        <row r="553">
          <cell r="A553">
            <v>1315710921</v>
          </cell>
          <cell r="B553" t="str">
            <v>השתת' ממשלה - חט"ב</v>
          </cell>
          <cell r="C553">
            <v>-1403200</v>
          </cell>
          <cell r="D553">
            <v>-1503347.45</v>
          </cell>
          <cell r="E553">
            <v>0</v>
          </cell>
          <cell r="F553">
            <v>-1503347.45</v>
          </cell>
          <cell r="G553">
            <v>100147.45</v>
          </cell>
          <cell r="H553">
            <v>107.13</v>
          </cell>
          <cell r="I553">
            <v>-1403200</v>
          </cell>
          <cell r="J553">
            <v>-1503347.45</v>
          </cell>
        </row>
        <row r="554">
          <cell r="A554">
            <v>1315710922</v>
          </cell>
          <cell r="B554" t="str">
            <v>שעורי עזר לעולים</v>
          </cell>
          <cell r="C554">
            <v>-120000</v>
          </cell>
          <cell r="D554">
            <v>-81260.67</v>
          </cell>
          <cell r="E554">
            <v>0</v>
          </cell>
          <cell r="F554">
            <v>-81260.67</v>
          </cell>
          <cell r="G554">
            <v>-38739.33</v>
          </cell>
          <cell r="H554">
            <v>67.709999999999994</v>
          </cell>
          <cell r="I554">
            <v>-120000</v>
          </cell>
          <cell r="J554">
            <v>-81260.67</v>
          </cell>
        </row>
        <row r="555">
          <cell r="A555">
            <v>1315710923</v>
          </cell>
          <cell r="B555" t="str">
            <v>שעורי עזר לנכים</v>
          </cell>
          <cell r="C555">
            <v>-3600</v>
          </cell>
          <cell r="D555">
            <v>0</v>
          </cell>
          <cell r="E555">
            <v>0</v>
          </cell>
          <cell r="F555">
            <v>0</v>
          </cell>
          <cell r="G555">
            <v>-3600</v>
          </cell>
          <cell r="H555">
            <v>0</v>
          </cell>
          <cell r="I555">
            <v>-3600</v>
          </cell>
          <cell r="J555">
            <v>0</v>
          </cell>
        </row>
        <row r="556">
          <cell r="A556">
            <v>1315710925</v>
          </cell>
          <cell r="B556" t="str">
            <v>קרן השתלמות לשכ"ל</v>
          </cell>
          <cell r="C556">
            <v>-732300</v>
          </cell>
          <cell r="D556">
            <v>-744978.5</v>
          </cell>
          <cell r="E556">
            <v>0</v>
          </cell>
          <cell r="F556">
            <v>-744978.5</v>
          </cell>
          <cell r="G556">
            <v>12678.5</v>
          </cell>
          <cell r="H556">
            <v>101.73</v>
          </cell>
          <cell r="I556">
            <v>-732300</v>
          </cell>
          <cell r="J556">
            <v>-744978.5</v>
          </cell>
        </row>
        <row r="557">
          <cell r="A557">
            <v>1315710926</v>
          </cell>
          <cell r="B557" t="str">
            <v>השאלת מורים לחט"ב</v>
          </cell>
          <cell r="C557">
            <v>-124000</v>
          </cell>
          <cell r="D557">
            <v>0</v>
          </cell>
          <cell r="E557">
            <v>0</v>
          </cell>
          <cell r="F557">
            <v>0</v>
          </cell>
          <cell r="G557">
            <v>-124000</v>
          </cell>
          <cell r="H557">
            <v>0</v>
          </cell>
          <cell r="I557">
            <v>-124000</v>
          </cell>
          <cell r="J557">
            <v>0</v>
          </cell>
        </row>
        <row r="558">
          <cell r="A558">
            <v>1315710927</v>
          </cell>
          <cell r="B558" t="str">
            <v>תכנית גי"א / מש"ב</v>
          </cell>
          <cell r="C558">
            <v>0</v>
          </cell>
          <cell r="D558">
            <v>0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</row>
        <row r="559">
          <cell r="A559">
            <v>1315710928</v>
          </cell>
          <cell r="B559" t="str">
            <v>ליווי לטיולים</v>
          </cell>
          <cell r="C559">
            <v>-174300</v>
          </cell>
          <cell r="D559">
            <v>-179410.44</v>
          </cell>
          <cell r="E559">
            <v>0</v>
          </cell>
          <cell r="F559">
            <v>-179410.44</v>
          </cell>
          <cell r="G559">
            <v>5110.4399999999996</v>
          </cell>
          <cell r="H559">
            <v>102.93</v>
          </cell>
          <cell r="I559">
            <v>-174300</v>
          </cell>
          <cell r="J559">
            <v>-179410.44</v>
          </cell>
        </row>
        <row r="560">
          <cell r="A560">
            <v>1315710930</v>
          </cell>
          <cell r="B560" t="str">
            <v>עוז לתמורה</v>
          </cell>
          <cell r="C560">
            <v>-5829200</v>
          </cell>
          <cell r="D560">
            <v>-5390673.6200000001</v>
          </cell>
          <cell r="E560">
            <v>0</v>
          </cell>
          <cell r="F560">
            <v>-5390673.6200000001</v>
          </cell>
          <cell r="G560">
            <v>-438526.38</v>
          </cell>
          <cell r="H560">
            <v>92.47</v>
          </cell>
          <cell r="I560">
            <v>-5829200</v>
          </cell>
          <cell r="J560">
            <v>-5390673.6200000001</v>
          </cell>
        </row>
        <row r="561">
          <cell r="A561">
            <v>1315710932</v>
          </cell>
          <cell r="B561" t="str">
            <v>גמול בגרות אחוזי</v>
          </cell>
          <cell r="C561">
            <v>-260400</v>
          </cell>
          <cell r="D561">
            <v>-281259.92</v>
          </cell>
          <cell r="E561">
            <v>0</v>
          </cell>
          <cell r="F561">
            <v>-281259.92</v>
          </cell>
          <cell r="G561">
            <v>20859.919999999998</v>
          </cell>
          <cell r="H561">
            <v>108.01</v>
          </cell>
          <cell r="I561">
            <v>-260400</v>
          </cell>
          <cell r="J561">
            <v>-281259.92</v>
          </cell>
        </row>
        <row r="562">
          <cell r="A562">
            <v>1315710933</v>
          </cell>
          <cell r="B562" t="str">
            <v>תכנית לאומית-קידום אנגלית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</row>
        <row r="563">
          <cell r="A563">
            <v>1315710934</v>
          </cell>
          <cell r="B563" t="str">
            <v>הצטיידות טכנולוגית במעבדות</v>
          </cell>
          <cell r="C563">
            <v>0</v>
          </cell>
          <cell r="D563">
            <v>0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</row>
        <row r="564">
          <cell r="A564">
            <v>1315710938</v>
          </cell>
          <cell r="B564" t="str">
            <v>השת' משרד החינוך בטיולים</v>
          </cell>
          <cell r="C564">
            <v>0</v>
          </cell>
          <cell r="D564">
            <v>0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</row>
        <row r="565">
          <cell r="A565">
            <v>1315710952</v>
          </cell>
          <cell r="B565" t="str">
            <v>חט"ב-הכלה והשתלבות</v>
          </cell>
          <cell r="C565">
            <v>0</v>
          </cell>
          <cell r="D565">
            <v>0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A566">
            <v>1315710953</v>
          </cell>
          <cell r="B566" t="str">
            <v>מערכת גפ"ן</v>
          </cell>
          <cell r="C566">
            <v>-1440000</v>
          </cell>
          <cell r="D566">
            <v>-1074761.3</v>
          </cell>
          <cell r="E566">
            <v>0</v>
          </cell>
          <cell r="F566">
            <v>-1074761.3</v>
          </cell>
          <cell r="G566">
            <v>-365238.7</v>
          </cell>
          <cell r="H566">
            <v>74.63</v>
          </cell>
          <cell r="I566">
            <v>-1440000</v>
          </cell>
          <cell r="J566">
            <v>-1074761.3</v>
          </cell>
        </row>
        <row r="567">
          <cell r="A567">
            <v>1315720312</v>
          </cell>
          <cell r="B567" t="str">
            <v>מסיבות כיתתיות</v>
          </cell>
          <cell r="C567">
            <v>-29000</v>
          </cell>
          <cell r="D567">
            <v>-30822</v>
          </cell>
          <cell r="E567">
            <v>0</v>
          </cell>
          <cell r="F567">
            <v>-30822</v>
          </cell>
          <cell r="G567">
            <v>1822</v>
          </cell>
          <cell r="H567">
            <v>106.28</v>
          </cell>
          <cell r="I567">
            <v>-29000</v>
          </cell>
          <cell r="J567">
            <v>-30822</v>
          </cell>
        </row>
        <row r="568">
          <cell r="A568">
            <v>1315720416</v>
          </cell>
          <cell r="B568" t="str">
            <v>פר' קשישים-משתתפים</v>
          </cell>
          <cell r="C568">
            <v>-30000</v>
          </cell>
          <cell r="D568">
            <v>0</v>
          </cell>
          <cell r="E568">
            <v>0</v>
          </cell>
          <cell r="F568">
            <v>0</v>
          </cell>
          <cell r="G568">
            <v>-30000</v>
          </cell>
          <cell r="H568">
            <v>0</v>
          </cell>
          <cell r="I568">
            <v>-30000</v>
          </cell>
          <cell r="J568">
            <v>0</v>
          </cell>
        </row>
        <row r="569">
          <cell r="A569">
            <v>1315720417</v>
          </cell>
          <cell r="B569" t="str">
            <v>דמי בחינות</v>
          </cell>
          <cell r="C569">
            <v>0</v>
          </cell>
          <cell r="D569">
            <v>0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A570">
            <v>1315720420</v>
          </cell>
          <cell r="B570" t="str">
            <v>.</v>
          </cell>
          <cell r="C570">
            <v>0</v>
          </cell>
          <cell r="D570">
            <v>0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</row>
        <row r="571">
          <cell r="A571">
            <v>1315720421</v>
          </cell>
          <cell r="B571" t="str">
            <v>הכנסות מפסיכולוג</v>
          </cell>
          <cell r="C571">
            <v>0</v>
          </cell>
          <cell r="D571">
            <v>0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</row>
        <row r="572">
          <cell r="A572">
            <v>1315720425</v>
          </cell>
          <cell r="B572" t="str">
            <v>השת'תלמידים-שעורים</v>
          </cell>
          <cell r="C572">
            <v>0</v>
          </cell>
          <cell r="D572">
            <v>0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</row>
        <row r="573">
          <cell r="A573">
            <v>1315720440</v>
          </cell>
          <cell r="B573" t="str">
            <v>הכנסות גפ"ן בית ספרי</v>
          </cell>
          <cell r="C573">
            <v>0</v>
          </cell>
          <cell r="D573">
            <v>-369276</v>
          </cell>
          <cell r="E573">
            <v>0</v>
          </cell>
          <cell r="F573">
            <v>-369276</v>
          </cell>
          <cell r="G573">
            <v>369276</v>
          </cell>
          <cell r="H573">
            <v>0</v>
          </cell>
          <cell r="I573">
            <v>0</v>
          </cell>
          <cell r="J573">
            <v>-369276</v>
          </cell>
        </row>
        <row r="574">
          <cell r="A574">
            <v>1315720452</v>
          </cell>
          <cell r="B574" t="str">
            <v>השתתפות עירונית בגפ"ן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</row>
        <row r="575">
          <cell r="A575">
            <v>1315720915</v>
          </cell>
          <cell r="B575" t="str">
            <v>קייטנת קיץ בחטיבות ותיכוניים</v>
          </cell>
          <cell r="C575">
            <v>0</v>
          </cell>
          <cell r="D575">
            <v>0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</row>
        <row r="576">
          <cell r="A576">
            <v>1315720920</v>
          </cell>
          <cell r="B576" t="str">
            <v>השת' הממשלה בשכל"מ</v>
          </cell>
          <cell r="C576">
            <v>-12387000</v>
          </cell>
          <cell r="D576">
            <v>-14459203.460000001</v>
          </cell>
          <cell r="E576">
            <v>0</v>
          </cell>
          <cell r="F576">
            <v>-14459203.460000001</v>
          </cell>
          <cell r="G576">
            <v>2072203.46</v>
          </cell>
          <cell r="H576">
            <v>116.72</v>
          </cell>
          <cell r="I576">
            <v>-12387000</v>
          </cell>
          <cell r="J576">
            <v>-14459203.460000001</v>
          </cell>
        </row>
        <row r="577">
          <cell r="A577">
            <v>1315720921</v>
          </cell>
          <cell r="B577" t="str">
            <v>השתת' ממשלה - חט"ב</v>
          </cell>
          <cell r="C577">
            <v>-1921000</v>
          </cell>
          <cell r="D577">
            <v>-1835369.56</v>
          </cell>
          <cell r="E577">
            <v>0</v>
          </cell>
          <cell r="F577">
            <v>-1835369.56</v>
          </cell>
          <cell r="G577">
            <v>-85630.44</v>
          </cell>
          <cell r="H577">
            <v>95.54</v>
          </cell>
          <cell r="I577">
            <v>-1921000</v>
          </cell>
          <cell r="J577">
            <v>-1835369.56</v>
          </cell>
        </row>
        <row r="578">
          <cell r="A578">
            <v>1315720922</v>
          </cell>
          <cell r="B578" t="str">
            <v>שעורי עזר לעולים</v>
          </cell>
          <cell r="C578">
            <v>0</v>
          </cell>
          <cell r="D578">
            <v>-8956.64</v>
          </cell>
          <cell r="E578">
            <v>0</v>
          </cell>
          <cell r="F578">
            <v>-8956.64</v>
          </cell>
          <cell r="G578">
            <v>8956.64</v>
          </cell>
          <cell r="H578">
            <v>0</v>
          </cell>
          <cell r="I578">
            <v>0</v>
          </cell>
          <cell r="J578">
            <v>-8956.64</v>
          </cell>
        </row>
        <row r="579">
          <cell r="A579">
            <v>1315720923</v>
          </cell>
          <cell r="B579" t="str">
            <v>שעורי עזר לנכים</v>
          </cell>
          <cell r="C579">
            <v>-3600</v>
          </cell>
          <cell r="D579">
            <v>-7058.8</v>
          </cell>
          <cell r="E579">
            <v>0</v>
          </cell>
          <cell r="F579">
            <v>-7058.8</v>
          </cell>
          <cell r="G579">
            <v>3458.8</v>
          </cell>
          <cell r="H579">
            <v>196.07</v>
          </cell>
          <cell r="I579">
            <v>-3600</v>
          </cell>
          <cell r="J579">
            <v>-7058.8</v>
          </cell>
        </row>
        <row r="580">
          <cell r="A580">
            <v>1315720925</v>
          </cell>
          <cell r="B580" t="str">
            <v>קרן השתלמות לשכ"ל</v>
          </cell>
          <cell r="C580">
            <v>-868400</v>
          </cell>
          <cell r="D580">
            <v>-954239.03</v>
          </cell>
          <cell r="E580">
            <v>0</v>
          </cell>
          <cell r="F580">
            <v>-954239.03</v>
          </cell>
          <cell r="G580">
            <v>85839.03</v>
          </cell>
          <cell r="H580">
            <v>109.88</v>
          </cell>
          <cell r="I580">
            <v>-868400</v>
          </cell>
          <cell r="J580">
            <v>-954239.03</v>
          </cell>
        </row>
        <row r="581">
          <cell r="A581">
            <v>1315720926</v>
          </cell>
          <cell r="B581" t="str">
            <v>השאלת מורים לחט"ב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</row>
        <row r="582">
          <cell r="A582">
            <v>1315720927</v>
          </cell>
          <cell r="B582" t="str">
            <v>תכנית גי"א / מש"ב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</row>
        <row r="583">
          <cell r="A583">
            <v>1315720928</v>
          </cell>
          <cell r="B583" t="str">
            <v>ליווי לטיולים</v>
          </cell>
          <cell r="C583">
            <v>-219600</v>
          </cell>
          <cell r="D583">
            <v>-252350.37</v>
          </cell>
          <cell r="E583">
            <v>0</v>
          </cell>
          <cell r="F583">
            <v>-252350.37</v>
          </cell>
          <cell r="G583">
            <v>32750.37</v>
          </cell>
          <cell r="H583">
            <v>114.91</v>
          </cell>
          <cell r="I583">
            <v>-219600</v>
          </cell>
          <cell r="J583">
            <v>-252350.37</v>
          </cell>
        </row>
        <row r="584">
          <cell r="A584">
            <v>1315720929</v>
          </cell>
          <cell r="B584" t="str">
            <v>אורח חיים בריא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A585">
            <v>1315720930</v>
          </cell>
          <cell r="B585" t="str">
            <v>עוז לתמורה</v>
          </cell>
          <cell r="C585">
            <v>-6578600</v>
          </cell>
          <cell r="D585">
            <v>-6799680.4800000004</v>
          </cell>
          <cell r="E585">
            <v>0</v>
          </cell>
          <cell r="F585">
            <v>-6799680.4800000004</v>
          </cell>
          <cell r="G585">
            <v>221080.48</v>
          </cell>
          <cell r="H585">
            <v>103.36</v>
          </cell>
          <cell r="I585">
            <v>-6578600</v>
          </cell>
          <cell r="J585">
            <v>-6799680.4800000004</v>
          </cell>
        </row>
        <row r="586">
          <cell r="A586">
            <v>1315720932</v>
          </cell>
          <cell r="B586" t="str">
            <v>גמול בגרות אחוזי</v>
          </cell>
          <cell r="C586">
            <v>-303900</v>
          </cell>
          <cell r="D586">
            <v>-368718.94</v>
          </cell>
          <cell r="E586">
            <v>0</v>
          </cell>
          <cell r="F586">
            <v>-368718.94</v>
          </cell>
          <cell r="G586">
            <v>64818.94</v>
          </cell>
          <cell r="H586">
            <v>121.32</v>
          </cell>
          <cell r="I586">
            <v>-303900</v>
          </cell>
          <cell r="J586">
            <v>-368718.94</v>
          </cell>
        </row>
        <row r="587">
          <cell r="A587">
            <v>1315720933</v>
          </cell>
          <cell r="B587" t="str">
            <v>תכנית לאומית-קידום אנגלית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</row>
        <row r="588">
          <cell r="A588">
            <v>1315720934</v>
          </cell>
          <cell r="B588" t="str">
            <v>הצטיידות טכנולוגית במעבדות</v>
          </cell>
          <cell r="C588">
            <v>0</v>
          </cell>
          <cell r="D588">
            <v>0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</row>
        <row r="589">
          <cell r="A589">
            <v>1315720938</v>
          </cell>
          <cell r="B589" t="str">
            <v>השת' משרד החינוך בטיולים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</row>
        <row r="590">
          <cell r="A590">
            <v>1315720952</v>
          </cell>
          <cell r="B590" t="str">
            <v>חט"ב-הכלה והשתלבות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A591">
            <v>1315720953</v>
          </cell>
          <cell r="B591" t="str">
            <v>מערכת גפ"ן</v>
          </cell>
          <cell r="C591">
            <v>-1586000</v>
          </cell>
          <cell r="D591">
            <v>-1173871.79</v>
          </cell>
          <cell r="E591">
            <v>0</v>
          </cell>
          <cell r="F591">
            <v>-1173871.79</v>
          </cell>
          <cell r="G591">
            <v>-412128.21</v>
          </cell>
          <cell r="H591">
            <v>74.010000000000005</v>
          </cell>
          <cell r="I591">
            <v>-1586000</v>
          </cell>
          <cell r="J591">
            <v>-1173871.79</v>
          </cell>
        </row>
        <row r="592">
          <cell r="A592">
            <v>1315730312</v>
          </cell>
          <cell r="B592" t="str">
            <v>מסיבות כיתתיות</v>
          </cell>
          <cell r="C592">
            <v>-18500</v>
          </cell>
          <cell r="D592">
            <v>-19690</v>
          </cell>
          <cell r="E592">
            <v>0</v>
          </cell>
          <cell r="F592">
            <v>-19690</v>
          </cell>
          <cell r="G592">
            <v>1190</v>
          </cell>
          <cell r="H592">
            <v>106.43</v>
          </cell>
          <cell r="I592">
            <v>-18500</v>
          </cell>
          <cell r="J592">
            <v>-19690</v>
          </cell>
        </row>
        <row r="593">
          <cell r="A593">
            <v>1315730410</v>
          </cell>
          <cell r="B593" t="str">
            <v>שכר לימוד יג ת"ג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A594">
            <v>1315730416</v>
          </cell>
          <cell r="B594" t="str">
            <v>פר' קשישים-משתתפים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</row>
        <row r="595">
          <cell r="A595">
            <v>1315730417</v>
          </cell>
          <cell r="B595" t="str">
            <v>דמי בחינות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</row>
        <row r="596">
          <cell r="A596">
            <v>1315730420</v>
          </cell>
          <cell r="B596" t="str">
            <v>.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</row>
        <row r="597">
          <cell r="A597">
            <v>1315730421</v>
          </cell>
          <cell r="B597" t="str">
            <v>הכנסות מפסיכולוג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</row>
        <row r="598">
          <cell r="A598">
            <v>1315730422</v>
          </cell>
          <cell r="B598" t="str">
            <v>ביטוח לאומי י"ג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</row>
        <row r="599">
          <cell r="A599">
            <v>1315730425</v>
          </cell>
          <cell r="B599" t="str">
            <v>הש' בלימודים-סיוון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A600">
            <v>1315730440</v>
          </cell>
          <cell r="B600" t="str">
            <v>הכנסות גפ"ן בית ספרי</v>
          </cell>
          <cell r="C600">
            <v>0</v>
          </cell>
          <cell r="D600">
            <v>-225053</v>
          </cell>
          <cell r="E600">
            <v>0</v>
          </cell>
          <cell r="F600">
            <v>-225053</v>
          </cell>
          <cell r="G600">
            <v>225053</v>
          </cell>
          <cell r="H600">
            <v>0</v>
          </cell>
          <cell r="I600">
            <v>0</v>
          </cell>
          <cell r="J600">
            <v>-225053</v>
          </cell>
        </row>
        <row r="601">
          <cell r="A601">
            <v>1315730452</v>
          </cell>
          <cell r="B601" t="str">
            <v>השתתפות עירונית בגפ"ן</v>
          </cell>
          <cell r="C601">
            <v>0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</row>
        <row r="602">
          <cell r="A602">
            <v>1315730640</v>
          </cell>
          <cell r="B602" t="str">
            <v>שכר דירה מזנון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</row>
        <row r="603">
          <cell r="A603">
            <v>1315730915</v>
          </cell>
          <cell r="B603" t="str">
            <v>קייטנת קיץ בחטיבות ותיכוניים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A604">
            <v>1315730920</v>
          </cell>
          <cell r="B604" t="str">
            <v>השת' הממשלה בשכל"מ</v>
          </cell>
          <cell r="C604">
            <v>-7786500</v>
          </cell>
          <cell r="D604">
            <v>-9677778.9299999997</v>
          </cell>
          <cell r="E604">
            <v>0</v>
          </cell>
          <cell r="F604">
            <v>-9677778.9299999997</v>
          </cell>
          <cell r="G604">
            <v>1891278.93</v>
          </cell>
          <cell r="H604">
            <v>124.28</v>
          </cell>
          <cell r="I604">
            <v>-7786500</v>
          </cell>
          <cell r="J604">
            <v>-9677778.9299999997</v>
          </cell>
        </row>
        <row r="605">
          <cell r="A605">
            <v>1315730921</v>
          </cell>
          <cell r="B605" t="str">
            <v>השתת' ממשלה - חט"ב</v>
          </cell>
          <cell r="C605">
            <v>-1335700</v>
          </cell>
          <cell r="D605">
            <v>-1354428.96</v>
          </cell>
          <cell r="E605">
            <v>0</v>
          </cell>
          <cell r="F605">
            <v>-1354428.96</v>
          </cell>
          <cell r="G605">
            <v>18728.96</v>
          </cell>
          <cell r="H605">
            <v>101.4</v>
          </cell>
          <cell r="I605">
            <v>-1335700</v>
          </cell>
          <cell r="J605">
            <v>-1354428.96</v>
          </cell>
        </row>
        <row r="606">
          <cell r="A606">
            <v>1315730922</v>
          </cell>
          <cell r="B606" t="str">
            <v>שעורי עזר לעולים</v>
          </cell>
          <cell r="C606">
            <v>0</v>
          </cell>
          <cell r="D606">
            <v>-54422.400000000001</v>
          </cell>
          <cell r="E606">
            <v>0</v>
          </cell>
          <cell r="F606">
            <v>-54422.400000000001</v>
          </cell>
          <cell r="G606">
            <v>54422.400000000001</v>
          </cell>
          <cell r="H606">
            <v>0</v>
          </cell>
          <cell r="I606">
            <v>0</v>
          </cell>
          <cell r="J606">
            <v>-54422.400000000001</v>
          </cell>
        </row>
        <row r="607">
          <cell r="A607">
            <v>1315730923</v>
          </cell>
          <cell r="B607" t="str">
            <v>שעורי עזר לנכים</v>
          </cell>
          <cell r="C607">
            <v>-3600</v>
          </cell>
          <cell r="D607">
            <v>-2229.3000000000002</v>
          </cell>
          <cell r="E607">
            <v>0</v>
          </cell>
          <cell r="F607">
            <v>-2229.3000000000002</v>
          </cell>
          <cell r="G607">
            <v>-1370.7</v>
          </cell>
          <cell r="H607">
            <v>61.92</v>
          </cell>
          <cell r="I607">
            <v>-3600</v>
          </cell>
          <cell r="J607">
            <v>-2229.3000000000002</v>
          </cell>
        </row>
        <row r="608">
          <cell r="A608">
            <v>1315730924</v>
          </cell>
          <cell r="B608" t="str">
            <v>הזדמנות ראשונה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A609">
            <v>1315730925</v>
          </cell>
          <cell r="B609" t="str">
            <v>קרן השתלמות לשכ"ל</v>
          </cell>
          <cell r="C609">
            <v>-594700</v>
          </cell>
          <cell r="D609">
            <v>-640053.22</v>
          </cell>
          <cell r="E609">
            <v>0</v>
          </cell>
          <cell r="F609">
            <v>-640053.22</v>
          </cell>
          <cell r="G609">
            <v>45353.22</v>
          </cell>
          <cell r="H609">
            <v>107.62</v>
          </cell>
          <cell r="I609">
            <v>-594700</v>
          </cell>
          <cell r="J609">
            <v>-640053.22</v>
          </cell>
        </row>
        <row r="610">
          <cell r="A610">
            <v>1315730926</v>
          </cell>
          <cell r="B610" t="str">
            <v>השאלת מורים לחט"ב</v>
          </cell>
          <cell r="C610">
            <v>-404700</v>
          </cell>
          <cell r="D610">
            <v>-163676.24</v>
          </cell>
          <cell r="E610">
            <v>0</v>
          </cell>
          <cell r="F610">
            <v>-163676.24</v>
          </cell>
          <cell r="G610">
            <v>-241023.76</v>
          </cell>
          <cell r="H610">
            <v>40.44</v>
          </cell>
          <cell r="I610">
            <v>-404700</v>
          </cell>
          <cell r="J610">
            <v>-163676.24</v>
          </cell>
        </row>
        <row r="611">
          <cell r="A611">
            <v>1315730927</v>
          </cell>
          <cell r="B611" t="str">
            <v>תכנית גי"א / מש"ב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</row>
        <row r="612">
          <cell r="A612">
            <v>1315730928</v>
          </cell>
          <cell r="B612" t="str">
            <v>ליווי לטיולים</v>
          </cell>
          <cell r="C612">
            <v>-128800</v>
          </cell>
          <cell r="D612">
            <v>-143865.99</v>
          </cell>
          <cell r="E612">
            <v>0</v>
          </cell>
          <cell r="F612">
            <v>-143865.99</v>
          </cell>
          <cell r="G612">
            <v>15065.99</v>
          </cell>
          <cell r="H612">
            <v>111.69</v>
          </cell>
          <cell r="I612">
            <v>-128800</v>
          </cell>
          <cell r="J612">
            <v>-143865.99</v>
          </cell>
        </row>
        <row r="613">
          <cell r="A613">
            <v>1315730930</v>
          </cell>
          <cell r="B613" t="str">
            <v>עוז לתמורה</v>
          </cell>
          <cell r="C613">
            <v>-4257000</v>
          </cell>
          <cell r="D613">
            <v>-4423020.55</v>
          </cell>
          <cell r="E613">
            <v>0</v>
          </cell>
          <cell r="F613">
            <v>-4423020.55</v>
          </cell>
          <cell r="G613">
            <v>166020.54999999999</v>
          </cell>
          <cell r="H613">
            <v>103.89</v>
          </cell>
          <cell r="I613">
            <v>-4257000</v>
          </cell>
          <cell r="J613">
            <v>-4423020.55</v>
          </cell>
        </row>
        <row r="614">
          <cell r="A614">
            <v>1315730932</v>
          </cell>
          <cell r="B614" t="str">
            <v>גמול בגרות אחוזי</v>
          </cell>
          <cell r="C614">
            <v>-197000</v>
          </cell>
          <cell r="D614">
            <v>-217512.6</v>
          </cell>
          <cell r="E614">
            <v>0</v>
          </cell>
          <cell r="F614">
            <v>-217512.6</v>
          </cell>
          <cell r="G614">
            <v>20512.599999999999</v>
          </cell>
          <cell r="H614">
            <v>110.41</v>
          </cell>
          <cell r="I614">
            <v>-197000</v>
          </cell>
          <cell r="J614">
            <v>-217512.6</v>
          </cell>
        </row>
        <row r="615">
          <cell r="A615">
            <v>1315730933</v>
          </cell>
          <cell r="B615" t="str">
            <v>תכנית לאומית-קידום אנגלית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A616">
            <v>1315730934</v>
          </cell>
          <cell r="B616" t="str">
            <v>הצטיידות טכנולוגית במעבדות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</row>
        <row r="617">
          <cell r="A617">
            <v>1315730938</v>
          </cell>
          <cell r="B617" t="str">
            <v>השת' משרד החינוך בטיולים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</row>
        <row r="618">
          <cell r="A618">
            <v>1315730939</v>
          </cell>
          <cell r="B618" t="str">
            <v>פרוייקט "מניפה"</v>
          </cell>
          <cell r="C618">
            <v>0</v>
          </cell>
          <cell r="D618">
            <v>0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</row>
        <row r="619">
          <cell r="A619">
            <v>1315730952</v>
          </cell>
          <cell r="B619" t="str">
            <v>חט"ב-הכלה והשתלבות</v>
          </cell>
          <cell r="C619">
            <v>0</v>
          </cell>
          <cell r="D619">
            <v>0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A620">
            <v>1315730953</v>
          </cell>
          <cell r="B620" t="str">
            <v>מערכת גפ"ן</v>
          </cell>
          <cell r="C620">
            <v>-1305200</v>
          </cell>
          <cell r="D620">
            <v>-909888.76</v>
          </cell>
          <cell r="E620">
            <v>0</v>
          </cell>
          <cell r="F620">
            <v>-909888.76</v>
          </cell>
          <cell r="G620">
            <v>-395311.24</v>
          </cell>
          <cell r="H620">
            <v>69.709999999999994</v>
          </cell>
          <cell r="I620">
            <v>-1305200</v>
          </cell>
          <cell r="J620">
            <v>-909888.76</v>
          </cell>
        </row>
        <row r="621">
          <cell r="A621">
            <v>1315730990</v>
          </cell>
          <cell r="B621" t="str">
            <v>קשישים-שוויון חברתי</v>
          </cell>
          <cell r="C621">
            <v>0</v>
          </cell>
          <cell r="D621">
            <v>0</v>
          </cell>
          <cell r="E621">
            <v>0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</row>
        <row r="622">
          <cell r="A622">
            <v>1315740312</v>
          </cell>
          <cell r="B622" t="str">
            <v>מסיבות כיתתיות</v>
          </cell>
          <cell r="C622">
            <v>-45000</v>
          </cell>
          <cell r="D622">
            <v>-33462</v>
          </cell>
          <cell r="E622">
            <v>0</v>
          </cell>
          <cell r="F622">
            <v>-33462</v>
          </cell>
          <cell r="G622">
            <v>-11538</v>
          </cell>
          <cell r="H622">
            <v>74.36</v>
          </cell>
          <cell r="I622">
            <v>-45000</v>
          </cell>
          <cell r="J622">
            <v>-33462</v>
          </cell>
        </row>
        <row r="623">
          <cell r="A623">
            <v>1315740416</v>
          </cell>
          <cell r="B623" t="str">
            <v>פר' קשישים-משתתפים</v>
          </cell>
          <cell r="C623">
            <v>-70000</v>
          </cell>
          <cell r="D623">
            <v>-46157.8</v>
          </cell>
          <cell r="E623">
            <v>0</v>
          </cell>
          <cell r="F623">
            <v>-46157.8</v>
          </cell>
          <cell r="G623">
            <v>-23842.2</v>
          </cell>
          <cell r="H623">
            <v>65.930000000000007</v>
          </cell>
          <cell r="I623">
            <v>-70000</v>
          </cell>
          <cell r="J623">
            <v>-46157.8</v>
          </cell>
        </row>
        <row r="624">
          <cell r="A624">
            <v>1315740417</v>
          </cell>
          <cell r="B624" t="str">
            <v>דמי בחינות</v>
          </cell>
          <cell r="C624">
            <v>0</v>
          </cell>
          <cell r="D624">
            <v>0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</row>
        <row r="625">
          <cell r="A625">
            <v>1315740420</v>
          </cell>
          <cell r="B625" t="str">
            <v>.</v>
          </cell>
          <cell r="C625">
            <v>0</v>
          </cell>
          <cell r="D625">
            <v>0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</row>
        <row r="626">
          <cell r="A626">
            <v>1315740425</v>
          </cell>
          <cell r="B626" t="str">
            <v>השת'תלמידים-שעורים</v>
          </cell>
          <cell r="C626">
            <v>0</v>
          </cell>
          <cell r="D626">
            <v>0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</row>
        <row r="627">
          <cell r="A627">
            <v>1315740440</v>
          </cell>
          <cell r="B627" t="str">
            <v>הכנסות גפ"ן בית ספרי</v>
          </cell>
          <cell r="C627">
            <v>0</v>
          </cell>
          <cell r="D627">
            <v>-708410</v>
          </cell>
          <cell r="E627">
            <v>0</v>
          </cell>
          <cell r="F627">
            <v>-708410</v>
          </cell>
          <cell r="G627">
            <v>708410</v>
          </cell>
          <cell r="H627">
            <v>0</v>
          </cell>
          <cell r="I627">
            <v>0</v>
          </cell>
          <cell r="J627">
            <v>-708410</v>
          </cell>
        </row>
        <row r="628">
          <cell r="A628">
            <v>1315740452</v>
          </cell>
          <cell r="B628" t="str">
            <v>השתתפות עירונית בגפ"ן</v>
          </cell>
          <cell r="C628">
            <v>0</v>
          </cell>
          <cell r="D628">
            <v>0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A629">
            <v>1315740915</v>
          </cell>
          <cell r="B629" t="str">
            <v>קייטנת קיץ בחטיבות ותיכוניים</v>
          </cell>
          <cell r="C629">
            <v>0</v>
          </cell>
          <cell r="D629">
            <v>0</v>
          </cell>
          <cell r="E629">
            <v>0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</row>
        <row r="630">
          <cell r="A630">
            <v>1315740920</v>
          </cell>
          <cell r="B630" t="str">
            <v>השת' הממשלה בשכל"מ</v>
          </cell>
          <cell r="C630">
            <v>-18687300</v>
          </cell>
          <cell r="D630">
            <v>-20536447.16</v>
          </cell>
          <cell r="E630">
            <v>0</v>
          </cell>
          <cell r="F630">
            <v>-20536447.16</v>
          </cell>
          <cell r="G630">
            <v>1849147.16</v>
          </cell>
          <cell r="H630">
            <v>109.89</v>
          </cell>
          <cell r="I630">
            <v>-18687300</v>
          </cell>
          <cell r="J630">
            <v>-20536447.16</v>
          </cell>
        </row>
        <row r="631">
          <cell r="A631">
            <v>1315740921</v>
          </cell>
          <cell r="B631" t="str">
            <v>השתת' ממשלה - חט"ב</v>
          </cell>
          <cell r="C631">
            <v>-2906400</v>
          </cell>
          <cell r="D631">
            <v>-2968209.09</v>
          </cell>
          <cell r="E631">
            <v>0</v>
          </cell>
          <cell r="F631">
            <v>-2968209.09</v>
          </cell>
          <cell r="G631">
            <v>61809.09</v>
          </cell>
          <cell r="H631">
            <v>102.12</v>
          </cell>
          <cell r="I631">
            <v>-2906400</v>
          </cell>
          <cell r="J631">
            <v>-2968209.09</v>
          </cell>
        </row>
        <row r="632">
          <cell r="A632">
            <v>1315740922</v>
          </cell>
          <cell r="B632" t="str">
            <v>שעורי עזר לעולים</v>
          </cell>
          <cell r="C632">
            <v>0</v>
          </cell>
          <cell r="D632">
            <v>-86867.14</v>
          </cell>
          <cell r="E632">
            <v>0</v>
          </cell>
          <cell r="F632">
            <v>-86867.14</v>
          </cell>
          <cell r="G632">
            <v>86867.14</v>
          </cell>
          <cell r="H632">
            <v>0</v>
          </cell>
          <cell r="I632">
            <v>0</v>
          </cell>
          <cell r="J632">
            <v>-86867.14</v>
          </cell>
        </row>
        <row r="633">
          <cell r="A633">
            <v>1315740923</v>
          </cell>
          <cell r="B633" t="str">
            <v>שעורי עזר לנכים</v>
          </cell>
          <cell r="C633">
            <v>-8400</v>
          </cell>
          <cell r="D633">
            <v>-4235.28</v>
          </cell>
          <cell r="E633">
            <v>0</v>
          </cell>
          <cell r="F633">
            <v>-4235.28</v>
          </cell>
          <cell r="G633">
            <v>-4164.72</v>
          </cell>
          <cell r="H633">
            <v>50.42</v>
          </cell>
          <cell r="I633">
            <v>-8400</v>
          </cell>
          <cell r="J633">
            <v>-4235.28</v>
          </cell>
        </row>
        <row r="634">
          <cell r="A634">
            <v>1315740924</v>
          </cell>
          <cell r="B634" t="str">
            <v>תיגבור יהדות</v>
          </cell>
          <cell r="C634">
            <v>0</v>
          </cell>
          <cell r="D634">
            <v>0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A635">
            <v>1315740925</v>
          </cell>
          <cell r="B635" t="str">
            <v>קרן השתלמות לשכ"ל</v>
          </cell>
          <cell r="C635">
            <v>-1400000</v>
          </cell>
          <cell r="D635">
            <v>-1370400.4</v>
          </cell>
          <cell r="E635">
            <v>0</v>
          </cell>
          <cell r="F635">
            <v>-1370400.4</v>
          </cell>
          <cell r="G635">
            <v>-29599.599999999999</v>
          </cell>
          <cell r="H635">
            <v>97.88</v>
          </cell>
          <cell r="I635">
            <v>-1400000</v>
          </cell>
          <cell r="J635">
            <v>-1370400.4</v>
          </cell>
        </row>
        <row r="636">
          <cell r="A636">
            <v>1315740926</v>
          </cell>
          <cell r="B636" t="str">
            <v>השאלת מורים לחט"ב</v>
          </cell>
          <cell r="C636">
            <v>0</v>
          </cell>
          <cell r="D636">
            <v>-146676.66</v>
          </cell>
          <cell r="E636">
            <v>0</v>
          </cell>
          <cell r="F636">
            <v>-146676.66</v>
          </cell>
          <cell r="G636">
            <v>146676.66</v>
          </cell>
          <cell r="H636">
            <v>0</v>
          </cell>
          <cell r="I636">
            <v>0</v>
          </cell>
          <cell r="J636">
            <v>-146676.66</v>
          </cell>
        </row>
        <row r="637">
          <cell r="A637">
            <v>1315740927</v>
          </cell>
          <cell r="B637" t="str">
            <v>תכנית גי"א / מש"ב</v>
          </cell>
          <cell r="C637">
            <v>0</v>
          </cell>
          <cell r="D637">
            <v>0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A638">
            <v>1315740928</v>
          </cell>
          <cell r="B638" t="str">
            <v>ליווי לטיולים</v>
          </cell>
          <cell r="C638">
            <v>-355000</v>
          </cell>
          <cell r="D638">
            <v>-360936.96000000002</v>
          </cell>
          <cell r="E638">
            <v>0</v>
          </cell>
          <cell r="F638">
            <v>-360936.96000000002</v>
          </cell>
          <cell r="G638">
            <v>5936.96</v>
          </cell>
          <cell r="H638">
            <v>101.67</v>
          </cell>
          <cell r="I638">
            <v>-355000</v>
          </cell>
          <cell r="J638">
            <v>-360936.96000000002</v>
          </cell>
        </row>
        <row r="639">
          <cell r="A639">
            <v>1315740930</v>
          </cell>
          <cell r="B639" t="str">
            <v>עוז לתמורה</v>
          </cell>
          <cell r="C639">
            <v>-9825400</v>
          </cell>
          <cell r="D639">
            <v>-9499492.8100000005</v>
          </cell>
          <cell r="E639">
            <v>0</v>
          </cell>
          <cell r="F639">
            <v>-9499492.8100000005</v>
          </cell>
          <cell r="G639">
            <v>-325907.19</v>
          </cell>
          <cell r="H639">
            <v>96.68</v>
          </cell>
          <cell r="I639">
            <v>-9825400</v>
          </cell>
          <cell r="J639">
            <v>-9499492.8100000005</v>
          </cell>
        </row>
        <row r="640">
          <cell r="A640">
            <v>1315740932</v>
          </cell>
          <cell r="B640" t="str">
            <v>גמול בגרות אחוזי</v>
          </cell>
          <cell r="C640">
            <v>-498200</v>
          </cell>
          <cell r="D640">
            <v>-532075.30000000005</v>
          </cell>
          <cell r="E640">
            <v>0</v>
          </cell>
          <cell r="F640">
            <v>-532075.30000000005</v>
          </cell>
          <cell r="G640">
            <v>33875.300000000003</v>
          </cell>
          <cell r="H640">
            <v>106.79</v>
          </cell>
          <cell r="I640">
            <v>-498200</v>
          </cell>
          <cell r="J640">
            <v>-532075.30000000005</v>
          </cell>
        </row>
        <row r="641">
          <cell r="A641">
            <v>1315740933</v>
          </cell>
          <cell r="B641" t="str">
            <v>תכנית לאומית-קידום אנגלית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A642">
            <v>1315740934</v>
          </cell>
          <cell r="B642" t="str">
            <v>הצטיידות טכנולוגית במעבדות</v>
          </cell>
          <cell r="C642">
            <v>0</v>
          </cell>
          <cell r="D642">
            <v>0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</row>
        <row r="643">
          <cell r="A643">
            <v>1315740938</v>
          </cell>
          <cell r="B643" t="str">
            <v>השת' משרד החינוך בטיולים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</row>
        <row r="644">
          <cell r="A644">
            <v>1315740952</v>
          </cell>
          <cell r="B644" t="str">
            <v>חט"ב-הכלה והשתלבות</v>
          </cell>
          <cell r="C644">
            <v>0</v>
          </cell>
          <cell r="D644">
            <v>0</v>
          </cell>
          <cell r="E644">
            <v>0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</row>
        <row r="645">
          <cell r="A645">
            <v>1315740953</v>
          </cell>
          <cell r="B645" t="str">
            <v>מערכת גפ"ן</v>
          </cell>
          <cell r="C645">
            <v>-2534700</v>
          </cell>
          <cell r="D645">
            <v>-1370950.29</v>
          </cell>
          <cell r="E645">
            <v>0</v>
          </cell>
          <cell r="F645">
            <v>-1370950.29</v>
          </cell>
          <cell r="G645">
            <v>-1163749.71</v>
          </cell>
          <cell r="H645">
            <v>54.08</v>
          </cell>
          <cell r="I645">
            <v>-2534700</v>
          </cell>
          <cell r="J645">
            <v>-1370950.29</v>
          </cell>
        </row>
        <row r="646">
          <cell r="A646">
            <v>1315740990</v>
          </cell>
          <cell r="B646" t="str">
            <v>קשישים-שוויון חברתי</v>
          </cell>
          <cell r="C646">
            <v>0</v>
          </cell>
          <cell r="D646">
            <v>0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</row>
        <row r="647">
          <cell r="A647">
            <v>1315750312</v>
          </cell>
          <cell r="B647" t="str">
            <v>מסיבות כיתתיות</v>
          </cell>
          <cell r="C647">
            <v>-25000</v>
          </cell>
          <cell r="D647">
            <v>-24706</v>
          </cell>
          <cell r="E647">
            <v>0</v>
          </cell>
          <cell r="F647">
            <v>-24706</v>
          </cell>
          <cell r="G647">
            <v>-294</v>
          </cell>
          <cell r="H647">
            <v>98.82</v>
          </cell>
          <cell r="I647">
            <v>-25000</v>
          </cell>
          <cell r="J647">
            <v>-24706</v>
          </cell>
        </row>
        <row r="648">
          <cell r="A648">
            <v>1315750416</v>
          </cell>
          <cell r="B648" t="str">
            <v>פר' קשישים - משתתפים</v>
          </cell>
          <cell r="C648">
            <v>0</v>
          </cell>
          <cell r="D648">
            <v>0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</row>
        <row r="649">
          <cell r="A649">
            <v>1315750417</v>
          </cell>
          <cell r="B649" t="str">
            <v>דמי בחינות</v>
          </cell>
          <cell r="C649">
            <v>0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A650">
            <v>1315750420</v>
          </cell>
          <cell r="B650" t="str">
            <v>.</v>
          </cell>
          <cell r="C650">
            <v>0</v>
          </cell>
          <cell r="D650">
            <v>0</v>
          </cell>
          <cell r="E650">
            <v>0</v>
          </cell>
          <cell r="F650">
            <v>0</v>
          </cell>
          <cell r="G650">
            <v>0</v>
          </cell>
          <cell r="H650">
            <v>0</v>
          </cell>
          <cell r="I650">
            <v>0</v>
          </cell>
          <cell r="J650">
            <v>0</v>
          </cell>
        </row>
        <row r="651">
          <cell r="A651">
            <v>1315750440</v>
          </cell>
          <cell r="B651" t="str">
            <v>הכנסות גפ"ן בית ספרי</v>
          </cell>
          <cell r="C651">
            <v>0</v>
          </cell>
          <cell r="D651">
            <v>-316512</v>
          </cell>
          <cell r="E651">
            <v>0</v>
          </cell>
          <cell r="F651">
            <v>-316512</v>
          </cell>
          <cell r="G651">
            <v>316512</v>
          </cell>
          <cell r="H651">
            <v>0</v>
          </cell>
          <cell r="I651">
            <v>0</v>
          </cell>
          <cell r="J651">
            <v>-316512</v>
          </cell>
        </row>
        <row r="652">
          <cell r="A652">
            <v>1315750452</v>
          </cell>
          <cell r="B652" t="str">
            <v>השתתפות עירונית בגפ"ן</v>
          </cell>
          <cell r="C652">
            <v>0</v>
          </cell>
          <cell r="D652">
            <v>0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</row>
        <row r="653">
          <cell r="A653">
            <v>1315750640</v>
          </cell>
          <cell r="B653" t="str">
            <v>שכר דירה מזנון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0</v>
          </cell>
          <cell r="H653">
            <v>0</v>
          </cell>
          <cell r="I653">
            <v>0</v>
          </cell>
          <cell r="J653">
            <v>0</v>
          </cell>
        </row>
        <row r="654">
          <cell r="A654">
            <v>1315750915</v>
          </cell>
          <cell r="B654" t="str">
            <v>קייטנת קיץ בחטיבות ותיכוניים</v>
          </cell>
          <cell r="C654">
            <v>0</v>
          </cell>
          <cell r="D654">
            <v>0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</row>
        <row r="655">
          <cell r="A655">
            <v>1315750920</v>
          </cell>
          <cell r="B655" t="str">
            <v>השת' הממשלה בשכל"מ</v>
          </cell>
          <cell r="C655">
            <v>-15267200</v>
          </cell>
          <cell r="D655">
            <v>-16687535.699999999</v>
          </cell>
          <cell r="E655">
            <v>0</v>
          </cell>
          <cell r="F655">
            <v>-16687535.699999999</v>
          </cell>
          <cell r="G655">
            <v>1420335.7</v>
          </cell>
          <cell r="H655">
            <v>109.3</v>
          </cell>
          <cell r="I655">
            <v>-15267200</v>
          </cell>
          <cell r="J655">
            <v>-16687535.699999999</v>
          </cell>
        </row>
        <row r="656">
          <cell r="A656">
            <v>1315750921</v>
          </cell>
          <cell r="B656" t="str">
            <v>השתת' ממשלה - חט"ב</v>
          </cell>
          <cell r="C656">
            <v>-1440700</v>
          </cell>
          <cell r="D656">
            <v>-1402223.68</v>
          </cell>
          <cell r="E656">
            <v>0</v>
          </cell>
          <cell r="F656">
            <v>-1402223.68</v>
          </cell>
          <cell r="G656">
            <v>-38476.32</v>
          </cell>
          <cell r="H656">
            <v>97.32</v>
          </cell>
          <cell r="I656">
            <v>-1440700</v>
          </cell>
          <cell r="J656">
            <v>-1402223.68</v>
          </cell>
        </row>
        <row r="657">
          <cell r="A657">
            <v>1315750922</v>
          </cell>
          <cell r="B657" t="str">
            <v>שעורי עזר לעולים</v>
          </cell>
          <cell r="C657">
            <v>0</v>
          </cell>
          <cell r="D657">
            <v>-8883.98</v>
          </cell>
          <cell r="E657">
            <v>0</v>
          </cell>
          <cell r="F657">
            <v>-8883.98</v>
          </cell>
          <cell r="G657">
            <v>8883.98</v>
          </cell>
          <cell r="H657">
            <v>0</v>
          </cell>
          <cell r="I657">
            <v>0</v>
          </cell>
          <cell r="J657">
            <v>-8883.98</v>
          </cell>
        </row>
        <row r="658">
          <cell r="A658">
            <v>1315750923</v>
          </cell>
          <cell r="B658" t="str">
            <v>שעורי עזר לנכים</v>
          </cell>
          <cell r="C658">
            <v>0</v>
          </cell>
          <cell r="D658">
            <v>0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A659">
            <v>1315750925</v>
          </cell>
          <cell r="B659" t="str">
            <v>קרן השתלמות לשכ"ל</v>
          </cell>
          <cell r="C659">
            <v>-1003000</v>
          </cell>
          <cell r="D659">
            <v>-983939.13</v>
          </cell>
          <cell r="E659">
            <v>0</v>
          </cell>
          <cell r="F659">
            <v>-983939.13</v>
          </cell>
          <cell r="G659">
            <v>-19060.87</v>
          </cell>
          <cell r="H659">
            <v>98.09</v>
          </cell>
          <cell r="I659">
            <v>-1003000</v>
          </cell>
          <cell r="J659">
            <v>-983939.13</v>
          </cell>
        </row>
        <row r="660">
          <cell r="A660">
            <v>1315750926</v>
          </cell>
          <cell r="B660" t="str">
            <v>השאלת מורים לחט"ב</v>
          </cell>
          <cell r="C660">
            <v>-111800</v>
          </cell>
          <cell r="D660">
            <v>-104548.58</v>
          </cell>
          <cell r="E660">
            <v>0</v>
          </cell>
          <cell r="F660">
            <v>-104548.58</v>
          </cell>
          <cell r="G660">
            <v>-7251.42</v>
          </cell>
          <cell r="H660">
            <v>93.51</v>
          </cell>
          <cell r="I660">
            <v>-111800</v>
          </cell>
          <cell r="J660">
            <v>-104548.58</v>
          </cell>
        </row>
        <row r="661">
          <cell r="A661">
            <v>1315750927</v>
          </cell>
          <cell r="B661" t="str">
            <v>תכנית גי"א / מש"ב</v>
          </cell>
          <cell r="C661">
            <v>0</v>
          </cell>
          <cell r="D661">
            <v>0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</row>
        <row r="662">
          <cell r="A662">
            <v>1315750928</v>
          </cell>
          <cell r="B662" t="str">
            <v>ליווי לטיולים</v>
          </cell>
          <cell r="C662">
            <v>-215900</v>
          </cell>
          <cell r="D662">
            <v>-228829.56</v>
          </cell>
          <cell r="E662">
            <v>0</v>
          </cell>
          <cell r="F662">
            <v>-228829.56</v>
          </cell>
          <cell r="G662">
            <v>12929.56</v>
          </cell>
          <cell r="H662">
            <v>105.98</v>
          </cell>
          <cell r="I662">
            <v>-215900</v>
          </cell>
          <cell r="J662">
            <v>-228829.56</v>
          </cell>
        </row>
        <row r="663">
          <cell r="A663">
            <v>1315750930</v>
          </cell>
          <cell r="B663" t="str">
            <v>עוז לתמורה</v>
          </cell>
          <cell r="C663">
            <v>-6828400</v>
          </cell>
          <cell r="D663">
            <v>-6891114.9299999997</v>
          </cell>
          <cell r="E663">
            <v>0</v>
          </cell>
          <cell r="F663">
            <v>-6891114.9299999997</v>
          </cell>
          <cell r="G663">
            <v>62714.93</v>
          </cell>
          <cell r="H663">
            <v>100.91</v>
          </cell>
          <cell r="I663">
            <v>-6828400</v>
          </cell>
          <cell r="J663">
            <v>-6891114.9299999997</v>
          </cell>
        </row>
        <row r="664">
          <cell r="A664">
            <v>1315750932</v>
          </cell>
          <cell r="B664" t="str">
            <v>גמול בגרות אחוזי</v>
          </cell>
          <cell r="C664">
            <v>-292500</v>
          </cell>
          <cell r="D664">
            <v>-336578.62</v>
          </cell>
          <cell r="E664">
            <v>0</v>
          </cell>
          <cell r="F664">
            <v>-336578.62</v>
          </cell>
          <cell r="G664">
            <v>44078.62</v>
          </cell>
          <cell r="H664">
            <v>115.06</v>
          </cell>
          <cell r="I664">
            <v>-292500</v>
          </cell>
          <cell r="J664">
            <v>-336578.62</v>
          </cell>
        </row>
        <row r="665">
          <cell r="A665">
            <v>1315750933</v>
          </cell>
          <cell r="B665" t="str">
            <v>תכנית לאומית-קידום אנגלית</v>
          </cell>
          <cell r="C665">
            <v>0</v>
          </cell>
          <cell r="D665">
            <v>0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</row>
        <row r="666">
          <cell r="A666">
            <v>1315750934</v>
          </cell>
          <cell r="B666" t="str">
            <v>הצטיידות טכנולוגית במעבדות</v>
          </cell>
          <cell r="C666">
            <v>0</v>
          </cell>
          <cell r="D666">
            <v>0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</row>
        <row r="667">
          <cell r="A667">
            <v>1315750938</v>
          </cell>
          <cell r="B667" t="str">
            <v>השת' משרד החינוך בטיולים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A668">
            <v>1315750952</v>
          </cell>
          <cell r="B668" t="str">
            <v>חט"ב-הכלה והשתלבות</v>
          </cell>
          <cell r="C668">
            <v>0</v>
          </cell>
          <cell r="D668">
            <v>0</v>
          </cell>
          <cell r="E668">
            <v>0</v>
          </cell>
          <cell r="F668">
            <v>0</v>
          </cell>
          <cell r="G668">
            <v>0</v>
          </cell>
          <cell r="H668">
            <v>0</v>
          </cell>
          <cell r="I668">
            <v>0</v>
          </cell>
          <cell r="J668">
            <v>0</v>
          </cell>
        </row>
        <row r="669">
          <cell r="A669">
            <v>1315750953</v>
          </cell>
          <cell r="B669" t="str">
            <v>מערכת גפ"ן</v>
          </cell>
          <cell r="C669">
            <v>-1365600</v>
          </cell>
          <cell r="D669">
            <v>-1104309.6299999999</v>
          </cell>
          <cell r="E669">
            <v>0</v>
          </cell>
          <cell r="F669">
            <v>-1104309.6299999999</v>
          </cell>
          <cell r="G669">
            <v>-261290.37</v>
          </cell>
          <cell r="H669">
            <v>80.86</v>
          </cell>
          <cell r="I669">
            <v>-1365600</v>
          </cell>
          <cell r="J669">
            <v>-1104309.6299999999</v>
          </cell>
        </row>
        <row r="670">
          <cell r="A670">
            <v>1315750990</v>
          </cell>
          <cell r="B670" t="str">
            <v>קשישים - שוויון חברתי</v>
          </cell>
          <cell r="C670">
            <v>0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</row>
        <row r="671">
          <cell r="A671">
            <v>1315760312</v>
          </cell>
          <cell r="B671" t="str">
            <v>מסיבות כיתתיות</v>
          </cell>
          <cell r="C671">
            <v>-9000</v>
          </cell>
          <cell r="D671">
            <v>-10186</v>
          </cell>
          <cell r="E671">
            <v>0</v>
          </cell>
          <cell r="F671">
            <v>-10186</v>
          </cell>
          <cell r="G671">
            <v>1186</v>
          </cell>
          <cell r="H671">
            <v>113.17</v>
          </cell>
          <cell r="I671">
            <v>-9000</v>
          </cell>
          <cell r="J671">
            <v>-10186</v>
          </cell>
        </row>
        <row r="672">
          <cell r="A672">
            <v>1315760414</v>
          </cell>
          <cell r="B672" t="str">
            <v>שע' עזר-אולפנא(הורים)</v>
          </cell>
          <cell r="C672">
            <v>0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</row>
        <row r="673">
          <cell r="A673">
            <v>1315760416</v>
          </cell>
          <cell r="B673" t="str">
            <v>פר' קשישים-משתתפים</v>
          </cell>
          <cell r="C673">
            <v>0</v>
          </cell>
          <cell r="D673">
            <v>0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</row>
        <row r="674">
          <cell r="A674">
            <v>1315760417</v>
          </cell>
          <cell r="B674" t="str">
            <v>דמי בחינות</v>
          </cell>
          <cell r="C674">
            <v>0</v>
          </cell>
          <cell r="D674">
            <v>0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</row>
        <row r="675">
          <cell r="A675">
            <v>1315760420</v>
          </cell>
          <cell r="B675" t="str">
            <v>.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A676">
            <v>1315760421</v>
          </cell>
          <cell r="B676" t="str">
            <v>הכנסות מפסיכולוג</v>
          </cell>
          <cell r="C676">
            <v>0</v>
          </cell>
          <cell r="D676">
            <v>0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</row>
        <row r="677">
          <cell r="A677">
            <v>1315760440</v>
          </cell>
          <cell r="B677" t="str">
            <v>הכנסות גפ"ן בית ספרי</v>
          </cell>
          <cell r="C677">
            <v>0</v>
          </cell>
          <cell r="D677">
            <v>-154369</v>
          </cell>
          <cell r="E677">
            <v>0</v>
          </cell>
          <cell r="F677">
            <v>-154369</v>
          </cell>
          <cell r="G677">
            <v>154369</v>
          </cell>
          <cell r="H677">
            <v>0</v>
          </cell>
          <cell r="I677">
            <v>0</v>
          </cell>
          <cell r="J677">
            <v>-154369</v>
          </cell>
        </row>
        <row r="678">
          <cell r="A678">
            <v>1315760452</v>
          </cell>
          <cell r="B678" t="str">
            <v>השתתפות עירונית בגפ"ן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</row>
        <row r="679">
          <cell r="A679">
            <v>1315760915</v>
          </cell>
          <cell r="B679" t="str">
            <v>קייטנת קיץ בחטיבות ותיכוניים</v>
          </cell>
          <cell r="C679">
            <v>0</v>
          </cell>
          <cell r="D679">
            <v>0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A680">
            <v>1315760920</v>
          </cell>
          <cell r="B680" t="str">
            <v>השת' הממשלה בשכל"מ</v>
          </cell>
          <cell r="C680">
            <v>-2772900</v>
          </cell>
          <cell r="D680">
            <v>-3194852.31</v>
          </cell>
          <cell r="E680">
            <v>0</v>
          </cell>
          <cell r="F680">
            <v>-3194852.31</v>
          </cell>
          <cell r="G680">
            <v>421952.31</v>
          </cell>
          <cell r="H680">
            <v>115.21</v>
          </cell>
          <cell r="I680">
            <v>-2772900</v>
          </cell>
          <cell r="J680">
            <v>-3194852.31</v>
          </cell>
        </row>
        <row r="681">
          <cell r="A681">
            <v>1315760921</v>
          </cell>
          <cell r="B681" t="str">
            <v>השתת' ממשלה - חט"ב</v>
          </cell>
          <cell r="C681">
            <v>-627800</v>
          </cell>
          <cell r="D681">
            <v>-759783.15</v>
          </cell>
          <cell r="E681">
            <v>0</v>
          </cell>
          <cell r="F681">
            <v>-759783.15</v>
          </cell>
          <cell r="G681">
            <v>131983.15</v>
          </cell>
          <cell r="H681">
            <v>121.02</v>
          </cell>
          <cell r="I681">
            <v>-627800</v>
          </cell>
          <cell r="J681">
            <v>-759783.15</v>
          </cell>
        </row>
        <row r="682">
          <cell r="A682">
            <v>1315760922</v>
          </cell>
          <cell r="B682" t="str">
            <v>שעורי עזר לעולים</v>
          </cell>
          <cell r="C682">
            <v>0</v>
          </cell>
          <cell r="D682">
            <v>-70657.34</v>
          </cell>
          <cell r="E682">
            <v>0</v>
          </cell>
          <cell r="F682">
            <v>-70657.34</v>
          </cell>
          <cell r="G682">
            <v>70657.34</v>
          </cell>
          <cell r="H682">
            <v>0</v>
          </cell>
          <cell r="I682">
            <v>0</v>
          </cell>
          <cell r="J682">
            <v>-70657.34</v>
          </cell>
        </row>
        <row r="683">
          <cell r="A683">
            <v>1315760923</v>
          </cell>
          <cell r="B683" t="str">
            <v>שעורי עזר לנכים</v>
          </cell>
          <cell r="C683">
            <v>-12000</v>
          </cell>
          <cell r="D683">
            <v>-11517.4</v>
          </cell>
          <cell r="E683">
            <v>0</v>
          </cell>
          <cell r="F683">
            <v>-11517.4</v>
          </cell>
          <cell r="G683">
            <v>-482.6</v>
          </cell>
          <cell r="H683">
            <v>95.97</v>
          </cell>
          <cell r="I683">
            <v>-12000</v>
          </cell>
          <cell r="J683">
            <v>-11517.4</v>
          </cell>
        </row>
        <row r="684">
          <cell r="A684">
            <v>1315760924</v>
          </cell>
          <cell r="B684" t="str">
            <v>שעות רב</v>
          </cell>
          <cell r="C684">
            <v>0</v>
          </cell>
          <cell r="D684">
            <v>-76443.48</v>
          </cell>
          <cell r="E684">
            <v>0</v>
          </cell>
          <cell r="F684">
            <v>-76443.48</v>
          </cell>
          <cell r="G684">
            <v>76443.48</v>
          </cell>
          <cell r="H684">
            <v>0</v>
          </cell>
          <cell r="I684">
            <v>0</v>
          </cell>
          <cell r="J684">
            <v>-76443.48</v>
          </cell>
        </row>
        <row r="685">
          <cell r="A685">
            <v>1315760925</v>
          </cell>
          <cell r="B685" t="str">
            <v>קרן השתלמות לשכ"ל</v>
          </cell>
          <cell r="C685">
            <v>-174600</v>
          </cell>
          <cell r="D685">
            <v>-204212</v>
          </cell>
          <cell r="E685">
            <v>0</v>
          </cell>
          <cell r="F685">
            <v>-204212</v>
          </cell>
          <cell r="G685">
            <v>29612</v>
          </cell>
          <cell r="H685">
            <v>116.95</v>
          </cell>
          <cell r="I685">
            <v>-174600</v>
          </cell>
          <cell r="J685">
            <v>-204212</v>
          </cell>
        </row>
        <row r="686">
          <cell r="A686">
            <v>1315760926</v>
          </cell>
          <cell r="B686" t="str">
            <v>השאלת מורים לחט"ב</v>
          </cell>
          <cell r="C686">
            <v>-184500</v>
          </cell>
          <cell r="D686">
            <v>-5410.61</v>
          </cell>
          <cell r="E686">
            <v>0</v>
          </cell>
          <cell r="F686">
            <v>-5410.61</v>
          </cell>
          <cell r="G686">
            <v>-179089.39</v>
          </cell>
          <cell r="H686">
            <v>2.93</v>
          </cell>
          <cell r="I686">
            <v>-184500</v>
          </cell>
          <cell r="J686">
            <v>-5410.61</v>
          </cell>
        </row>
        <row r="687">
          <cell r="A687">
            <v>1315760927</v>
          </cell>
          <cell r="B687" t="str">
            <v>תכנית גי"א / מש"ב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</row>
        <row r="688">
          <cell r="A688">
            <v>1315760928</v>
          </cell>
          <cell r="B688" t="str">
            <v>ליווי לטיולים</v>
          </cell>
          <cell r="C688">
            <v>-55000</v>
          </cell>
          <cell r="D688">
            <v>-62608.5</v>
          </cell>
          <cell r="E688">
            <v>0</v>
          </cell>
          <cell r="F688">
            <v>-62608.5</v>
          </cell>
          <cell r="G688">
            <v>7608.5</v>
          </cell>
          <cell r="H688">
            <v>113.83</v>
          </cell>
          <cell r="I688">
            <v>-55000</v>
          </cell>
          <cell r="J688">
            <v>-62608.5</v>
          </cell>
        </row>
        <row r="689">
          <cell r="A689">
            <v>1315760929</v>
          </cell>
          <cell r="B689" t="str">
            <v>אורח חיים בריא</v>
          </cell>
          <cell r="C689">
            <v>0</v>
          </cell>
          <cell r="D689">
            <v>0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A690">
            <v>1315760930</v>
          </cell>
          <cell r="B690" t="str">
            <v>עוז לתמורה</v>
          </cell>
          <cell r="C690">
            <v>-1754000</v>
          </cell>
          <cell r="D690">
            <v>-1873668.55</v>
          </cell>
          <cell r="E690">
            <v>0</v>
          </cell>
          <cell r="F690">
            <v>-1873668.55</v>
          </cell>
          <cell r="G690">
            <v>119668.55</v>
          </cell>
          <cell r="H690">
            <v>106.82</v>
          </cell>
          <cell r="I690">
            <v>-1754000</v>
          </cell>
          <cell r="J690">
            <v>-1873668.55</v>
          </cell>
        </row>
        <row r="691">
          <cell r="A691">
            <v>1315760932</v>
          </cell>
          <cell r="B691" t="str">
            <v>גמול בגרות אחוזי</v>
          </cell>
          <cell r="C691">
            <v>-81500</v>
          </cell>
          <cell r="D691">
            <v>-100423.2</v>
          </cell>
          <cell r="E691">
            <v>0</v>
          </cell>
          <cell r="F691">
            <v>-100423.2</v>
          </cell>
          <cell r="G691">
            <v>18923.2</v>
          </cell>
          <cell r="H691">
            <v>123.21</v>
          </cell>
          <cell r="I691">
            <v>-81500</v>
          </cell>
          <cell r="J691">
            <v>-100423.2</v>
          </cell>
        </row>
        <row r="692">
          <cell r="A692">
            <v>1315760933</v>
          </cell>
          <cell r="B692" t="str">
            <v>תכנית לאומית-קידום אנגלית</v>
          </cell>
          <cell r="C692">
            <v>0</v>
          </cell>
          <cell r="D692">
            <v>0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</row>
        <row r="693">
          <cell r="A693">
            <v>1315760934</v>
          </cell>
          <cell r="B693" t="str">
            <v>הצטיידות טכנולוגית במעבדות</v>
          </cell>
          <cell r="C693">
            <v>0</v>
          </cell>
          <cell r="D693">
            <v>0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</row>
        <row r="694">
          <cell r="A694">
            <v>1315760938</v>
          </cell>
          <cell r="B694" t="str">
            <v>השת' משרד החינוך בטיולים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</row>
        <row r="695">
          <cell r="A695">
            <v>1315760952</v>
          </cell>
          <cell r="B695" t="str">
            <v>חט"ב-הכלה והשתלבות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A696">
            <v>1315760953</v>
          </cell>
          <cell r="B696" t="str">
            <v>מערכת גפ"ן</v>
          </cell>
          <cell r="C696">
            <v>-613900</v>
          </cell>
          <cell r="D696">
            <v>-472163.01</v>
          </cell>
          <cell r="E696">
            <v>0</v>
          </cell>
          <cell r="F696">
            <v>-472163.01</v>
          </cell>
          <cell r="G696">
            <v>-141736.99</v>
          </cell>
          <cell r="H696">
            <v>76.91</v>
          </cell>
          <cell r="I696">
            <v>-613900</v>
          </cell>
          <cell r="J696">
            <v>-472163.01</v>
          </cell>
        </row>
        <row r="697">
          <cell r="A697">
            <v>1315770312</v>
          </cell>
          <cell r="B697" t="str">
            <v>מסיבות כיתתיות</v>
          </cell>
          <cell r="C697">
            <v>-30000</v>
          </cell>
          <cell r="D697">
            <v>-33484</v>
          </cell>
          <cell r="E697">
            <v>0</v>
          </cell>
          <cell r="F697">
            <v>-33484</v>
          </cell>
          <cell r="G697">
            <v>3484</v>
          </cell>
          <cell r="H697">
            <v>111.61</v>
          </cell>
          <cell r="I697">
            <v>-30000</v>
          </cell>
          <cell r="J697">
            <v>-33484</v>
          </cell>
        </row>
        <row r="698">
          <cell r="A698">
            <v>1315770410</v>
          </cell>
          <cell r="B698" t="str">
            <v>תלמידי חוץ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A699">
            <v>1315770417</v>
          </cell>
          <cell r="B699" t="str">
            <v>דמי בחינות</v>
          </cell>
          <cell r="C699">
            <v>0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</row>
        <row r="700">
          <cell r="A700">
            <v>1315770420</v>
          </cell>
          <cell r="B700" t="str">
            <v>.</v>
          </cell>
          <cell r="C700">
            <v>0</v>
          </cell>
          <cell r="D700">
            <v>0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</row>
        <row r="701">
          <cell r="A701">
            <v>1315770421</v>
          </cell>
          <cell r="B701" t="str">
            <v>הכנסות מפסיכולוג</v>
          </cell>
          <cell r="C701">
            <v>0</v>
          </cell>
          <cell r="D701">
            <v>0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A702">
            <v>1315770425</v>
          </cell>
          <cell r="B702" t="str">
            <v>השת'תלמידים-שעורים</v>
          </cell>
          <cell r="C702">
            <v>0</v>
          </cell>
          <cell r="D702">
            <v>0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</row>
        <row r="703">
          <cell r="A703">
            <v>1315770429</v>
          </cell>
          <cell r="B703" t="str">
            <v>אשכולות פיס</v>
          </cell>
          <cell r="C703">
            <v>0</v>
          </cell>
          <cell r="D703">
            <v>0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</row>
        <row r="704">
          <cell r="A704">
            <v>1315770440</v>
          </cell>
          <cell r="B704" t="str">
            <v>הכנסות גפ"ן בית ספרי</v>
          </cell>
          <cell r="C704">
            <v>0</v>
          </cell>
          <cell r="D704">
            <v>-488957</v>
          </cell>
          <cell r="E704">
            <v>0</v>
          </cell>
          <cell r="F704">
            <v>-488957</v>
          </cell>
          <cell r="G704">
            <v>488957</v>
          </cell>
          <cell r="H704">
            <v>0</v>
          </cell>
          <cell r="I704">
            <v>0</v>
          </cell>
          <cell r="J704">
            <v>-488957</v>
          </cell>
        </row>
        <row r="705">
          <cell r="A705">
            <v>1315770452</v>
          </cell>
          <cell r="B705" t="str">
            <v>השתתפות עירונית בגפ"ן</v>
          </cell>
          <cell r="C705">
            <v>0</v>
          </cell>
          <cell r="D705">
            <v>0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</row>
        <row r="706">
          <cell r="A706">
            <v>1315770915</v>
          </cell>
          <cell r="B706" t="str">
            <v>קייטנת קיץ בחטיבות ותיכוניים</v>
          </cell>
          <cell r="C706">
            <v>0</v>
          </cell>
          <cell r="D706">
            <v>0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</row>
        <row r="707">
          <cell r="A707">
            <v>1315770920</v>
          </cell>
          <cell r="B707" t="str">
            <v>השת' הממשלה בשכל"מ</v>
          </cell>
          <cell r="C707">
            <v>-11617500</v>
          </cell>
          <cell r="D707">
            <v>-12837836.380000001</v>
          </cell>
          <cell r="E707">
            <v>0</v>
          </cell>
          <cell r="F707">
            <v>-12837836.380000001</v>
          </cell>
          <cell r="G707">
            <v>1220336.3799999999</v>
          </cell>
          <cell r="H707">
            <v>110.5</v>
          </cell>
          <cell r="I707">
            <v>-11617500</v>
          </cell>
          <cell r="J707">
            <v>-12837836.380000001</v>
          </cell>
        </row>
        <row r="708">
          <cell r="A708">
            <v>1315770921</v>
          </cell>
          <cell r="B708" t="str">
            <v>השתת' ממשלה - חט"ב</v>
          </cell>
          <cell r="C708">
            <v>-2013500</v>
          </cell>
          <cell r="D708">
            <v>-2227820.0499999998</v>
          </cell>
          <cell r="E708">
            <v>0</v>
          </cell>
          <cell r="F708">
            <v>-2227820.0499999998</v>
          </cell>
          <cell r="G708">
            <v>214320.05</v>
          </cell>
          <cell r="H708">
            <v>110.64</v>
          </cell>
          <cell r="I708">
            <v>-2013500</v>
          </cell>
          <cell r="J708">
            <v>-2227820.0499999998</v>
          </cell>
        </row>
        <row r="709">
          <cell r="A709">
            <v>1315770922</v>
          </cell>
          <cell r="B709" t="str">
            <v>שעורי עזר לעולים</v>
          </cell>
          <cell r="C709">
            <v>-17900</v>
          </cell>
          <cell r="D709">
            <v>-2234.44</v>
          </cell>
          <cell r="E709">
            <v>0</v>
          </cell>
          <cell r="F709">
            <v>-2234.44</v>
          </cell>
          <cell r="G709">
            <v>-15665.56</v>
          </cell>
          <cell r="H709">
            <v>12.48</v>
          </cell>
          <cell r="I709">
            <v>-17900</v>
          </cell>
          <cell r="J709">
            <v>-2234.44</v>
          </cell>
        </row>
        <row r="710">
          <cell r="A710">
            <v>1315770923</v>
          </cell>
          <cell r="B710" t="str">
            <v>שעורי עזר לנכים</v>
          </cell>
          <cell r="C710">
            <v>-1100</v>
          </cell>
          <cell r="D710">
            <v>-1411.76</v>
          </cell>
          <cell r="E710">
            <v>0</v>
          </cell>
          <cell r="F710">
            <v>-1411.76</v>
          </cell>
          <cell r="G710">
            <v>311.76</v>
          </cell>
          <cell r="H710">
            <v>128.34</v>
          </cell>
          <cell r="I710">
            <v>-1100</v>
          </cell>
          <cell r="J710">
            <v>-1411.76</v>
          </cell>
        </row>
        <row r="711">
          <cell r="A711">
            <v>1315770924</v>
          </cell>
          <cell r="B711" t="str">
            <v>תיגבור יהדות</v>
          </cell>
          <cell r="C711">
            <v>0</v>
          </cell>
          <cell r="D711">
            <v>0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</row>
        <row r="712">
          <cell r="A712">
            <v>1315770925</v>
          </cell>
          <cell r="B712" t="str">
            <v>קרן השתלמות לשכ"ל</v>
          </cell>
          <cell r="C712">
            <v>-796100</v>
          </cell>
          <cell r="D712">
            <v>-873577.83</v>
          </cell>
          <cell r="E712">
            <v>0</v>
          </cell>
          <cell r="F712">
            <v>-873577.83</v>
          </cell>
          <cell r="G712">
            <v>77477.83</v>
          </cell>
          <cell r="H712">
            <v>109.73</v>
          </cell>
          <cell r="I712">
            <v>-796100</v>
          </cell>
          <cell r="J712">
            <v>-873577.83</v>
          </cell>
        </row>
        <row r="713">
          <cell r="A713">
            <v>1315770926</v>
          </cell>
          <cell r="B713" t="str">
            <v>השאלת מורים לחט"ב</v>
          </cell>
          <cell r="C713">
            <v>-31200</v>
          </cell>
          <cell r="D713">
            <v>0</v>
          </cell>
          <cell r="E713">
            <v>0</v>
          </cell>
          <cell r="F713">
            <v>0</v>
          </cell>
          <cell r="G713">
            <v>-31200</v>
          </cell>
          <cell r="H713">
            <v>0</v>
          </cell>
          <cell r="I713">
            <v>-31200</v>
          </cell>
          <cell r="J713">
            <v>0</v>
          </cell>
        </row>
        <row r="714">
          <cell r="A714">
            <v>1315770927</v>
          </cell>
          <cell r="B714" t="str">
            <v>תכנית גי"א / מש"ב</v>
          </cell>
          <cell r="C714">
            <v>0</v>
          </cell>
          <cell r="D714">
            <v>0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</row>
        <row r="715">
          <cell r="A715">
            <v>1315770928</v>
          </cell>
          <cell r="B715" t="str">
            <v>ליווי לטיולים</v>
          </cell>
          <cell r="C715">
            <v>-220000</v>
          </cell>
          <cell r="D715">
            <v>-230698.51</v>
          </cell>
          <cell r="E715">
            <v>0</v>
          </cell>
          <cell r="F715">
            <v>-230698.51</v>
          </cell>
          <cell r="G715">
            <v>10698.51</v>
          </cell>
          <cell r="H715">
            <v>104.86</v>
          </cell>
          <cell r="I715">
            <v>-220000</v>
          </cell>
          <cell r="J715">
            <v>-230698.51</v>
          </cell>
        </row>
        <row r="716">
          <cell r="A716">
            <v>1315770929</v>
          </cell>
          <cell r="B716" t="str">
            <v>אשכולות פיס</v>
          </cell>
          <cell r="C716">
            <v>-537500</v>
          </cell>
          <cell r="D716">
            <v>-592619.63</v>
          </cell>
          <cell r="E716">
            <v>0</v>
          </cell>
          <cell r="F716">
            <v>-592619.63</v>
          </cell>
          <cell r="G716">
            <v>55119.63</v>
          </cell>
          <cell r="H716">
            <v>110.25</v>
          </cell>
          <cell r="I716">
            <v>-537500</v>
          </cell>
          <cell r="J716">
            <v>-592619.63</v>
          </cell>
        </row>
        <row r="717">
          <cell r="A717">
            <v>1315770930</v>
          </cell>
          <cell r="B717" t="str">
            <v>עוז לתמורה</v>
          </cell>
          <cell r="C717">
            <v>-5848300</v>
          </cell>
          <cell r="D717">
            <v>-5785757.4500000002</v>
          </cell>
          <cell r="E717">
            <v>0</v>
          </cell>
          <cell r="F717">
            <v>-5785757.4500000002</v>
          </cell>
          <cell r="G717">
            <v>-62542.55</v>
          </cell>
          <cell r="H717">
            <v>98.93</v>
          </cell>
          <cell r="I717">
            <v>-5848300</v>
          </cell>
          <cell r="J717">
            <v>-5785757.4500000002</v>
          </cell>
        </row>
        <row r="718">
          <cell r="A718">
            <v>1315770932</v>
          </cell>
          <cell r="B718" t="str">
            <v>גמול בגרות אחוזי</v>
          </cell>
          <cell r="C718">
            <v>-318100</v>
          </cell>
          <cell r="D718">
            <v>-346569.99</v>
          </cell>
          <cell r="E718">
            <v>0</v>
          </cell>
          <cell r="F718">
            <v>-346569.99</v>
          </cell>
          <cell r="G718">
            <v>28469.99</v>
          </cell>
          <cell r="H718">
            <v>108.95</v>
          </cell>
          <cell r="I718">
            <v>-318100</v>
          </cell>
          <cell r="J718">
            <v>-346569.99</v>
          </cell>
        </row>
        <row r="719">
          <cell r="A719">
            <v>1315770933</v>
          </cell>
          <cell r="B719" t="str">
            <v>תכנית לאומית-קידום אנגלית</v>
          </cell>
          <cell r="C719">
            <v>0</v>
          </cell>
          <cell r="D719">
            <v>0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</row>
        <row r="720">
          <cell r="A720">
            <v>1315770934</v>
          </cell>
          <cell r="B720" t="str">
            <v>הצטיידות טכנולוגית במעבדות</v>
          </cell>
          <cell r="C720">
            <v>0</v>
          </cell>
          <cell r="D720">
            <v>0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</row>
        <row r="721">
          <cell r="A721">
            <v>1315770938</v>
          </cell>
          <cell r="B721" t="str">
            <v>השת' משרד החינוך בטיולים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</row>
        <row r="722">
          <cell r="A722">
            <v>1315770952</v>
          </cell>
          <cell r="B722" t="str">
            <v>חט"ב-הכלה והשתלבות</v>
          </cell>
          <cell r="C722">
            <v>0</v>
          </cell>
          <cell r="D722">
            <v>0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A723">
            <v>1315770953</v>
          </cell>
          <cell r="B723" t="str">
            <v>מערכת גפ"ן</v>
          </cell>
          <cell r="C723">
            <v>-1693000</v>
          </cell>
          <cell r="D723">
            <v>-1396609.28</v>
          </cell>
          <cell r="E723">
            <v>0</v>
          </cell>
          <cell r="F723">
            <v>-1396609.28</v>
          </cell>
          <cell r="G723">
            <v>-296390.71999999997</v>
          </cell>
          <cell r="H723">
            <v>82.49</v>
          </cell>
          <cell r="I723">
            <v>-1693000</v>
          </cell>
          <cell r="J723">
            <v>-1396609.28</v>
          </cell>
        </row>
        <row r="724">
          <cell r="A724">
            <v>1315780417</v>
          </cell>
          <cell r="B724" t="str">
            <v>דמי בחינות</v>
          </cell>
          <cell r="C724">
            <v>0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</row>
        <row r="725">
          <cell r="A725">
            <v>1315780920</v>
          </cell>
          <cell r="B725" t="str">
            <v>השת' הממשלה בשכל"מ</v>
          </cell>
          <cell r="C725">
            <v>0</v>
          </cell>
          <cell r="D725">
            <v>0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A726">
            <v>1315780921</v>
          </cell>
          <cell r="B726" t="str">
            <v>השתת' משרד החינוך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</row>
        <row r="727">
          <cell r="A727">
            <v>1315780922</v>
          </cell>
          <cell r="B727" t="str">
            <v>שעורי עזר לעולים</v>
          </cell>
          <cell r="C727">
            <v>0</v>
          </cell>
          <cell r="D727">
            <v>0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</row>
        <row r="728">
          <cell r="A728">
            <v>1315780923</v>
          </cell>
          <cell r="B728" t="str">
            <v>שעורי עזר לנכים</v>
          </cell>
          <cell r="C728">
            <v>0</v>
          </cell>
          <cell r="D728">
            <v>0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</row>
        <row r="729">
          <cell r="A729">
            <v>1315780924</v>
          </cell>
          <cell r="B729" t="str">
            <v>תיגבור יהדות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</row>
        <row r="730">
          <cell r="A730">
            <v>1315780925</v>
          </cell>
          <cell r="B730" t="str">
            <v>קרן השתלמות לשכ"ל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</row>
        <row r="731">
          <cell r="A731">
            <v>1315780926</v>
          </cell>
          <cell r="B731" t="str">
            <v>השאלת מורים לחט"ב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A732">
            <v>1315780927</v>
          </cell>
          <cell r="B732" t="str">
            <v>"שעות גיל"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</row>
        <row r="733">
          <cell r="A733">
            <v>1315780928</v>
          </cell>
          <cell r="B733" t="str">
            <v>לווי לטיולים</v>
          </cell>
          <cell r="C733">
            <v>0</v>
          </cell>
          <cell r="D733">
            <v>0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</row>
        <row r="734">
          <cell r="A734">
            <v>1315780930</v>
          </cell>
          <cell r="B734" t="str">
            <v>עוז לתמורה</v>
          </cell>
          <cell r="C734">
            <v>0</v>
          </cell>
          <cell r="D734">
            <v>0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A735">
            <v>1315780932</v>
          </cell>
          <cell r="B735" t="str">
            <v>גמול בגרות אחוזי</v>
          </cell>
          <cell r="C735">
            <v>0</v>
          </cell>
          <cell r="D735">
            <v>0</v>
          </cell>
          <cell r="E735">
            <v>0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</row>
        <row r="736">
          <cell r="A736">
            <v>1315780933</v>
          </cell>
          <cell r="B736" t="str">
            <v>תכנית לאומית-קידום אנגלית</v>
          </cell>
          <cell r="C736">
            <v>0</v>
          </cell>
          <cell r="D736">
            <v>0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</row>
        <row r="737">
          <cell r="A737">
            <v>1315780934</v>
          </cell>
          <cell r="B737" t="str">
            <v>הצטיידות טכנולוגית במעבדות</v>
          </cell>
          <cell r="C737">
            <v>0</v>
          </cell>
          <cell r="D737">
            <v>0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</row>
        <row r="738">
          <cell r="A738">
            <v>1315780938</v>
          </cell>
          <cell r="B738" t="str">
            <v>השת' משרד החינוך בטיולים</v>
          </cell>
          <cell r="C738">
            <v>0</v>
          </cell>
          <cell r="D738">
            <v>0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A739">
            <v>1315780952</v>
          </cell>
          <cell r="B739" t="str">
            <v>חט"ב-הכלה והשתלבות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</row>
        <row r="740">
          <cell r="A740">
            <v>1315781952</v>
          </cell>
          <cell r="B740" t="str">
            <v>חט"ב-הכלה והשתלבות</v>
          </cell>
          <cell r="C740">
            <v>0</v>
          </cell>
          <cell r="D740">
            <v>0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</row>
        <row r="741">
          <cell r="A741">
            <v>1315782952</v>
          </cell>
          <cell r="B741" t="str">
            <v>חט"ב-הכלה והשתלבות</v>
          </cell>
          <cell r="C741">
            <v>0</v>
          </cell>
          <cell r="D741">
            <v>0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</row>
        <row r="742">
          <cell r="A742">
            <v>1315790312</v>
          </cell>
          <cell r="B742" t="str">
            <v>מסיבות כיתתיות</v>
          </cell>
          <cell r="C742">
            <v>0</v>
          </cell>
          <cell r="D742">
            <v>0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A743">
            <v>1315790417</v>
          </cell>
          <cell r="B743" t="str">
            <v>דמי בחינות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</row>
        <row r="744">
          <cell r="A744">
            <v>1315790921</v>
          </cell>
          <cell r="B744" t="str">
            <v>השתת' משרד החינוך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</row>
        <row r="745">
          <cell r="A745">
            <v>1315790930</v>
          </cell>
          <cell r="B745" t="str">
            <v>עוז לתמורה</v>
          </cell>
          <cell r="C745">
            <v>0</v>
          </cell>
          <cell r="D745">
            <v>0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</row>
        <row r="746">
          <cell r="A746">
            <v>1315790933</v>
          </cell>
          <cell r="B746" t="str">
            <v>תכנית לאומית-קידום אנגלית</v>
          </cell>
          <cell r="C746">
            <v>0</v>
          </cell>
          <cell r="D746">
            <v>0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A747">
            <v>1315790938</v>
          </cell>
          <cell r="B747" t="str">
            <v>השת' משרד החינוך בטיולים</v>
          </cell>
          <cell r="C747">
            <v>0</v>
          </cell>
          <cell r="D747">
            <v>0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A748">
            <v>1315790952</v>
          </cell>
          <cell r="B748" t="str">
            <v>חט"ב-הכלה והשתלבות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</row>
        <row r="749">
          <cell r="A749">
            <v>1315800000</v>
          </cell>
          <cell r="B749" t="str">
            <v>בי"ס תיכון עתידים</v>
          </cell>
          <cell r="C749">
            <v>0</v>
          </cell>
          <cell r="D749">
            <v>0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A750">
            <v>1315800312</v>
          </cell>
          <cell r="B750" t="str">
            <v>מסיבות כיתתיות</v>
          </cell>
          <cell r="C750">
            <v>-19900</v>
          </cell>
          <cell r="D750">
            <v>-21164</v>
          </cell>
          <cell r="E750">
            <v>0</v>
          </cell>
          <cell r="F750">
            <v>-21164</v>
          </cell>
          <cell r="G750">
            <v>1264</v>
          </cell>
          <cell r="H750">
            <v>106.35</v>
          </cell>
          <cell r="I750">
            <v>-19900</v>
          </cell>
          <cell r="J750">
            <v>-21164</v>
          </cell>
        </row>
        <row r="751">
          <cell r="A751">
            <v>1315800416</v>
          </cell>
          <cell r="B751" t="str">
            <v>פר' קשישים-משתתפים</v>
          </cell>
          <cell r="C751">
            <v>0</v>
          </cell>
          <cell r="D751">
            <v>-18281.59</v>
          </cell>
          <cell r="E751">
            <v>0</v>
          </cell>
          <cell r="F751">
            <v>-18281.59</v>
          </cell>
          <cell r="G751">
            <v>18281.59</v>
          </cell>
          <cell r="H751">
            <v>0</v>
          </cell>
          <cell r="I751">
            <v>0</v>
          </cell>
          <cell r="J751">
            <v>-18281.59</v>
          </cell>
        </row>
        <row r="752">
          <cell r="A752">
            <v>1315800417</v>
          </cell>
          <cell r="B752" t="str">
            <v>דמי בחינות</v>
          </cell>
          <cell r="C752">
            <v>0</v>
          </cell>
          <cell r="D752">
            <v>0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</row>
        <row r="753">
          <cell r="A753">
            <v>1315800420</v>
          </cell>
          <cell r="B753" t="str">
            <v>.</v>
          </cell>
          <cell r="C753">
            <v>0</v>
          </cell>
          <cell r="D753">
            <v>0</v>
          </cell>
          <cell r="E753">
            <v>0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</row>
        <row r="754">
          <cell r="A754">
            <v>1315800440</v>
          </cell>
          <cell r="B754" t="str">
            <v>הכנסות גפ"ן בית ספרי</v>
          </cell>
          <cell r="C754">
            <v>0</v>
          </cell>
          <cell r="D754">
            <v>-330232.42</v>
          </cell>
          <cell r="E754">
            <v>0</v>
          </cell>
          <cell r="F754">
            <v>-330232.42</v>
          </cell>
          <cell r="G754">
            <v>330232.42</v>
          </cell>
          <cell r="H754">
            <v>0</v>
          </cell>
          <cell r="I754">
            <v>0</v>
          </cell>
          <cell r="J754">
            <v>-330232.42</v>
          </cell>
        </row>
        <row r="755">
          <cell r="A755">
            <v>1315800452</v>
          </cell>
          <cell r="B755" t="str">
            <v>השתתפות עירונית בגפ"ן</v>
          </cell>
          <cell r="C755">
            <v>0</v>
          </cell>
          <cell r="D755">
            <v>0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A756">
            <v>1315800640</v>
          </cell>
          <cell r="B756" t="str">
            <v>שכר דירה מזנון</v>
          </cell>
          <cell r="C756">
            <v>0</v>
          </cell>
          <cell r="D756">
            <v>0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</row>
        <row r="757">
          <cell r="A757">
            <v>1315800915</v>
          </cell>
          <cell r="B757" t="str">
            <v>קייטנת קיץ בחטיבות ותיכוניים</v>
          </cell>
          <cell r="C757">
            <v>0</v>
          </cell>
          <cell r="D757">
            <v>0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</row>
        <row r="758">
          <cell r="A758">
            <v>1315800920</v>
          </cell>
          <cell r="B758" t="str">
            <v>השת' הממשלה בשכל"מ</v>
          </cell>
          <cell r="C758">
            <v>-8107800</v>
          </cell>
          <cell r="D758">
            <v>-9526686.6400000006</v>
          </cell>
          <cell r="E758">
            <v>0</v>
          </cell>
          <cell r="F758">
            <v>-9526686.6400000006</v>
          </cell>
          <cell r="G758">
            <v>1418886.64</v>
          </cell>
          <cell r="H758">
            <v>117.5</v>
          </cell>
          <cell r="I758">
            <v>-8107800</v>
          </cell>
          <cell r="J758">
            <v>-9526686.6400000006</v>
          </cell>
        </row>
        <row r="759">
          <cell r="A759">
            <v>1315800921</v>
          </cell>
          <cell r="B759" t="str">
            <v>השתת' ממשלה - חט"ב</v>
          </cell>
          <cell r="C759">
            <v>-1355700</v>
          </cell>
          <cell r="D759">
            <v>-1454311.15</v>
          </cell>
          <cell r="E759">
            <v>0</v>
          </cell>
          <cell r="F759">
            <v>-1454311.15</v>
          </cell>
          <cell r="G759">
            <v>98611.15</v>
          </cell>
          <cell r="H759">
            <v>107.27</v>
          </cell>
          <cell r="I759">
            <v>-1355700</v>
          </cell>
          <cell r="J759">
            <v>-1454311.15</v>
          </cell>
        </row>
        <row r="760">
          <cell r="A760">
            <v>1315800922</v>
          </cell>
          <cell r="B760" t="str">
            <v>שעורי עזר לעולים</v>
          </cell>
          <cell r="C760">
            <v>-90000</v>
          </cell>
          <cell r="D760">
            <v>-117232.68</v>
          </cell>
          <cell r="E760">
            <v>0</v>
          </cell>
          <cell r="F760">
            <v>-117232.68</v>
          </cell>
          <cell r="G760">
            <v>27232.68</v>
          </cell>
          <cell r="H760">
            <v>130.25</v>
          </cell>
          <cell r="I760">
            <v>-90000</v>
          </cell>
          <cell r="J760">
            <v>-117232.68</v>
          </cell>
        </row>
        <row r="761">
          <cell r="A761">
            <v>1315800923</v>
          </cell>
          <cell r="B761" t="str">
            <v>שעורי עזר לנכים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</row>
        <row r="762">
          <cell r="A762">
            <v>1315800924</v>
          </cell>
          <cell r="B762" t="str">
            <v>תיגבור לימודי יהדות</v>
          </cell>
          <cell r="C762">
            <v>0</v>
          </cell>
          <cell r="D762">
            <v>0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</row>
        <row r="763">
          <cell r="A763">
            <v>1315800925</v>
          </cell>
          <cell r="B763" t="str">
            <v>קרן השתלמות לשכ"ל</v>
          </cell>
          <cell r="C763">
            <v>-566700</v>
          </cell>
          <cell r="D763">
            <v>-613606.40000000002</v>
          </cell>
          <cell r="E763">
            <v>0</v>
          </cell>
          <cell r="F763">
            <v>-613606.40000000002</v>
          </cell>
          <cell r="G763">
            <v>46906.400000000001</v>
          </cell>
          <cell r="H763">
            <v>108.27</v>
          </cell>
          <cell r="I763">
            <v>-566700</v>
          </cell>
          <cell r="J763">
            <v>-613606.40000000002</v>
          </cell>
        </row>
        <row r="764">
          <cell r="A764">
            <v>1315800926</v>
          </cell>
          <cell r="B764" t="str">
            <v>השאלת מורים לחט"ב</v>
          </cell>
          <cell r="C764">
            <v>-160400</v>
          </cell>
          <cell r="D764">
            <v>-167414.89000000001</v>
          </cell>
          <cell r="E764">
            <v>0</v>
          </cell>
          <cell r="F764">
            <v>-167414.89000000001</v>
          </cell>
          <cell r="G764">
            <v>7014.89</v>
          </cell>
          <cell r="H764">
            <v>104.37</v>
          </cell>
          <cell r="I764">
            <v>-160400</v>
          </cell>
          <cell r="J764">
            <v>-167414.89000000001</v>
          </cell>
        </row>
        <row r="765">
          <cell r="A765">
            <v>1315800927</v>
          </cell>
          <cell r="B765" t="str">
            <v>תכנית  גי"א/ מש"ב</v>
          </cell>
          <cell r="C765">
            <v>0</v>
          </cell>
          <cell r="D765">
            <v>0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</row>
        <row r="766">
          <cell r="A766">
            <v>1315800928</v>
          </cell>
          <cell r="B766" t="str">
            <v>ליווי לטיולים</v>
          </cell>
          <cell r="C766">
            <v>-144400</v>
          </cell>
          <cell r="D766">
            <v>-156680.46</v>
          </cell>
          <cell r="E766">
            <v>0</v>
          </cell>
          <cell r="F766">
            <v>-156680.46</v>
          </cell>
          <cell r="G766">
            <v>12280.46</v>
          </cell>
          <cell r="H766">
            <v>108.5</v>
          </cell>
          <cell r="I766">
            <v>-144400</v>
          </cell>
          <cell r="J766">
            <v>-156680.46</v>
          </cell>
        </row>
        <row r="767">
          <cell r="A767">
            <v>1315800930</v>
          </cell>
          <cell r="B767" t="str">
            <v>עוז לתמורה</v>
          </cell>
          <cell r="C767">
            <v>-4535600</v>
          </cell>
          <cell r="D767">
            <v>-4595537.95</v>
          </cell>
          <cell r="E767">
            <v>0</v>
          </cell>
          <cell r="F767">
            <v>-4595537.95</v>
          </cell>
          <cell r="G767">
            <v>59937.95</v>
          </cell>
          <cell r="H767">
            <v>101.32</v>
          </cell>
          <cell r="I767">
            <v>-4535600</v>
          </cell>
          <cell r="J767">
            <v>-4595537.95</v>
          </cell>
        </row>
        <row r="768">
          <cell r="A768">
            <v>1315800932</v>
          </cell>
          <cell r="B768" t="str">
            <v>גמול בגרות אחוזי</v>
          </cell>
          <cell r="C768">
            <v>-219500</v>
          </cell>
          <cell r="D768">
            <v>-249696.55</v>
          </cell>
          <cell r="E768">
            <v>0</v>
          </cell>
          <cell r="F768">
            <v>-249696.55</v>
          </cell>
          <cell r="G768">
            <v>30196.55</v>
          </cell>
          <cell r="H768">
            <v>113.75</v>
          </cell>
          <cell r="I768">
            <v>-219500</v>
          </cell>
          <cell r="J768">
            <v>-249696.55</v>
          </cell>
        </row>
        <row r="769">
          <cell r="A769">
            <v>1315800933</v>
          </cell>
          <cell r="B769" t="str">
            <v>תכנית לאומית-קידום אנגלית</v>
          </cell>
          <cell r="C769">
            <v>0</v>
          </cell>
          <cell r="D769">
            <v>0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</row>
        <row r="770">
          <cell r="A770">
            <v>1315800934</v>
          </cell>
          <cell r="B770" t="str">
            <v>הצטיידות טכנולוגית במעבדות</v>
          </cell>
          <cell r="C770">
            <v>0</v>
          </cell>
          <cell r="D770">
            <v>0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</row>
        <row r="771">
          <cell r="A771">
            <v>1315800938</v>
          </cell>
          <cell r="B771" t="str">
            <v>השת' משרד החינוך בטיולים</v>
          </cell>
          <cell r="C771">
            <v>0</v>
          </cell>
          <cell r="D771">
            <v>0</v>
          </cell>
          <cell r="E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A772">
            <v>1315800952</v>
          </cell>
          <cell r="B772" t="str">
            <v>חט"ב-הכלה והשתלבות</v>
          </cell>
          <cell r="C772">
            <v>0</v>
          </cell>
          <cell r="D772">
            <v>0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</row>
        <row r="773">
          <cell r="A773">
            <v>1315800953</v>
          </cell>
          <cell r="B773" t="str">
            <v>מערכת גפ"ן</v>
          </cell>
          <cell r="C773">
            <v>-1414700</v>
          </cell>
          <cell r="D773">
            <v>-1227345.31</v>
          </cell>
          <cell r="E773">
            <v>0</v>
          </cell>
          <cell r="F773">
            <v>-1227345.31</v>
          </cell>
          <cell r="G773">
            <v>-187354.69</v>
          </cell>
          <cell r="H773">
            <v>86.75</v>
          </cell>
          <cell r="I773">
            <v>-1414700</v>
          </cell>
          <cell r="J773">
            <v>-1227345.31</v>
          </cell>
        </row>
        <row r="774">
          <cell r="A774">
            <v>1315800990</v>
          </cell>
          <cell r="B774" t="str">
            <v>קשישים-שוויון חברתי</v>
          </cell>
          <cell r="C774">
            <v>0</v>
          </cell>
          <cell r="D774">
            <v>0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A775">
            <v>1315810000</v>
          </cell>
          <cell r="B775" t="str">
            <v>בי"ס תיכון הייטק - היי</v>
          </cell>
          <cell r="C775">
            <v>0</v>
          </cell>
          <cell r="D775">
            <v>0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</row>
        <row r="776">
          <cell r="A776">
            <v>1315810312</v>
          </cell>
          <cell r="B776" t="str">
            <v>מסיבות כיתתיות</v>
          </cell>
          <cell r="C776">
            <v>-12300</v>
          </cell>
          <cell r="D776">
            <v>-14520</v>
          </cell>
          <cell r="E776">
            <v>0</v>
          </cell>
          <cell r="F776">
            <v>-14520</v>
          </cell>
          <cell r="G776">
            <v>2220</v>
          </cell>
          <cell r="H776">
            <v>118.04</v>
          </cell>
          <cell r="I776">
            <v>-12300</v>
          </cell>
          <cell r="J776">
            <v>-14520</v>
          </cell>
        </row>
        <row r="777">
          <cell r="A777">
            <v>1315810417</v>
          </cell>
          <cell r="B777" t="str">
            <v>דמי  בחינות</v>
          </cell>
          <cell r="C777">
            <v>0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A778">
            <v>1315810420</v>
          </cell>
          <cell r="B778" t="str">
            <v>.</v>
          </cell>
          <cell r="C778">
            <v>0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</row>
        <row r="779">
          <cell r="A779">
            <v>1315810440</v>
          </cell>
          <cell r="B779" t="str">
            <v>הכנסות גפ"ן בית ספרי</v>
          </cell>
          <cell r="C779">
            <v>0</v>
          </cell>
          <cell r="D779">
            <v>-142490</v>
          </cell>
          <cell r="E779">
            <v>0</v>
          </cell>
          <cell r="F779">
            <v>-142490</v>
          </cell>
          <cell r="G779">
            <v>142490</v>
          </cell>
          <cell r="H779">
            <v>0</v>
          </cell>
          <cell r="I779">
            <v>0</v>
          </cell>
          <cell r="J779">
            <v>-142490</v>
          </cell>
        </row>
        <row r="780">
          <cell r="A780">
            <v>1315810452</v>
          </cell>
          <cell r="B780" t="str">
            <v>השתתפות עירונית בגפ"ן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0</v>
          </cell>
        </row>
        <row r="781">
          <cell r="A781">
            <v>1315810915</v>
          </cell>
          <cell r="B781" t="str">
            <v>קייטנת קיץ בחטיבות ותיכוניים</v>
          </cell>
          <cell r="C781">
            <v>0</v>
          </cell>
          <cell r="D781">
            <v>0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</row>
        <row r="782">
          <cell r="A782">
            <v>1315810920</v>
          </cell>
          <cell r="B782" t="str">
            <v>השת' הממשלה שכל"מ</v>
          </cell>
          <cell r="C782">
            <v>-5421400</v>
          </cell>
          <cell r="D782">
            <v>-7742871.3499999996</v>
          </cell>
          <cell r="E782">
            <v>0</v>
          </cell>
          <cell r="F782">
            <v>-7742871.3499999996</v>
          </cell>
          <cell r="G782">
            <v>2321471.35</v>
          </cell>
          <cell r="H782">
            <v>142.82</v>
          </cell>
          <cell r="I782">
            <v>-5421400</v>
          </cell>
          <cell r="J782">
            <v>-7742871.3499999996</v>
          </cell>
        </row>
        <row r="783">
          <cell r="A783">
            <v>1315810921</v>
          </cell>
          <cell r="B783" t="str">
            <v>השתת' ממשלה - חט"ב</v>
          </cell>
          <cell r="C783">
            <v>-792900</v>
          </cell>
          <cell r="D783">
            <v>-955836.59</v>
          </cell>
          <cell r="E783">
            <v>0</v>
          </cell>
          <cell r="F783">
            <v>-955836.59</v>
          </cell>
          <cell r="G783">
            <v>162936.59</v>
          </cell>
          <cell r="H783">
            <v>120.54</v>
          </cell>
          <cell r="I783">
            <v>-792900</v>
          </cell>
          <cell r="J783">
            <v>-955836.59</v>
          </cell>
        </row>
        <row r="784">
          <cell r="A784">
            <v>1315810922</v>
          </cell>
          <cell r="B784" t="str">
            <v>שעורי עזר לעולים</v>
          </cell>
          <cell r="C784">
            <v>-7000</v>
          </cell>
          <cell r="D784">
            <v>-7320.4</v>
          </cell>
          <cell r="E784">
            <v>0</v>
          </cell>
          <cell r="F784">
            <v>-7320.4</v>
          </cell>
          <cell r="G784">
            <v>320.39999999999998</v>
          </cell>
          <cell r="H784">
            <v>104.57</v>
          </cell>
          <cell r="I784">
            <v>-7000</v>
          </cell>
          <cell r="J784">
            <v>-7320.4</v>
          </cell>
        </row>
        <row r="785">
          <cell r="A785">
            <v>1315810923</v>
          </cell>
          <cell r="B785" t="str">
            <v>שעורי עזר לנכים</v>
          </cell>
          <cell r="C785">
            <v>0</v>
          </cell>
          <cell r="D785">
            <v>0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</row>
        <row r="786">
          <cell r="A786">
            <v>1315810924</v>
          </cell>
          <cell r="B786" t="str">
            <v>תיגבור לימודי יהדות</v>
          </cell>
          <cell r="C786">
            <v>0</v>
          </cell>
          <cell r="D786">
            <v>0</v>
          </cell>
          <cell r="E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A787">
            <v>1315810925</v>
          </cell>
          <cell r="B787" t="str">
            <v>קרן השתלמות לשכ"ל</v>
          </cell>
          <cell r="C787">
            <v>-363200</v>
          </cell>
          <cell r="D787">
            <v>-429348.38</v>
          </cell>
          <cell r="E787">
            <v>0</v>
          </cell>
          <cell r="F787">
            <v>-429348.38</v>
          </cell>
          <cell r="G787">
            <v>66148.38</v>
          </cell>
          <cell r="H787">
            <v>118.21</v>
          </cell>
          <cell r="I787">
            <v>-363200</v>
          </cell>
          <cell r="J787">
            <v>-429348.38</v>
          </cell>
        </row>
        <row r="788">
          <cell r="A788">
            <v>1315810926</v>
          </cell>
          <cell r="B788" t="str">
            <v>השאלת מורים לחט"ב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</row>
        <row r="789">
          <cell r="A789">
            <v>1315810927</v>
          </cell>
          <cell r="B789" t="str">
            <v>תכנית גי"א / מש"ב</v>
          </cell>
          <cell r="C789">
            <v>0</v>
          </cell>
          <cell r="D789">
            <v>0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</row>
        <row r="790">
          <cell r="A790">
            <v>1315810928</v>
          </cell>
          <cell r="B790" t="str">
            <v>ליווי לטיולים</v>
          </cell>
          <cell r="C790">
            <v>-68500</v>
          </cell>
          <cell r="D790">
            <v>-94530.97</v>
          </cell>
          <cell r="E790">
            <v>0</v>
          </cell>
          <cell r="F790">
            <v>-94530.97</v>
          </cell>
          <cell r="G790">
            <v>26030.97</v>
          </cell>
          <cell r="H790">
            <v>138</v>
          </cell>
          <cell r="I790">
            <v>-68500</v>
          </cell>
          <cell r="J790">
            <v>-94530.97</v>
          </cell>
        </row>
        <row r="791">
          <cell r="A791">
            <v>1315810930</v>
          </cell>
          <cell r="B791" t="str">
            <v>עוז לתמורה</v>
          </cell>
          <cell r="C791">
            <v>-3044100</v>
          </cell>
          <cell r="D791">
            <v>-2452135.89</v>
          </cell>
          <cell r="E791">
            <v>0</v>
          </cell>
          <cell r="F791">
            <v>-2452135.89</v>
          </cell>
          <cell r="G791">
            <v>-591964.11</v>
          </cell>
          <cell r="H791">
            <v>80.55</v>
          </cell>
          <cell r="I791">
            <v>-3044100</v>
          </cell>
          <cell r="J791">
            <v>-2452135.89</v>
          </cell>
        </row>
        <row r="792">
          <cell r="A792">
            <v>1315810932</v>
          </cell>
          <cell r="B792" t="str">
            <v>גמול בגרות אחוזי</v>
          </cell>
          <cell r="C792">
            <v>-108800</v>
          </cell>
          <cell r="D792">
            <v>-135560.18</v>
          </cell>
          <cell r="E792">
            <v>0</v>
          </cell>
          <cell r="F792">
            <v>-135560.18</v>
          </cell>
          <cell r="G792">
            <v>26760.18</v>
          </cell>
          <cell r="H792">
            <v>124.59</v>
          </cell>
          <cell r="I792">
            <v>-108800</v>
          </cell>
          <cell r="J792">
            <v>-135560.18</v>
          </cell>
        </row>
        <row r="793">
          <cell r="A793">
            <v>1315810933</v>
          </cell>
          <cell r="B793" t="str">
            <v>תכנית לאומית-קידום אנגלית</v>
          </cell>
          <cell r="C793">
            <v>0</v>
          </cell>
          <cell r="D793">
            <v>0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</row>
        <row r="794">
          <cell r="A794">
            <v>1315810934</v>
          </cell>
          <cell r="B794" t="str">
            <v>הצטיידות טכנולוגית במעבדות</v>
          </cell>
          <cell r="C794">
            <v>0</v>
          </cell>
          <cell r="D794">
            <v>0</v>
          </cell>
          <cell r="E794">
            <v>0</v>
          </cell>
          <cell r="F794">
            <v>0</v>
          </cell>
          <cell r="G794">
            <v>0</v>
          </cell>
          <cell r="H794">
            <v>0</v>
          </cell>
          <cell r="I794">
            <v>0</v>
          </cell>
          <cell r="J794">
            <v>0</v>
          </cell>
        </row>
        <row r="795">
          <cell r="A795">
            <v>1315810938</v>
          </cell>
          <cell r="B795" t="str">
            <v>השתת' משרד החינוך בטיולים</v>
          </cell>
          <cell r="C795">
            <v>0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</row>
        <row r="796">
          <cell r="A796">
            <v>1315810952</v>
          </cell>
          <cell r="B796" t="str">
            <v>חט"ב-הכלה והשתלבות</v>
          </cell>
          <cell r="C796">
            <v>0</v>
          </cell>
          <cell r="D796">
            <v>0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A797">
            <v>1315810953</v>
          </cell>
          <cell r="B797" t="str">
            <v>מערכת גפ"ן</v>
          </cell>
          <cell r="C797">
            <v>-690600</v>
          </cell>
          <cell r="D797">
            <v>-713393.56</v>
          </cell>
          <cell r="E797">
            <v>0</v>
          </cell>
          <cell r="F797">
            <v>-713393.56</v>
          </cell>
          <cell r="G797">
            <v>22793.56</v>
          </cell>
          <cell r="H797">
            <v>103.3</v>
          </cell>
          <cell r="I797">
            <v>-690600</v>
          </cell>
          <cell r="J797">
            <v>-713393.56</v>
          </cell>
        </row>
        <row r="798">
          <cell r="A798">
            <v>1315820312</v>
          </cell>
          <cell r="B798" t="str">
            <v>מסיבות כיתתיות</v>
          </cell>
          <cell r="C798">
            <v>-6000</v>
          </cell>
          <cell r="D798">
            <v>-7524</v>
          </cell>
          <cell r="E798">
            <v>0</v>
          </cell>
          <cell r="F798">
            <v>-7524</v>
          </cell>
          <cell r="G798">
            <v>1524</v>
          </cell>
          <cell r="H798">
            <v>125.4</v>
          </cell>
          <cell r="I798">
            <v>-6000</v>
          </cell>
          <cell r="J798">
            <v>-7524</v>
          </cell>
        </row>
        <row r="799">
          <cell r="A799">
            <v>1315820440</v>
          </cell>
          <cell r="B799" t="str">
            <v>הכנסות גפ"ן בית ספרי</v>
          </cell>
          <cell r="C799">
            <v>0</v>
          </cell>
          <cell r="D799">
            <v>-106464</v>
          </cell>
          <cell r="E799">
            <v>0</v>
          </cell>
          <cell r="F799">
            <v>-106464</v>
          </cell>
          <cell r="G799">
            <v>106464</v>
          </cell>
          <cell r="H799">
            <v>0</v>
          </cell>
          <cell r="I799">
            <v>0</v>
          </cell>
          <cell r="J799">
            <v>-106464</v>
          </cell>
        </row>
        <row r="800">
          <cell r="A800">
            <v>1315820452</v>
          </cell>
          <cell r="B800" t="str">
            <v>השתתפות עירונית בגפ"ן</v>
          </cell>
          <cell r="C800">
            <v>0</v>
          </cell>
          <cell r="D800">
            <v>0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</row>
        <row r="801">
          <cell r="A801">
            <v>1315820915</v>
          </cell>
          <cell r="B801" t="str">
            <v>קייטנת קיץ בחטיבות ותיכוניים</v>
          </cell>
          <cell r="C801">
            <v>0</v>
          </cell>
          <cell r="D801">
            <v>0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</row>
        <row r="802">
          <cell r="A802">
            <v>1315820920</v>
          </cell>
          <cell r="B802" t="str">
            <v>השתתפות הממשלה בשכל"מ</v>
          </cell>
          <cell r="C802">
            <v>-4358900</v>
          </cell>
          <cell r="D802">
            <v>-5550468.54</v>
          </cell>
          <cell r="E802">
            <v>0</v>
          </cell>
          <cell r="F802">
            <v>-5550468.54</v>
          </cell>
          <cell r="G802">
            <v>1191568.54</v>
          </cell>
          <cell r="H802">
            <v>127.33</v>
          </cell>
          <cell r="I802">
            <v>-4358900</v>
          </cell>
          <cell r="J802">
            <v>-5550468.54</v>
          </cell>
        </row>
        <row r="803">
          <cell r="A803">
            <v>1315820923</v>
          </cell>
          <cell r="B803" t="str">
            <v>שעורי עזר לנכים</v>
          </cell>
          <cell r="C803">
            <v>-114500</v>
          </cell>
          <cell r="D803">
            <v>-116588.2</v>
          </cell>
          <cell r="E803">
            <v>0</v>
          </cell>
          <cell r="F803">
            <v>-116588.2</v>
          </cell>
          <cell r="G803">
            <v>2088.1999999999998</v>
          </cell>
          <cell r="H803">
            <v>101.82</v>
          </cell>
          <cell r="I803">
            <v>-114500</v>
          </cell>
          <cell r="J803">
            <v>-116588.2</v>
          </cell>
        </row>
        <row r="804">
          <cell r="A804">
            <v>1315820924</v>
          </cell>
          <cell r="B804" t="str">
            <v>תיגבור לימודי יהדות</v>
          </cell>
          <cell r="C804">
            <v>0</v>
          </cell>
          <cell r="D804">
            <v>0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</row>
        <row r="805">
          <cell r="A805">
            <v>1315820925</v>
          </cell>
          <cell r="B805" t="str">
            <v>קרן השתלמות לשכ"ל</v>
          </cell>
          <cell r="C805">
            <v>-280000</v>
          </cell>
          <cell r="D805">
            <v>-340213.38</v>
          </cell>
          <cell r="E805">
            <v>0</v>
          </cell>
          <cell r="F805">
            <v>-340213.38</v>
          </cell>
          <cell r="G805">
            <v>60213.38</v>
          </cell>
          <cell r="H805">
            <v>121.5</v>
          </cell>
          <cell r="I805">
            <v>-280000</v>
          </cell>
          <cell r="J805">
            <v>-340213.38</v>
          </cell>
        </row>
        <row r="806">
          <cell r="A806">
            <v>1315820927</v>
          </cell>
          <cell r="B806" t="str">
            <v>תכנית גי"א / מש"ב</v>
          </cell>
          <cell r="C806">
            <v>0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0</v>
          </cell>
          <cell r="I806">
            <v>0</v>
          </cell>
          <cell r="J806">
            <v>0</v>
          </cell>
        </row>
        <row r="807">
          <cell r="A807">
            <v>1315820928</v>
          </cell>
          <cell r="B807" t="str">
            <v>ליווי לטיולים</v>
          </cell>
          <cell r="C807">
            <v>-75200</v>
          </cell>
          <cell r="D807">
            <v>-86508.35</v>
          </cell>
          <cell r="E807">
            <v>0</v>
          </cell>
          <cell r="F807">
            <v>-86508.35</v>
          </cell>
          <cell r="G807">
            <v>11308.35</v>
          </cell>
          <cell r="H807">
            <v>115.03</v>
          </cell>
          <cell r="I807">
            <v>-75200</v>
          </cell>
          <cell r="J807">
            <v>-86508.35</v>
          </cell>
        </row>
        <row r="808">
          <cell r="A808">
            <v>1315820930</v>
          </cell>
          <cell r="B808" t="str">
            <v>עוז לתמורה</v>
          </cell>
          <cell r="C808">
            <v>-1883500</v>
          </cell>
          <cell r="D808">
            <v>-2152266.54</v>
          </cell>
          <cell r="E808">
            <v>0</v>
          </cell>
          <cell r="F808">
            <v>-2152266.54</v>
          </cell>
          <cell r="G808">
            <v>268766.53999999998</v>
          </cell>
          <cell r="H808">
            <v>114.26</v>
          </cell>
          <cell r="I808">
            <v>-1883500</v>
          </cell>
          <cell r="J808">
            <v>-2152266.54</v>
          </cell>
        </row>
        <row r="809">
          <cell r="A809">
            <v>1315820932</v>
          </cell>
          <cell r="B809" t="str">
            <v>גמול בגרות אחוזי</v>
          </cell>
          <cell r="C809">
            <v>-84200</v>
          </cell>
          <cell r="D809">
            <v>-101768.99</v>
          </cell>
          <cell r="E809">
            <v>0</v>
          </cell>
          <cell r="F809">
            <v>-101768.99</v>
          </cell>
          <cell r="G809">
            <v>17568.990000000002</v>
          </cell>
          <cell r="H809">
            <v>120.86</v>
          </cell>
          <cell r="I809">
            <v>-84200</v>
          </cell>
          <cell r="J809">
            <v>-101768.99</v>
          </cell>
        </row>
        <row r="810">
          <cell r="A810">
            <v>1315820933</v>
          </cell>
          <cell r="B810" t="str">
            <v>תכנית לאומית-קידום אנגלית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</row>
        <row r="811">
          <cell r="A811">
            <v>1315820952</v>
          </cell>
          <cell r="B811" t="str">
            <v>חט"ב-הכלה והשתלבות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</row>
        <row r="812">
          <cell r="A812">
            <v>1315820953</v>
          </cell>
          <cell r="B812" t="str">
            <v>מערכת גפ"ן</v>
          </cell>
          <cell r="C812">
            <v>-372000</v>
          </cell>
          <cell r="D812">
            <v>-319010.5</v>
          </cell>
          <cell r="E812">
            <v>0</v>
          </cell>
          <cell r="F812">
            <v>-319010.5</v>
          </cell>
          <cell r="G812">
            <v>-52989.5</v>
          </cell>
          <cell r="H812">
            <v>85.75</v>
          </cell>
          <cell r="I812">
            <v>-372000</v>
          </cell>
          <cell r="J812">
            <v>-319010.5</v>
          </cell>
        </row>
        <row r="813">
          <cell r="A813">
            <v>1315830312</v>
          </cell>
          <cell r="B813" t="str">
            <v>מסיבות כיתתיות</v>
          </cell>
          <cell r="C813">
            <v>0</v>
          </cell>
          <cell r="D813">
            <v>0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</row>
        <row r="814">
          <cell r="A814">
            <v>1315830440</v>
          </cell>
          <cell r="B814" t="str">
            <v>הכנסות גפ"ן בית ספרי</v>
          </cell>
          <cell r="C814">
            <v>0</v>
          </cell>
          <cell r="D814">
            <v>-50000</v>
          </cell>
          <cell r="E814">
            <v>0</v>
          </cell>
          <cell r="F814">
            <v>-50000</v>
          </cell>
          <cell r="G814">
            <v>50000</v>
          </cell>
          <cell r="H814">
            <v>0</v>
          </cell>
          <cell r="I814">
            <v>0</v>
          </cell>
          <cell r="J814">
            <v>-50000</v>
          </cell>
        </row>
        <row r="815">
          <cell r="A815">
            <v>1315830921</v>
          </cell>
          <cell r="B815" t="str">
            <v>השתת' ממשלה-חט"ב</v>
          </cell>
          <cell r="C815">
            <v>-330200</v>
          </cell>
          <cell r="D815">
            <v>-969270.94</v>
          </cell>
          <cell r="E815">
            <v>0</v>
          </cell>
          <cell r="F815">
            <v>-969270.94</v>
          </cell>
          <cell r="G815">
            <v>639070.93999999994</v>
          </cell>
          <cell r="H815">
            <v>293.54000000000002</v>
          </cell>
          <cell r="I815">
            <v>-330200</v>
          </cell>
          <cell r="J815">
            <v>-969270.94</v>
          </cell>
        </row>
        <row r="816">
          <cell r="A816">
            <v>1315830953</v>
          </cell>
          <cell r="B816" t="str">
            <v>מערכת גפ"ן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A817">
            <v>1315840920</v>
          </cell>
          <cell r="B817" t="str">
            <v>השתתפות הממשלה בשכל"מ</v>
          </cell>
          <cell r="C817">
            <v>0</v>
          </cell>
          <cell r="D817">
            <v>0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</row>
        <row r="818">
          <cell r="A818">
            <v>1315840923</v>
          </cell>
          <cell r="B818" t="str">
            <v>שעורי עזר לנכים</v>
          </cell>
          <cell r="C818">
            <v>0</v>
          </cell>
          <cell r="D818">
            <v>0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</row>
        <row r="819">
          <cell r="A819">
            <v>1315840925</v>
          </cell>
          <cell r="B819" t="str">
            <v>קרן השתלמות לשכל"מ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</row>
        <row r="820">
          <cell r="A820">
            <v>1315840928</v>
          </cell>
          <cell r="B820" t="str">
            <v>ליווי לטיולים</v>
          </cell>
          <cell r="C820">
            <v>0</v>
          </cell>
          <cell r="D820">
            <v>0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A821">
            <v>1315840930</v>
          </cell>
          <cell r="B821" t="str">
            <v>עוז לתמורה</v>
          </cell>
          <cell r="C821">
            <v>0</v>
          </cell>
          <cell r="D821">
            <v>0</v>
          </cell>
          <cell r="E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A822">
            <v>1315840932</v>
          </cell>
          <cell r="B822" t="str">
            <v>גמול בגרות אחוזי</v>
          </cell>
          <cell r="C822">
            <v>0</v>
          </cell>
          <cell r="D822">
            <v>0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</row>
        <row r="823">
          <cell r="A823">
            <v>1317000221</v>
          </cell>
          <cell r="B823" t="str">
            <v>אג' חנוך גני ילדים</v>
          </cell>
          <cell r="C823">
            <v>0</v>
          </cell>
          <cell r="D823">
            <v>-576906.18999999994</v>
          </cell>
          <cell r="E823">
            <v>0</v>
          </cell>
          <cell r="F823">
            <v>-576906.18999999994</v>
          </cell>
          <cell r="G823">
            <v>576906.18999999994</v>
          </cell>
          <cell r="H823">
            <v>0</v>
          </cell>
          <cell r="I823">
            <v>0</v>
          </cell>
          <cell r="J823">
            <v>-576906.18999999994</v>
          </cell>
        </row>
        <row r="824">
          <cell r="A824">
            <v>1317000222</v>
          </cell>
          <cell r="B824" t="str">
            <v>תשלום ועד הורים</v>
          </cell>
          <cell r="C824">
            <v>0</v>
          </cell>
          <cell r="D824">
            <v>0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</row>
        <row r="825">
          <cell r="A825">
            <v>1317000223</v>
          </cell>
          <cell r="B825" t="str">
            <v>אגרת שירותים</v>
          </cell>
          <cell r="C825">
            <v>-4112700</v>
          </cell>
          <cell r="D825">
            <v>-3420743.11</v>
          </cell>
          <cell r="E825">
            <v>0</v>
          </cell>
          <cell r="F825">
            <v>-3420743.11</v>
          </cell>
          <cell r="G825">
            <v>-691956.89</v>
          </cell>
          <cell r="H825">
            <v>83.17</v>
          </cell>
          <cell r="I825">
            <v>-4112700</v>
          </cell>
          <cell r="J825">
            <v>-3420743.11</v>
          </cell>
        </row>
        <row r="826">
          <cell r="A826">
            <v>1317000420</v>
          </cell>
          <cell r="B826" t="str">
            <v>ביטוח תלמידי תיכון</v>
          </cell>
          <cell r="C826">
            <v>-666000</v>
          </cell>
          <cell r="D826">
            <v>-745234</v>
          </cell>
          <cell r="E826">
            <v>0</v>
          </cell>
          <cell r="F826">
            <v>-745234</v>
          </cell>
          <cell r="G826">
            <v>79234</v>
          </cell>
          <cell r="H826">
            <v>111.89</v>
          </cell>
          <cell r="I826">
            <v>-666000</v>
          </cell>
          <cell r="J826">
            <v>-745234</v>
          </cell>
        </row>
        <row r="827">
          <cell r="A827">
            <v>1317000421</v>
          </cell>
          <cell r="B827" t="str">
            <v>השאלת ספרים מבתי ספר</v>
          </cell>
          <cell r="C827">
            <v>0</v>
          </cell>
          <cell r="D827">
            <v>0</v>
          </cell>
          <cell r="E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A828">
            <v>1317000430</v>
          </cell>
          <cell r="B828" t="str">
            <v>הכנסות ביטוח אורט</v>
          </cell>
          <cell r="C828">
            <v>0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</row>
        <row r="829">
          <cell r="A829">
            <v>1317000490</v>
          </cell>
          <cell r="B829" t="str">
            <v>שמירה - חברות בנות</v>
          </cell>
          <cell r="C829">
            <v>-1000000</v>
          </cell>
          <cell r="D829">
            <v>-1457065.87</v>
          </cell>
          <cell r="E829">
            <v>0</v>
          </cell>
          <cell r="F829">
            <v>-1457065.87</v>
          </cell>
          <cell r="G829">
            <v>457065.87</v>
          </cell>
          <cell r="H829">
            <v>145.69999999999999</v>
          </cell>
          <cell r="I829">
            <v>-1000000</v>
          </cell>
          <cell r="J829">
            <v>-1457065.87</v>
          </cell>
        </row>
        <row r="830">
          <cell r="A830">
            <v>1317000921</v>
          </cell>
          <cell r="B830" t="str">
            <v>השתתפות בשיכפול</v>
          </cell>
          <cell r="C830">
            <v>0</v>
          </cell>
          <cell r="D830">
            <v>-65768.759999999995</v>
          </cell>
          <cell r="E830">
            <v>0</v>
          </cell>
          <cell r="F830">
            <v>-65768.759999999995</v>
          </cell>
          <cell r="G830">
            <v>65768.759999999995</v>
          </cell>
          <cell r="H830">
            <v>0</v>
          </cell>
          <cell r="I830">
            <v>0</v>
          </cell>
          <cell r="J830">
            <v>-65768.759999999995</v>
          </cell>
        </row>
        <row r="831">
          <cell r="A831">
            <v>1317000922</v>
          </cell>
          <cell r="B831" t="str">
            <v>סל לעולים</v>
          </cell>
          <cell r="C831">
            <v>-140000</v>
          </cell>
          <cell r="D831">
            <v>-98285.16</v>
          </cell>
          <cell r="E831">
            <v>0</v>
          </cell>
          <cell r="F831">
            <v>-98285.16</v>
          </cell>
          <cell r="G831">
            <v>-41714.839999999997</v>
          </cell>
          <cell r="H831">
            <v>70.2</v>
          </cell>
          <cell r="I831">
            <v>-140000</v>
          </cell>
          <cell r="J831">
            <v>-98285.16</v>
          </cell>
        </row>
        <row r="832">
          <cell r="A832">
            <v>1317000923</v>
          </cell>
          <cell r="B832" t="str">
            <v>משרד חינוך-שיפוצים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</row>
        <row r="833">
          <cell r="A833">
            <v>1317000924</v>
          </cell>
          <cell r="B833" t="str">
            <v>השאלת ספרי לימוד</v>
          </cell>
          <cell r="C833">
            <v>-50000</v>
          </cell>
          <cell r="D833">
            <v>0</v>
          </cell>
          <cell r="E833">
            <v>0</v>
          </cell>
          <cell r="F833">
            <v>0</v>
          </cell>
          <cell r="G833">
            <v>-50000</v>
          </cell>
          <cell r="H833">
            <v>0</v>
          </cell>
          <cell r="I833">
            <v>-50000</v>
          </cell>
          <cell r="J833">
            <v>0</v>
          </cell>
        </row>
        <row r="834">
          <cell r="A834">
            <v>1317000925</v>
          </cell>
          <cell r="B834" t="str">
            <v>בריאות השן-ממשלה</v>
          </cell>
          <cell r="C834">
            <v>0</v>
          </cell>
          <cell r="D834">
            <v>0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A835">
            <v>1317000926</v>
          </cell>
          <cell r="B835" t="str">
            <v>השת' מ'חינוך באגרה</v>
          </cell>
          <cell r="C835">
            <v>-135000</v>
          </cell>
          <cell r="D835">
            <v>-105968.12</v>
          </cell>
          <cell r="E835">
            <v>0</v>
          </cell>
          <cell r="F835">
            <v>-105968.12</v>
          </cell>
          <cell r="G835">
            <v>-29031.88</v>
          </cell>
          <cell r="H835">
            <v>78.489999999999995</v>
          </cell>
          <cell r="I835">
            <v>-135000</v>
          </cell>
          <cell r="J835">
            <v>-105968.12</v>
          </cell>
        </row>
        <row r="836">
          <cell r="A836">
            <v>1317000990</v>
          </cell>
          <cell r="B836" t="str">
            <v>השת' הממשלה בשמירה</v>
          </cell>
          <cell r="C836">
            <v>-8000000</v>
          </cell>
          <cell r="D836">
            <v>-7683514.1600000001</v>
          </cell>
          <cell r="E836">
            <v>0</v>
          </cell>
          <cell r="F836">
            <v>-7683514.1600000001</v>
          </cell>
          <cell r="G836">
            <v>-316485.84000000003</v>
          </cell>
          <cell r="H836">
            <v>96.04</v>
          </cell>
          <cell r="I836">
            <v>-8000000</v>
          </cell>
          <cell r="J836">
            <v>-7683514.1600000001</v>
          </cell>
        </row>
        <row r="837">
          <cell r="A837">
            <v>1317200410</v>
          </cell>
          <cell r="B837" t="str">
            <v>שכר לימוד</v>
          </cell>
          <cell r="C837">
            <v>0</v>
          </cell>
          <cell r="D837">
            <v>0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A838">
            <v>1317200422</v>
          </cell>
          <cell r="B838" t="str">
            <v>מרכז מחשבים</v>
          </cell>
          <cell r="C838">
            <v>0</v>
          </cell>
          <cell r="D838">
            <v>0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</row>
        <row r="839">
          <cell r="A839">
            <v>1317200490</v>
          </cell>
          <cell r="B839" t="str">
            <v>ארועים והשתלמויות</v>
          </cell>
          <cell r="C839">
            <v>0</v>
          </cell>
          <cell r="D839">
            <v>0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</row>
        <row r="840">
          <cell r="A840">
            <v>1317200640</v>
          </cell>
          <cell r="B840" t="str">
            <v>השכרות</v>
          </cell>
          <cell r="C840">
            <v>0</v>
          </cell>
          <cell r="D840">
            <v>0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A841">
            <v>1317200641</v>
          </cell>
          <cell r="B841" t="str">
            <v>ביטוח-כנגד הוצאות</v>
          </cell>
          <cell r="C841">
            <v>0</v>
          </cell>
          <cell r="D841">
            <v>0</v>
          </cell>
          <cell r="E841">
            <v>0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</row>
        <row r="842">
          <cell r="A842">
            <v>1317200920</v>
          </cell>
          <cell r="B842" t="str">
            <v>שרת'+ מז' מרכז מתי"א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</row>
        <row r="843">
          <cell r="A843">
            <v>1317200922</v>
          </cell>
          <cell r="B843" t="str">
            <v>מרכז מחשבים</v>
          </cell>
          <cell r="C843">
            <v>0</v>
          </cell>
          <cell r="D843">
            <v>0</v>
          </cell>
          <cell r="E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A844">
            <v>1317200927</v>
          </cell>
          <cell r="B844" t="str">
            <v>משרד רה"מ</v>
          </cell>
          <cell r="C844">
            <v>0</v>
          </cell>
          <cell r="D844">
            <v>0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</row>
        <row r="845">
          <cell r="A845">
            <v>1317210420</v>
          </cell>
          <cell r="B845" t="str">
            <v>הכנסות ממשתלמים</v>
          </cell>
          <cell r="C845">
            <v>0</v>
          </cell>
          <cell r="D845">
            <v>0</v>
          </cell>
          <cell r="E845">
            <v>0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</row>
        <row r="846">
          <cell r="A846">
            <v>1317210422</v>
          </cell>
          <cell r="B846" t="str">
            <v>מרכז מחשבים</v>
          </cell>
          <cell r="C846">
            <v>0</v>
          </cell>
          <cell r="D846">
            <v>0</v>
          </cell>
          <cell r="E846">
            <v>0</v>
          </cell>
          <cell r="F846">
            <v>0</v>
          </cell>
          <cell r="G846">
            <v>0</v>
          </cell>
          <cell r="H846">
            <v>0</v>
          </cell>
          <cell r="I846">
            <v>0</v>
          </cell>
          <cell r="J846">
            <v>0</v>
          </cell>
        </row>
        <row r="847">
          <cell r="A847">
            <v>1317210920</v>
          </cell>
          <cell r="B847" t="str">
            <v>הכנסות משרד החינוך</v>
          </cell>
          <cell r="C847">
            <v>-80000</v>
          </cell>
          <cell r="D847">
            <v>-5408</v>
          </cell>
          <cell r="E847">
            <v>0</v>
          </cell>
          <cell r="F847">
            <v>-5408</v>
          </cell>
          <cell r="G847">
            <v>-74592</v>
          </cell>
          <cell r="H847">
            <v>6.76</v>
          </cell>
          <cell r="I847">
            <v>-80000</v>
          </cell>
          <cell r="J847">
            <v>-5408</v>
          </cell>
        </row>
        <row r="848">
          <cell r="A848">
            <v>1317210922</v>
          </cell>
          <cell r="B848" t="str">
            <v>מרכז מחשבים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</row>
        <row r="849">
          <cell r="A849">
            <v>1317300420</v>
          </cell>
          <cell r="B849" t="str">
            <v>הש'-יוזמות ואיבחון</v>
          </cell>
          <cell r="C849">
            <v>-90000</v>
          </cell>
          <cell r="D849">
            <v>-65500</v>
          </cell>
          <cell r="E849">
            <v>0</v>
          </cell>
          <cell r="F849">
            <v>-65500</v>
          </cell>
          <cell r="G849">
            <v>-24500</v>
          </cell>
          <cell r="H849">
            <v>72.77</v>
          </cell>
          <cell r="I849">
            <v>-90000</v>
          </cell>
          <cell r="J849">
            <v>-65500</v>
          </cell>
        </row>
        <row r="850">
          <cell r="A850">
            <v>1317300421</v>
          </cell>
          <cell r="B850" t="str">
            <v>שרות משלים</v>
          </cell>
          <cell r="C850">
            <v>-300000</v>
          </cell>
          <cell r="D850">
            <v>-422362.5</v>
          </cell>
          <cell r="E850">
            <v>0</v>
          </cell>
          <cell r="F850">
            <v>-422362.5</v>
          </cell>
          <cell r="G850">
            <v>122362.5</v>
          </cell>
          <cell r="H850">
            <v>140.78</v>
          </cell>
          <cell r="I850">
            <v>-300000</v>
          </cell>
          <cell r="J850">
            <v>-422362.5</v>
          </cell>
        </row>
        <row r="851">
          <cell r="A851">
            <v>1317300422</v>
          </cell>
          <cell r="B851" t="str">
            <v>הכלה שפ"מ</v>
          </cell>
          <cell r="C851">
            <v>-470000</v>
          </cell>
          <cell r="D851">
            <v>-410997</v>
          </cell>
          <cell r="E851">
            <v>0</v>
          </cell>
          <cell r="F851">
            <v>-410997</v>
          </cell>
          <cell r="G851">
            <v>-59003</v>
          </cell>
          <cell r="H851">
            <v>87.44</v>
          </cell>
          <cell r="I851">
            <v>-470000</v>
          </cell>
          <cell r="J851">
            <v>-410997</v>
          </cell>
        </row>
        <row r="852">
          <cell r="A852">
            <v>1317300423</v>
          </cell>
          <cell r="B852" t="str">
            <v>לקויות למידה בשפח</v>
          </cell>
          <cell r="C852">
            <v>0</v>
          </cell>
          <cell r="D852">
            <v>0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</row>
        <row r="853">
          <cell r="A853">
            <v>1317300920</v>
          </cell>
          <cell r="B853" t="str">
            <v>שרות פסיכולוגי</v>
          </cell>
          <cell r="C853">
            <v>-6954100</v>
          </cell>
          <cell r="D853">
            <v>-7581380.7000000002</v>
          </cell>
          <cell r="E853">
            <v>0</v>
          </cell>
          <cell r="F853">
            <v>-7581380.7000000002</v>
          </cell>
          <cell r="G853">
            <v>627280.69999999995</v>
          </cell>
          <cell r="H853">
            <v>109.02</v>
          </cell>
          <cell r="I853">
            <v>-6954100</v>
          </cell>
          <cell r="J853">
            <v>-7581380.7000000002</v>
          </cell>
        </row>
        <row r="854">
          <cell r="A854">
            <v>1317300921</v>
          </cell>
          <cell r="B854" t="str">
            <v>איבחונים חט"ע</v>
          </cell>
          <cell r="C854">
            <v>0</v>
          </cell>
          <cell r="D854">
            <v>0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</row>
        <row r="855">
          <cell r="A855">
            <v>1317300922</v>
          </cell>
          <cell r="B855" t="str">
            <v>יוזמות שפ"י</v>
          </cell>
          <cell r="C855">
            <v>-30000</v>
          </cell>
          <cell r="D855">
            <v>-128910</v>
          </cell>
          <cell r="E855">
            <v>0</v>
          </cell>
          <cell r="F855">
            <v>-128910</v>
          </cell>
          <cell r="G855">
            <v>98910</v>
          </cell>
          <cell r="H855">
            <v>429.7</v>
          </cell>
          <cell r="I855">
            <v>-30000</v>
          </cell>
          <cell r="J855">
            <v>-128910</v>
          </cell>
        </row>
        <row r="856">
          <cell r="A856">
            <v>1317300923</v>
          </cell>
          <cell r="B856" t="str">
            <v>השתל' והדרכה-משה"ח</v>
          </cell>
          <cell r="C856">
            <v>-200000</v>
          </cell>
          <cell r="D856">
            <v>-378518.25</v>
          </cell>
          <cell r="E856">
            <v>0</v>
          </cell>
          <cell r="F856">
            <v>-378518.25</v>
          </cell>
          <cell r="G856">
            <v>178518.25</v>
          </cell>
          <cell r="H856">
            <v>189.25</v>
          </cell>
          <cell r="I856">
            <v>-200000</v>
          </cell>
          <cell r="J856">
            <v>-378518.25</v>
          </cell>
        </row>
        <row r="857">
          <cell r="A857">
            <v>1317300924</v>
          </cell>
          <cell r="B857" t="str">
            <v>השת' שפ"י-השתלמויות</v>
          </cell>
          <cell r="C857">
            <v>0</v>
          </cell>
          <cell r="D857">
            <v>0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</row>
        <row r="858">
          <cell r="A858">
            <v>1317300925</v>
          </cell>
          <cell r="B858" t="str">
            <v>הכנסות ביטוח לאומי מרכז טראומה</v>
          </cell>
          <cell r="C858">
            <v>-128800</v>
          </cell>
          <cell r="D858">
            <v>-116868</v>
          </cell>
          <cell r="E858">
            <v>0</v>
          </cell>
          <cell r="F858">
            <v>-116868</v>
          </cell>
          <cell r="G858">
            <v>-11932</v>
          </cell>
          <cell r="H858">
            <v>90.73</v>
          </cell>
          <cell r="I858">
            <v>-128800</v>
          </cell>
          <cell r="J858">
            <v>-116868</v>
          </cell>
        </row>
        <row r="859">
          <cell r="A859">
            <v>1317300926</v>
          </cell>
          <cell r="B859" t="str">
            <v>מלגות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</row>
        <row r="860">
          <cell r="A860">
            <v>1317600420</v>
          </cell>
          <cell r="B860" t="str">
            <v>רווחה חינוכית</v>
          </cell>
          <cell r="C860">
            <v>0</v>
          </cell>
          <cell r="D860">
            <v>0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</row>
        <row r="861">
          <cell r="A861">
            <v>1317600421</v>
          </cell>
          <cell r="B861" t="str">
            <v>בי"הס להורים</v>
          </cell>
          <cell r="C861">
            <v>0</v>
          </cell>
          <cell r="D861">
            <v>0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A862">
            <v>1317600423</v>
          </cell>
          <cell r="B862" t="str">
            <v>הזנה בלתי פורמלית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</row>
        <row r="863">
          <cell r="A863">
            <v>1317600781</v>
          </cell>
          <cell r="B863" t="str">
            <v>משה"ח - רווחה</v>
          </cell>
          <cell r="C863">
            <v>0</v>
          </cell>
          <cell r="D863">
            <v>0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</row>
        <row r="864">
          <cell r="A864">
            <v>1317600921</v>
          </cell>
          <cell r="B864" t="str">
            <v>משרד החינוך רווחה</v>
          </cell>
          <cell r="C864">
            <v>0</v>
          </cell>
          <cell r="D864">
            <v>0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</row>
        <row r="865">
          <cell r="A865">
            <v>1317600922</v>
          </cell>
          <cell r="B865" t="str">
            <v>מ.חינוךבי"ס הורים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</row>
        <row r="866">
          <cell r="A866">
            <v>1317600923</v>
          </cell>
          <cell r="B866" t="str">
            <v>מגשרת בוכרית+אתיופית</v>
          </cell>
          <cell r="C866">
            <v>-125000</v>
          </cell>
          <cell r="D866">
            <v>0</v>
          </cell>
          <cell r="E866">
            <v>0</v>
          </cell>
          <cell r="F866">
            <v>0</v>
          </cell>
          <cell r="G866">
            <v>-125000</v>
          </cell>
          <cell r="H866">
            <v>0</v>
          </cell>
          <cell r="I866">
            <v>-125000</v>
          </cell>
          <cell r="J866">
            <v>0</v>
          </cell>
        </row>
        <row r="867">
          <cell r="A867">
            <v>1317600980</v>
          </cell>
          <cell r="B867" t="str">
            <v>תכנית התנופה</v>
          </cell>
          <cell r="C867">
            <v>0</v>
          </cell>
          <cell r="D867">
            <v>0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</row>
        <row r="868">
          <cell r="A868">
            <v>1317800420</v>
          </cell>
          <cell r="B868" t="str">
            <v>השת' הורים בהסעות</v>
          </cell>
          <cell r="C868">
            <v>-200000</v>
          </cell>
          <cell r="D868">
            <v>-162785</v>
          </cell>
          <cell r="E868">
            <v>0</v>
          </cell>
          <cell r="F868">
            <v>-162785</v>
          </cell>
          <cell r="G868">
            <v>-37215</v>
          </cell>
          <cell r="H868">
            <v>81.39</v>
          </cell>
          <cell r="I868">
            <v>-200000</v>
          </cell>
          <cell r="J868">
            <v>-162785</v>
          </cell>
        </row>
        <row r="869">
          <cell r="A869">
            <v>1317800421</v>
          </cell>
          <cell r="B869" t="str">
            <v>מחוננים</v>
          </cell>
          <cell r="C869">
            <v>0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</row>
        <row r="870">
          <cell r="A870">
            <v>1317800422</v>
          </cell>
          <cell r="B870" t="str">
            <v>בי"ס ממ"ד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</row>
        <row r="871">
          <cell r="A871">
            <v>1317800423</v>
          </cell>
          <cell r="B871" t="str">
            <v>גנים ממ"ד</v>
          </cell>
          <cell r="C871">
            <v>0</v>
          </cell>
          <cell r="D871">
            <v>0</v>
          </cell>
          <cell r="E871">
            <v>0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</row>
        <row r="872">
          <cell r="A872">
            <v>1317800424</v>
          </cell>
          <cell r="B872" t="str">
            <v>בי"ס דמוקרטי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A873">
            <v>1317800425</v>
          </cell>
          <cell r="B873" t="str">
            <v>גנים רגילים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</row>
        <row r="874">
          <cell r="A874">
            <v>1317800426</v>
          </cell>
          <cell r="B874" t="str">
            <v>רשויות-הסע' משותפת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</row>
        <row r="875">
          <cell r="A875">
            <v>1317800920</v>
          </cell>
          <cell r="B875" t="str">
            <v>השת' הממשלה בהסעות</v>
          </cell>
          <cell r="C875">
            <v>-15180000</v>
          </cell>
          <cell r="D875">
            <v>-6968619.9299999997</v>
          </cell>
          <cell r="E875">
            <v>0</v>
          </cell>
          <cell r="F875">
            <v>-6968619.9299999997</v>
          </cell>
          <cell r="G875">
            <v>-8211380.0700000003</v>
          </cell>
          <cell r="H875">
            <v>45.9</v>
          </cell>
          <cell r="I875">
            <v>-15180000</v>
          </cell>
          <cell r="J875">
            <v>-6968619.9299999997</v>
          </cell>
        </row>
        <row r="876">
          <cell r="A876">
            <v>1317800921</v>
          </cell>
          <cell r="B876" t="str">
            <v>השתתפות בכרטיסים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</row>
        <row r="877">
          <cell r="A877">
            <v>1317800922</v>
          </cell>
          <cell r="B877" t="str">
            <v>מלווים בהסעים</v>
          </cell>
          <cell r="C877">
            <v>-13000000</v>
          </cell>
          <cell r="D877">
            <v>-10209128.65</v>
          </cell>
          <cell r="E877">
            <v>0</v>
          </cell>
          <cell r="F877">
            <v>-10209128.65</v>
          </cell>
          <cell r="G877">
            <v>-2790871.35</v>
          </cell>
          <cell r="H877">
            <v>78.53</v>
          </cell>
          <cell r="I877">
            <v>-13000000</v>
          </cell>
          <cell r="J877">
            <v>-10209128.65</v>
          </cell>
        </row>
        <row r="878">
          <cell r="A878">
            <v>1317800923</v>
          </cell>
          <cell r="B878" t="str">
            <v>הסעות גילאי 3 - 0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0</v>
          </cell>
          <cell r="H878">
            <v>0</v>
          </cell>
          <cell r="I878">
            <v>0</v>
          </cell>
          <cell r="J878">
            <v>0</v>
          </cell>
        </row>
        <row r="879">
          <cell r="A879">
            <v>1317800924</v>
          </cell>
          <cell r="B879" t="str">
            <v>הסעות מסגרות קיץ</v>
          </cell>
          <cell r="C879">
            <v>-20000</v>
          </cell>
          <cell r="D879">
            <v>-15788.76</v>
          </cell>
          <cell r="E879">
            <v>0</v>
          </cell>
          <cell r="F879">
            <v>-15788.76</v>
          </cell>
          <cell r="G879">
            <v>-4211.24</v>
          </cell>
          <cell r="H879">
            <v>78.94</v>
          </cell>
          <cell r="I879">
            <v>-20000</v>
          </cell>
          <cell r="J879">
            <v>-15788.76</v>
          </cell>
        </row>
        <row r="880">
          <cell r="A880">
            <v>1317900491</v>
          </cell>
          <cell r="B880" t="str">
            <v>הכנסות מארועים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</row>
        <row r="881">
          <cell r="A881">
            <v>1317920420</v>
          </cell>
          <cell r="B881" t="str">
            <v>הכנ' הורים-טיפולים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</row>
        <row r="882">
          <cell r="A882">
            <v>1317920920</v>
          </cell>
          <cell r="B882" t="str">
            <v>שרתים ומזכירות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</row>
        <row r="883">
          <cell r="A883">
            <v>1317930424</v>
          </cell>
          <cell r="B883" t="str">
            <v>הכנסות מתיאטרון</v>
          </cell>
          <cell r="C883">
            <v>-2000000</v>
          </cell>
          <cell r="D883">
            <v>-1506927.23</v>
          </cell>
          <cell r="E883">
            <v>0</v>
          </cell>
          <cell r="F883">
            <v>-1506927.23</v>
          </cell>
          <cell r="G883">
            <v>-493072.77</v>
          </cell>
          <cell r="H883">
            <v>75.34</v>
          </cell>
          <cell r="I883">
            <v>-2000000</v>
          </cell>
          <cell r="J883">
            <v>-1506927.23</v>
          </cell>
        </row>
        <row r="884">
          <cell r="A884">
            <v>1318100410</v>
          </cell>
          <cell r="B884" t="str">
            <v>שכר לימוד</v>
          </cell>
          <cell r="C884">
            <v>0</v>
          </cell>
          <cell r="D884">
            <v>0</v>
          </cell>
          <cell r="E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0</v>
          </cell>
        </row>
        <row r="885">
          <cell r="A885">
            <v>1318100490</v>
          </cell>
          <cell r="B885" t="str">
            <v>הכנסות מארועים</v>
          </cell>
          <cell r="C885">
            <v>0</v>
          </cell>
          <cell r="D885">
            <v>0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A886">
            <v>1318100640</v>
          </cell>
          <cell r="B886" t="str">
            <v>הכנס' מהשכרת חדרים</v>
          </cell>
          <cell r="C886">
            <v>0</v>
          </cell>
          <cell r="D886">
            <v>0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A887">
            <v>1318130970</v>
          </cell>
          <cell r="B887" t="str">
            <v>לא פעיל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</row>
        <row r="888">
          <cell r="A888">
            <v>1318200410</v>
          </cell>
          <cell r="B888" t="str">
            <v>תהילה דרום+גאולים</v>
          </cell>
          <cell r="C888">
            <v>0</v>
          </cell>
          <cell r="D888">
            <v>0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</row>
        <row r="889">
          <cell r="A889">
            <v>1318200420</v>
          </cell>
          <cell r="B889" t="str">
            <v>עד הלו"ם</v>
          </cell>
          <cell r="C889">
            <v>0</v>
          </cell>
          <cell r="D889">
            <v>0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A890">
            <v>1318200920</v>
          </cell>
          <cell r="B890" t="str">
            <v>השת' הממשלה בתהילה</v>
          </cell>
          <cell r="C890">
            <v>0</v>
          </cell>
          <cell r="D890">
            <v>0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</row>
        <row r="891">
          <cell r="A891">
            <v>1318200990</v>
          </cell>
          <cell r="B891" t="str">
            <v>משרד ראש הממשלה</v>
          </cell>
          <cell r="C891">
            <v>0</v>
          </cell>
          <cell r="D891">
            <v>0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</row>
        <row r="892">
          <cell r="A892">
            <v>1322200420</v>
          </cell>
          <cell r="B892" t="str">
            <v>השתת' עצמית תרבות</v>
          </cell>
          <cell r="C892">
            <v>0</v>
          </cell>
          <cell r="D892">
            <v>0</v>
          </cell>
          <cell r="E892">
            <v>0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</row>
        <row r="893">
          <cell r="A893">
            <v>1322200421</v>
          </cell>
          <cell r="B893" t="str">
            <v>הכנסות ממחלקת צעירים</v>
          </cell>
          <cell r="C893">
            <v>-30820</v>
          </cell>
          <cell r="D893">
            <v>-29392</v>
          </cell>
          <cell r="E893">
            <v>0</v>
          </cell>
          <cell r="F893">
            <v>-29392</v>
          </cell>
          <cell r="G893">
            <v>-1428</v>
          </cell>
          <cell r="H893">
            <v>95.36</v>
          </cell>
          <cell r="I893">
            <v>-30820</v>
          </cell>
          <cell r="J893">
            <v>-29392</v>
          </cell>
        </row>
        <row r="894">
          <cell r="A894">
            <v>1322200424</v>
          </cell>
          <cell r="B894" t="str">
            <v>תרבות תורנית</v>
          </cell>
          <cell r="C894">
            <v>-4650</v>
          </cell>
          <cell r="D894">
            <v>-4650</v>
          </cell>
          <cell r="E894">
            <v>0</v>
          </cell>
          <cell r="F894">
            <v>-4650</v>
          </cell>
          <cell r="G894">
            <v>0</v>
          </cell>
          <cell r="H894">
            <v>100</v>
          </cell>
          <cell r="I894">
            <v>-4650</v>
          </cell>
          <cell r="J894">
            <v>-4650</v>
          </cell>
        </row>
        <row r="895">
          <cell r="A895">
            <v>1322200425</v>
          </cell>
          <cell r="B895" t="str">
            <v>מורשת ישראל</v>
          </cell>
          <cell r="C895">
            <v>0</v>
          </cell>
          <cell r="D895">
            <v>0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A896">
            <v>1322200902</v>
          </cell>
          <cell r="B896" t="str">
            <v>משרד לשוויון חברתי</v>
          </cell>
          <cell r="C896">
            <v>0</v>
          </cell>
          <cell r="D896">
            <v>0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A897">
            <v>1322200920</v>
          </cell>
          <cell r="B897" t="str">
            <v>מש' החינוך - תרבות תורנית</v>
          </cell>
          <cell r="C897">
            <v>-37421</v>
          </cell>
          <cell r="D897">
            <v>-113048.4</v>
          </cell>
          <cell r="E897">
            <v>0</v>
          </cell>
          <cell r="F897">
            <v>-113048.4</v>
          </cell>
          <cell r="G897">
            <v>75627.399999999994</v>
          </cell>
          <cell r="H897">
            <v>302.08999999999997</v>
          </cell>
          <cell r="I897">
            <v>-37421</v>
          </cell>
          <cell r="J897">
            <v>-113048.4</v>
          </cell>
        </row>
        <row r="898">
          <cell r="A898">
            <v>1322700420</v>
          </cell>
          <cell r="B898" t="str">
            <v>חוגי העשרה</v>
          </cell>
          <cell r="C898">
            <v>0</v>
          </cell>
          <cell r="D898">
            <v>0</v>
          </cell>
          <cell r="E898">
            <v>0</v>
          </cell>
          <cell r="F898">
            <v>0</v>
          </cell>
          <cell r="G898">
            <v>0</v>
          </cell>
          <cell r="H898">
            <v>0</v>
          </cell>
          <cell r="I898">
            <v>0</v>
          </cell>
          <cell r="J898">
            <v>0</v>
          </cell>
        </row>
        <row r="899">
          <cell r="A899">
            <v>1322700421</v>
          </cell>
          <cell r="B899" t="str">
            <v>מבחנים פסיכולוגיים</v>
          </cell>
          <cell r="C899">
            <v>0</v>
          </cell>
          <cell r="D899">
            <v>0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</row>
        <row r="900">
          <cell r="A900">
            <v>1322700422</v>
          </cell>
          <cell r="B900" t="str">
            <v>הכנסות מפעולות</v>
          </cell>
          <cell r="C900">
            <v>0</v>
          </cell>
          <cell r="D900">
            <v>0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</row>
        <row r="901">
          <cell r="A901">
            <v>1322700491</v>
          </cell>
          <cell r="B901" t="str">
            <v>טיולים ( מהכנסות )</v>
          </cell>
          <cell r="C901">
            <v>0</v>
          </cell>
          <cell r="D901">
            <v>0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</row>
        <row r="902">
          <cell r="A902">
            <v>1322700920</v>
          </cell>
          <cell r="B902" t="str">
            <v>חוגי העשרה-ממשלה</v>
          </cell>
          <cell r="C902">
            <v>0</v>
          </cell>
          <cell r="D902">
            <v>0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</row>
        <row r="903">
          <cell r="A903">
            <v>1322700929</v>
          </cell>
          <cell r="B903" t="str">
            <v>הכנ' משרד החינוך</v>
          </cell>
          <cell r="C903">
            <v>0</v>
          </cell>
          <cell r="D903">
            <v>0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</row>
        <row r="904">
          <cell r="A904">
            <v>1323000413</v>
          </cell>
          <cell r="B904" t="str">
            <v>דמ"ש</v>
          </cell>
          <cell r="C904">
            <v>0</v>
          </cell>
          <cell r="D904">
            <v>0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A905">
            <v>1323000420</v>
          </cell>
          <cell r="B905" t="str">
            <v>מנויים</v>
          </cell>
          <cell r="C905">
            <v>0</v>
          </cell>
          <cell r="D905">
            <v>0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</row>
        <row r="906">
          <cell r="A906">
            <v>1323000421</v>
          </cell>
          <cell r="B906" t="str">
            <v>הכנסות מפסטיבל אישה</v>
          </cell>
          <cell r="C906">
            <v>0</v>
          </cell>
          <cell r="D906">
            <v>0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</row>
        <row r="907">
          <cell r="A907">
            <v>1323000429</v>
          </cell>
          <cell r="B907" t="str">
            <v>הכנ' מפעולות השלמה</v>
          </cell>
          <cell r="C907">
            <v>0</v>
          </cell>
          <cell r="D907">
            <v>0</v>
          </cell>
          <cell r="E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A908">
            <v>1323000431</v>
          </cell>
          <cell r="B908" t="str">
            <v>לא פעיל</v>
          </cell>
          <cell r="C908">
            <v>0</v>
          </cell>
          <cell r="D908">
            <v>0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</row>
        <row r="909">
          <cell r="A909">
            <v>1323000491</v>
          </cell>
          <cell r="B909" t="str">
            <v>הכנסות משבוע הספר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</row>
        <row r="910">
          <cell r="A910">
            <v>1323000640</v>
          </cell>
          <cell r="B910" t="str">
            <v>מדיטק-שכר דירה</v>
          </cell>
          <cell r="C910">
            <v>0</v>
          </cell>
          <cell r="D910">
            <v>0</v>
          </cell>
          <cell r="E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A911">
            <v>1323000641</v>
          </cell>
          <cell r="B911" t="str">
            <v>ביטוח כנגד הוצאות</v>
          </cell>
          <cell r="C911">
            <v>-20600</v>
          </cell>
          <cell r="D911">
            <v>-20600</v>
          </cell>
          <cell r="E911">
            <v>0</v>
          </cell>
          <cell r="F911">
            <v>-20600</v>
          </cell>
          <cell r="G911">
            <v>0</v>
          </cell>
          <cell r="H911">
            <v>100</v>
          </cell>
          <cell r="I911">
            <v>-20600</v>
          </cell>
          <cell r="J911">
            <v>-20600</v>
          </cell>
        </row>
        <row r="912">
          <cell r="A912">
            <v>1323000651</v>
          </cell>
          <cell r="B912" t="str">
            <v>השכרת חדרים</v>
          </cell>
          <cell r="C912">
            <v>0</v>
          </cell>
          <cell r="D912">
            <v>0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</row>
        <row r="913">
          <cell r="A913">
            <v>1323000790</v>
          </cell>
          <cell r="B913" t="str">
            <v>קרן ברכה - עיצוב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A914">
            <v>1323000920</v>
          </cell>
          <cell r="B914" t="str">
            <v>השתת' משרד החינוך</v>
          </cell>
          <cell r="C914">
            <v>0</v>
          </cell>
          <cell r="D914">
            <v>0</v>
          </cell>
          <cell r="E914">
            <v>0</v>
          </cell>
          <cell r="F914">
            <v>0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</row>
        <row r="915">
          <cell r="A915">
            <v>1323000921</v>
          </cell>
          <cell r="B915" t="str">
            <v>מיחשוב-מש' התרבות</v>
          </cell>
          <cell r="C915">
            <v>0</v>
          </cell>
          <cell r="D915">
            <v>0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</row>
        <row r="916">
          <cell r="A916">
            <v>1323000935</v>
          </cell>
          <cell r="B916" t="str">
            <v>כנס עיצוב - מ' פיתוח אזורי</v>
          </cell>
          <cell r="C916">
            <v>0</v>
          </cell>
          <cell r="D916">
            <v>0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</row>
        <row r="917">
          <cell r="A917">
            <v>1325500420</v>
          </cell>
          <cell r="B917" t="str">
            <v>הכנסות מחוגים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A918">
            <v>1325500491</v>
          </cell>
          <cell r="B918" t="str">
            <v>ארועים</v>
          </cell>
          <cell r="C918">
            <v>0</v>
          </cell>
          <cell r="D918">
            <v>0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</row>
        <row r="919">
          <cell r="A919">
            <v>1325500492</v>
          </cell>
          <cell r="B919" t="str">
            <v>השכרות</v>
          </cell>
          <cell r="C919">
            <v>0</v>
          </cell>
          <cell r="D919">
            <v>0</v>
          </cell>
          <cell r="E919">
            <v>0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</row>
        <row r="920">
          <cell r="A920">
            <v>1326100413</v>
          </cell>
          <cell r="B920" t="str">
            <v>דמ"ש</v>
          </cell>
          <cell r="C920">
            <v>0</v>
          </cell>
          <cell r="D920">
            <v>0</v>
          </cell>
          <cell r="E920">
            <v>0</v>
          </cell>
          <cell r="F920">
            <v>0</v>
          </cell>
          <cell r="G920">
            <v>0</v>
          </cell>
          <cell r="H920">
            <v>0</v>
          </cell>
          <cell r="I920">
            <v>0</v>
          </cell>
          <cell r="J920">
            <v>0</v>
          </cell>
        </row>
        <row r="921">
          <cell r="A921">
            <v>1326100640</v>
          </cell>
          <cell r="B921" t="str">
            <v>דמי שכירות</v>
          </cell>
          <cell r="C921">
            <v>0</v>
          </cell>
          <cell r="D921">
            <v>0</v>
          </cell>
          <cell r="E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A922">
            <v>1326100641</v>
          </cell>
          <cell r="B922" t="str">
            <v>ביטוח-כנגד הוצאות</v>
          </cell>
          <cell r="C922">
            <v>-29400</v>
          </cell>
          <cell r="D922">
            <v>-29400</v>
          </cell>
          <cell r="E922">
            <v>0</v>
          </cell>
          <cell r="F922">
            <v>-29400</v>
          </cell>
          <cell r="G922">
            <v>0</v>
          </cell>
          <cell r="H922">
            <v>100</v>
          </cell>
          <cell r="I922">
            <v>-29400</v>
          </cell>
          <cell r="J922">
            <v>-29400</v>
          </cell>
        </row>
        <row r="923">
          <cell r="A923">
            <v>1326100920</v>
          </cell>
          <cell r="B923" t="str">
            <v>השתתפות משרד חינוך</v>
          </cell>
          <cell r="C923">
            <v>0</v>
          </cell>
          <cell r="D923">
            <v>0</v>
          </cell>
          <cell r="E923">
            <v>0</v>
          </cell>
          <cell r="F923">
            <v>0</v>
          </cell>
          <cell r="G923">
            <v>0</v>
          </cell>
          <cell r="H923">
            <v>0</v>
          </cell>
          <cell r="I923">
            <v>0</v>
          </cell>
          <cell r="J923">
            <v>0</v>
          </cell>
        </row>
        <row r="924">
          <cell r="A924">
            <v>1326100935</v>
          </cell>
          <cell r="B924" t="str">
            <v>אשה-השת' מש' רוה"מ</v>
          </cell>
          <cell r="C924">
            <v>0</v>
          </cell>
          <cell r="D924">
            <v>0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</row>
        <row r="925">
          <cell r="A925">
            <v>1326120413</v>
          </cell>
          <cell r="B925" t="str">
            <v>דמ"ש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A926">
            <v>1326200413</v>
          </cell>
          <cell r="B926" t="str">
            <v>.</v>
          </cell>
          <cell r="C926">
            <v>0</v>
          </cell>
          <cell r="D926">
            <v>0</v>
          </cell>
          <cell r="E926">
            <v>0</v>
          </cell>
          <cell r="F926">
            <v>0</v>
          </cell>
          <cell r="G926">
            <v>0</v>
          </cell>
          <cell r="H926">
            <v>0</v>
          </cell>
          <cell r="I926">
            <v>0</v>
          </cell>
          <cell r="J926">
            <v>0</v>
          </cell>
        </row>
        <row r="927">
          <cell r="A927">
            <v>1326300413</v>
          </cell>
          <cell r="B927" t="str">
            <v>דמ"ש</v>
          </cell>
          <cell r="C927">
            <v>0</v>
          </cell>
          <cell r="D927">
            <v>0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</row>
        <row r="928">
          <cell r="A928">
            <v>1326300640</v>
          </cell>
          <cell r="B928" t="str">
            <v>שכר דירה</v>
          </cell>
          <cell r="C928">
            <v>-40000</v>
          </cell>
          <cell r="D928">
            <v>-40000</v>
          </cell>
          <cell r="E928">
            <v>0</v>
          </cell>
          <cell r="F928">
            <v>-40000</v>
          </cell>
          <cell r="G928">
            <v>0</v>
          </cell>
          <cell r="H928">
            <v>100</v>
          </cell>
          <cell r="I928">
            <v>-40000</v>
          </cell>
          <cell r="J928">
            <v>-40000</v>
          </cell>
        </row>
        <row r="929">
          <cell r="A929">
            <v>1326300641</v>
          </cell>
          <cell r="B929" t="str">
            <v>ביטוח-כנגד הוצאות</v>
          </cell>
          <cell r="C929">
            <v>-40500</v>
          </cell>
          <cell r="D929">
            <v>-40500</v>
          </cell>
          <cell r="E929">
            <v>0</v>
          </cell>
          <cell r="F929">
            <v>-40500</v>
          </cell>
          <cell r="G929">
            <v>0</v>
          </cell>
          <cell r="H929">
            <v>100</v>
          </cell>
          <cell r="I929">
            <v>-40500</v>
          </cell>
          <cell r="J929">
            <v>-40500</v>
          </cell>
        </row>
        <row r="930">
          <cell r="A930">
            <v>1326400413</v>
          </cell>
          <cell r="B930" t="str">
            <v>דמ"ש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</row>
        <row r="931">
          <cell r="A931">
            <v>1326400421</v>
          </cell>
          <cell r="B931" t="str">
            <v>פסטיבל בובות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A932">
            <v>1326400425</v>
          </cell>
          <cell r="B932" t="str">
            <v>צלילי ילדות</v>
          </cell>
          <cell r="C932">
            <v>0</v>
          </cell>
          <cell r="D932">
            <v>0</v>
          </cell>
          <cell r="E932">
            <v>0</v>
          </cell>
          <cell r="F932">
            <v>0</v>
          </cell>
          <cell r="G932">
            <v>0</v>
          </cell>
          <cell r="H932">
            <v>0</v>
          </cell>
          <cell r="I932">
            <v>0</v>
          </cell>
          <cell r="J932">
            <v>0</v>
          </cell>
        </row>
        <row r="933">
          <cell r="A933">
            <v>1326400426</v>
          </cell>
          <cell r="B933" t="str">
            <v>מסך הקסם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0</v>
          </cell>
          <cell r="H933">
            <v>0</v>
          </cell>
          <cell r="I933">
            <v>0</v>
          </cell>
          <cell r="J933">
            <v>0</v>
          </cell>
        </row>
        <row r="934">
          <cell r="A934">
            <v>1326400641</v>
          </cell>
          <cell r="B934" t="str">
            <v>ביטוח-כנגד הוצאות</v>
          </cell>
          <cell r="C934">
            <v>-13500</v>
          </cell>
          <cell r="D934">
            <v>-13500</v>
          </cell>
          <cell r="E934">
            <v>0</v>
          </cell>
          <cell r="F934">
            <v>-13500</v>
          </cell>
          <cell r="G934">
            <v>0</v>
          </cell>
          <cell r="H934">
            <v>100</v>
          </cell>
          <cell r="I934">
            <v>-13500</v>
          </cell>
          <cell r="J934">
            <v>-13500</v>
          </cell>
        </row>
        <row r="935">
          <cell r="A935">
            <v>1326400920</v>
          </cell>
          <cell r="B935" t="str">
            <v>פסטיבל בובות-משה"ח</v>
          </cell>
          <cell r="C935">
            <v>0</v>
          </cell>
          <cell r="D935">
            <v>0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</row>
        <row r="936">
          <cell r="A936">
            <v>1326500420</v>
          </cell>
          <cell r="B936" t="str">
            <v>השכרת תלבושות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0</v>
          </cell>
          <cell r="H936">
            <v>0</v>
          </cell>
          <cell r="I936">
            <v>0</v>
          </cell>
          <cell r="J936">
            <v>0</v>
          </cell>
        </row>
        <row r="937">
          <cell r="A937">
            <v>1326500491</v>
          </cell>
          <cell r="B937" t="str">
            <v>הכנס'מחלקת אירועים</v>
          </cell>
          <cell r="C937">
            <v>-946416</v>
          </cell>
          <cell r="D937">
            <v>-1030066.55</v>
          </cell>
          <cell r="E937">
            <v>0</v>
          </cell>
          <cell r="F937">
            <v>-1030066.55</v>
          </cell>
          <cell r="G937">
            <v>83650.55</v>
          </cell>
          <cell r="H937">
            <v>108.83</v>
          </cell>
          <cell r="I937">
            <v>-946416</v>
          </cell>
          <cell r="J937">
            <v>-1030066.55</v>
          </cell>
        </row>
        <row r="938">
          <cell r="A938">
            <v>1326500740</v>
          </cell>
          <cell r="B938" t="str">
            <v>השת' מפעל הפיס</v>
          </cell>
          <cell r="C938">
            <v>0</v>
          </cell>
          <cell r="D938">
            <v>0</v>
          </cell>
          <cell r="E938">
            <v>0</v>
          </cell>
          <cell r="F938">
            <v>0</v>
          </cell>
          <cell r="G938">
            <v>0</v>
          </cell>
          <cell r="H938">
            <v>0</v>
          </cell>
          <cell r="I938">
            <v>0</v>
          </cell>
          <cell r="J938">
            <v>0</v>
          </cell>
        </row>
        <row r="939">
          <cell r="A939">
            <v>1326500900</v>
          </cell>
          <cell r="B939" t="str">
            <v>.</v>
          </cell>
          <cell r="C939">
            <v>0</v>
          </cell>
          <cell r="D939">
            <v>0</v>
          </cell>
          <cell r="E939">
            <v>0</v>
          </cell>
          <cell r="F939">
            <v>0</v>
          </cell>
          <cell r="G939">
            <v>0</v>
          </cell>
          <cell r="H939">
            <v>0</v>
          </cell>
          <cell r="I939">
            <v>0</v>
          </cell>
          <cell r="J939">
            <v>0</v>
          </cell>
        </row>
        <row r="940">
          <cell r="A940">
            <v>1326500920</v>
          </cell>
          <cell r="B940" t="str">
            <v>תכנית סל"ע-משרד התרבות</v>
          </cell>
          <cell r="C940">
            <v>-540000</v>
          </cell>
          <cell r="D940">
            <v>-506303.31</v>
          </cell>
          <cell r="E940">
            <v>0</v>
          </cell>
          <cell r="F940">
            <v>-506303.31</v>
          </cell>
          <cell r="G940">
            <v>-33696.69</v>
          </cell>
          <cell r="H940">
            <v>93.75</v>
          </cell>
          <cell r="I940">
            <v>-540000</v>
          </cell>
          <cell r="J940">
            <v>-506303.31</v>
          </cell>
        </row>
        <row r="941">
          <cell r="A941">
            <v>1326500930</v>
          </cell>
          <cell r="B941" t="str">
            <v>ארועי שנת ה-60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</row>
        <row r="942">
          <cell r="A942">
            <v>1326700920</v>
          </cell>
          <cell r="B942" t="str">
            <v>הכנ' ממשרד התרבות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0</v>
          </cell>
          <cell r="H942">
            <v>0</v>
          </cell>
          <cell r="I942">
            <v>0</v>
          </cell>
          <cell r="J942">
            <v>0</v>
          </cell>
        </row>
        <row r="943">
          <cell r="A943">
            <v>1326700990</v>
          </cell>
          <cell r="B943" t="str">
            <v>הכנסות ממשרד התרבות</v>
          </cell>
          <cell r="C943">
            <v>-350000</v>
          </cell>
          <cell r="D943">
            <v>-180823</v>
          </cell>
          <cell r="E943">
            <v>0</v>
          </cell>
          <cell r="F943">
            <v>-180823</v>
          </cell>
          <cell r="G943">
            <v>-169177</v>
          </cell>
          <cell r="H943">
            <v>51.66</v>
          </cell>
          <cell r="I943">
            <v>-350000</v>
          </cell>
          <cell r="J943">
            <v>-180823</v>
          </cell>
        </row>
        <row r="944">
          <cell r="A944">
            <v>1326800413</v>
          </cell>
          <cell r="B944" t="str">
            <v>דמ"ש</v>
          </cell>
          <cell r="C944">
            <v>0</v>
          </cell>
          <cell r="D944">
            <v>0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</row>
        <row r="945">
          <cell r="A945">
            <v>1326800641</v>
          </cell>
          <cell r="B945" t="str">
            <v>ביטוח כנגד הוצאות</v>
          </cell>
          <cell r="C945">
            <v>-45000</v>
          </cell>
          <cell r="D945">
            <v>-45000</v>
          </cell>
          <cell r="E945">
            <v>0</v>
          </cell>
          <cell r="F945">
            <v>-45000</v>
          </cell>
          <cell r="G945">
            <v>0</v>
          </cell>
          <cell r="H945">
            <v>100</v>
          </cell>
          <cell r="I945">
            <v>-45000</v>
          </cell>
          <cell r="J945">
            <v>-45000</v>
          </cell>
        </row>
        <row r="946">
          <cell r="A946">
            <v>1328100420</v>
          </cell>
          <cell r="B946" t="str">
            <v>הכנסות מפעולות</v>
          </cell>
          <cell r="C946">
            <v>0</v>
          </cell>
          <cell r="D946">
            <v>0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</row>
        <row r="947">
          <cell r="A947">
            <v>1328100423</v>
          </cell>
          <cell r="B947" t="str">
            <v>מניעת אלימות</v>
          </cell>
          <cell r="C947">
            <v>0</v>
          </cell>
          <cell r="D947">
            <v>0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A948">
            <v>1328100424</v>
          </cell>
          <cell r="B948" t="str">
            <v>פעילות חצ"ב</v>
          </cell>
          <cell r="C948">
            <v>0</v>
          </cell>
          <cell r="D948">
            <v>0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</row>
        <row r="949">
          <cell r="A949">
            <v>1328100444</v>
          </cell>
          <cell r="B949" t="str">
            <v>אירוע התרמה</v>
          </cell>
          <cell r="C949">
            <v>0</v>
          </cell>
          <cell r="D949">
            <v>0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</row>
        <row r="950">
          <cell r="A950">
            <v>1328100490</v>
          </cell>
          <cell r="B950" t="str">
            <v>הכנסות מרכז שואה</v>
          </cell>
          <cell r="C950">
            <v>0</v>
          </cell>
          <cell r="D950">
            <v>0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</row>
        <row r="951">
          <cell r="A951">
            <v>1328100491</v>
          </cell>
          <cell r="B951" t="str">
            <v>הכנסות מארועים</v>
          </cell>
          <cell r="C951">
            <v>0</v>
          </cell>
          <cell r="D951">
            <v>0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A952">
            <v>1328100492</v>
          </cell>
          <cell r="B952" t="str">
            <v>אתר הנצחה לשואה</v>
          </cell>
          <cell r="C952">
            <v>0</v>
          </cell>
          <cell r="D952">
            <v>0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</row>
        <row r="953">
          <cell r="A953">
            <v>1328100790</v>
          </cell>
          <cell r="B953" t="str">
            <v>מעשים טובים-הרוח הטובה</v>
          </cell>
          <cell r="C953">
            <v>0</v>
          </cell>
          <cell r="D953">
            <v>-22540</v>
          </cell>
          <cell r="E953">
            <v>0</v>
          </cell>
          <cell r="F953">
            <v>-22540</v>
          </cell>
          <cell r="G953">
            <v>22540</v>
          </cell>
          <cell r="H953">
            <v>0</v>
          </cell>
          <cell r="I953">
            <v>0</v>
          </cell>
          <cell r="J953">
            <v>-22540</v>
          </cell>
        </row>
        <row r="954">
          <cell r="A954">
            <v>1328100792</v>
          </cell>
          <cell r="B954" t="str">
            <v>מועצת אירגוני הנוער-רכזת</v>
          </cell>
          <cell r="C954">
            <v>0</v>
          </cell>
          <cell r="D954">
            <v>0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</row>
        <row r="955">
          <cell r="A955">
            <v>1328100920</v>
          </cell>
          <cell r="B955" t="str">
            <v>נוער הרואה ערך כדרך-משה"ח</v>
          </cell>
          <cell r="C955">
            <v>0</v>
          </cell>
          <cell r="D955">
            <v>0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A956">
            <v>1328100921</v>
          </cell>
          <cell r="B956" t="str">
            <v>הרשות למלחמה בסמים</v>
          </cell>
          <cell r="C956">
            <v>0</v>
          </cell>
          <cell r="D956">
            <v>0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</row>
        <row r="957">
          <cell r="A957">
            <v>1328100922</v>
          </cell>
          <cell r="B957" t="str">
            <v>משרד לביטחון פנים</v>
          </cell>
          <cell r="C957">
            <v>0</v>
          </cell>
          <cell r="D957">
            <v>0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</row>
        <row r="958">
          <cell r="A958">
            <v>1328100923</v>
          </cell>
          <cell r="B958" t="str">
            <v>אס"א</v>
          </cell>
          <cell r="C958">
            <v>0</v>
          </cell>
          <cell r="D958">
            <v>0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</row>
        <row r="959">
          <cell r="A959">
            <v>1328100924</v>
          </cell>
          <cell r="B959" t="str">
            <v>רכז מעורבות חברתית</v>
          </cell>
          <cell r="C959">
            <v>0</v>
          </cell>
          <cell r="D959">
            <v>0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</row>
        <row r="960">
          <cell r="A960">
            <v>1328100929</v>
          </cell>
          <cell r="B960" t="str">
            <v>הכנ' משרד החינוך</v>
          </cell>
          <cell r="C960">
            <v>-369000</v>
          </cell>
          <cell r="D960">
            <v>-388390</v>
          </cell>
          <cell r="E960">
            <v>0</v>
          </cell>
          <cell r="F960">
            <v>-388390</v>
          </cell>
          <cell r="G960">
            <v>19390</v>
          </cell>
          <cell r="H960">
            <v>105.25</v>
          </cell>
          <cell r="I960">
            <v>-369000</v>
          </cell>
          <cell r="J960">
            <v>-388390</v>
          </cell>
        </row>
        <row r="961">
          <cell r="A961">
            <v>1328110424</v>
          </cell>
          <cell r="B961" t="str">
            <v>חצ"ב</v>
          </cell>
          <cell r="C961">
            <v>0</v>
          </cell>
          <cell r="D961">
            <v>0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A962">
            <v>1328110427</v>
          </cell>
          <cell r="B962" t="str">
            <v>חוגים בקבלנות</v>
          </cell>
          <cell r="C962">
            <v>0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A963">
            <v>1328110490</v>
          </cell>
          <cell r="B963" t="str">
            <v>הכנסות מפעולות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</row>
        <row r="964">
          <cell r="A964">
            <v>1328120444</v>
          </cell>
          <cell r="B964" t="str">
            <v>הכנסות קידום נוער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</row>
        <row r="965">
          <cell r="A965">
            <v>1328120790</v>
          </cell>
          <cell r="B965" t="str">
            <v>צ'קפוינט - תרומה</v>
          </cell>
          <cell r="C965">
            <v>0</v>
          </cell>
          <cell r="D965">
            <v>0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</row>
        <row r="966">
          <cell r="A966">
            <v>1328120922</v>
          </cell>
          <cell r="B966" t="str">
            <v>קידום נוער</v>
          </cell>
          <cell r="C966">
            <v>0</v>
          </cell>
          <cell r="D966">
            <v>0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</row>
        <row r="967">
          <cell r="A967">
            <v>1328120929</v>
          </cell>
          <cell r="B967" t="str">
            <v>הכנ' משרד החינוך</v>
          </cell>
          <cell r="C967">
            <v>-400000</v>
          </cell>
          <cell r="D967">
            <v>-450169</v>
          </cell>
          <cell r="E967">
            <v>0</v>
          </cell>
          <cell r="F967">
            <v>-450169</v>
          </cell>
          <cell r="G967">
            <v>50169</v>
          </cell>
          <cell r="H967">
            <v>112.54</v>
          </cell>
          <cell r="I967">
            <v>-400000</v>
          </cell>
          <cell r="J967">
            <v>-450169</v>
          </cell>
        </row>
        <row r="968">
          <cell r="A968">
            <v>1328130421</v>
          </cell>
          <cell r="B968" t="str">
            <v>הכנסות ממחלקת צעירים</v>
          </cell>
          <cell r="C968">
            <v>-14316</v>
          </cell>
          <cell r="D968">
            <v>-23446</v>
          </cell>
          <cell r="E968">
            <v>0</v>
          </cell>
          <cell r="F968">
            <v>-23446</v>
          </cell>
          <cell r="G968">
            <v>9130</v>
          </cell>
          <cell r="H968">
            <v>163.77000000000001</v>
          </cell>
          <cell r="I968">
            <v>-14316</v>
          </cell>
          <cell r="J968">
            <v>-23446</v>
          </cell>
        </row>
        <row r="969">
          <cell r="A969">
            <v>1328130691</v>
          </cell>
          <cell r="B969" t="str">
            <v>הכנסות ארוע התנדבות</v>
          </cell>
          <cell r="C969">
            <v>-10000</v>
          </cell>
          <cell r="D969">
            <v>0</v>
          </cell>
          <cell r="E969">
            <v>0</v>
          </cell>
          <cell r="F969">
            <v>0</v>
          </cell>
          <cell r="G969">
            <v>-10000</v>
          </cell>
          <cell r="H969">
            <v>0</v>
          </cell>
          <cell r="I969">
            <v>-10000</v>
          </cell>
          <cell r="J969">
            <v>0</v>
          </cell>
        </row>
        <row r="970">
          <cell r="A970">
            <v>1328130970</v>
          </cell>
          <cell r="B970" t="str">
            <v>השת'  משרד הביטחון</v>
          </cell>
          <cell r="C970">
            <v>0</v>
          </cell>
          <cell r="D970">
            <v>-96000</v>
          </cell>
          <cell r="E970">
            <v>0</v>
          </cell>
          <cell r="F970">
            <v>-96000</v>
          </cell>
          <cell r="G970">
            <v>96000</v>
          </cell>
          <cell r="H970">
            <v>0</v>
          </cell>
          <cell r="I970">
            <v>0</v>
          </cell>
          <cell r="J970">
            <v>-96000</v>
          </cell>
        </row>
        <row r="971">
          <cell r="A971">
            <v>1328130971</v>
          </cell>
          <cell r="B971" t="str">
            <v>המשרד לשיוויון חברתי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A972">
            <v>1328200413</v>
          </cell>
          <cell r="B972" t="str">
            <v>דמ"ש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</row>
        <row r="973">
          <cell r="A973">
            <v>1328200420</v>
          </cell>
          <cell r="B973" t="str">
            <v>העברה לבתי ספר</v>
          </cell>
          <cell r="C973">
            <v>0</v>
          </cell>
          <cell r="D973">
            <v>-296432.14</v>
          </cell>
          <cell r="E973">
            <v>0</v>
          </cell>
          <cell r="F973">
            <v>-296432.14</v>
          </cell>
          <cell r="G973">
            <v>296432.14</v>
          </cell>
          <cell r="H973">
            <v>0</v>
          </cell>
          <cell r="I973">
            <v>0</v>
          </cell>
          <cell r="J973">
            <v>-296432.14</v>
          </cell>
        </row>
        <row r="974">
          <cell r="A974">
            <v>1328200491</v>
          </cell>
          <cell r="B974" t="str">
            <v>הכנסות מארועים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A975">
            <v>1328200523</v>
          </cell>
          <cell r="B975" t="str">
            <v>מפעל הפיס-נוער בסיכון</v>
          </cell>
          <cell r="C975">
            <v>-760000</v>
          </cell>
          <cell r="D975">
            <v>0</v>
          </cell>
          <cell r="E975">
            <v>0</v>
          </cell>
          <cell r="F975">
            <v>0</v>
          </cell>
          <cell r="G975">
            <v>-760000</v>
          </cell>
          <cell r="H975">
            <v>0</v>
          </cell>
          <cell r="I975">
            <v>-760000</v>
          </cell>
          <cell r="J975">
            <v>0</v>
          </cell>
        </row>
        <row r="976">
          <cell r="A976">
            <v>1328200640</v>
          </cell>
          <cell r="B976" t="str">
            <v>דמי שכירות</v>
          </cell>
          <cell r="C976">
            <v>0</v>
          </cell>
          <cell r="D976">
            <v>0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</row>
        <row r="977">
          <cell r="A977">
            <v>1328200641</v>
          </cell>
          <cell r="B977" t="str">
            <v>ביטוח-כנגד הוצאות</v>
          </cell>
          <cell r="C977">
            <v>-35300</v>
          </cell>
          <cell r="D977">
            <v>-35300</v>
          </cell>
          <cell r="E977">
            <v>0</v>
          </cell>
          <cell r="F977">
            <v>-35300</v>
          </cell>
          <cell r="G977">
            <v>0</v>
          </cell>
          <cell r="H977">
            <v>100</v>
          </cell>
          <cell r="I977">
            <v>-35300</v>
          </cell>
          <cell r="J977">
            <v>-35300</v>
          </cell>
        </row>
        <row r="978">
          <cell r="A978">
            <v>1328200990</v>
          </cell>
          <cell r="B978" t="str">
            <v>סיבסוד קייטנות בפריפריה</v>
          </cell>
          <cell r="C978">
            <v>0</v>
          </cell>
          <cell r="D978">
            <v>0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</row>
        <row r="979">
          <cell r="A979">
            <v>1328200991</v>
          </cell>
          <cell r="B979" t="str">
            <v>מפעל הפיס-נוער בסיכון</v>
          </cell>
          <cell r="C979">
            <v>0</v>
          </cell>
          <cell r="D979">
            <v>0</v>
          </cell>
          <cell r="E979">
            <v>0</v>
          </cell>
          <cell r="F979">
            <v>0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</row>
        <row r="980">
          <cell r="A980">
            <v>1328240413</v>
          </cell>
          <cell r="B980" t="str">
            <v>דמ"ש</v>
          </cell>
          <cell r="C980">
            <v>0</v>
          </cell>
          <cell r="D980">
            <v>0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</row>
        <row r="981">
          <cell r="A981">
            <v>1328240420</v>
          </cell>
          <cell r="B981" t="str">
            <v>מרכז לאומנויות</v>
          </cell>
          <cell r="C981">
            <v>0</v>
          </cell>
          <cell r="D981">
            <v>0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A982">
            <v>1328240421</v>
          </cell>
          <cell r="B982" t="str">
            <v>קייטנת פסח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</v>
          </cell>
          <cell r="I982">
            <v>0</v>
          </cell>
          <cell r="J982">
            <v>0</v>
          </cell>
        </row>
        <row r="983">
          <cell r="A983">
            <v>1328240422</v>
          </cell>
          <cell r="B983" t="str">
            <v>קייטנת קיץ</v>
          </cell>
          <cell r="C983">
            <v>0</v>
          </cell>
          <cell r="D983">
            <v>0</v>
          </cell>
          <cell r="E983">
            <v>0</v>
          </cell>
          <cell r="F983">
            <v>0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</row>
        <row r="984">
          <cell r="A984">
            <v>1328240425</v>
          </cell>
          <cell r="B984" t="str">
            <v>הכנ' מסדנאות בתי"ס</v>
          </cell>
          <cell r="C984">
            <v>0</v>
          </cell>
          <cell r="D984">
            <v>0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</row>
        <row r="985">
          <cell r="A985">
            <v>1328240427</v>
          </cell>
          <cell r="B985" t="str">
            <v>חוגים בקבלנות</v>
          </cell>
          <cell r="C985">
            <v>0</v>
          </cell>
          <cell r="D985">
            <v>0</v>
          </cell>
          <cell r="E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A986">
            <v>1328240431</v>
          </cell>
          <cell r="B986" t="str">
            <v>חשמל - אומנות דיגיטלית</v>
          </cell>
          <cell r="C986">
            <v>0</v>
          </cell>
          <cell r="D986">
            <v>-17385.11</v>
          </cell>
          <cell r="E986">
            <v>0</v>
          </cell>
          <cell r="F986">
            <v>-17385.11</v>
          </cell>
          <cell r="G986">
            <v>17385.11</v>
          </cell>
          <cell r="H986">
            <v>0</v>
          </cell>
          <cell r="I986">
            <v>0</v>
          </cell>
          <cell r="J986">
            <v>-17385.11</v>
          </cell>
        </row>
        <row r="987">
          <cell r="A987">
            <v>1328240491</v>
          </cell>
          <cell r="B987" t="str">
            <v>ארועים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</row>
        <row r="988">
          <cell r="A988">
            <v>1328240492</v>
          </cell>
          <cell r="B988" t="str">
            <v>חווידע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</row>
        <row r="989">
          <cell r="A989">
            <v>1328240495</v>
          </cell>
          <cell r="B989" t="str">
            <v>הכנסות מהובלות</v>
          </cell>
          <cell r="C989">
            <v>0</v>
          </cell>
          <cell r="D989">
            <v>0</v>
          </cell>
          <cell r="E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A990">
            <v>1328240641</v>
          </cell>
          <cell r="B990" t="str">
            <v>ביטוח-כנגד הוצאות</v>
          </cell>
          <cell r="C990">
            <v>-4400</v>
          </cell>
          <cell r="D990">
            <v>-4400</v>
          </cell>
          <cell r="E990">
            <v>0</v>
          </cell>
          <cell r="F990">
            <v>-4400</v>
          </cell>
          <cell r="G990">
            <v>0</v>
          </cell>
          <cell r="H990">
            <v>100</v>
          </cell>
          <cell r="I990">
            <v>-4400</v>
          </cell>
          <cell r="J990">
            <v>-4400</v>
          </cell>
        </row>
        <row r="991">
          <cell r="A991">
            <v>1328240920</v>
          </cell>
          <cell r="B991" t="str">
            <v>מש' התרבות והספורט</v>
          </cell>
          <cell r="C991">
            <v>0</v>
          </cell>
          <cell r="D991">
            <v>0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</row>
        <row r="992">
          <cell r="A992">
            <v>1329100413</v>
          </cell>
          <cell r="B992" t="str">
            <v>דמ"ש</v>
          </cell>
          <cell r="C992">
            <v>0</v>
          </cell>
          <cell r="D992">
            <v>0</v>
          </cell>
          <cell r="E992">
            <v>0</v>
          </cell>
          <cell r="F992">
            <v>0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</row>
        <row r="993">
          <cell r="A993">
            <v>1329100421</v>
          </cell>
          <cell r="B993" t="str">
            <v>אגודת הישג אליצור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</row>
        <row r="994">
          <cell r="A994">
            <v>1329100423</v>
          </cell>
          <cell r="B994" t="str">
            <v>חוגי ספורט בנוער</v>
          </cell>
          <cell r="C994">
            <v>0</v>
          </cell>
          <cell r="D994">
            <v>0</v>
          </cell>
          <cell r="E994">
            <v>0</v>
          </cell>
          <cell r="F994">
            <v>0</v>
          </cell>
          <cell r="G994">
            <v>0</v>
          </cell>
          <cell r="H994">
            <v>0</v>
          </cell>
          <cell r="I994">
            <v>0</v>
          </cell>
          <cell r="J994">
            <v>0</v>
          </cell>
        </row>
        <row r="995">
          <cell r="A995">
            <v>1329100491</v>
          </cell>
          <cell r="B995" t="str">
            <v>הכנסות מארועים</v>
          </cell>
          <cell r="C995">
            <v>0</v>
          </cell>
          <cell r="D995">
            <v>0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A996">
            <v>1329100641</v>
          </cell>
          <cell r="B996" t="str">
            <v>ביטוח-כנגד הוצאות</v>
          </cell>
          <cell r="C996">
            <v>-43900</v>
          </cell>
          <cell r="D996">
            <v>-43900</v>
          </cell>
          <cell r="E996">
            <v>0</v>
          </cell>
          <cell r="F996">
            <v>-43900</v>
          </cell>
          <cell r="G996">
            <v>0</v>
          </cell>
          <cell r="H996">
            <v>100</v>
          </cell>
          <cell r="I996">
            <v>-43900</v>
          </cell>
          <cell r="J996">
            <v>-43900</v>
          </cell>
        </row>
        <row r="997">
          <cell r="A997">
            <v>1329100652</v>
          </cell>
          <cell r="B997" t="str">
            <v>דמי שימוש באולם</v>
          </cell>
          <cell r="C997">
            <v>-795000</v>
          </cell>
          <cell r="D997">
            <v>-795000</v>
          </cell>
          <cell r="E997">
            <v>0</v>
          </cell>
          <cell r="F997">
            <v>-795000</v>
          </cell>
          <cell r="G997">
            <v>0</v>
          </cell>
          <cell r="H997">
            <v>100</v>
          </cell>
          <cell r="I997">
            <v>-795000</v>
          </cell>
          <cell r="J997">
            <v>-795000</v>
          </cell>
        </row>
        <row r="998">
          <cell r="A998">
            <v>1329100790</v>
          </cell>
          <cell r="B998" t="str">
            <v>אולימפיידת הילדים - טוטו ווינר</v>
          </cell>
          <cell r="C998">
            <v>0</v>
          </cell>
          <cell r="D998">
            <v>0</v>
          </cell>
          <cell r="E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A999">
            <v>1329100920</v>
          </cell>
          <cell r="B999" t="str">
            <v>סל ספורט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</row>
        <row r="1000">
          <cell r="A1000">
            <v>1329100921</v>
          </cell>
          <cell r="B1000" t="str">
            <v>חוגי ספורט</v>
          </cell>
          <cell r="C1000">
            <v>0</v>
          </cell>
          <cell r="D1000">
            <v>0</v>
          </cell>
          <cell r="E1000">
            <v>0</v>
          </cell>
          <cell r="F1000">
            <v>0</v>
          </cell>
          <cell r="G1000">
            <v>0</v>
          </cell>
          <cell r="H1000">
            <v>0</v>
          </cell>
          <cell r="I1000">
            <v>0</v>
          </cell>
          <cell r="J1000">
            <v>0</v>
          </cell>
        </row>
        <row r="1001">
          <cell r="A1001">
            <v>1329100922</v>
          </cell>
          <cell r="B1001" t="str">
            <v>מועדוני ספ' תרבות</v>
          </cell>
          <cell r="C1001">
            <v>0</v>
          </cell>
          <cell r="D1001">
            <v>-85000</v>
          </cell>
          <cell r="E1001">
            <v>0</v>
          </cell>
          <cell r="F1001">
            <v>-85000</v>
          </cell>
          <cell r="G1001">
            <v>85000</v>
          </cell>
          <cell r="H1001">
            <v>0</v>
          </cell>
          <cell r="I1001">
            <v>0</v>
          </cell>
          <cell r="J1001">
            <v>-85000</v>
          </cell>
        </row>
        <row r="1002">
          <cell r="A1002">
            <v>1329100923</v>
          </cell>
          <cell r="B1002" t="str">
            <v>מרכזי מצויינות</v>
          </cell>
          <cell r="C1002">
            <v>0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0</v>
          </cell>
          <cell r="I1002">
            <v>0</v>
          </cell>
          <cell r="J1002">
            <v>0</v>
          </cell>
        </row>
        <row r="1003">
          <cell r="A1003">
            <v>1329100924</v>
          </cell>
          <cell r="B1003" t="str">
            <v>משה"ח-זוזו</v>
          </cell>
          <cell r="C1003">
            <v>0</v>
          </cell>
          <cell r="D1003">
            <v>0</v>
          </cell>
          <cell r="E1003">
            <v>0</v>
          </cell>
          <cell r="F1003">
            <v>0</v>
          </cell>
          <cell r="G1003">
            <v>0</v>
          </cell>
          <cell r="H1003">
            <v>0</v>
          </cell>
          <cell r="I1003">
            <v>0</v>
          </cell>
          <cell r="J1003">
            <v>0</v>
          </cell>
        </row>
        <row r="1004">
          <cell r="A1004">
            <v>1329100925</v>
          </cell>
          <cell r="B1004" t="str">
            <v>אולימפיידת הילדים - טוטו ווינר</v>
          </cell>
          <cell r="C1004">
            <v>0</v>
          </cell>
          <cell r="D1004">
            <v>0</v>
          </cell>
          <cell r="E1004">
            <v>0</v>
          </cell>
          <cell r="F1004">
            <v>0</v>
          </cell>
          <cell r="G1004">
            <v>0</v>
          </cell>
          <cell r="H1004">
            <v>0</v>
          </cell>
          <cell r="I1004">
            <v>0</v>
          </cell>
          <cell r="J1004">
            <v>0</v>
          </cell>
        </row>
        <row r="1005">
          <cell r="A1005">
            <v>1329100990</v>
          </cell>
          <cell r="B1005" t="str">
            <v>סל ספורט</v>
          </cell>
          <cell r="C1005">
            <v>-300700</v>
          </cell>
          <cell r="D1005">
            <v>-372653</v>
          </cell>
          <cell r="E1005">
            <v>0</v>
          </cell>
          <cell r="F1005">
            <v>-372653</v>
          </cell>
          <cell r="G1005">
            <v>71953</v>
          </cell>
          <cell r="H1005">
            <v>123.92</v>
          </cell>
          <cell r="I1005">
            <v>-300700</v>
          </cell>
          <cell r="J1005">
            <v>-372653</v>
          </cell>
        </row>
        <row r="1006">
          <cell r="A1006">
            <v>1329100991</v>
          </cell>
          <cell r="B1006" t="str">
            <v>מועדוני ספ' תרבות</v>
          </cell>
          <cell r="C1006">
            <v>-155000</v>
          </cell>
          <cell r="D1006">
            <v>0</v>
          </cell>
          <cell r="E1006">
            <v>0</v>
          </cell>
          <cell r="F1006">
            <v>0</v>
          </cell>
          <cell r="G1006">
            <v>-155000</v>
          </cell>
          <cell r="H1006">
            <v>0</v>
          </cell>
          <cell r="I1006">
            <v>-155000</v>
          </cell>
          <cell r="J1006">
            <v>0</v>
          </cell>
        </row>
        <row r="1007">
          <cell r="A1007">
            <v>1329100992</v>
          </cell>
          <cell r="B1007" t="str">
            <v>מרכזי מצוינות</v>
          </cell>
          <cell r="C1007">
            <v>-110000</v>
          </cell>
          <cell r="D1007">
            <v>0</v>
          </cell>
          <cell r="E1007">
            <v>0</v>
          </cell>
          <cell r="F1007">
            <v>0</v>
          </cell>
          <cell r="G1007">
            <v>-110000</v>
          </cell>
          <cell r="H1007">
            <v>0</v>
          </cell>
          <cell r="I1007">
            <v>-110000</v>
          </cell>
          <cell r="J1007">
            <v>0</v>
          </cell>
        </row>
        <row r="1008">
          <cell r="A1008">
            <v>1329100993</v>
          </cell>
          <cell r="B1008" t="str">
            <v>פרחי ספורט</v>
          </cell>
          <cell r="C1008">
            <v>0</v>
          </cell>
          <cell r="D1008">
            <v>0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A1009">
            <v>1329200641</v>
          </cell>
          <cell r="B1009" t="str">
            <v>ביטוח-כנגד הוצאות</v>
          </cell>
          <cell r="C1009">
            <v>0</v>
          </cell>
          <cell r="D1009">
            <v>0</v>
          </cell>
          <cell r="E1009">
            <v>0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</row>
        <row r="1010">
          <cell r="A1010">
            <v>1329200650</v>
          </cell>
          <cell r="B1010" t="str">
            <v>אג' ספורט - קיזוז</v>
          </cell>
          <cell r="C1010">
            <v>0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0</v>
          </cell>
          <cell r="I1010">
            <v>0</v>
          </cell>
          <cell r="J1010">
            <v>0</v>
          </cell>
        </row>
        <row r="1011">
          <cell r="A1011">
            <v>1329200651</v>
          </cell>
          <cell r="B1011" t="str">
            <v>השכרת מגרשים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</row>
        <row r="1012">
          <cell r="A1012">
            <v>1329200790</v>
          </cell>
          <cell r="B1012" t="str">
            <v>השת' קרן מתקנים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A1013">
            <v>1329200922</v>
          </cell>
          <cell r="B1013" t="str">
            <v>ציוד מרכז אתלטיקה</v>
          </cell>
          <cell r="C1013">
            <v>0</v>
          </cell>
          <cell r="D1013">
            <v>0</v>
          </cell>
          <cell r="E1013">
            <v>0</v>
          </cell>
          <cell r="F1013">
            <v>0</v>
          </cell>
          <cell r="G1013">
            <v>0</v>
          </cell>
          <cell r="H1013">
            <v>0</v>
          </cell>
          <cell r="I1013">
            <v>0</v>
          </cell>
          <cell r="J1013">
            <v>0</v>
          </cell>
        </row>
        <row r="1014">
          <cell r="A1014">
            <v>1329200923</v>
          </cell>
          <cell r="B1014" t="str">
            <v>הכנסות מרכז אימון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0</v>
          </cell>
          <cell r="I1014">
            <v>0</v>
          </cell>
          <cell r="J1014">
            <v>0</v>
          </cell>
        </row>
        <row r="1015">
          <cell r="A1015">
            <v>1329400423</v>
          </cell>
          <cell r="B1015" t="str">
            <v>מינויים</v>
          </cell>
          <cell r="C1015">
            <v>0</v>
          </cell>
          <cell r="D1015">
            <v>0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</row>
        <row r="1016">
          <cell r="A1016">
            <v>1329400424</v>
          </cell>
          <cell r="B1016" t="str">
            <v>כניסות חד - פעמיות</v>
          </cell>
          <cell r="C1016">
            <v>0</v>
          </cell>
          <cell r="D1016">
            <v>0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</row>
        <row r="1017">
          <cell r="A1017">
            <v>1329400426</v>
          </cell>
          <cell r="B1017" t="str">
            <v>חוגי שחיה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</row>
        <row r="1018">
          <cell r="A1018">
            <v>1329400920</v>
          </cell>
          <cell r="B1018" t="str">
            <v>הכנסות-משרד החינוך</v>
          </cell>
          <cell r="C1018">
            <v>0</v>
          </cell>
          <cell r="D1018">
            <v>0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</row>
        <row r="1019">
          <cell r="A1019">
            <v>1329500420</v>
          </cell>
          <cell r="B1019" t="str">
            <v>חוגי נוער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0</v>
          </cell>
        </row>
        <row r="1020">
          <cell r="A1020">
            <v>1329500421</v>
          </cell>
          <cell r="B1020" t="str">
            <v>קייטנת פסח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</row>
        <row r="1021">
          <cell r="A1021">
            <v>1329500422</v>
          </cell>
          <cell r="B1021" t="str">
            <v>קייטנת קיץ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A1022">
            <v>1329500423</v>
          </cell>
          <cell r="B1022" t="str">
            <v>הכנסות מחוגים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0</v>
          </cell>
        </row>
        <row r="1023">
          <cell r="A1023">
            <v>1329500424</v>
          </cell>
          <cell r="B1023" t="str">
            <v>פעילות חצ"ב</v>
          </cell>
          <cell r="C1023">
            <v>0</v>
          </cell>
          <cell r="D1023">
            <v>0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</row>
        <row r="1024">
          <cell r="A1024">
            <v>1329500425</v>
          </cell>
          <cell r="B1024" t="str">
            <v>הכנ' מועדון הלכים</v>
          </cell>
          <cell r="C1024">
            <v>0</v>
          </cell>
          <cell r="D1024">
            <v>0</v>
          </cell>
          <cell r="E1024">
            <v>0</v>
          </cell>
          <cell r="F1024">
            <v>0</v>
          </cell>
          <cell r="G1024">
            <v>0</v>
          </cell>
          <cell r="H1024">
            <v>0</v>
          </cell>
          <cell r="I1024">
            <v>0</v>
          </cell>
          <cell r="J1024">
            <v>0</v>
          </cell>
        </row>
        <row r="1025">
          <cell r="A1025">
            <v>1329500426</v>
          </cell>
          <cell r="B1025" t="str">
            <v>הכנ' מועדונית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A1026">
            <v>1329500427</v>
          </cell>
          <cell r="B1026" t="str">
            <v>חוגים בקבלנות</v>
          </cell>
          <cell r="C1026">
            <v>0</v>
          </cell>
          <cell r="D1026">
            <v>0</v>
          </cell>
          <cell r="E1026">
            <v>0</v>
          </cell>
          <cell r="F1026">
            <v>0</v>
          </cell>
          <cell r="G1026">
            <v>0</v>
          </cell>
          <cell r="H1026">
            <v>0</v>
          </cell>
          <cell r="I1026">
            <v>0</v>
          </cell>
          <cell r="J1026">
            <v>0</v>
          </cell>
        </row>
        <row r="1027">
          <cell r="A1027">
            <v>1329500428</v>
          </cell>
          <cell r="B1027" t="str">
            <v>הכנסות מארועים</v>
          </cell>
          <cell r="C1027">
            <v>0</v>
          </cell>
          <cell r="D1027">
            <v>0</v>
          </cell>
          <cell r="E1027">
            <v>0</v>
          </cell>
          <cell r="F1027">
            <v>0</v>
          </cell>
          <cell r="G1027">
            <v>0</v>
          </cell>
          <cell r="H1027">
            <v>0</v>
          </cell>
          <cell r="I1027">
            <v>0</v>
          </cell>
          <cell r="J1027">
            <v>0</v>
          </cell>
        </row>
        <row r="1028">
          <cell r="A1028">
            <v>1329500490</v>
          </cell>
          <cell r="B1028" t="str">
            <v>הרקדות</v>
          </cell>
          <cell r="C1028">
            <v>0</v>
          </cell>
          <cell r="D1028">
            <v>0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</row>
        <row r="1029">
          <cell r="A1029">
            <v>1329500493</v>
          </cell>
          <cell r="B1029" t="str">
            <v>הכנסות כנ"פ</v>
          </cell>
          <cell r="C1029">
            <v>0</v>
          </cell>
          <cell r="D1029">
            <v>0</v>
          </cell>
          <cell r="E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A1030">
            <v>1329500641</v>
          </cell>
          <cell r="B1030" t="str">
            <v>ביטוח-כנגד הוצאות</v>
          </cell>
          <cell r="C1030">
            <v>0</v>
          </cell>
          <cell r="D1030">
            <v>0</v>
          </cell>
          <cell r="E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A1031">
            <v>1329500650</v>
          </cell>
          <cell r="B1031" t="str">
            <v>אג' ספורט - קיזוז</v>
          </cell>
          <cell r="C1031">
            <v>0</v>
          </cell>
          <cell r="D1031">
            <v>0</v>
          </cell>
          <cell r="E1031">
            <v>0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</row>
        <row r="1032">
          <cell r="A1032">
            <v>1329500651</v>
          </cell>
          <cell r="B1032" t="str">
            <v>השכרת אולם</v>
          </cell>
          <cell r="C1032">
            <v>0</v>
          </cell>
          <cell r="D1032">
            <v>0</v>
          </cell>
          <cell r="E1032">
            <v>0</v>
          </cell>
          <cell r="F1032">
            <v>0</v>
          </cell>
          <cell r="G1032">
            <v>0</v>
          </cell>
          <cell r="H1032">
            <v>0</v>
          </cell>
          <cell r="I1032">
            <v>0</v>
          </cell>
          <cell r="J1032">
            <v>0</v>
          </cell>
        </row>
        <row r="1033">
          <cell r="A1033">
            <v>1329500652</v>
          </cell>
          <cell r="B1033" t="str">
            <v>דמי שימוש באולם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A1034">
            <v>1329600422</v>
          </cell>
          <cell r="B1034" t="str">
            <v>קייטנת קיץ</v>
          </cell>
          <cell r="C1034">
            <v>0</v>
          </cell>
          <cell r="D1034">
            <v>0</v>
          </cell>
          <cell r="E1034">
            <v>0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</row>
        <row r="1035">
          <cell r="A1035">
            <v>1329600423</v>
          </cell>
          <cell r="B1035" t="str">
            <v>הכנסות מחוגים</v>
          </cell>
          <cell r="C1035">
            <v>0</v>
          </cell>
          <cell r="D1035">
            <v>0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</row>
        <row r="1036">
          <cell r="A1036">
            <v>1329600427</v>
          </cell>
          <cell r="B1036" t="str">
            <v>הכ'-חוגים בקבלנות</v>
          </cell>
          <cell r="C1036">
            <v>0</v>
          </cell>
          <cell r="D1036">
            <v>0</v>
          </cell>
          <cell r="E1036">
            <v>0</v>
          </cell>
          <cell r="F1036">
            <v>0</v>
          </cell>
          <cell r="G1036">
            <v>0</v>
          </cell>
          <cell r="H1036">
            <v>0</v>
          </cell>
          <cell r="I1036">
            <v>0</v>
          </cell>
          <cell r="J1036">
            <v>0</v>
          </cell>
        </row>
        <row r="1037">
          <cell r="A1037">
            <v>1329600428</v>
          </cell>
          <cell r="B1037" t="str">
            <v>הכנסות מארועים</v>
          </cell>
          <cell r="C1037">
            <v>0</v>
          </cell>
          <cell r="D1037">
            <v>0</v>
          </cell>
          <cell r="E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A1038">
            <v>1329600429</v>
          </cell>
          <cell r="B1038" t="str">
            <v>פעולות יחודיות</v>
          </cell>
          <cell r="C1038">
            <v>0</v>
          </cell>
          <cell r="D1038">
            <v>0</v>
          </cell>
          <cell r="E1038">
            <v>0</v>
          </cell>
          <cell r="F1038">
            <v>0</v>
          </cell>
          <cell r="G1038">
            <v>0</v>
          </cell>
          <cell r="H1038">
            <v>0</v>
          </cell>
          <cell r="I1038">
            <v>0</v>
          </cell>
          <cell r="J1038">
            <v>0</v>
          </cell>
        </row>
        <row r="1039">
          <cell r="A1039">
            <v>1329600490</v>
          </cell>
          <cell r="B1039" t="str">
            <v>הרקדות</v>
          </cell>
          <cell r="C1039">
            <v>0</v>
          </cell>
          <cell r="D1039">
            <v>0</v>
          </cell>
          <cell r="E1039">
            <v>0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</row>
        <row r="1040">
          <cell r="A1040">
            <v>1329600492</v>
          </cell>
          <cell r="B1040" t="str">
            <v>הכנסות מאירועים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0</v>
          </cell>
          <cell r="I1040">
            <v>0</v>
          </cell>
          <cell r="J1040">
            <v>0</v>
          </cell>
        </row>
        <row r="1041">
          <cell r="A1041">
            <v>1329600641</v>
          </cell>
          <cell r="B1041" t="str">
            <v>ביטוח-כנגד הוצאות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</row>
        <row r="1042">
          <cell r="A1042">
            <v>1329600650</v>
          </cell>
          <cell r="B1042" t="str">
            <v>אג' ספורט - קיזוז</v>
          </cell>
          <cell r="C1042">
            <v>0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</row>
        <row r="1043">
          <cell r="A1043">
            <v>1329600651</v>
          </cell>
          <cell r="B1043" t="str">
            <v>השכרת אולם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</row>
        <row r="1044">
          <cell r="A1044">
            <v>1329600652</v>
          </cell>
          <cell r="B1044" t="str">
            <v>דמי שימוש באולם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</v>
          </cell>
          <cell r="I1044">
            <v>0</v>
          </cell>
          <cell r="J1044">
            <v>0</v>
          </cell>
        </row>
        <row r="1045">
          <cell r="A1045">
            <v>1329600790</v>
          </cell>
          <cell r="B1045" t="str">
            <v>השתתפות הספורטוטו</v>
          </cell>
          <cell r="C1045">
            <v>0</v>
          </cell>
          <cell r="D1045">
            <v>0</v>
          </cell>
          <cell r="E1045">
            <v>0</v>
          </cell>
          <cell r="F1045">
            <v>0</v>
          </cell>
          <cell r="G1045">
            <v>0</v>
          </cell>
          <cell r="H1045">
            <v>0</v>
          </cell>
          <cell r="I1045">
            <v>0</v>
          </cell>
          <cell r="J1045">
            <v>0</v>
          </cell>
        </row>
        <row r="1046">
          <cell r="A1046">
            <v>1329700420</v>
          </cell>
          <cell r="B1046" t="str">
            <v>הכנסות מטיפולים</v>
          </cell>
          <cell r="C1046">
            <v>0</v>
          </cell>
          <cell r="D1046">
            <v>0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A1047">
            <v>1329700641</v>
          </cell>
          <cell r="B1047" t="str">
            <v>ביטוח-כנגד הוצאות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A1048">
            <v>1329700792</v>
          </cell>
          <cell r="B1048" t="str">
            <v>הכנסות ממוסדות</v>
          </cell>
          <cell r="C1048">
            <v>0</v>
          </cell>
          <cell r="D1048">
            <v>0</v>
          </cell>
          <cell r="E1048">
            <v>0</v>
          </cell>
          <cell r="F1048">
            <v>0</v>
          </cell>
          <cell r="G1048">
            <v>0</v>
          </cell>
          <cell r="H1048">
            <v>0</v>
          </cell>
          <cell r="I1048">
            <v>0</v>
          </cell>
          <cell r="J1048">
            <v>0</v>
          </cell>
        </row>
        <row r="1049">
          <cell r="A1049">
            <v>1329700920</v>
          </cell>
          <cell r="B1049" t="str">
            <v>מזכירות ושרתים</v>
          </cell>
          <cell r="C1049">
            <v>0</v>
          </cell>
          <cell r="D1049">
            <v>0</v>
          </cell>
          <cell r="E1049">
            <v>0</v>
          </cell>
          <cell r="F1049">
            <v>0</v>
          </cell>
          <cell r="G1049">
            <v>0</v>
          </cell>
          <cell r="H1049">
            <v>0</v>
          </cell>
          <cell r="I1049">
            <v>0</v>
          </cell>
          <cell r="J1049">
            <v>0</v>
          </cell>
        </row>
        <row r="1050">
          <cell r="A1050">
            <v>1329800420</v>
          </cell>
          <cell r="B1050" t="str">
            <v>חוגים</v>
          </cell>
          <cell r="C1050">
            <v>0</v>
          </cell>
          <cell r="D1050">
            <v>0</v>
          </cell>
          <cell r="E1050">
            <v>0</v>
          </cell>
          <cell r="F1050">
            <v>0</v>
          </cell>
          <cell r="G1050">
            <v>0</v>
          </cell>
          <cell r="H1050">
            <v>0</v>
          </cell>
          <cell r="I1050">
            <v>0</v>
          </cell>
          <cell r="J1050">
            <v>0</v>
          </cell>
        </row>
        <row r="1051">
          <cell r="A1051">
            <v>1329800422</v>
          </cell>
          <cell r="B1051" t="str">
            <v>קייטנת קיץ</v>
          </cell>
          <cell r="C1051">
            <v>0</v>
          </cell>
          <cell r="D1051">
            <v>0</v>
          </cell>
          <cell r="E1051">
            <v>0</v>
          </cell>
          <cell r="F1051">
            <v>0</v>
          </cell>
          <cell r="G1051">
            <v>0</v>
          </cell>
          <cell r="H1051">
            <v>0</v>
          </cell>
          <cell r="I1051">
            <v>0</v>
          </cell>
          <cell r="J1051">
            <v>0</v>
          </cell>
        </row>
        <row r="1052">
          <cell r="A1052">
            <v>1329800423</v>
          </cell>
          <cell r="B1052" t="str">
            <v>הכנסות מחוגים</v>
          </cell>
          <cell r="C1052">
            <v>0</v>
          </cell>
          <cell r="D1052">
            <v>0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</row>
        <row r="1053">
          <cell r="A1053">
            <v>1329800426</v>
          </cell>
          <cell r="B1053" t="str">
            <v>הכנסות ממועדונית</v>
          </cell>
          <cell r="C1053">
            <v>0</v>
          </cell>
          <cell r="D1053">
            <v>0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A1054">
            <v>1329800427</v>
          </cell>
          <cell r="B1054" t="str">
            <v>חוגים בקבלנות</v>
          </cell>
          <cell r="C1054">
            <v>0</v>
          </cell>
          <cell r="D1054">
            <v>0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</row>
        <row r="1055">
          <cell r="A1055">
            <v>1329800428</v>
          </cell>
          <cell r="B1055" t="str">
            <v>הכנסות מארועים</v>
          </cell>
          <cell r="C1055">
            <v>0</v>
          </cell>
          <cell r="D1055">
            <v>0</v>
          </cell>
          <cell r="E1055">
            <v>0</v>
          </cell>
          <cell r="F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</row>
        <row r="1056">
          <cell r="A1056">
            <v>1329800490</v>
          </cell>
          <cell r="B1056" t="str">
            <v>הרקדות</v>
          </cell>
          <cell r="C1056">
            <v>0</v>
          </cell>
          <cell r="D1056">
            <v>0</v>
          </cell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</row>
        <row r="1057">
          <cell r="A1057">
            <v>1329800641</v>
          </cell>
          <cell r="B1057" t="str">
            <v>ביטוח-כנגד הוצאות</v>
          </cell>
          <cell r="C1057">
            <v>0</v>
          </cell>
          <cell r="D1057">
            <v>0</v>
          </cell>
          <cell r="E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A1058">
            <v>1329800650</v>
          </cell>
          <cell r="B1058" t="str">
            <v>אג' ספורט-קיזוז</v>
          </cell>
          <cell r="C1058">
            <v>0</v>
          </cell>
          <cell r="D1058">
            <v>0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</row>
        <row r="1059">
          <cell r="A1059">
            <v>1329800651</v>
          </cell>
          <cell r="B1059" t="str">
            <v>השכרות</v>
          </cell>
          <cell r="C1059">
            <v>0</v>
          </cell>
          <cell r="D1059">
            <v>0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</row>
        <row r="1060">
          <cell r="A1060">
            <v>1329800652</v>
          </cell>
          <cell r="B1060" t="str">
            <v>דמי שימוש באולם</v>
          </cell>
          <cell r="C1060">
            <v>0</v>
          </cell>
          <cell r="D1060">
            <v>0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A1061">
            <v>1329999423</v>
          </cell>
          <cell r="B1061" t="str">
            <v>קיזוז הכנסות ספורט</v>
          </cell>
          <cell r="C1061">
            <v>0</v>
          </cell>
          <cell r="D1061">
            <v>0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</row>
        <row r="1062">
          <cell r="A1062">
            <v>1335100491</v>
          </cell>
          <cell r="B1062" t="str">
            <v>הכנסות מהשתלמות</v>
          </cell>
          <cell r="C1062">
            <v>0</v>
          </cell>
          <cell r="D1062">
            <v>0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</row>
        <row r="1063">
          <cell r="A1063">
            <v>1335100730</v>
          </cell>
          <cell r="B1063" t="str">
            <v>בדיקת ראדון-בטל"א</v>
          </cell>
          <cell r="C1063">
            <v>0</v>
          </cell>
          <cell r="D1063">
            <v>0</v>
          </cell>
          <cell r="E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A1064">
            <v>1335100790</v>
          </cell>
          <cell r="B1064" t="str">
            <v>השתת עירית בת ים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0</v>
          </cell>
          <cell r="I1064">
            <v>0</v>
          </cell>
          <cell r="J1064">
            <v>0</v>
          </cell>
        </row>
        <row r="1065">
          <cell r="A1065">
            <v>1335100791</v>
          </cell>
          <cell r="B1065" t="str">
            <v>השתתפות קופ"ח מכבי</v>
          </cell>
          <cell r="C1065">
            <v>0</v>
          </cell>
          <cell r="D1065">
            <v>0</v>
          </cell>
          <cell r="E1065">
            <v>0</v>
          </cell>
          <cell r="F1065">
            <v>0</v>
          </cell>
          <cell r="G1065">
            <v>0</v>
          </cell>
          <cell r="H1065">
            <v>0</v>
          </cell>
          <cell r="I1065">
            <v>0</v>
          </cell>
          <cell r="J1065">
            <v>0</v>
          </cell>
        </row>
        <row r="1066">
          <cell r="A1066">
            <v>1341000176</v>
          </cell>
          <cell r="B1066" t="str">
            <v>גביות שונות לחלוקה-רווחה</v>
          </cell>
          <cell r="C1066">
            <v>0</v>
          </cell>
          <cell r="D1066">
            <v>0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A1067">
            <v>1341000341</v>
          </cell>
          <cell r="B1067" t="str">
            <v>.</v>
          </cell>
          <cell r="C1067">
            <v>0</v>
          </cell>
          <cell r="D1067">
            <v>0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</row>
        <row r="1068">
          <cell r="A1068">
            <v>1341000421</v>
          </cell>
          <cell r="B1068" t="str">
            <v>הכנסות עבור יעוץ</v>
          </cell>
          <cell r="C1068">
            <v>-80000</v>
          </cell>
          <cell r="D1068">
            <v>-99553</v>
          </cell>
          <cell r="E1068">
            <v>0</v>
          </cell>
          <cell r="F1068">
            <v>-99553</v>
          </cell>
          <cell r="G1068">
            <v>19553</v>
          </cell>
          <cell r="H1068">
            <v>124.44</v>
          </cell>
          <cell r="I1068">
            <v>-80000</v>
          </cell>
          <cell r="J1068">
            <v>-99553</v>
          </cell>
        </row>
        <row r="1069">
          <cell r="A1069">
            <v>1341000423</v>
          </cell>
          <cell r="B1069" t="str">
            <v>החזר שכר מזכירה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</row>
        <row r="1070">
          <cell r="A1070">
            <v>1341000491</v>
          </cell>
          <cell r="B1070" t="str">
            <v>הכנסות מהשתלמיות</v>
          </cell>
          <cell r="C1070">
            <v>0</v>
          </cell>
          <cell r="D1070">
            <v>0</v>
          </cell>
          <cell r="E1070">
            <v>0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</row>
        <row r="1071">
          <cell r="A1071">
            <v>1341000494</v>
          </cell>
          <cell r="B1071" t="str">
            <v>השתלמות  מרוכזת</v>
          </cell>
          <cell r="C1071">
            <v>0</v>
          </cell>
          <cell r="D1071">
            <v>0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A1072">
            <v>1341000690</v>
          </cell>
          <cell r="B1072" t="str">
            <v>בטל"א-תחזוקה</v>
          </cell>
          <cell r="C1072">
            <v>-35000</v>
          </cell>
          <cell r="D1072">
            <v>-34956</v>
          </cell>
          <cell r="E1072">
            <v>0</v>
          </cell>
          <cell r="F1072">
            <v>-34956</v>
          </cell>
          <cell r="G1072">
            <v>-44</v>
          </cell>
          <cell r="H1072">
            <v>99.87</v>
          </cell>
          <cell r="I1072">
            <v>-35000</v>
          </cell>
          <cell r="J1072">
            <v>-34956</v>
          </cell>
        </row>
        <row r="1073">
          <cell r="A1073">
            <v>1341000696</v>
          </cell>
          <cell r="B1073" t="str">
            <v>הכנסות שונות</v>
          </cell>
          <cell r="C1073">
            <v>-12000</v>
          </cell>
          <cell r="D1073">
            <v>-41118</v>
          </cell>
          <cell r="E1073">
            <v>0</v>
          </cell>
          <cell r="F1073">
            <v>-41118</v>
          </cell>
          <cell r="G1073">
            <v>29118</v>
          </cell>
          <cell r="H1073">
            <v>342.65</v>
          </cell>
          <cell r="I1073">
            <v>-12000</v>
          </cell>
          <cell r="J1073">
            <v>-41118</v>
          </cell>
        </row>
        <row r="1074">
          <cell r="A1074">
            <v>1341000790</v>
          </cell>
          <cell r="B1074" t="str">
            <v>תרומות</v>
          </cell>
          <cell r="C1074">
            <v>0</v>
          </cell>
          <cell r="D1074">
            <v>0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</row>
        <row r="1075">
          <cell r="A1075">
            <v>1341000930</v>
          </cell>
          <cell r="B1075" t="str">
            <v>פעולות ארגוניות</v>
          </cell>
          <cell r="C1075">
            <v>-99000</v>
          </cell>
          <cell r="D1075">
            <v>-90773</v>
          </cell>
          <cell r="E1075">
            <v>0</v>
          </cell>
          <cell r="F1075">
            <v>-90773</v>
          </cell>
          <cell r="G1075">
            <v>-8227</v>
          </cell>
          <cell r="H1075">
            <v>91.68</v>
          </cell>
          <cell r="I1075">
            <v>-99000</v>
          </cell>
          <cell r="J1075">
            <v>-90773</v>
          </cell>
        </row>
        <row r="1076">
          <cell r="A1076">
            <v>1341000932</v>
          </cell>
          <cell r="B1076" t="str">
            <v>הצטיידות מועדוניות</v>
          </cell>
          <cell r="C1076">
            <v>0</v>
          </cell>
          <cell r="D1076">
            <v>0</v>
          </cell>
          <cell r="E1076">
            <v>0</v>
          </cell>
          <cell r="F1076">
            <v>0</v>
          </cell>
          <cell r="G1076">
            <v>0</v>
          </cell>
          <cell r="H1076">
            <v>0</v>
          </cell>
          <cell r="I1076">
            <v>0</v>
          </cell>
          <cell r="J1076">
            <v>0</v>
          </cell>
        </row>
        <row r="1077">
          <cell r="A1077">
            <v>1341000933</v>
          </cell>
          <cell r="B1077" t="str">
            <v>הוצאות ארגוניות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</row>
        <row r="1078">
          <cell r="A1078">
            <v>1341000934</v>
          </cell>
          <cell r="B1078" t="str">
            <v>שכר עובדים</v>
          </cell>
          <cell r="C1078">
            <v>-1740000</v>
          </cell>
          <cell r="D1078">
            <v>-1746309</v>
          </cell>
          <cell r="E1078">
            <v>0</v>
          </cell>
          <cell r="F1078">
            <v>-1746309</v>
          </cell>
          <cell r="G1078">
            <v>6309</v>
          </cell>
          <cell r="H1078">
            <v>100.36</v>
          </cell>
          <cell r="I1078">
            <v>-1740000</v>
          </cell>
          <cell r="J1078">
            <v>-1746309</v>
          </cell>
        </row>
        <row r="1079">
          <cell r="A1079">
            <v>1341000935</v>
          </cell>
          <cell r="B1079" t="str">
            <v>מאבטחים-רווחה</v>
          </cell>
          <cell r="C1079">
            <v>-284425</v>
          </cell>
          <cell r="D1079">
            <v>-290379</v>
          </cell>
          <cell r="E1079">
            <v>0</v>
          </cell>
          <cell r="F1079">
            <v>-290379</v>
          </cell>
          <cell r="G1079">
            <v>5954</v>
          </cell>
          <cell r="H1079">
            <v>102.09</v>
          </cell>
          <cell r="I1079">
            <v>-284425</v>
          </cell>
          <cell r="J1079">
            <v>-290379</v>
          </cell>
        </row>
        <row r="1080">
          <cell r="A1080">
            <v>1341000936</v>
          </cell>
          <cell r="B1080" t="str">
            <v>הכנסות שונות</v>
          </cell>
          <cell r="C1080">
            <v>0</v>
          </cell>
          <cell r="D1080">
            <v>0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</row>
        <row r="1081">
          <cell r="A1081">
            <v>1341000937</v>
          </cell>
          <cell r="B1081" t="str">
            <v>הערכות לחירום</v>
          </cell>
          <cell r="C1081">
            <v>-57000</v>
          </cell>
          <cell r="D1081">
            <v>0</v>
          </cell>
          <cell r="E1081">
            <v>0</v>
          </cell>
          <cell r="F1081">
            <v>0</v>
          </cell>
          <cell r="G1081">
            <v>-57000</v>
          </cell>
          <cell r="H1081">
            <v>0</v>
          </cell>
          <cell r="I1081">
            <v>-57000</v>
          </cell>
          <cell r="J1081">
            <v>0</v>
          </cell>
        </row>
        <row r="1082">
          <cell r="A1082">
            <v>1341000938</v>
          </cell>
          <cell r="B1082" t="str">
            <v>חליפת מיגון</v>
          </cell>
          <cell r="C1082">
            <v>-60000</v>
          </cell>
          <cell r="D1082">
            <v>-56178</v>
          </cell>
          <cell r="E1082">
            <v>0</v>
          </cell>
          <cell r="F1082">
            <v>-56178</v>
          </cell>
          <cell r="G1082">
            <v>-3822</v>
          </cell>
          <cell r="H1082">
            <v>93.63</v>
          </cell>
          <cell r="I1082">
            <v>-60000</v>
          </cell>
          <cell r="J1082">
            <v>-56178</v>
          </cell>
        </row>
        <row r="1083">
          <cell r="A1083">
            <v>1341000944</v>
          </cell>
          <cell r="B1083" t="str">
            <v>החזר הבראה ויובל</v>
          </cell>
          <cell r="C1083">
            <v>0</v>
          </cell>
          <cell r="D1083">
            <v>0</v>
          </cell>
          <cell r="E1083">
            <v>0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</row>
        <row r="1084">
          <cell r="A1084">
            <v>1342500421</v>
          </cell>
          <cell r="B1084" t="str">
            <v>השתתפות פונים</v>
          </cell>
          <cell r="C1084">
            <v>-5000</v>
          </cell>
          <cell r="D1084">
            <v>-33359</v>
          </cell>
          <cell r="E1084">
            <v>0</v>
          </cell>
          <cell r="F1084">
            <v>-33359</v>
          </cell>
          <cell r="G1084">
            <v>28359</v>
          </cell>
          <cell r="H1084">
            <v>667.18</v>
          </cell>
          <cell r="I1084">
            <v>-5000</v>
          </cell>
          <cell r="J1084">
            <v>-33359</v>
          </cell>
        </row>
        <row r="1085">
          <cell r="A1085">
            <v>1342500422</v>
          </cell>
          <cell r="B1085" t="str">
            <v>תאום הורי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</row>
        <row r="1086">
          <cell r="A1086">
            <v>1342500423</v>
          </cell>
          <cell r="B1086" t="str">
            <v>השת'-טיפול באלימות</v>
          </cell>
          <cell r="C1086">
            <v>-17000</v>
          </cell>
          <cell r="D1086">
            <v>-23410</v>
          </cell>
          <cell r="E1086">
            <v>0</v>
          </cell>
          <cell r="F1086">
            <v>-23410</v>
          </cell>
          <cell r="G1086">
            <v>6410</v>
          </cell>
          <cell r="H1086">
            <v>137.69999999999999</v>
          </cell>
          <cell r="I1086">
            <v>-17000</v>
          </cell>
          <cell r="J1086">
            <v>-23410</v>
          </cell>
        </row>
        <row r="1087">
          <cell r="A1087">
            <v>1342500690</v>
          </cell>
          <cell r="B1087" t="str">
            <v>החזר יתרות ממוסדות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A1088">
            <v>1342500791</v>
          </cell>
          <cell r="B1088" t="str">
            <v>אג'לשיקום האסיר50%</v>
          </cell>
          <cell r="C1088">
            <v>-135000</v>
          </cell>
          <cell r="D1088">
            <v>-135000</v>
          </cell>
          <cell r="E1088">
            <v>0</v>
          </cell>
          <cell r="F1088">
            <v>-135000</v>
          </cell>
          <cell r="G1088">
            <v>0</v>
          </cell>
          <cell r="H1088">
            <v>100</v>
          </cell>
          <cell r="I1088">
            <v>-135000</v>
          </cell>
          <cell r="J1088">
            <v>-135000</v>
          </cell>
        </row>
        <row r="1089">
          <cell r="A1089">
            <v>1342500931</v>
          </cell>
          <cell r="B1089" t="str">
            <v>משפחות במצוקה</v>
          </cell>
          <cell r="C1089">
            <v>-444400</v>
          </cell>
          <cell r="D1089">
            <v>-352976</v>
          </cell>
          <cell r="E1089">
            <v>0</v>
          </cell>
          <cell r="F1089">
            <v>-352976</v>
          </cell>
          <cell r="G1089">
            <v>-91424</v>
          </cell>
          <cell r="H1089">
            <v>79.42</v>
          </cell>
          <cell r="I1089">
            <v>-444400</v>
          </cell>
          <cell r="J1089">
            <v>-352976</v>
          </cell>
        </row>
        <row r="1090">
          <cell r="A1090">
            <v>1342500932</v>
          </cell>
          <cell r="B1090" t="str">
            <v>עולים במצוקה</v>
          </cell>
          <cell r="C1090">
            <v>-60000</v>
          </cell>
          <cell r="D1090">
            <v>-32820</v>
          </cell>
          <cell r="E1090">
            <v>0</v>
          </cell>
          <cell r="F1090">
            <v>-32820</v>
          </cell>
          <cell r="G1090">
            <v>-27180</v>
          </cell>
          <cell r="H1090">
            <v>54.7</v>
          </cell>
          <cell r="I1090">
            <v>-60000</v>
          </cell>
          <cell r="J1090">
            <v>-32820</v>
          </cell>
        </row>
        <row r="1091">
          <cell r="A1091">
            <v>1342500933</v>
          </cell>
          <cell r="B1091" t="str">
            <v>פגיעות מיניות</v>
          </cell>
          <cell r="C1091">
            <v>-233600</v>
          </cell>
          <cell r="D1091">
            <v>-269748</v>
          </cell>
          <cell r="E1091">
            <v>0</v>
          </cell>
          <cell r="F1091">
            <v>-269748</v>
          </cell>
          <cell r="G1091">
            <v>36148</v>
          </cell>
          <cell r="H1091">
            <v>115.47</v>
          </cell>
          <cell r="I1091">
            <v>-233600</v>
          </cell>
          <cell r="J1091">
            <v>-269748</v>
          </cell>
        </row>
        <row r="1092">
          <cell r="A1092">
            <v>1342500934</v>
          </cell>
          <cell r="B1092" t="str">
            <v>שכר משפחה</v>
          </cell>
          <cell r="C1092">
            <v>-18989700</v>
          </cell>
          <cell r="D1092">
            <v>-16328575</v>
          </cell>
          <cell r="E1092">
            <v>0</v>
          </cell>
          <cell r="F1092">
            <v>-16328575</v>
          </cell>
          <cell r="G1092">
            <v>-2661125</v>
          </cell>
          <cell r="H1092">
            <v>85.98</v>
          </cell>
          <cell r="I1092">
            <v>-18989700</v>
          </cell>
          <cell r="J1092">
            <v>-16328575</v>
          </cell>
        </row>
        <row r="1093">
          <cell r="A1093">
            <v>1342500935</v>
          </cell>
          <cell r="B1093" t="str">
            <v>מ.הבריאות-טיפות חלב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A1094">
            <v>1342500936</v>
          </cell>
          <cell r="B1094" t="str">
            <v>טיפול בשורדות זנות</v>
          </cell>
          <cell r="C1094">
            <v>-190000</v>
          </cell>
          <cell r="D1094">
            <v>-40739</v>
          </cell>
          <cell r="E1094">
            <v>0</v>
          </cell>
          <cell r="F1094">
            <v>-40739</v>
          </cell>
          <cell r="G1094">
            <v>-149261</v>
          </cell>
          <cell r="H1094">
            <v>21.44</v>
          </cell>
          <cell r="I1094">
            <v>-190000</v>
          </cell>
          <cell r="J1094">
            <v>-40739</v>
          </cell>
        </row>
        <row r="1095">
          <cell r="A1095">
            <v>1342500937</v>
          </cell>
          <cell r="B1095" t="str">
            <v>מרכז קשר</v>
          </cell>
          <cell r="C1095">
            <v>-192800</v>
          </cell>
          <cell r="D1095">
            <v>-210320</v>
          </cell>
          <cell r="E1095">
            <v>0</v>
          </cell>
          <cell r="F1095">
            <v>-210320</v>
          </cell>
          <cell r="G1095">
            <v>17520</v>
          </cell>
          <cell r="H1095">
            <v>109.08</v>
          </cell>
          <cell r="I1095">
            <v>-192800</v>
          </cell>
          <cell r="J1095">
            <v>-210320</v>
          </cell>
        </row>
        <row r="1096">
          <cell r="A1096">
            <v>1342500938</v>
          </cell>
          <cell r="B1096" t="str">
            <v>בית הויס   1026080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A1097">
            <v>1342500939</v>
          </cell>
          <cell r="B1097" t="str">
            <v>שירותים בקהילה</v>
          </cell>
          <cell r="C1097">
            <v>-434000</v>
          </cell>
          <cell r="D1097">
            <v>-155376</v>
          </cell>
          <cell r="E1097">
            <v>0</v>
          </cell>
          <cell r="F1097">
            <v>-155376</v>
          </cell>
          <cell r="G1097">
            <v>-278624</v>
          </cell>
          <cell r="H1097">
            <v>35.799999999999997</v>
          </cell>
          <cell r="I1097">
            <v>-434000</v>
          </cell>
          <cell r="J1097">
            <v>-155376</v>
          </cell>
        </row>
        <row r="1098">
          <cell r="A1098">
            <v>1342500940</v>
          </cell>
          <cell r="B1098" t="str">
            <v>דרי רחוב</v>
          </cell>
          <cell r="C1098">
            <v>-375000</v>
          </cell>
          <cell r="D1098">
            <v>-536617</v>
          </cell>
          <cell r="E1098">
            <v>0</v>
          </cell>
          <cell r="F1098">
            <v>-536617</v>
          </cell>
          <cell r="G1098">
            <v>161617</v>
          </cell>
          <cell r="H1098">
            <v>143.09</v>
          </cell>
          <cell r="I1098">
            <v>-375000</v>
          </cell>
          <cell r="J1098">
            <v>-536617</v>
          </cell>
        </row>
        <row r="1099">
          <cell r="A1099">
            <v>1342500941</v>
          </cell>
          <cell r="B1099" t="str">
            <v>מרכז טיפול באלימות</v>
          </cell>
          <cell r="C1099">
            <v>-455000</v>
          </cell>
          <cell r="D1099">
            <v>-262384</v>
          </cell>
          <cell r="E1099">
            <v>0</v>
          </cell>
          <cell r="F1099">
            <v>-262384</v>
          </cell>
          <cell r="G1099">
            <v>-192616</v>
          </cell>
          <cell r="H1099">
            <v>57.66</v>
          </cell>
          <cell r="I1099">
            <v>-455000</v>
          </cell>
          <cell r="J1099">
            <v>-262384</v>
          </cell>
        </row>
        <row r="1100">
          <cell r="A1100">
            <v>1342500942</v>
          </cell>
          <cell r="B1100" t="str">
            <v>מקלט לנשים מוכות</v>
          </cell>
          <cell r="C1100">
            <v>-750000</v>
          </cell>
          <cell r="D1100">
            <v>-533005</v>
          </cell>
          <cell r="E1100">
            <v>0</v>
          </cell>
          <cell r="F1100">
            <v>-533005</v>
          </cell>
          <cell r="G1100">
            <v>-216995</v>
          </cell>
          <cell r="H1100">
            <v>71.06</v>
          </cell>
          <cell r="I1100">
            <v>-750000</v>
          </cell>
          <cell r="J1100">
            <v>-533005</v>
          </cell>
        </row>
        <row r="1101">
          <cell r="A1101">
            <v>1342500944</v>
          </cell>
          <cell r="B1101" t="str">
            <v>טיפול בדיירי רחוב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</row>
        <row r="1102">
          <cell r="A1102">
            <v>1342500945</v>
          </cell>
          <cell r="B1102" t="str">
            <v>תרגום שפה-פגישות חוק נוער</v>
          </cell>
          <cell r="C1102">
            <v>-37500</v>
          </cell>
          <cell r="D1102">
            <v>-310</v>
          </cell>
          <cell r="E1102">
            <v>0</v>
          </cell>
          <cell r="F1102">
            <v>-310</v>
          </cell>
          <cell r="G1102">
            <v>-37190</v>
          </cell>
          <cell r="H1102">
            <v>0.82</v>
          </cell>
          <cell r="I1102">
            <v>-37500</v>
          </cell>
          <cell r="J1102">
            <v>-310</v>
          </cell>
        </row>
        <row r="1103">
          <cell r="A1103">
            <v>1342500946</v>
          </cell>
          <cell r="B1103" t="str">
            <v>חומש אתיופים-פעולות</v>
          </cell>
          <cell r="C1103">
            <v>-184000</v>
          </cell>
          <cell r="D1103">
            <v>-160126</v>
          </cell>
          <cell r="E1103">
            <v>0</v>
          </cell>
          <cell r="F1103">
            <v>-160126</v>
          </cell>
          <cell r="G1103">
            <v>-23874</v>
          </cell>
          <cell r="H1103">
            <v>87.02</v>
          </cell>
          <cell r="I1103">
            <v>-184000</v>
          </cell>
          <cell r="J1103">
            <v>-160126</v>
          </cell>
        </row>
        <row r="1104">
          <cell r="A1104">
            <v>1342500949</v>
          </cell>
          <cell r="B1104" t="str">
            <v>טיפול באובדן ושכול</v>
          </cell>
          <cell r="C1104">
            <v>-87000</v>
          </cell>
          <cell r="D1104">
            <v>-58371</v>
          </cell>
          <cell r="E1104">
            <v>0</v>
          </cell>
          <cell r="F1104">
            <v>-58371</v>
          </cell>
          <cell r="G1104">
            <v>-28629</v>
          </cell>
          <cell r="H1104">
            <v>67.09</v>
          </cell>
          <cell r="I1104">
            <v>-87000</v>
          </cell>
          <cell r="J1104">
            <v>-58371</v>
          </cell>
        </row>
        <row r="1105">
          <cell r="A1105">
            <v>1342500954</v>
          </cell>
          <cell r="B1105" t="str">
            <v>עובד קהילתי-קליטה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</row>
        <row r="1106">
          <cell r="A1106">
            <v>1342600421</v>
          </cell>
          <cell r="B1106" t="str">
            <v>הכנסות עבור יעוץ</v>
          </cell>
          <cell r="C1106">
            <v>0</v>
          </cell>
          <cell r="D1106">
            <v>0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A1107">
            <v>1342600423</v>
          </cell>
          <cell r="B1107" t="str">
            <v>החזר שכר מזכירה</v>
          </cell>
          <cell r="C1107">
            <v>0</v>
          </cell>
          <cell r="D1107">
            <v>0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</row>
        <row r="1108">
          <cell r="A1108">
            <v>1342600931</v>
          </cell>
          <cell r="B1108" t="str">
            <v>מרכז אלימות</v>
          </cell>
          <cell r="C1108">
            <v>0</v>
          </cell>
          <cell r="D1108">
            <v>0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</row>
        <row r="1109">
          <cell r="A1109">
            <v>1342600932</v>
          </cell>
          <cell r="B1109" t="str">
            <v>מקלט לנשים מוכות</v>
          </cell>
          <cell r="C1109">
            <v>0</v>
          </cell>
          <cell r="D1109">
            <v>0</v>
          </cell>
          <cell r="E1109">
            <v>0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</row>
        <row r="1110">
          <cell r="A1110">
            <v>1342600934</v>
          </cell>
          <cell r="B1110" t="str">
            <v>שכר עובדים</v>
          </cell>
          <cell r="C1110">
            <v>0</v>
          </cell>
          <cell r="D1110">
            <v>0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A1111">
            <v>1343800421</v>
          </cell>
          <cell r="B1111" t="str">
            <v>ילד בפנמיות</v>
          </cell>
          <cell r="C1111">
            <v>-315000</v>
          </cell>
          <cell r="D1111">
            <v>-367979.6</v>
          </cell>
          <cell r="E1111">
            <v>0</v>
          </cell>
          <cell r="F1111">
            <v>-367979.6</v>
          </cell>
          <cell r="G1111">
            <v>52979.6</v>
          </cell>
          <cell r="H1111">
            <v>116.81</v>
          </cell>
          <cell r="I1111">
            <v>-315000</v>
          </cell>
          <cell r="J1111">
            <v>-367979.6</v>
          </cell>
        </row>
        <row r="1112">
          <cell r="A1112">
            <v>1343800422</v>
          </cell>
          <cell r="B1112" t="str">
            <v>הכנסות פנדה</v>
          </cell>
          <cell r="C1112">
            <v>-70000</v>
          </cell>
          <cell r="D1112">
            <v>-79230</v>
          </cell>
          <cell r="E1112">
            <v>0</v>
          </cell>
          <cell r="F1112">
            <v>-79230</v>
          </cell>
          <cell r="G1112">
            <v>9230</v>
          </cell>
          <cell r="H1112">
            <v>113.18</v>
          </cell>
          <cell r="I1112">
            <v>-70000</v>
          </cell>
          <cell r="J1112">
            <v>-79230</v>
          </cell>
        </row>
        <row r="1113">
          <cell r="A1113">
            <v>1343800812</v>
          </cell>
          <cell r="B1113" t="str">
            <v>ילד פנימיות</v>
          </cell>
          <cell r="C1113">
            <v>0</v>
          </cell>
          <cell r="D1113">
            <v>0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</row>
        <row r="1114">
          <cell r="A1114">
            <v>1343800920</v>
          </cell>
          <cell r="B1114" t="str">
            <v>נוער חרדי</v>
          </cell>
          <cell r="C1114">
            <v>-470000</v>
          </cell>
          <cell r="D1114">
            <v>-482888</v>
          </cell>
          <cell r="E1114">
            <v>0</v>
          </cell>
          <cell r="F1114">
            <v>-482888</v>
          </cell>
          <cell r="G1114">
            <v>12888</v>
          </cell>
          <cell r="H1114">
            <v>102.74</v>
          </cell>
          <cell r="I1114">
            <v>-470000</v>
          </cell>
          <cell r="J1114">
            <v>-482888</v>
          </cell>
        </row>
        <row r="1115">
          <cell r="A1115">
            <v>1343800931</v>
          </cell>
          <cell r="B1115" t="str">
            <v>ילד בפנמיות</v>
          </cell>
          <cell r="C1115">
            <v>-13600000</v>
          </cell>
          <cell r="D1115">
            <v>-13911123</v>
          </cell>
          <cell r="E1115">
            <v>0</v>
          </cell>
          <cell r="F1115">
            <v>-13911123</v>
          </cell>
          <cell r="G1115">
            <v>311123</v>
          </cell>
          <cell r="H1115">
            <v>102.28</v>
          </cell>
          <cell r="I1115">
            <v>-13600000</v>
          </cell>
          <cell r="J1115">
            <v>-13911123</v>
          </cell>
        </row>
        <row r="1116">
          <cell r="A1116">
            <v>1343800932</v>
          </cell>
          <cell r="B1116" t="str">
            <v>ילד פנימיות</v>
          </cell>
          <cell r="C1116">
            <v>-1575000</v>
          </cell>
          <cell r="D1116">
            <v>-359946</v>
          </cell>
          <cell r="E1116">
            <v>0</v>
          </cell>
          <cell r="F1116">
            <v>-359946</v>
          </cell>
          <cell r="G1116">
            <v>-1215054</v>
          </cell>
          <cell r="H1116">
            <v>22.85</v>
          </cell>
          <cell r="I1116">
            <v>-1575000</v>
          </cell>
          <cell r="J1116">
            <v>-359946</v>
          </cell>
        </row>
        <row r="1117">
          <cell r="A1117">
            <v>1343800933</v>
          </cell>
          <cell r="B1117" t="str">
            <v>מעונות יום 0422143</v>
          </cell>
          <cell r="C1117">
            <v>0</v>
          </cell>
          <cell r="D1117">
            <v>0</v>
          </cell>
          <cell r="E1117">
            <v>0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</row>
        <row r="1118">
          <cell r="A1118">
            <v>1343800934</v>
          </cell>
          <cell r="B1118" t="str">
            <v>שכר עובדים 1013410</v>
          </cell>
          <cell r="C1118">
            <v>0</v>
          </cell>
          <cell r="D1118">
            <v>0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</row>
        <row r="1119">
          <cell r="A1119">
            <v>1343800935</v>
          </cell>
          <cell r="B1119" t="str">
            <v>ילד במעונות</v>
          </cell>
          <cell r="C1119">
            <v>-4650000</v>
          </cell>
          <cell r="D1119">
            <v>-4145185</v>
          </cell>
          <cell r="E1119">
            <v>0</v>
          </cell>
          <cell r="F1119">
            <v>-4145185</v>
          </cell>
          <cell r="G1119">
            <v>-504815</v>
          </cell>
          <cell r="H1119">
            <v>89.14</v>
          </cell>
          <cell r="I1119">
            <v>-4650000</v>
          </cell>
          <cell r="J1119">
            <v>-4145185</v>
          </cell>
        </row>
        <row r="1120">
          <cell r="A1120">
            <v>1343800936</v>
          </cell>
          <cell r="B1120" t="str">
            <v>משפחתון 0422131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</row>
        <row r="1121">
          <cell r="A1121">
            <v>1343800937</v>
          </cell>
          <cell r="B1121" t="str">
            <v>משפחות וילדים בקהילה</v>
          </cell>
          <cell r="C1121">
            <v>-2140600</v>
          </cell>
          <cell r="D1121">
            <v>-2409249</v>
          </cell>
          <cell r="E1121">
            <v>0</v>
          </cell>
          <cell r="F1121">
            <v>-2409249</v>
          </cell>
          <cell r="G1121">
            <v>268649</v>
          </cell>
          <cell r="H1121">
            <v>112.55</v>
          </cell>
          <cell r="I1121">
            <v>-2140600</v>
          </cell>
          <cell r="J1121">
            <v>-2409249</v>
          </cell>
        </row>
        <row r="1122">
          <cell r="A1122">
            <v>1343800938</v>
          </cell>
          <cell r="B1122" t="str">
            <v>מפתן ממשלתי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</row>
        <row r="1123">
          <cell r="A1123">
            <v>1343800939</v>
          </cell>
          <cell r="B1123" t="str">
            <v>מפתן מקומי</v>
          </cell>
          <cell r="C1123">
            <v>-210000</v>
          </cell>
          <cell r="D1123">
            <v>-139412</v>
          </cell>
          <cell r="E1123">
            <v>0</v>
          </cell>
          <cell r="F1123">
            <v>-139412</v>
          </cell>
          <cell r="G1123">
            <v>-70588</v>
          </cell>
          <cell r="H1123">
            <v>66.38</v>
          </cell>
          <cell r="I1123">
            <v>-210000</v>
          </cell>
          <cell r="J1123">
            <v>-139412</v>
          </cell>
        </row>
        <row r="1124">
          <cell r="A1124">
            <v>1343800941</v>
          </cell>
          <cell r="B1124" t="str">
            <v>תכנית לאומית לילדים בסיכון</v>
          </cell>
          <cell r="C1124">
            <v>-2626800</v>
          </cell>
          <cell r="D1124">
            <v>-2558209</v>
          </cell>
          <cell r="E1124">
            <v>0</v>
          </cell>
          <cell r="F1124">
            <v>-2558209</v>
          </cell>
          <cell r="G1124">
            <v>-68591</v>
          </cell>
          <cell r="H1124">
            <v>97.38</v>
          </cell>
          <cell r="I1124">
            <v>-2626800</v>
          </cell>
          <cell r="J1124">
            <v>-2558209</v>
          </cell>
        </row>
        <row r="1125">
          <cell r="A1125">
            <v>1343800942</v>
          </cell>
          <cell r="B1125" t="str">
            <v>מרכז חכ"ם</v>
          </cell>
          <cell r="C1125">
            <v>-675000</v>
          </cell>
          <cell r="D1125">
            <v>0</v>
          </cell>
          <cell r="E1125">
            <v>0</v>
          </cell>
          <cell r="F1125">
            <v>0</v>
          </cell>
          <cell r="G1125">
            <v>-675000</v>
          </cell>
          <cell r="H1125">
            <v>0</v>
          </cell>
          <cell r="I1125">
            <v>-675000</v>
          </cell>
          <cell r="J1125">
            <v>0</v>
          </cell>
        </row>
        <row r="1126">
          <cell r="A1126">
            <v>1343800943</v>
          </cell>
          <cell r="B1126" t="str">
            <v>חולון 360 שנים קודמות</v>
          </cell>
          <cell r="C1126">
            <v>-1458000</v>
          </cell>
          <cell r="D1126">
            <v>-1517520</v>
          </cell>
          <cell r="E1126">
            <v>0</v>
          </cell>
          <cell r="F1126">
            <v>-1517520</v>
          </cell>
          <cell r="G1126">
            <v>59520</v>
          </cell>
          <cell r="H1126">
            <v>104.08</v>
          </cell>
          <cell r="I1126">
            <v>-1458000</v>
          </cell>
          <cell r="J1126">
            <v>-1517520</v>
          </cell>
        </row>
        <row r="1127">
          <cell r="A1127">
            <v>1343800988</v>
          </cell>
          <cell r="B1127" t="str">
            <v>תוכניות טיפול בעולים</v>
          </cell>
          <cell r="C1127">
            <v>-176600</v>
          </cell>
          <cell r="D1127">
            <v>0</v>
          </cell>
          <cell r="E1127">
            <v>0</v>
          </cell>
          <cell r="F1127">
            <v>0</v>
          </cell>
          <cell r="G1127">
            <v>-176600</v>
          </cell>
          <cell r="H1127">
            <v>0</v>
          </cell>
          <cell r="I1127">
            <v>-176600</v>
          </cell>
          <cell r="J1127">
            <v>0</v>
          </cell>
        </row>
        <row r="1128">
          <cell r="A1128">
            <v>1343800990</v>
          </cell>
          <cell r="B1128" t="str">
            <v>שכר עובדים משרד התמ"ת</v>
          </cell>
          <cell r="C1128">
            <v>0</v>
          </cell>
          <cell r="D1128">
            <v>0</v>
          </cell>
          <cell r="E1128">
            <v>0</v>
          </cell>
          <cell r="F1128">
            <v>0</v>
          </cell>
          <cell r="G1128">
            <v>0</v>
          </cell>
          <cell r="H1128">
            <v>0</v>
          </cell>
          <cell r="I1128">
            <v>0</v>
          </cell>
          <cell r="J1128">
            <v>0</v>
          </cell>
        </row>
        <row r="1129">
          <cell r="A1129">
            <v>1343800991</v>
          </cell>
          <cell r="B1129" t="str">
            <v>משפחתון ילדי רווחה</v>
          </cell>
          <cell r="C1129">
            <v>0</v>
          </cell>
          <cell r="D1129">
            <v>0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</row>
        <row r="1130">
          <cell r="A1130">
            <v>1343800992</v>
          </cell>
          <cell r="B1130" t="str">
            <v>ילדים סיכון1039480</v>
          </cell>
          <cell r="C1130">
            <v>0</v>
          </cell>
          <cell r="D1130">
            <v>0</v>
          </cell>
          <cell r="E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A1131">
            <v>1343800993</v>
          </cell>
          <cell r="B1131" t="str">
            <v>ילדים במצוקה</v>
          </cell>
          <cell r="C1131">
            <v>0</v>
          </cell>
          <cell r="D1131">
            <v>0</v>
          </cell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</row>
        <row r="1132">
          <cell r="A1132">
            <v>1343800994</v>
          </cell>
          <cell r="B1132" t="str">
            <v>מועד'משותפ'</v>
          </cell>
          <cell r="C1132">
            <v>-750000</v>
          </cell>
          <cell r="D1132">
            <v>-728423</v>
          </cell>
          <cell r="E1132">
            <v>0</v>
          </cell>
          <cell r="F1132">
            <v>-728423</v>
          </cell>
          <cell r="G1132">
            <v>-21577</v>
          </cell>
          <cell r="H1132">
            <v>97.12</v>
          </cell>
          <cell r="I1132">
            <v>-750000</v>
          </cell>
          <cell r="J1132">
            <v>-728423</v>
          </cell>
        </row>
        <row r="1133">
          <cell r="A1133">
            <v>1343800995</v>
          </cell>
          <cell r="B1133" t="str">
            <v>הפנים לקהילה</v>
          </cell>
          <cell r="C1133">
            <v>-1272000</v>
          </cell>
          <cell r="D1133">
            <v>-1023742</v>
          </cell>
          <cell r="E1133">
            <v>0</v>
          </cell>
          <cell r="F1133">
            <v>-1023742</v>
          </cell>
          <cell r="G1133">
            <v>-248258</v>
          </cell>
          <cell r="H1133">
            <v>80.48</v>
          </cell>
          <cell r="I1133">
            <v>-1272000</v>
          </cell>
          <cell r="J1133">
            <v>-1023742</v>
          </cell>
        </row>
        <row r="1134">
          <cell r="A1134">
            <v>1343800996</v>
          </cell>
          <cell r="B1134" t="str">
            <v>טיפול במשפחות אומנה</v>
          </cell>
          <cell r="C1134">
            <v>-1323100</v>
          </cell>
          <cell r="D1134">
            <v>-1324053</v>
          </cell>
          <cell r="E1134">
            <v>0</v>
          </cell>
          <cell r="F1134">
            <v>-1324053</v>
          </cell>
          <cell r="G1134">
            <v>953</v>
          </cell>
          <cell r="H1134">
            <v>100.07</v>
          </cell>
          <cell r="I1134">
            <v>-1323100</v>
          </cell>
          <cell r="J1134">
            <v>-1324053</v>
          </cell>
        </row>
        <row r="1135">
          <cell r="A1135">
            <v>1343800997</v>
          </cell>
          <cell r="B1135" t="str">
            <v>מרכז אורים</v>
          </cell>
          <cell r="C1135">
            <v>0</v>
          </cell>
          <cell r="D1135">
            <v>0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</row>
        <row r="1136">
          <cell r="A1136">
            <v>1343800998</v>
          </cell>
          <cell r="B1136" t="str">
            <v>.</v>
          </cell>
          <cell r="C1136">
            <v>0</v>
          </cell>
          <cell r="D1136">
            <v>0</v>
          </cell>
          <cell r="E1136">
            <v>0</v>
          </cell>
          <cell r="F1136">
            <v>0</v>
          </cell>
          <cell r="G1136">
            <v>0</v>
          </cell>
          <cell r="H1136">
            <v>0</v>
          </cell>
          <cell r="I1136">
            <v>0</v>
          </cell>
          <cell r="J1136">
            <v>0</v>
          </cell>
        </row>
        <row r="1137">
          <cell r="A1137">
            <v>1343800999</v>
          </cell>
          <cell r="B1137" t="str">
            <v>פגיעות מיניות</v>
          </cell>
          <cell r="C1137">
            <v>-817500</v>
          </cell>
          <cell r="D1137">
            <v>-802900</v>
          </cell>
          <cell r="E1137">
            <v>0</v>
          </cell>
          <cell r="F1137">
            <v>-802900</v>
          </cell>
          <cell r="G1137">
            <v>-14600</v>
          </cell>
          <cell r="H1137">
            <v>98.21</v>
          </cell>
          <cell r="I1137">
            <v>-817500</v>
          </cell>
          <cell r="J1137">
            <v>-802900</v>
          </cell>
        </row>
        <row r="1138">
          <cell r="A1138">
            <v>1344300421</v>
          </cell>
          <cell r="B1138" t="str">
            <v>השתתפות קשישים</v>
          </cell>
          <cell r="C1138">
            <v>-5000</v>
          </cell>
          <cell r="D1138">
            <v>-14692.99</v>
          </cell>
          <cell r="E1138">
            <v>0</v>
          </cell>
          <cell r="F1138">
            <v>-14692.99</v>
          </cell>
          <cell r="G1138">
            <v>9692.99</v>
          </cell>
          <cell r="H1138">
            <v>293.85000000000002</v>
          </cell>
          <cell r="I1138">
            <v>-5000</v>
          </cell>
          <cell r="J1138">
            <v>-14692.99</v>
          </cell>
        </row>
        <row r="1139">
          <cell r="A1139">
            <v>1344300422</v>
          </cell>
          <cell r="B1139" t="str">
            <v>מט"ב עצמיות</v>
          </cell>
          <cell r="C1139">
            <v>-5000</v>
          </cell>
          <cell r="D1139">
            <v>0</v>
          </cell>
          <cell r="E1139">
            <v>0</v>
          </cell>
          <cell r="F1139">
            <v>0</v>
          </cell>
          <cell r="G1139">
            <v>-5000</v>
          </cell>
          <cell r="H1139">
            <v>0</v>
          </cell>
          <cell r="I1139">
            <v>-5000</v>
          </cell>
          <cell r="J1139">
            <v>0</v>
          </cell>
        </row>
        <row r="1140">
          <cell r="A1140">
            <v>1344300423</v>
          </cell>
          <cell r="B1140" t="str">
            <v>פרוייקט קשישים ק"ש</v>
          </cell>
          <cell r="C1140">
            <v>0</v>
          </cell>
          <cell r="D1140">
            <v>0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</row>
        <row r="1141">
          <cell r="A1141">
            <v>1344300424</v>
          </cell>
          <cell r="B1141" t="str">
            <v>פרוייקט אשל</v>
          </cell>
          <cell r="C1141">
            <v>-74000</v>
          </cell>
          <cell r="D1141">
            <v>-69581</v>
          </cell>
          <cell r="E1141">
            <v>0</v>
          </cell>
          <cell r="F1141">
            <v>-69581</v>
          </cell>
          <cell r="G1141">
            <v>-4419</v>
          </cell>
          <cell r="H1141">
            <v>94.02</v>
          </cell>
          <cell r="I1141">
            <v>-74000</v>
          </cell>
          <cell r="J1141">
            <v>-69581</v>
          </cell>
        </row>
        <row r="1142">
          <cell r="A1142">
            <v>1344300425</v>
          </cell>
          <cell r="B1142" t="str">
            <v>ארוחות לזק 1043445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A1143">
            <v>1344300426</v>
          </cell>
          <cell r="B1143" t="str">
            <v>השת' קשישים-מעונות</v>
          </cell>
          <cell r="C1143">
            <v>-800000</v>
          </cell>
          <cell r="D1143">
            <v>-592849.28</v>
          </cell>
          <cell r="E1143">
            <v>0</v>
          </cell>
          <cell r="F1143">
            <v>-592849.28</v>
          </cell>
          <cell r="G1143">
            <v>-207150.72</v>
          </cell>
          <cell r="H1143">
            <v>74.099999999999994</v>
          </cell>
          <cell r="I1143">
            <v>-800000</v>
          </cell>
          <cell r="J1143">
            <v>-592849.28</v>
          </cell>
        </row>
        <row r="1144">
          <cell r="A1144">
            <v>1344300523</v>
          </cell>
          <cell r="B1144" t="str">
            <v>תכנית אב לאזרחים ותיקים</v>
          </cell>
          <cell r="C1144">
            <v>-675200</v>
          </cell>
          <cell r="D1144">
            <v>-567186</v>
          </cell>
          <cell r="E1144">
            <v>0</v>
          </cell>
          <cell r="F1144">
            <v>-567186</v>
          </cell>
          <cell r="G1144">
            <v>-108014</v>
          </cell>
          <cell r="H1144">
            <v>84</v>
          </cell>
          <cell r="I1144">
            <v>-675200</v>
          </cell>
          <cell r="J1144">
            <v>-567186</v>
          </cell>
        </row>
        <row r="1145">
          <cell r="A1145">
            <v>1344300930</v>
          </cell>
          <cell r="B1145" t="str">
            <v>אח.במעונות 1042410</v>
          </cell>
          <cell r="C1145">
            <v>0</v>
          </cell>
          <cell r="D1145">
            <v>0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</row>
        <row r="1146">
          <cell r="A1146">
            <v>1344300931</v>
          </cell>
          <cell r="B1146" t="str">
            <v>סיוע לאזרחים ותיקים</v>
          </cell>
          <cell r="C1146">
            <v>-225000</v>
          </cell>
          <cell r="D1146">
            <v>-70053</v>
          </cell>
          <cell r="E1146">
            <v>0</v>
          </cell>
          <cell r="F1146">
            <v>-70053</v>
          </cell>
          <cell r="G1146">
            <v>-154947</v>
          </cell>
          <cell r="H1146">
            <v>31.13</v>
          </cell>
          <cell r="I1146">
            <v>-225000</v>
          </cell>
          <cell r="J1146">
            <v>-70053</v>
          </cell>
        </row>
        <row r="1147">
          <cell r="A1147">
            <v>1344300932</v>
          </cell>
          <cell r="B1147" t="str">
            <v>שכונה תומכת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0</v>
          </cell>
          <cell r="H1147">
            <v>0</v>
          </cell>
          <cell r="I1147">
            <v>0</v>
          </cell>
          <cell r="J1147">
            <v>0</v>
          </cell>
        </row>
        <row r="1148">
          <cell r="A1148">
            <v>1344300933</v>
          </cell>
          <cell r="B1148" t="str">
            <v>טיפולי שיניים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A1149">
            <v>1344300934</v>
          </cell>
          <cell r="B1149" t="str">
            <v>שכר סיעוד 1013410</v>
          </cell>
          <cell r="C1149">
            <v>0</v>
          </cell>
          <cell r="D1149">
            <v>0</v>
          </cell>
          <cell r="E1149">
            <v>0</v>
          </cell>
          <cell r="F1149">
            <v>0</v>
          </cell>
          <cell r="G1149">
            <v>0</v>
          </cell>
          <cell r="H1149">
            <v>0</v>
          </cell>
          <cell r="I1149">
            <v>0</v>
          </cell>
          <cell r="J1149">
            <v>0</v>
          </cell>
        </row>
        <row r="1150">
          <cell r="A1150">
            <v>1344300935</v>
          </cell>
          <cell r="B1150" t="str">
            <v>מניעת התעללות בזקן</v>
          </cell>
          <cell r="C1150">
            <v>0</v>
          </cell>
          <cell r="D1150">
            <v>0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</row>
        <row r="1151">
          <cell r="A1151">
            <v>1344300936</v>
          </cell>
          <cell r="B1151" t="str">
            <v>מועדונים משודרגים</v>
          </cell>
          <cell r="C1151">
            <v>0</v>
          </cell>
          <cell r="D1151">
            <v>0</v>
          </cell>
          <cell r="E1151">
            <v>0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</row>
        <row r="1152">
          <cell r="A1152">
            <v>1344300937</v>
          </cell>
          <cell r="B1152" t="str">
            <v>אח'במעונות</v>
          </cell>
          <cell r="C1152">
            <v>-6550000</v>
          </cell>
          <cell r="D1152">
            <v>-7342699</v>
          </cell>
          <cell r="E1152">
            <v>0</v>
          </cell>
          <cell r="F1152">
            <v>-7342699</v>
          </cell>
          <cell r="G1152">
            <v>792699</v>
          </cell>
          <cell r="H1152">
            <v>112.1</v>
          </cell>
          <cell r="I1152">
            <v>-6550000</v>
          </cell>
          <cell r="J1152">
            <v>-7342699</v>
          </cell>
        </row>
        <row r="1153">
          <cell r="A1153">
            <v>1344300938</v>
          </cell>
          <cell r="B1153" t="str">
            <v>הזדקנות מיטבית קהילה</v>
          </cell>
          <cell r="C1153">
            <v>-1350000</v>
          </cell>
          <cell r="D1153">
            <v>-449661</v>
          </cell>
          <cell r="E1153">
            <v>0</v>
          </cell>
          <cell r="F1153">
            <v>-449661</v>
          </cell>
          <cell r="G1153">
            <v>-900339</v>
          </cell>
          <cell r="H1153">
            <v>33.299999999999997</v>
          </cell>
          <cell r="I1153">
            <v>-1350000</v>
          </cell>
          <cell r="J1153">
            <v>-449661</v>
          </cell>
        </row>
        <row r="1154">
          <cell r="A1154">
            <v>1344300939</v>
          </cell>
          <cell r="B1154" t="str">
            <v>טיפול בזקן 1043600</v>
          </cell>
          <cell r="C1154">
            <v>0</v>
          </cell>
          <cell r="D1154">
            <v>0</v>
          </cell>
          <cell r="E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A1155">
            <v>1344300940</v>
          </cell>
          <cell r="B1155" t="str">
            <v>שרותים לניצולי שואה</v>
          </cell>
          <cell r="C1155">
            <v>-1173000</v>
          </cell>
          <cell r="D1155">
            <v>-977734</v>
          </cell>
          <cell r="E1155">
            <v>0</v>
          </cell>
          <cell r="F1155">
            <v>-977734</v>
          </cell>
          <cell r="G1155">
            <v>-195266</v>
          </cell>
          <cell r="H1155">
            <v>83.35</v>
          </cell>
          <cell r="I1155">
            <v>-1173000</v>
          </cell>
          <cell r="J1155">
            <v>-977734</v>
          </cell>
        </row>
        <row r="1156">
          <cell r="A1156">
            <v>1344300990</v>
          </cell>
          <cell r="B1156" t="str">
            <v>תכנית אב לאזרחים ותיקים</v>
          </cell>
          <cell r="C1156">
            <v>0</v>
          </cell>
          <cell r="D1156">
            <v>0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</row>
        <row r="1157">
          <cell r="A1157">
            <v>1344300991</v>
          </cell>
          <cell r="B1157" t="str">
            <v>muni 100</v>
          </cell>
          <cell r="C1157">
            <v>0</v>
          </cell>
          <cell r="D1157">
            <v>0</v>
          </cell>
          <cell r="E1157">
            <v>0</v>
          </cell>
          <cell r="F1157">
            <v>0</v>
          </cell>
          <cell r="G1157">
            <v>0</v>
          </cell>
          <cell r="H1157">
            <v>0</v>
          </cell>
          <cell r="I1157">
            <v>0</v>
          </cell>
          <cell r="J1157">
            <v>0</v>
          </cell>
        </row>
        <row r="1158">
          <cell r="A1158">
            <v>1344300992</v>
          </cell>
          <cell r="B1158" t="str">
            <v>עמותת עמדא</v>
          </cell>
          <cell r="C1158">
            <v>0</v>
          </cell>
          <cell r="D1158">
            <v>0</v>
          </cell>
          <cell r="E1158">
            <v>0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</row>
        <row r="1159">
          <cell r="A1159">
            <v>1344300993</v>
          </cell>
          <cell r="B1159" t="str">
            <v>קול קורא תכנית ש' חברתי</v>
          </cell>
          <cell r="C1159">
            <v>0</v>
          </cell>
          <cell r="D1159">
            <v>0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A1160">
            <v>1344500931</v>
          </cell>
          <cell r="B1160" t="str">
            <v>מועדוני קשיש</v>
          </cell>
          <cell r="C1160">
            <v>-250000</v>
          </cell>
          <cell r="D1160">
            <v>-207668</v>
          </cell>
          <cell r="E1160">
            <v>0</v>
          </cell>
          <cell r="F1160">
            <v>-207668</v>
          </cell>
          <cell r="G1160">
            <v>-42332</v>
          </cell>
          <cell r="H1160">
            <v>83.06</v>
          </cell>
          <cell r="I1160">
            <v>-250000</v>
          </cell>
          <cell r="J1160">
            <v>-207668</v>
          </cell>
        </row>
        <row r="1161">
          <cell r="A1161">
            <v>1345200731</v>
          </cell>
          <cell r="B1161" t="str">
            <v>שיפוץ דירה-הצטידות</v>
          </cell>
          <cell r="C1161">
            <v>0</v>
          </cell>
          <cell r="D1161">
            <v>0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A1162">
            <v>1345200791</v>
          </cell>
          <cell r="B1162" t="str">
            <v>סקט"א פארארפואי</v>
          </cell>
          <cell r="C1162">
            <v>0</v>
          </cell>
          <cell r="D1162">
            <v>0</v>
          </cell>
          <cell r="E1162">
            <v>0</v>
          </cell>
          <cell r="F1162">
            <v>0</v>
          </cell>
          <cell r="G1162">
            <v>0</v>
          </cell>
          <cell r="H1162">
            <v>0</v>
          </cell>
          <cell r="I1162">
            <v>0</v>
          </cell>
          <cell r="J1162">
            <v>0</v>
          </cell>
        </row>
        <row r="1163">
          <cell r="A1163">
            <v>1345200935</v>
          </cell>
          <cell r="B1163" t="str">
            <v>הצטיידות עופרים</v>
          </cell>
          <cell r="C1163">
            <v>0</v>
          </cell>
          <cell r="D1163">
            <v>0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</row>
        <row r="1164">
          <cell r="A1164">
            <v>1345300421</v>
          </cell>
          <cell r="B1164" t="str">
            <v>השתתפויות</v>
          </cell>
          <cell r="C1164">
            <v>-610000</v>
          </cell>
          <cell r="D1164">
            <v>-598466</v>
          </cell>
          <cell r="E1164">
            <v>0</v>
          </cell>
          <cell r="F1164">
            <v>-598466</v>
          </cell>
          <cell r="G1164">
            <v>-11534</v>
          </cell>
          <cell r="H1164">
            <v>98.1</v>
          </cell>
          <cell r="I1164">
            <v>-610000</v>
          </cell>
          <cell r="J1164">
            <v>-598466</v>
          </cell>
        </row>
        <row r="1165">
          <cell r="A1165">
            <v>1345300692</v>
          </cell>
          <cell r="B1165" t="str">
            <v>קרן שלם</v>
          </cell>
          <cell r="C1165">
            <v>0</v>
          </cell>
          <cell r="D1165">
            <v>0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</row>
        <row r="1166">
          <cell r="A1166">
            <v>1345300693</v>
          </cell>
          <cell r="B1166" t="str">
            <v>"אחים"-קרן שלם</v>
          </cell>
          <cell r="C1166">
            <v>0</v>
          </cell>
          <cell r="D1166">
            <v>0</v>
          </cell>
          <cell r="E1166">
            <v>0</v>
          </cell>
          <cell r="F1166">
            <v>0</v>
          </cell>
          <cell r="G1166">
            <v>0</v>
          </cell>
          <cell r="H1166">
            <v>0</v>
          </cell>
          <cell r="I1166">
            <v>0</v>
          </cell>
          <cell r="J1166">
            <v>0</v>
          </cell>
        </row>
        <row r="1167">
          <cell r="A1167">
            <v>1345300791</v>
          </cell>
          <cell r="B1167" t="str">
            <v>השתתפות עו"ז</v>
          </cell>
          <cell r="C1167">
            <v>0</v>
          </cell>
          <cell r="D1167">
            <v>0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</row>
        <row r="1168">
          <cell r="A1168">
            <v>1345300931</v>
          </cell>
          <cell r="B1168" t="str">
            <v>מעונות יום</v>
          </cell>
          <cell r="C1168">
            <v>-75000</v>
          </cell>
          <cell r="D1168">
            <v>-33898</v>
          </cell>
          <cell r="E1168">
            <v>0</v>
          </cell>
          <cell r="F1168">
            <v>-33898</v>
          </cell>
          <cell r="G1168">
            <v>-41102</v>
          </cell>
          <cell r="H1168">
            <v>45.19</v>
          </cell>
          <cell r="I1168">
            <v>-75000</v>
          </cell>
          <cell r="J1168">
            <v>-33898</v>
          </cell>
        </row>
        <row r="1169">
          <cell r="A1169">
            <v>1345300932</v>
          </cell>
          <cell r="B1169" t="str">
            <v>מע' יום טיפולים</v>
          </cell>
          <cell r="C1169">
            <v>-5085300</v>
          </cell>
          <cell r="D1169">
            <v>-5731178</v>
          </cell>
          <cell r="E1169">
            <v>0</v>
          </cell>
          <cell r="F1169">
            <v>-5731178</v>
          </cell>
          <cell r="G1169">
            <v>645878</v>
          </cell>
          <cell r="H1169">
            <v>112.7</v>
          </cell>
          <cell r="I1169">
            <v>-5085300</v>
          </cell>
          <cell r="J1169">
            <v>-5731178</v>
          </cell>
        </row>
        <row r="1170">
          <cell r="A1170">
            <v>1345300933</v>
          </cell>
          <cell r="B1170" t="str">
            <v>שר' תומכים 0855430</v>
          </cell>
          <cell r="C1170">
            <v>0</v>
          </cell>
          <cell r="D1170">
            <v>0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</row>
        <row r="1171">
          <cell r="A1171">
            <v>1345300934</v>
          </cell>
          <cell r="B1171" t="str">
            <v>מטפלים לחריגים</v>
          </cell>
          <cell r="C1171">
            <v>0</v>
          </cell>
          <cell r="D1171">
            <v>0</v>
          </cell>
          <cell r="E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A1172">
            <v>1345300936</v>
          </cell>
          <cell r="B1172" t="str">
            <v>הסעות לבעלי מוגבלות שכלית התפת</v>
          </cell>
          <cell r="C1172">
            <v>-1778250</v>
          </cell>
          <cell r="D1172">
            <v>-1186345</v>
          </cell>
          <cell r="E1172">
            <v>0</v>
          </cell>
          <cell r="F1172">
            <v>-1186345</v>
          </cell>
          <cell r="G1172">
            <v>-591905</v>
          </cell>
          <cell r="H1172">
            <v>66.709999999999994</v>
          </cell>
          <cell r="I1172">
            <v>-1778250</v>
          </cell>
          <cell r="J1172">
            <v>-1186345</v>
          </cell>
        </row>
        <row r="1173">
          <cell r="A1173">
            <v>1345300937</v>
          </cell>
          <cell r="B1173" t="str">
            <v>סידור מוסד</v>
          </cell>
          <cell r="C1173">
            <v>-36300000</v>
          </cell>
          <cell r="D1173">
            <v>-37283699</v>
          </cell>
          <cell r="E1173">
            <v>0</v>
          </cell>
          <cell r="F1173">
            <v>-37283699</v>
          </cell>
          <cell r="G1173">
            <v>983699</v>
          </cell>
          <cell r="H1173">
            <v>102.7</v>
          </cell>
          <cell r="I1173">
            <v>-36300000</v>
          </cell>
          <cell r="J1173">
            <v>-37283699</v>
          </cell>
        </row>
        <row r="1174">
          <cell r="A1174">
            <v>1345300938</v>
          </cell>
          <cell r="B1174" t="str">
            <v>מוסדות ממש</v>
          </cell>
          <cell r="C1174">
            <v>-5750000</v>
          </cell>
          <cell r="D1174">
            <v>-6177738</v>
          </cell>
          <cell r="E1174">
            <v>0</v>
          </cell>
          <cell r="F1174">
            <v>-6177738</v>
          </cell>
          <cell r="G1174">
            <v>427738</v>
          </cell>
          <cell r="H1174">
            <v>107.43</v>
          </cell>
          <cell r="I1174">
            <v>-5750000</v>
          </cell>
          <cell r="J1174">
            <v>-6177738</v>
          </cell>
        </row>
        <row r="1175">
          <cell r="A1175">
            <v>1345300939</v>
          </cell>
          <cell r="B1175" t="str">
            <v>סביבה תומכת לבוגרים</v>
          </cell>
          <cell r="C1175">
            <v>-180000</v>
          </cell>
          <cell r="D1175">
            <v>-212435</v>
          </cell>
          <cell r="E1175">
            <v>0</v>
          </cell>
          <cell r="F1175">
            <v>-212435</v>
          </cell>
          <cell r="G1175">
            <v>32435</v>
          </cell>
          <cell r="H1175">
            <v>118.01</v>
          </cell>
          <cell r="I1175">
            <v>-180000</v>
          </cell>
          <cell r="J1175">
            <v>-212435</v>
          </cell>
        </row>
        <row r="1176">
          <cell r="A1176">
            <v>1345300991</v>
          </cell>
          <cell r="B1176" t="str">
            <v>נופשון 0855920</v>
          </cell>
          <cell r="C1176">
            <v>0</v>
          </cell>
          <cell r="D1176">
            <v>0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</row>
        <row r="1177">
          <cell r="A1177">
            <v>1345300992</v>
          </cell>
          <cell r="B1177" t="str">
            <v>תעסוקה עד הבית</v>
          </cell>
          <cell r="C1177">
            <v>0</v>
          </cell>
          <cell r="D1177">
            <v>0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A1178">
            <v>1345400421</v>
          </cell>
          <cell r="B1178" t="str">
            <v>השתתפות צד-שלישי</v>
          </cell>
          <cell r="C1178">
            <v>-140000</v>
          </cell>
          <cell r="D1178">
            <v>-143677</v>
          </cell>
          <cell r="E1178">
            <v>0</v>
          </cell>
          <cell r="F1178">
            <v>-143677</v>
          </cell>
          <cell r="G1178">
            <v>3677</v>
          </cell>
          <cell r="H1178">
            <v>102.62</v>
          </cell>
          <cell r="I1178">
            <v>-140000</v>
          </cell>
          <cell r="J1178">
            <v>-143677</v>
          </cell>
        </row>
        <row r="1179">
          <cell r="A1179">
            <v>1345400422</v>
          </cell>
          <cell r="B1179" t="str">
            <v>הכנ' מקייטנת אקי"ם</v>
          </cell>
          <cell r="C1179">
            <v>0</v>
          </cell>
          <cell r="D1179">
            <v>0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</row>
        <row r="1180">
          <cell r="A1180">
            <v>1345400423</v>
          </cell>
          <cell r="B1180" t="str">
            <v>חניכים הסעות</v>
          </cell>
          <cell r="C1180">
            <v>0</v>
          </cell>
          <cell r="D1180">
            <v>-40419.5</v>
          </cell>
          <cell r="E1180">
            <v>0</v>
          </cell>
          <cell r="F1180">
            <v>-40419.5</v>
          </cell>
          <cell r="G1180">
            <v>40419.5</v>
          </cell>
          <cell r="H1180">
            <v>0</v>
          </cell>
          <cell r="I1180">
            <v>0</v>
          </cell>
          <cell r="J1180">
            <v>-40419.5</v>
          </cell>
        </row>
        <row r="1181">
          <cell r="A1181">
            <v>1345400690</v>
          </cell>
          <cell r="B1181" t="str">
            <v>הכנסות מייצור עצמי</v>
          </cell>
          <cell r="C1181">
            <v>0</v>
          </cell>
          <cell r="D1181">
            <v>0</v>
          </cell>
          <cell r="E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A1182">
            <v>1345400692</v>
          </cell>
          <cell r="B1182" t="str">
            <v>הכנסות קרן שלם</v>
          </cell>
          <cell r="C1182">
            <v>0</v>
          </cell>
          <cell r="D1182">
            <v>0</v>
          </cell>
          <cell r="E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A1183">
            <v>1345400931</v>
          </cell>
          <cell r="B1183" t="str">
            <v>מע"ש ממשלה</v>
          </cell>
          <cell r="C1183">
            <v>-1548800</v>
          </cell>
          <cell r="D1183">
            <v>-1372151</v>
          </cell>
          <cell r="E1183">
            <v>0</v>
          </cell>
          <cell r="F1183">
            <v>-1372151</v>
          </cell>
          <cell r="G1183">
            <v>-176649</v>
          </cell>
          <cell r="H1183">
            <v>88.59</v>
          </cell>
          <cell r="I1183">
            <v>-1548800</v>
          </cell>
          <cell r="J1183">
            <v>-1372151</v>
          </cell>
        </row>
        <row r="1184">
          <cell r="A1184">
            <v>1345400934</v>
          </cell>
          <cell r="B1184" t="str">
            <v>שכר עובדים 1013410</v>
          </cell>
          <cell r="C1184">
            <v>0</v>
          </cell>
          <cell r="D1184">
            <v>0</v>
          </cell>
          <cell r="E1184">
            <v>0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0</v>
          </cell>
        </row>
        <row r="1185">
          <cell r="A1185">
            <v>1346200931</v>
          </cell>
          <cell r="B1185" t="str">
            <v>מ שיקום עיו 0662080</v>
          </cell>
          <cell r="C1185">
            <v>0</v>
          </cell>
          <cell r="D1185">
            <v>0</v>
          </cell>
          <cell r="E1185">
            <v>0</v>
          </cell>
          <cell r="F1185">
            <v>0</v>
          </cell>
          <cell r="G1185">
            <v>0</v>
          </cell>
          <cell r="H1185">
            <v>0</v>
          </cell>
          <cell r="I1185">
            <v>0</v>
          </cell>
          <cell r="J1185">
            <v>0</v>
          </cell>
        </row>
        <row r="1186">
          <cell r="A1186">
            <v>1346200932</v>
          </cell>
          <cell r="B1186" t="str">
            <v>מועדון חברתי לבוגרים</v>
          </cell>
          <cell r="C1186">
            <v>-525000</v>
          </cell>
          <cell r="D1186">
            <v>-488603</v>
          </cell>
          <cell r="E1186">
            <v>0</v>
          </cell>
          <cell r="F1186">
            <v>-488603</v>
          </cell>
          <cell r="G1186">
            <v>-36397</v>
          </cell>
          <cell r="H1186">
            <v>93.06</v>
          </cell>
          <cell r="I1186">
            <v>-525000</v>
          </cell>
          <cell r="J1186">
            <v>-488603</v>
          </cell>
        </row>
        <row r="1187">
          <cell r="A1187">
            <v>1346200933</v>
          </cell>
          <cell r="B1187" t="str">
            <v>הכש'מקצועי 0662150</v>
          </cell>
          <cell r="C1187">
            <v>0</v>
          </cell>
          <cell r="D1187">
            <v>0</v>
          </cell>
          <cell r="E1187">
            <v>0</v>
          </cell>
          <cell r="F1187">
            <v>0</v>
          </cell>
          <cell r="G1187">
            <v>0</v>
          </cell>
          <cell r="H1187">
            <v>0</v>
          </cell>
          <cell r="I1187">
            <v>0</v>
          </cell>
          <cell r="J1187">
            <v>0</v>
          </cell>
        </row>
        <row r="1188">
          <cell r="A1188">
            <v>1346200934</v>
          </cell>
          <cell r="B1188" t="str">
            <v>מועד'עיוור'0662510</v>
          </cell>
          <cell r="C1188">
            <v>0</v>
          </cell>
          <cell r="D1188">
            <v>0</v>
          </cell>
          <cell r="E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A1189">
            <v>1346200936</v>
          </cell>
          <cell r="B1189" t="str">
            <v>מע' עיורים 0662510</v>
          </cell>
          <cell r="C1189">
            <v>0</v>
          </cell>
          <cell r="D1189">
            <v>0</v>
          </cell>
          <cell r="E1189">
            <v>0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</row>
        <row r="1190">
          <cell r="A1190">
            <v>1346200937</v>
          </cell>
          <cell r="B1190" t="str">
            <v>דמי לווי   0662300</v>
          </cell>
          <cell r="C1190">
            <v>0</v>
          </cell>
          <cell r="D1190">
            <v>0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</row>
        <row r="1191">
          <cell r="A1191">
            <v>1346200938</v>
          </cell>
          <cell r="B1191" t="str">
            <v>ילדים במוסדות</v>
          </cell>
          <cell r="C1191">
            <v>-474800</v>
          </cell>
          <cell r="D1191">
            <v>-413874</v>
          </cell>
          <cell r="E1191">
            <v>0</v>
          </cell>
          <cell r="F1191">
            <v>-413874</v>
          </cell>
          <cell r="G1191">
            <v>-60926</v>
          </cell>
          <cell r="H1191">
            <v>87.16</v>
          </cell>
          <cell r="I1191">
            <v>-474800</v>
          </cell>
          <cell r="J1191">
            <v>-413874</v>
          </cell>
        </row>
        <row r="1192">
          <cell r="A1192">
            <v>1346200939</v>
          </cell>
          <cell r="B1192" t="str">
            <v>הדרכת עיוורים</v>
          </cell>
          <cell r="C1192">
            <v>-210000</v>
          </cell>
          <cell r="D1192">
            <v>-167016</v>
          </cell>
          <cell r="E1192">
            <v>0</v>
          </cell>
          <cell r="F1192">
            <v>-167016</v>
          </cell>
          <cell r="G1192">
            <v>-42984</v>
          </cell>
          <cell r="H1192">
            <v>79.53</v>
          </cell>
          <cell r="I1192">
            <v>-210000</v>
          </cell>
          <cell r="J1192">
            <v>-167016</v>
          </cell>
        </row>
        <row r="1193">
          <cell r="A1193">
            <v>1346500421</v>
          </cell>
          <cell r="B1193" t="str">
            <v>השתתפויות</v>
          </cell>
          <cell r="C1193">
            <v>-1450000</v>
          </cell>
          <cell r="D1193">
            <v>-1313472.7</v>
          </cell>
          <cell r="E1193">
            <v>0</v>
          </cell>
          <cell r="F1193">
            <v>-1313472.7</v>
          </cell>
          <cell r="G1193">
            <v>-136527.29999999999</v>
          </cell>
          <cell r="H1193">
            <v>90.58</v>
          </cell>
          <cell r="I1193">
            <v>-1450000</v>
          </cell>
          <cell r="J1193">
            <v>-1313472.7</v>
          </cell>
        </row>
        <row r="1194">
          <cell r="A1194">
            <v>1346500931</v>
          </cell>
          <cell r="B1194" t="str">
            <v>מרכזי איבחון ושיקום</v>
          </cell>
          <cell r="C1194">
            <v>-240000</v>
          </cell>
          <cell r="D1194">
            <v>-2457</v>
          </cell>
          <cell r="E1194">
            <v>0</v>
          </cell>
          <cell r="F1194">
            <v>-2457</v>
          </cell>
          <cell r="G1194">
            <v>-237543</v>
          </cell>
          <cell r="H1194">
            <v>1.02</v>
          </cell>
          <cell r="I1194">
            <v>-240000</v>
          </cell>
          <cell r="J1194">
            <v>-2457</v>
          </cell>
        </row>
        <row r="1195">
          <cell r="A1195">
            <v>1346500932</v>
          </cell>
          <cell r="B1195" t="str">
            <v>הסעות נכים</v>
          </cell>
          <cell r="C1195">
            <v>-37500</v>
          </cell>
          <cell r="D1195">
            <v>-134483</v>
          </cell>
          <cell r="E1195">
            <v>0</v>
          </cell>
          <cell r="F1195">
            <v>-134483</v>
          </cell>
          <cell r="G1195">
            <v>96983</v>
          </cell>
          <cell r="H1195">
            <v>358.62</v>
          </cell>
          <cell r="I1195">
            <v>-37500</v>
          </cell>
          <cell r="J1195">
            <v>-134483</v>
          </cell>
        </row>
        <row r="1196">
          <cell r="A1196">
            <v>1346500933</v>
          </cell>
          <cell r="B1196" t="str">
            <v>שיקום מוגבלויות</v>
          </cell>
          <cell r="C1196">
            <v>-717000</v>
          </cell>
          <cell r="D1196">
            <v>-368460</v>
          </cell>
          <cell r="E1196">
            <v>0</v>
          </cell>
          <cell r="F1196">
            <v>-368460</v>
          </cell>
          <cell r="G1196">
            <v>-348540</v>
          </cell>
          <cell r="H1196">
            <v>51.38</v>
          </cell>
          <cell r="I1196">
            <v>-717000</v>
          </cell>
          <cell r="J1196">
            <v>-368460</v>
          </cell>
        </row>
        <row r="1197">
          <cell r="A1197">
            <v>1346500934</v>
          </cell>
          <cell r="B1197" t="str">
            <v>אוטיסטים</v>
          </cell>
          <cell r="C1197">
            <v>0</v>
          </cell>
          <cell r="D1197">
            <v>0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A1198">
            <v>1346500935</v>
          </cell>
          <cell r="B1198" t="str">
            <v>פע' קיץ לאוטיסטים</v>
          </cell>
          <cell r="C1198">
            <v>-117000</v>
          </cell>
          <cell r="D1198">
            <v>-48750</v>
          </cell>
          <cell r="E1198">
            <v>0</v>
          </cell>
          <cell r="F1198">
            <v>-48750</v>
          </cell>
          <cell r="G1198">
            <v>-68250</v>
          </cell>
          <cell r="H1198">
            <v>41.66</v>
          </cell>
          <cell r="I1198">
            <v>-117000</v>
          </cell>
          <cell r="J1198">
            <v>-48750</v>
          </cell>
        </row>
        <row r="1199">
          <cell r="A1199">
            <v>1346500936</v>
          </cell>
          <cell r="B1199" t="str">
            <v>מרכז נוער לשיקום</v>
          </cell>
          <cell r="C1199">
            <v>-562500</v>
          </cell>
          <cell r="D1199">
            <v>-354709</v>
          </cell>
          <cell r="E1199">
            <v>0</v>
          </cell>
          <cell r="F1199">
            <v>-354709</v>
          </cell>
          <cell r="G1199">
            <v>-207791</v>
          </cell>
          <cell r="H1199">
            <v>63.05</v>
          </cell>
          <cell r="I1199">
            <v>-562500</v>
          </cell>
          <cell r="J1199">
            <v>-354709</v>
          </cell>
        </row>
        <row r="1200">
          <cell r="A1200">
            <v>1346500937</v>
          </cell>
          <cell r="B1200" t="str">
            <v>נכים קשים בקהילה</v>
          </cell>
          <cell r="C1200">
            <v>-165000</v>
          </cell>
          <cell r="D1200">
            <v>-58575</v>
          </cell>
          <cell r="E1200">
            <v>0</v>
          </cell>
          <cell r="F1200">
            <v>-58575</v>
          </cell>
          <cell r="G1200">
            <v>-106425</v>
          </cell>
          <cell r="H1200">
            <v>35.5</v>
          </cell>
          <cell r="I1200">
            <v>-165000</v>
          </cell>
          <cell r="J1200">
            <v>-58575</v>
          </cell>
        </row>
        <row r="1201">
          <cell r="A1201">
            <v>1346500938</v>
          </cell>
          <cell r="B1201" t="str">
            <v>תעסוקה מוגנת למוגבל</v>
          </cell>
          <cell r="C1201">
            <v>-1284000</v>
          </cell>
          <cell r="D1201">
            <v>-1226294</v>
          </cell>
          <cell r="E1201">
            <v>0</v>
          </cell>
          <cell r="F1201">
            <v>-1226294</v>
          </cell>
          <cell r="G1201">
            <v>-57706</v>
          </cell>
          <cell r="H1201">
            <v>95.5</v>
          </cell>
          <cell r="I1201">
            <v>-1284000</v>
          </cell>
          <cell r="J1201">
            <v>-1226294</v>
          </cell>
        </row>
        <row r="1202">
          <cell r="A1202">
            <v>1346500939</v>
          </cell>
          <cell r="B1202" t="str">
            <v>הסעות למעונות יום</v>
          </cell>
          <cell r="C1202">
            <v>-2079000</v>
          </cell>
          <cell r="D1202">
            <v>-883257</v>
          </cell>
          <cell r="E1202">
            <v>0</v>
          </cell>
          <cell r="F1202">
            <v>-883257</v>
          </cell>
          <cell r="G1202">
            <v>-1195743</v>
          </cell>
          <cell r="H1202">
            <v>42.48</v>
          </cell>
          <cell r="I1202">
            <v>-2079000</v>
          </cell>
          <cell r="J1202">
            <v>-883257</v>
          </cell>
        </row>
        <row r="1203">
          <cell r="A1203">
            <v>1346500941</v>
          </cell>
          <cell r="B1203" t="str">
            <v>קהילה תומכת</v>
          </cell>
          <cell r="C1203">
            <v>-337500</v>
          </cell>
          <cell r="D1203">
            <v>-318039</v>
          </cell>
          <cell r="E1203">
            <v>0</v>
          </cell>
          <cell r="F1203">
            <v>-318039</v>
          </cell>
          <cell r="G1203">
            <v>-19461</v>
          </cell>
          <cell r="H1203">
            <v>94.23</v>
          </cell>
          <cell r="I1203">
            <v>-337500</v>
          </cell>
          <cell r="J1203">
            <v>-318039</v>
          </cell>
        </row>
        <row r="1204">
          <cell r="A1204">
            <v>1346500942</v>
          </cell>
          <cell r="B1204" t="str">
            <v>מלווים למעונות יום</v>
          </cell>
          <cell r="C1204">
            <v>-1200000</v>
          </cell>
          <cell r="D1204">
            <v>-604575</v>
          </cell>
          <cell r="E1204">
            <v>0</v>
          </cell>
          <cell r="F1204">
            <v>-604575</v>
          </cell>
          <cell r="G1204">
            <v>-595425</v>
          </cell>
          <cell r="H1204">
            <v>50.38</v>
          </cell>
          <cell r="I1204">
            <v>-1200000</v>
          </cell>
          <cell r="J1204">
            <v>-604575</v>
          </cell>
        </row>
        <row r="1205">
          <cell r="A1205">
            <v>1346500946</v>
          </cell>
          <cell r="B1205" t="str">
            <v>מועדונית חינוך מיוחד</v>
          </cell>
          <cell r="C1205">
            <v>0</v>
          </cell>
          <cell r="D1205">
            <v>0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</row>
        <row r="1206">
          <cell r="A1206">
            <v>1346500947</v>
          </cell>
          <cell r="B1206" t="str">
            <v>תכניות תעסוקה</v>
          </cell>
          <cell r="C1206">
            <v>-450000</v>
          </cell>
          <cell r="D1206">
            <v>-420758</v>
          </cell>
          <cell r="E1206">
            <v>0</v>
          </cell>
          <cell r="F1206">
            <v>-420758</v>
          </cell>
          <cell r="G1206">
            <v>-29242</v>
          </cell>
          <cell r="H1206">
            <v>93.5</v>
          </cell>
          <cell r="I1206">
            <v>-450000</v>
          </cell>
          <cell r="J1206">
            <v>-420758</v>
          </cell>
        </row>
        <row r="1207">
          <cell r="A1207">
            <v>1346500982</v>
          </cell>
          <cell r="B1207" t="str">
            <v>נפגעי ראש</v>
          </cell>
          <cell r="C1207">
            <v>-1050000</v>
          </cell>
          <cell r="D1207">
            <v>-973948</v>
          </cell>
          <cell r="E1207">
            <v>0</v>
          </cell>
          <cell r="F1207">
            <v>-973948</v>
          </cell>
          <cell r="G1207">
            <v>-76052</v>
          </cell>
          <cell r="H1207">
            <v>92.75</v>
          </cell>
          <cell r="I1207">
            <v>-1050000</v>
          </cell>
          <cell r="J1207">
            <v>-973948</v>
          </cell>
        </row>
        <row r="1208">
          <cell r="A1208">
            <v>1346500986</v>
          </cell>
          <cell r="B1208" t="str">
            <v>מועדון הדרים</v>
          </cell>
          <cell r="C1208">
            <v>0</v>
          </cell>
          <cell r="D1208">
            <v>0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</row>
        <row r="1209">
          <cell r="A1209">
            <v>1346500987</v>
          </cell>
          <cell r="B1209" t="str">
            <v>מ.יום שיקומי</v>
          </cell>
          <cell r="C1209">
            <v>-6711000</v>
          </cell>
          <cell r="D1209">
            <v>-6461774</v>
          </cell>
          <cell r="E1209">
            <v>0</v>
          </cell>
          <cell r="F1209">
            <v>-6461774</v>
          </cell>
          <cell r="G1209">
            <v>-249226</v>
          </cell>
          <cell r="H1209">
            <v>96.28</v>
          </cell>
          <cell r="I1209">
            <v>-6711000</v>
          </cell>
          <cell r="J1209">
            <v>-6461774</v>
          </cell>
        </row>
        <row r="1210">
          <cell r="A1210">
            <v>1346500988</v>
          </cell>
          <cell r="B1210" t="str">
            <v>מעטפת מגורים בקהילה</v>
          </cell>
          <cell r="C1210">
            <v>-25300</v>
          </cell>
          <cell r="D1210">
            <v>-21938</v>
          </cell>
          <cell r="E1210">
            <v>0</v>
          </cell>
          <cell r="F1210">
            <v>-21938</v>
          </cell>
          <cell r="G1210">
            <v>-3362</v>
          </cell>
          <cell r="H1210">
            <v>86.71</v>
          </cell>
          <cell r="I1210">
            <v>-25300</v>
          </cell>
          <cell r="J1210">
            <v>-21938</v>
          </cell>
        </row>
        <row r="1211">
          <cell r="A1211">
            <v>1346500990</v>
          </cell>
          <cell r="B1211" t="str">
            <v>טיפול בילד חריג</v>
          </cell>
          <cell r="C1211">
            <v>-360000</v>
          </cell>
          <cell r="D1211">
            <v>-204888</v>
          </cell>
          <cell r="E1211">
            <v>0</v>
          </cell>
          <cell r="F1211">
            <v>-204888</v>
          </cell>
          <cell r="G1211">
            <v>-155112</v>
          </cell>
          <cell r="H1211">
            <v>56.91</v>
          </cell>
          <cell r="I1211">
            <v>-360000</v>
          </cell>
          <cell r="J1211">
            <v>-204888</v>
          </cell>
        </row>
        <row r="1212">
          <cell r="A1212">
            <v>1346500991</v>
          </cell>
          <cell r="B1212" t="str">
            <v>מוס'ממש'שיק</v>
          </cell>
          <cell r="C1212">
            <v>-428700</v>
          </cell>
          <cell r="D1212">
            <v>-433381</v>
          </cell>
          <cell r="E1212">
            <v>0</v>
          </cell>
          <cell r="F1212">
            <v>-433381</v>
          </cell>
          <cell r="G1212">
            <v>4681</v>
          </cell>
          <cell r="H1212">
            <v>101.09</v>
          </cell>
          <cell r="I1212">
            <v>-428700</v>
          </cell>
          <cell r="J1212">
            <v>-433381</v>
          </cell>
        </row>
        <row r="1213">
          <cell r="A1213">
            <v>1346500992</v>
          </cell>
          <cell r="B1213" t="str">
            <v>הסעות לאוטיסטים</v>
          </cell>
          <cell r="C1213">
            <v>-225000</v>
          </cell>
          <cell r="D1213">
            <v>-238190</v>
          </cell>
          <cell r="E1213">
            <v>0</v>
          </cell>
          <cell r="F1213">
            <v>-238190</v>
          </cell>
          <cell r="G1213">
            <v>13190</v>
          </cell>
          <cell r="H1213">
            <v>105.86</v>
          </cell>
          <cell r="I1213">
            <v>-225000</v>
          </cell>
          <cell r="J1213">
            <v>-238190</v>
          </cell>
        </row>
        <row r="1214">
          <cell r="A1214">
            <v>1346500993</v>
          </cell>
          <cell r="B1214" t="str">
            <v>מועדוניות שיקום</v>
          </cell>
          <cell r="C1214">
            <v>0</v>
          </cell>
          <cell r="D1214">
            <v>0</v>
          </cell>
          <cell r="E1214">
            <v>0</v>
          </cell>
          <cell r="F1214">
            <v>0</v>
          </cell>
          <cell r="G1214">
            <v>0</v>
          </cell>
          <cell r="H1214">
            <v>0</v>
          </cell>
          <cell r="I1214">
            <v>0</v>
          </cell>
          <cell r="J1214">
            <v>0</v>
          </cell>
        </row>
        <row r="1215">
          <cell r="A1215">
            <v>1346500994</v>
          </cell>
          <cell r="B1215" t="str">
            <v>אוטיסטים</v>
          </cell>
          <cell r="C1215">
            <v>-26840000</v>
          </cell>
          <cell r="D1215">
            <v>-29401616</v>
          </cell>
          <cell r="E1215">
            <v>0</v>
          </cell>
          <cell r="F1215">
            <v>-29401616</v>
          </cell>
          <cell r="G1215">
            <v>2561616</v>
          </cell>
          <cell r="H1215">
            <v>109.54</v>
          </cell>
          <cell r="I1215">
            <v>-26840000</v>
          </cell>
          <cell r="J1215">
            <v>-29401616</v>
          </cell>
        </row>
        <row r="1216">
          <cell r="A1216">
            <v>1346500995</v>
          </cell>
          <cell r="B1216" t="str">
            <v>נופשונים מש"ה ושיקום</v>
          </cell>
          <cell r="C1216">
            <v>-195000</v>
          </cell>
          <cell r="D1216">
            <v>-145738</v>
          </cell>
          <cell r="E1216">
            <v>0</v>
          </cell>
          <cell r="F1216">
            <v>-145738</v>
          </cell>
          <cell r="G1216">
            <v>-49262</v>
          </cell>
          <cell r="H1216">
            <v>74.73</v>
          </cell>
          <cell r="I1216">
            <v>-195000</v>
          </cell>
          <cell r="J1216">
            <v>-145738</v>
          </cell>
        </row>
        <row r="1217">
          <cell r="A1217">
            <v>1346500996</v>
          </cell>
          <cell r="B1217" t="str">
            <v>משפחה תומכת</v>
          </cell>
          <cell r="C1217">
            <v>-207400</v>
          </cell>
          <cell r="D1217">
            <v>-220226</v>
          </cell>
          <cell r="E1217">
            <v>0</v>
          </cell>
          <cell r="F1217">
            <v>-220226</v>
          </cell>
          <cell r="G1217">
            <v>12826</v>
          </cell>
          <cell r="H1217">
            <v>106.18</v>
          </cell>
          <cell r="I1217">
            <v>-207400</v>
          </cell>
          <cell r="J1217">
            <v>-220226</v>
          </cell>
        </row>
        <row r="1218">
          <cell r="A1218">
            <v>1346500997</v>
          </cell>
          <cell r="B1218" t="str">
            <v>נכים בפנימיה</v>
          </cell>
          <cell r="C1218">
            <v>-13408800</v>
          </cell>
          <cell r="D1218">
            <v>-13157353</v>
          </cell>
          <cell r="E1218">
            <v>0</v>
          </cell>
          <cell r="F1218">
            <v>-13157353</v>
          </cell>
          <cell r="G1218">
            <v>-251447</v>
          </cell>
          <cell r="H1218">
            <v>98.12</v>
          </cell>
          <cell r="I1218">
            <v>-13408800</v>
          </cell>
          <cell r="J1218">
            <v>-13157353</v>
          </cell>
        </row>
        <row r="1219">
          <cell r="A1219">
            <v>1346500998</v>
          </cell>
          <cell r="B1219" t="str">
            <v>נכה באומנה</v>
          </cell>
          <cell r="C1219">
            <v>-405000</v>
          </cell>
          <cell r="D1219">
            <v>-235412</v>
          </cell>
          <cell r="E1219">
            <v>0</v>
          </cell>
          <cell r="F1219">
            <v>-235412</v>
          </cell>
          <cell r="G1219">
            <v>-169588</v>
          </cell>
          <cell r="H1219">
            <v>58.12</v>
          </cell>
          <cell r="I1219">
            <v>-405000</v>
          </cell>
          <cell r="J1219">
            <v>-235412</v>
          </cell>
        </row>
        <row r="1220">
          <cell r="A1220">
            <v>1347100931</v>
          </cell>
          <cell r="B1220" t="str">
            <v>מט"ל</v>
          </cell>
          <cell r="C1220">
            <v>0</v>
          </cell>
          <cell r="D1220">
            <v>0</v>
          </cell>
          <cell r="E1220">
            <v>0</v>
          </cell>
          <cell r="F1220">
            <v>0</v>
          </cell>
          <cell r="G1220">
            <v>0</v>
          </cell>
          <cell r="H1220">
            <v>0</v>
          </cell>
          <cell r="I1220">
            <v>0</v>
          </cell>
          <cell r="J1220">
            <v>0</v>
          </cell>
        </row>
        <row r="1221">
          <cell r="A1221">
            <v>1347100932</v>
          </cell>
          <cell r="B1221" t="str">
            <v>בתים חמים לנערות</v>
          </cell>
          <cell r="C1221">
            <v>0</v>
          </cell>
          <cell r="D1221">
            <v>0</v>
          </cell>
          <cell r="E1221">
            <v>0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</row>
        <row r="1222">
          <cell r="A1222">
            <v>1347100933</v>
          </cell>
          <cell r="B1222" t="str">
            <v>מע' חסות</v>
          </cell>
          <cell r="C1222">
            <v>-1456500</v>
          </cell>
          <cell r="D1222">
            <v>-1553111</v>
          </cell>
          <cell r="E1222">
            <v>0</v>
          </cell>
          <cell r="F1222">
            <v>-1553111</v>
          </cell>
          <cell r="G1222">
            <v>96611</v>
          </cell>
          <cell r="H1222">
            <v>106.63</v>
          </cell>
          <cell r="I1222">
            <v>-1456500</v>
          </cell>
          <cell r="J1222">
            <v>-1553111</v>
          </cell>
        </row>
        <row r="1223">
          <cell r="A1223">
            <v>1347100934</v>
          </cell>
          <cell r="B1223" t="str">
            <v>מקלט חוץ 1165447</v>
          </cell>
          <cell r="C1223">
            <v>0</v>
          </cell>
          <cell r="D1223">
            <v>0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</row>
        <row r="1224">
          <cell r="A1224">
            <v>1347100935</v>
          </cell>
          <cell r="B1224" t="str">
            <v>תכנית צל"ש</v>
          </cell>
          <cell r="C1224">
            <v>0</v>
          </cell>
          <cell r="D1224">
            <v>0</v>
          </cell>
          <cell r="E1224">
            <v>0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</row>
        <row r="1225">
          <cell r="A1225">
            <v>1347100936</v>
          </cell>
          <cell r="B1225" t="str">
            <v>נוער וצעירים</v>
          </cell>
          <cell r="C1225">
            <v>0</v>
          </cell>
          <cell r="D1225">
            <v>0</v>
          </cell>
          <cell r="E1225">
            <v>0</v>
          </cell>
          <cell r="F1225">
            <v>0</v>
          </cell>
          <cell r="G1225">
            <v>0</v>
          </cell>
          <cell r="H1225">
            <v>0</v>
          </cell>
          <cell r="I1225">
            <v>0</v>
          </cell>
          <cell r="J1225">
            <v>0</v>
          </cell>
        </row>
        <row r="1226">
          <cell r="A1226">
            <v>1347100937</v>
          </cell>
          <cell r="B1226" t="str">
            <v>נוצץ שירותים בקהילה</v>
          </cell>
          <cell r="C1226">
            <v>-1277200</v>
          </cell>
          <cell r="D1226">
            <v>-669153</v>
          </cell>
          <cell r="E1226">
            <v>0</v>
          </cell>
          <cell r="F1226">
            <v>-669153</v>
          </cell>
          <cell r="G1226">
            <v>-608047</v>
          </cell>
          <cell r="H1226">
            <v>52.39</v>
          </cell>
          <cell r="I1226">
            <v>-1277200</v>
          </cell>
          <cell r="J1226">
            <v>-669153</v>
          </cell>
        </row>
        <row r="1227">
          <cell r="A1227">
            <v>1347100938</v>
          </cell>
          <cell r="B1227" t="str">
            <v>חוץ ביתי נוצץ</v>
          </cell>
          <cell r="C1227">
            <v>-187500</v>
          </cell>
          <cell r="D1227">
            <v>0</v>
          </cell>
          <cell r="E1227">
            <v>0</v>
          </cell>
          <cell r="F1227">
            <v>0</v>
          </cell>
          <cell r="G1227">
            <v>-187500</v>
          </cell>
          <cell r="H1227">
            <v>0</v>
          </cell>
          <cell r="I1227">
            <v>-187500</v>
          </cell>
          <cell r="J1227">
            <v>0</v>
          </cell>
        </row>
        <row r="1228">
          <cell r="A1228">
            <v>1347100939</v>
          </cell>
          <cell r="B1228" t="str">
            <v>מוגנות קיץ</v>
          </cell>
          <cell r="C1228">
            <v>0</v>
          </cell>
          <cell r="D1228">
            <v>0</v>
          </cell>
          <cell r="E1228">
            <v>0</v>
          </cell>
          <cell r="F1228">
            <v>0</v>
          </cell>
          <cell r="G1228">
            <v>0</v>
          </cell>
          <cell r="H1228">
            <v>0</v>
          </cell>
          <cell r="I1228">
            <v>0</v>
          </cell>
          <cell r="J1228">
            <v>0</v>
          </cell>
        </row>
        <row r="1229">
          <cell r="A1229">
            <v>1347100940</v>
          </cell>
          <cell r="B1229" t="str">
            <v>תכנית מית"ר</v>
          </cell>
          <cell r="C1229">
            <v>-980000</v>
          </cell>
          <cell r="D1229">
            <v>-907032</v>
          </cell>
          <cell r="E1229">
            <v>0</v>
          </cell>
          <cell r="F1229">
            <v>-907032</v>
          </cell>
          <cell r="G1229">
            <v>-72968</v>
          </cell>
          <cell r="H1229">
            <v>92.55</v>
          </cell>
          <cell r="I1229">
            <v>-980000</v>
          </cell>
          <cell r="J1229">
            <v>-907032</v>
          </cell>
        </row>
        <row r="1230">
          <cell r="A1230">
            <v>1347100941</v>
          </cell>
          <cell r="B1230" t="str">
            <v>תכנית "יתד"</v>
          </cell>
          <cell r="C1230">
            <v>-729750</v>
          </cell>
          <cell r="D1230">
            <v>-609900</v>
          </cell>
          <cell r="E1230">
            <v>0</v>
          </cell>
          <cell r="F1230">
            <v>-609900</v>
          </cell>
          <cell r="G1230">
            <v>-119850</v>
          </cell>
          <cell r="H1230">
            <v>83.57</v>
          </cell>
          <cell r="I1230">
            <v>-729750</v>
          </cell>
          <cell r="J1230">
            <v>-609900</v>
          </cell>
        </row>
        <row r="1231">
          <cell r="A1231">
            <v>1347100942</v>
          </cell>
          <cell r="B1231" t="str">
            <v>פרוייקט "נוצץ"</v>
          </cell>
          <cell r="C1231">
            <v>0</v>
          </cell>
          <cell r="D1231">
            <v>-261338</v>
          </cell>
          <cell r="E1231">
            <v>0</v>
          </cell>
          <cell r="F1231">
            <v>-261338</v>
          </cell>
          <cell r="G1231">
            <v>261338</v>
          </cell>
          <cell r="H1231">
            <v>0</v>
          </cell>
          <cell r="I1231">
            <v>0</v>
          </cell>
          <cell r="J1231">
            <v>-261338</v>
          </cell>
        </row>
        <row r="1232">
          <cell r="A1232">
            <v>1347100943</v>
          </cell>
          <cell r="B1232" t="str">
            <v>צעירים חוץ ביתי</v>
          </cell>
          <cell r="C1232">
            <v>-336000</v>
          </cell>
          <cell r="D1232">
            <v>0</v>
          </cell>
          <cell r="E1232">
            <v>0</v>
          </cell>
          <cell r="F1232">
            <v>0</v>
          </cell>
          <cell r="G1232">
            <v>-336000</v>
          </cell>
          <cell r="H1232">
            <v>0</v>
          </cell>
          <cell r="I1232">
            <v>-336000</v>
          </cell>
          <cell r="J1232">
            <v>0</v>
          </cell>
        </row>
        <row r="1233">
          <cell r="A1233">
            <v>1347300421</v>
          </cell>
          <cell r="B1233" t="str">
            <v>השתתפות נפגעי סמים</v>
          </cell>
          <cell r="C1233">
            <v>-45000</v>
          </cell>
          <cell r="D1233">
            <v>-60627</v>
          </cell>
          <cell r="E1233">
            <v>0</v>
          </cell>
          <cell r="F1233">
            <v>-60627</v>
          </cell>
          <cell r="G1233">
            <v>15627</v>
          </cell>
          <cell r="H1233">
            <v>134.72</v>
          </cell>
          <cell r="I1233">
            <v>-45000</v>
          </cell>
          <cell r="J1233">
            <v>-60627</v>
          </cell>
        </row>
        <row r="1234">
          <cell r="A1234">
            <v>1347300422</v>
          </cell>
          <cell r="B1234" t="str">
            <v>טיפול במשפחות מכורים</v>
          </cell>
          <cell r="C1234">
            <v>-20000</v>
          </cell>
          <cell r="D1234">
            <v>-17235</v>
          </cell>
          <cell r="E1234">
            <v>0</v>
          </cell>
          <cell r="F1234">
            <v>-17235</v>
          </cell>
          <cell r="G1234">
            <v>-2765</v>
          </cell>
          <cell r="H1234">
            <v>86.17</v>
          </cell>
          <cell r="I1234">
            <v>-20000</v>
          </cell>
          <cell r="J1234">
            <v>-17235</v>
          </cell>
        </row>
        <row r="1235">
          <cell r="A1235">
            <v>1347300931</v>
          </cell>
          <cell r="B1235" t="str">
            <v>בדיקות שתן 1125070</v>
          </cell>
          <cell r="C1235">
            <v>0</v>
          </cell>
          <cell r="D1235">
            <v>0</v>
          </cell>
          <cell r="E1235">
            <v>0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</row>
        <row r="1236">
          <cell r="A1236">
            <v>1347300932</v>
          </cell>
          <cell r="B1236" t="str">
            <v>מרכז יום 1125061</v>
          </cell>
          <cell r="C1236">
            <v>0</v>
          </cell>
          <cell r="D1236">
            <v>0</v>
          </cell>
          <cell r="E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A1237">
            <v>1347300933</v>
          </cell>
          <cell r="B1237" t="str">
            <v>טיפול בהתמכרויות</v>
          </cell>
          <cell r="C1237">
            <v>-410000</v>
          </cell>
          <cell r="D1237">
            <v>-272442</v>
          </cell>
          <cell r="E1237">
            <v>0</v>
          </cell>
          <cell r="F1237">
            <v>-272442</v>
          </cell>
          <cell r="G1237">
            <v>-137558</v>
          </cell>
          <cell r="H1237">
            <v>66.44</v>
          </cell>
          <cell r="I1237">
            <v>-410000</v>
          </cell>
          <cell r="J1237">
            <v>-272442</v>
          </cell>
        </row>
        <row r="1238">
          <cell r="A1238">
            <v>1347300934</v>
          </cell>
          <cell r="B1238" t="str">
            <v>שכר עובדים</v>
          </cell>
          <cell r="C1238">
            <v>0</v>
          </cell>
          <cell r="D1238">
            <v>0</v>
          </cell>
          <cell r="E1238">
            <v>0</v>
          </cell>
          <cell r="F1238">
            <v>0</v>
          </cell>
          <cell r="G1238">
            <v>0</v>
          </cell>
          <cell r="H1238">
            <v>0</v>
          </cell>
          <cell r="I1238">
            <v>0</v>
          </cell>
          <cell r="J1238">
            <v>0</v>
          </cell>
        </row>
        <row r="1239">
          <cell r="A1239">
            <v>1347300935</v>
          </cell>
          <cell r="B1239" t="str">
            <v>גמילת נוער</v>
          </cell>
          <cell r="C1239">
            <v>0</v>
          </cell>
          <cell r="D1239">
            <v>0</v>
          </cell>
          <cell r="E1239">
            <v>0</v>
          </cell>
          <cell r="F1239">
            <v>0</v>
          </cell>
          <cell r="G1239">
            <v>0</v>
          </cell>
          <cell r="H1239">
            <v>0</v>
          </cell>
          <cell r="I1239">
            <v>0</v>
          </cell>
          <cell r="J1239">
            <v>0</v>
          </cell>
        </row>
        <row r="1240">
          <cell r="A1240">
            <v>1347300936</v>
          </cell>
          <cell r="B1240" t="str">
            <v>פרוייקטים לנגמלים</v>
          </cell>
          <cell r="C1240">
            <v>0</v>
          </cell>
          <cell r="D1240">
            <v>0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</row>
        <row r="1241">
          <cell r="A1241">
            <v>1347300937</v>
          </cell>
          <cell r="B1241" t="str">
            <v>טיפול בעולים נפגעי סמים</v>
          </cell>
          <cell r="C1241">
            <v>0</v>
          </cell>
          <cell r="D1241">
            <v>0</v>
          </cell>
          <cell r="E1241">
            <v>0</v>
          </cell>
          <cell r="F1241">
            <v>0</v>
          </cell>
          <cell r="G1241">
            <v>0</v>
          </cell>
          <cell r="H1241">
            <v>0</v>
          </cell>
          <cell r="I1241">
            <v>0</v>
          </cell>
          <cell r="J1241">
            <v>0</v>
          </cell>
        </row>
        <row r="1242">
          <cell r="A1242">
            <v>1348100421</v>
          </cell>
          <cell r="B1242" t="str">
            <v>השת' משפחות בקהילה</v>
          </cell>
          <cell r="C1242">
            <v>-7500</v>
          </cell>
          <cell r="D1242">
            <v>0</v>
          </cell>
          <cell r="E1242">
            <v>0</v>
          </cell>
          <cell r="F1242">
            <v>0</v>
          </cell>
          <cell r="G1242">
            <v>-7500</v>
          </cell>
          <cell r="H1242">
            <v>0</v>
          </cell>
          <cell r="I1242">
            <v>-7500</v>
          </cell>
          <cell r="J1242">
            <v>0</v>
          </cell>
        </row>
        <row r="1243">
          <cell r="A1243">
            <v>1348100931</v>
          </cell>
          <cell r="B1243" t="str">
            <v>פע' התנדבות</v>
          </cell>
          <cell r="C1243">
            <v>-37500</v>
          </cell>
          <cell r="D1243">
            <v>-8869</v>
          </cell>
          <cell r="E1243">
            <v>0</v>
          </cell>
          <cell r="F1243">
            <v>-8869</v>
          </cell>
          <cell r="G1243">
            <v>-28631</v>
          </cell>
          <cell r="H1243">
            <v>23.65</v>
          </cell>
          <cell r="I1243">
            <v>-37500</v>
          </cell>
          <cell r="J1243">
            <v>-8869</v>
          </cell>
        </row>
        <row r="1244">
          <cell r="A1244">
            <v>1348100932</v>
          </cell>
          <cell r="B1244" t="str">
            <v>פרוייקט עוצמה</v>
          </cell>
          <cell r="C1244">
            <v>-255000</v>
          </cell>
          <cell r="D1244">
            <v>-322029</v>
          </cell>
          <cell r="E1244">
            <v>0</v>
          </cell>
          <cell r="F1244">
            <v>-322029</v>
          </cell>
          <cell r="G1244">
            <v>67029</v>
          </cell>
          <cell r="H1244">
            <v>126.28</v>
          </cell>
          <cell r="I1244">
            <v>-255000</v>
          </cell>
          <cell r="J1244">
            <v>-322029</v>
          </cell>
        </row>
        <row r="1245">
          <cell r="A1245">
            <v>1348100933</v>
          </cell>
          <cell r="B1245" t="str">
            <v>אחז'מרכ'קהל</v>
          </cell>
          <cell r="C1245">
            <v>-14300</v>
          </cell>
          <cell r="D1245">
            <v>0</v>
          </cell>
          <cell r="E1245">
            <v>0</v>
          </cell>
          <cell r="F1245">
            <v>0</v>
          </cell>
          <cell r="G1245">
            <v>-14300</v>
          </cell>
          <cell r="H1245">
            <v>0</v>
          </cell>
          <cell r="I1245">
            <v>-14300</v>
          </cell>
          <cell r="J1245">
            <v>0</v>
          </cell>
        </row>
        <row r="1246">
          <cell r="A1246">
            <v>1348100934</v>
          </cell>
          <cell r="B1246" t="str">
            <v>עו"ש עולים 1073120</v>
          </cell>
          <cell r="C1246">
            <v>0</v>
          </cell>
          <cell r="D1246">
            <v>0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</row>
        <row r="1247">
          <cell r="A1247">
            <v>1348100935</v>
          </cell>
          <cell r="B1247" t="str">
            <v>מרכז גישור</v>
          </cell>
          <cell r="C1247">
            <v>-29000</v>
          </cell>
          <cell r="D1247">
            <v>0</v>
          </cell>
          <cell r="E1247">
            <v>0</v>
          </cell>
          <cell r="F1247">
            <v>0</v>
          </cell>
          <cell r="G1247">
            <v>-29000</v>
          </cell>
          <cell r="H1247">
            <v>0</v>
          </cell>
          <cell r="I1247">
            <v>-29000</v>
          </cell>
          <cell r="J1247">
            <v>0</v>
          </cell>
        </row>
        <row r="1248">
          <cell r="A1248">
            <v>1348100936</v>
          </cell>
          <cell r="B1248" t="str">
            <v>לשכת ייעוץ  לאזרח</v>
          </cell>
          <cell r="C1248">
            <v>-15000</v>
          </cell>
          <cell r="D1248">
            <v>-5449</v>
          </cell>
          <cell r="E1248">
            <v>0</v>
          </cell>
          <cell r="F1248">
            <v>-5449</v>
          </cell>
          <cell r="G1248">
            <v>-9551</v>
          </cell>
          <cell r="H1248">
            <v>36.32</v>
          </cell>
          <cell r="I1248">
            <v>-15000</v>
          </cell>
          <cell r="J1248">
            <v>-5449</v>
          </cell>
        </row>
        <row r="1249">
          <cell r="A1249">
            <v>1348100937</v>
          </cell>
          <cell r="B1249" t="str">
            <v>פ. קהילתי גאוגרפי</v>
          </cell>
          <cell r="C1249">
            <v>0</v>
          </cell>
          <cell r="D1249">
            <v>0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A1250">
            <v>1348100938</v>
          </cell>
          <cell r="B1250" t="str">
            <v>מוטב יחדיו</v>
          </cell>
          <cell r="C1250">
            <v>0</v>
          </cell>
          <cell r="D1250">
            <v>0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</row>
        <row r="1251">
          <cell r="A1251">
            <v>1348100939</v>
          </cell>
          <cell r="B1251" t="str">
            <v>סל תכניות התנדבות</v>
          </cell>
          <cell r="C1251">
            <v>0</v>
          </cell>
          <cell r="D1251">
            <v>0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</row>
        <row r="1252">
          <cell r="A1252">
            <v>1348100980</v>
          </cell>
          <cell r="B1252" t="str">
            <v>תנופה - מש' השיכון</v>
          </cell>
          <cell r="C1252">
            <v>0</v>
          </cell>
          <cell r="D1252">
            <v>0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</row>
        <row r="1253">
          <cell r="A1253">
            <v>1349000934</v>
          </cell>
          <cell r="B1253" t="str">
            <v>עו"ס עולים 1073170</v>
          </cell>
          <cell r="C1253">
            <v>0</v>
          </cell>
          <cell r="D1253">
            <v>0</v>
          </cell>
          <cell r="E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A1254">
            <v>1349000937</v>
          </cell>
          <cell r="B1254" t="str">
            <v>ליווי לעיור0622151</v>
          </cell>
          <cell r="C1254">
            <v>0</v>
          </cell>
          <cell r="D1254">
            <v>0</v>
          </cell>
          <cell r="E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A1255">
            <v>1349000938</v>
          </cell>
          <cell r="B1255" t="str">
            <v>מע"ש עולים 0855630</v>
          </cell>
          <cell r="C1255">
            <v>0</v>
          </cell>
          <cell r="D1255">
            <v>0</v>
          </cell>
          <cell r="E1255">
            <v>0</v>
          </cell>
          <cell r="F1255">
            <v>0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</row>
        <row r="1256">
          <cell r="A1256">
            <v>1368000490</v>
          </cell>
          <cell r="B1256" t="str">
            <v>הכנסה מקרן עזבונות</v>
          </cell>
          <cell r="C1256">
            <v>0</v>
          </cell>
          <cell r="D1256">
            <v>0</v>
          </cell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</row>
        <row r="1257">
          <cell r="A1257">
            <v>1368000491</v>
          </cell>
          <cell r="B1257" t="str">
            <v>הכנסות מארועים</v>
          </cell>
          <cell r="C1257">
            <v>0</v>
          </cell>
          <cell r="D1257">
            <v>-10370</v>
          </cell>
          <cell r="E1257">
            <v>0</v>
          </cell>
          <cell r="F1257">
            <v>-10370</v>
          </cell>
          <cell r="G1257">
            <v>10370</v>
          </cell>
          <cell r="H1257">
            <v>0</v>
          </cell>
          <cell r="I1257">
            <v>0</v>
          </cell>
          <cell r="J1257">
            <v>-10370</v>
          </cell>
        </row>
        <row r="1258">
          <cell r="A1258">
            <v>1368000750</v>
          </cell>
          <cell r="B1258" t="str">
            <v>אולפני סוכנות</v>
          </cell>
          <cell r="C1258">
            <v>0</v>
          </cell>
          <cell r="D1258">
            <v>-85382.55</v>
          </cell>
          <cell r="E1258">
            <v>0</v>
          </cell>
          <cell r="F1258">
            <v>-85382.55</v>
          </cell>
          <cell r="G1258">
            <v>85382.55</v>
          </cell>
          <cell r="H1258">
            <v>0</v>
          </cell>
          <cell r="I1258">
            <v>0</v>
          </cell>
          <cell r="J1258">
            <v>-85382.55</v>
          </cell>
        </row>
        <row r="1259">
          <cell r="A1259">
            <v>1368000790</v>
          </cell>
          <cell r="B1259" t="str">
            <v>בני ברית - תרומה</v>
          </cell>
          <cell r="C1259">
            <v>-8000</v>
          </cell>
          <cell r="D1259">
            <v>0</v>
          </cell>
          <cell r="E1259">
            <v>0</v>
          </cell>
          <cell r="F1259">
            <v>0</v>
          </cell>
          <cell r="G1259">
            <v>-8000</v>
          </cell>
          <cell r="H1259">
            <v>0</v>
          </cell>
          <cell r="I1259">
            <v>-8000</v>
          </cell>
          <cell r="J1259">
            <v>0</v>
          </cell>
        </row>
        <row r="1260">
          <cell r="A1260">
            <v>1368000920</v>
          </cell>
          <cell r="B1260" t="str">
            <v>משרד הקליטה-שכר עובדים</v>
          </cell>
          <cell r="C1260">
            <v>-292000</v>
          </cell>
          <cell r="D1260">
            <v>0</v>
          </cell>
          <cell r="E1260">
            <v>0</v>
          </cell>
          <cell r="F1260">
            <v>0</v>
          </cell>
          <cell r="G1260">
            <v>-292000</v>
          </cell>
          <cell r="H1260">
            <v>0</v>
          </cell>
          <cell r="I1260">
            <v>-292000</v>
          </cell>
          <cell r="J1260">
            <v>0</v>
          </cell>
        </row>
        <row r="1261">
          <cell r="A1261">
            <v>1368000950</v>
          </cell>
          <cell r="B1261" t="str">
            <v>משרד הקליטה</v>
          </cell>
          <cell r="C1261">
            <v>0</v>
          </cell>
          <cell r="D1261">
            <v>-63875</v>
          </cell>
          <cell r="E1261">
            <v>0</v>
          </cell>
          <cell r="F1261">
            <v>-63875</v>
          </cell>
          <cell r="G1261">
            <v>63875</v>
          </cell>
          <cell r="H1261">
            <v>0</v>
          </cell>
          <cell r="I1261">
            <v>0</v>
          </cell>
          <cell r="J1261">
            <v>-63875</v>
          </cell>
        </row>
        <row r="1262">
          <cell r="A1262">
            <v>1368000951</v>
          </cell>
          <cell r="B1262" t="str">
            <v>משרד הקליטה-ארועים</v>
          </cell>
          <cell r="C1262">
            <v>-580000</v>
          </cell>
          <cell r="D1262">
            <v>-104999</v>
          </cell>
          <cell r="E1262">
            <v>0</v>
          </cell>
          <cell r="F1262">
            <v>-104999</v>
          </cell>
          <cell r="G1262">
            <v>-475001</v>
          </cell>
          <cell r="H1262">
            <v>18.100000000000001</v>
          </cell>
          <cell r="I1262">
            <v>-580000</v>
          </cell>
          <cell r="J1262">
            <v>-104999</v>
          </cell>
        </row>
        <row r="1263">
          <cell r="A1263">
            <v>1369000490</v>
          </cell>
          <cell r="B1263" t="str">
            <v>הכנסות מארועים</v>
          </cell>
          <cell r="C1263">
            <v>-61229</v>
          </cell>
          <cell r="D1263">
            <v>-74893</v>
          </cell>
          <cell r="E1263">
            <v>0</v>
          </cell>
          <cell r="F1263">
            <v>-74893</v>
          </cell>
          <cell r="G1263">
            <v>13664</v>
          </cell>
          <cell r="H1263">
            <v>122.31</v>
          </cell>
          <cell r="I1263">
            <v>-61229</v>
          </cell>
          <cell r="J1263">
            <v>-74893</v>
          </cell>
        </row>
        <row r="1264">
          <cell r="A1264">
            <v>1369000670</v>
          </cell>
          <cell r="B1264" t="str">
            <v>דמי זיכיון</v>
          </cell>
          <cell r="C1264">
            <v>0</v>
          </cell>
          <cell r="D1264">
            <v>0</v>
          </cell>
          <cell r="E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A1265">
            <v>1369000790</v>
          </cell>
          <cell r="B1265" t="str">
            <v>שכירת חדרים</v>
          </cell>
          <cell r="C1265">
            <v>0</v>
          </cell>
          <cell r="D1265">
            <v>0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</row>
        <row r="1266">
          <cell r="A1266">
            <v>1369000950</v>
          </cell>
          <cell r="B1266" t="str">
            <v>הכנסות משנים קודמות-קליטה</v>
          </cell>
          <cell r="C1266">
            <v>0</v>
          </cell>
          <cell r="D1266">
            <v>0</v>
          </cell>
          <cell r="E1266">
            <v>0</v>
          </cell>
          <cell r="F1266">
            <v>0</v>
          </cell>
          <cell r="G1266">
            <v>0</v>
          </cell>
          <cell r="H1266">
            <v>0</v>
          </cell>
          <cell r="I1266">
            <v>0</v>
          </cell>
          <cell r="J1266">
            <v>0</v>
          </cell>
        </row>
        <row r="1267">
          <cell r="A1267">
            <v>1369000951</v>
          </cell>
          <cell r="B1267" t="str">
            <v>משרד הקליטה-ארועים</v>
          </cell>
          <cell r="C1267">
            <v>0</v>
          </cell>
          <cell r="D1267">
            <v>0</v>
          </cell>
          <cell r="E1267">
            <v>0</v>
          </cell>
          <cell r="F1267">
            <v>0</v>
          </cell>
          <cell r="G1267">
            <v>0</v>
          </cell>
          <cell r="H1267">
            <v>0</v>
          </cell>
          <cell r="I1267">
            <v>0</v>
          </cell>
          <cell r="J1267">
            <v>0</v>
          </cell>
        </row>
        <row r="1268">
          <cell r="A1268">
            <v>1379000690</v>
          </cell>
          <cell r="B1268" t="str">
            <v>קנסות-זיהום ממפעלים</v>
          </cell>
          <cell r="C1268">
            <v>0</v>
          </cell>
          <cell r="D1268">
            <v>0</v>
          </cell>
          <cell r="E1268">
            <v>0</v>
          </cell>
          <cell r="F1268">
            <v>0</v>
          </cell>
          <cell r="G1268">
            <v>0</v>
          </cell>
          <cell r="H1268">
            <v>0</v>
          </cell>
          <cell r="I1268">
            <v>0</v>
          </cell>
          <cell r="J1268">
            <v>0</v>
          </cell>
        </row>
        <row r="1269">
          <cell r="A1269">
            <v>1379000790</v>
          </cell>
          <cell r="B1269" t="str">
            <v>השתתפות מועצת אזור</v>
          </cell>
          <cell r="C1269">
            <v>-138000</v>
          </cell>
          <cell r="D1269">
            <v>-103500</v>
          </cell>
          <cell r="E1269">
            <v>0</v>
          </cell>
          <cell r="F1269">
            <v>-103500</v>
          </cell>
          <cell r="G1269">
            <v>-34500</v>
          </cell>
          <cell r="H1269">
            <v>75</v>
          </cell>
          <cell r="I1269">
            <v>-138000</v>
          </cell>
          <cell r="J1269">
            <v>-103500</v>
          </cell>
        </row>
        <row r="1270">
          <cell r="A1270">
            <v>1379000791</v>
          </cell>
          <cell r="B1270" t="str">
            <v>הכנסות מפעילות לתושבים</v>
          </cell>
          <cell r="C1270">
            <v>-5000</v>
          </cell>
          <cell r="D1270">
            <v>-6661</v>
          </cell>
          <cell r="E1270">
            <v>0</v>
          </cell>
          <cell r="F1270">
            <v>-6661</v>
          </cell>
          <cell r="G1270">
            <v>1661</v>
          </cell>
          <cell r="H1270">
            <v>133.22</v>
          </cell>
          <cell r="I1270">
            <v>-5000</v>
          </cell>
          <cell r="J1270">
            <v>-6661</v>
          </cell>
        </row>
        <row r="1271">
          <cell r="A1271">
            <v>1379000990</v>
          </cell>
          <cell r="B1271" t="str">
            <v>מש' איכות הסביבה</v>
          </cell>
          <cell r="C1271">
            <v>0</v>
          </cell>
          <cell r="D1271">
            <v>0</v>
          </cell>
          <cell r="E1271">
            <v>0</v>
          </cell>
          <cell r="F1271">
            <v>0</v>
          </cell>
          <cell r="G1271">
            <v>0</v>
          </cell>
          <cell r="H1271">
            <v>0</v>
          </cell>
          <cell r="I1271">
            <v>0</v>
          </cell>
          <cell r="J1271">
            <v>0</v>
          </cell>
        </row>
        <row r="1272">
          <cell r="A1272">
            <v>1379000991</v>
          </cell>
          <cell r="B1272" t="str">
            <v>קרן לשמירת הנקיון-מ'איכות</v>
          </cell>
          <cell r="C1272">
            <v>0</v>
          </cell>
          <cell r="D1272">
            <v>0</v>
          </cell>
          <cell r="E1272">
            <v>0</v>
          </cell>
          <cell r="F1272">
            <v>0</v>
          </cell>
          <cell r="G1272">
            <v>0</v>
          </cell>
          <cell r="H1272">
            <v>0</v>
          </cell>
          <cell r="I1272">
            <v>0</v>
          </cell>
          <cell r="J1272">
            <v>0</v>
          </cell>
        </row>
        <row r="1273">
          <cell r="A1273">
            <v>1412000111</v>
          </cell>
          <cell r="B1273" t="str">
            <v>החזר הנחות מימון</v>
          </cell>
          <cell r="C1273">
            <v>0</v>
          </cell>
          <cell r="D1273">
            <v>0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A1274">
            <v>1412000211</v>
          </cell>
          <cell r="B1274" t="str">
            <v>אספקת מים גביה</v>
          </cell>
          <cell r="C1274">
            <v>-50000</v>
          </cell>
          <cell r="D1274">
            <v>-182156.32</v>
          </cell>
          <cell r="E1274">
            <v>0</v>
          </cell>
          <cell r="F1274">
            <v>-182156.32</v>
          </cell>
          <cell r="G1274">
            <v>132156.32</v>
          </cell>
          <cell r="H1274">
            <v>364.31</v>
          </cell>
          <cell r="I1274">
            <v>-50000</v>
          </cell>
          <cell r="J1274">
            <v>-182156.32</v>
          </cell>
        </row>
        <row r="1275">
          <cell r="A1275">
            <v>1412000212</v>
          </cell>
          <cell r="B1275" t="str">
            <v>דמי בדיקת מדים</v>
          </cell>
          <cell r="C1275">
            <v>0</v>
          </cell>
          <cell r="D1275">
            <v>0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</row>
        <row r="1276">
          <cell r="A1276">
            <v>1412000213</v>
          </cell>
          <cell r="B1276" t="str">
            <v>אג' ניתוק/חיבור מד</v>
          </cell>
          <cell r="C1276">
            <v>0</v>
          </cell>
          <cell r="D1276">
            <v>0</v>
          </cell>
          <cell r="E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A1277">
            <v>1412000214</v>
          </cell>
          <cell r="B1277" t="str">
            <v>גביה חב' מילגם</v>
          </cell>
          <cell r="C1277">
            <v>0</v>
          </cell>
          <cell r="D1277">
            <v>-3824.64</v>
          </cell>
          <cell r="E1277">
            <v>0</v>
          </cell>
          <cell r="F1277">
            <v>-3824.64</v>
          </cell>
          <cell r="G1277">
            <v>3824.64</v>
          </cell>
          <cell r="H1277">
            <v>0</v>
          </cell>
          <cell r="I1277">
            <v>0</v>
          </cell>
          <cell r="J1277">
            <v>-3824.64</v>
          </cell>
        </row>
        <row r="1278">
          <cell r="A1278">
            <v>1412000215</v>
          </cell>
          <cell r="B1278" t="str">
            <v>שינוי ח' מים-צרכן</v>
          </cell>
          <cell r="C1278">
            <v>0</v>
          </cell>
          <cell r="D1278">
            <v>0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</row>
        <row r="1279">
          <cell r="A1279">
            <v>1412000216</v>
          </cell>
          <cell r="B1279" t="str">
            <v>הכנסות מ"מי שיקמה"</v>
          </cell>
          <cell r="C1279">
            <v>0</v>
          </cell>
          <cell r="D1279">
            <v>0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A1280">
            <v>1412000661</v>
          </cell>
          <cell r="B1280" t="str">
            <v>עמלת גביה</v>
          </cell>
          <cell r="C1280">
            <v>0</v>
          </cell>
          <cell r="D1280">
            <v>0</v>
          </cell>
          <cell r="E1280">
            <v>0</v>
          </cell>
          <cell r="F1280">
            <v>0</v>
          </cell>
          <cell r="G1280">
            <v>0</v>
          </cell>
          <cell r="H1280">
            <v>0</v>
          </cell>
          <cell r="I1280">
            <v>0</v>
          </cell>
          <cell r="J1280">
            <v>0</v>
          </cell>
        </row>
        <row r="1281">
          <cell r="A1281">
            <v>1412000662</v>
          </cell>
          <cell r="B1281" t="str">
            <v>שרותים לתאגיד</v>
          </cell>
          <cell r="C1281">
            <v>-381800</v>
          </cell>
          <cell r="D1281">
            <v>-402702</v>
          </cell>
          <cell r="E1281">
            <v>0</v>
          </cell>
          <cell r="F1281">
            <v>-402702</v>
          </cell>
          <cell r="G1281">
            <v>20902</v>
          </cell>
          <cell r="H1281">
            <v>105.47</v>
          </cell>
          <cell r="I1281">
            <v>-381800</v>
          </cell>
          <cell r="J1281">
            <v>-402702</v>
          </cell>
        </row>
        <row r="1282">
          <cell r="A1282">
            <v>1412000663</v>
          </cell>
          <cell r="B1282" t="str">
            <v>שיפוי שכר תאגיד מים</v>
          </cell>
          <cell r="C1282">
            <v>0</v>
          </cell>
          <cell r="D1282">
            <v>0</v>
          </cell>
          <cell r="E1282">
            <v>0</v>
          </cell>
          <cell r="F1282">
            <v>0</v>
          </cell>
          <cell r="G1282">
            <v>0</v>
          </cell>
          <cell r="H1282">
            <v>0</v>
          </cell>
          <cell r="I1282">
            <v>0</v>
          </cell>
          <cell r="J1282">
            <v>0</v>
          </cell>
        </row>
        <row r="1283">
          <cell r="A1283">
            <v>1412000664</v>
          </cell>
          <cell r="B1283" t="str">
            <v>השתתפות במל"ח</v>
          </cell>
          <cell r="C1283">
            <v>0</v>
          </cell>
          <cell r="D1283">
            <v>0</v>
          </cell>
          <cell r="E1283">
            <v>0</v>
          </cell>
          <cell r="F1283">
            <v>0</v>
          </cell>
          <cell r="G1283">
            <v>0</v>
          </cell>
          <cell r="H1283">
            <v>0</v>
          </cell>
          <cell r="I1283">
            <v>0</v>
          </cell>
          <cell r="J1283">
            <v>0</v>
          </cell>
        </row>
        <row r="1284">
          <cell r="A1284">
            <v>1433000420</v>
          </cell>
          <cell r="B1284" t="str">
            <v>שכ"ד - בית קפה "קקאו"  710</v>
          </cell>
          <cell r="C1284">
            <v>-306000</v>
          </cell>
          <cell r="D1284">
            <v>-190276</v>
          </cell>
          <cell r="E1284">
            <v>0</v>
          </cell>
          <cell r="F1284">
            <v>-190276</v>
          </cell>
          <cell r="G1284">
            <v>-115724</v>
          </cell>
          <cell r="H1284">
            <v>62.18</v>
          </cell>
          <cell r="I1284">
            <v>-306000</v>
          </cell>
          <cell r="J1284">
            <v>-190276</v>
          </cell>
        </row>
        <row r="1285">
          <cell r="A1285">
            <v>1433000429</v>
          </cell>
          <cell r="B1285" t="str">
            <v>בי"ס בנות יעל-מעיין החינוך התו</v>
          </cell>
          <cell r="C1285">
            <v>-231500</v>
          </cell>
          <cell r="D1285">
            <v>0</v>
          </cell>
          <cell r="E1285">
            <v>0</v>
          </cell>
          <cell r="F1285">
            <v>0</v>
          </cell>
          <cell r="G1285">
            <v>-231500</v>
          </cell>
          <cell r="H1285">
            <v>0</v>
          </cell>
          <cell r="I1285">
            <v>-231500</v>
          </cell>
          <cell r="J1285">
            <v>0</v>
          </cell>
        </row>
        <row r="1286">
          <cell r="A1286">
            <v>1433000430</v>
          </cell>
          <cell r="B1286" t="str">
            <v>בית קפה - גן סיפור 709</v>
          </cell>
          <cell r="C1286">
            <v>-900000</v>
          </cell>
          <cell r="D1286">
            <v>-864346</v>
          </cell>
          <cell r="E1286">
            <v>0</v>
          </cell>
          <cell r="F1286">
            <v>-864346</v>
          </cell>
          <cell r="G1286">
            <v>-35654</v>
          </cell>
          <cell r="H1286">
            <v>96.03</v>
          </cell>
          <cell r="I1286">
            <v>-900000</v>
          </cell>
          <cell r="J1286">
            <v>-864346</v>
          </cell>
        </row>
        <row r="1287">
          <cell r="A1287">
            <v>1433000431</v>
          </cell>
          <cell r="B1287" t="str">
            <v>חשמל - בית קפה "קקאו"</v>
          </cell>
          <cell r="C1287">
            <v>-40000</v>
          </cell>
          <cell r="D1287">
            <v>-13784.54</v>
          </cell>
          <cell r="E1287">
            <v>0</v>
          </cell>
          <cell r="F1287">
            <v>-13784.54</v>
          </cell>
          <cell r="G1287">
            <v>-26215.46</v>
          </cell>
          <cell r="H1287">
            <v>34.46</v>
          </cell>
          <cell r="I1287">
            <v>-40000</v>
          </cell>
          <cell r="J1287">
            <v>-13784.54</v>
          </cell>
        </row>
        <row r="1288">
          <cell r="A1288">
            <v>1433000640</v>
          </cell>
          <cell r="B1288" t="str">
            <v>שכ"ד-חכ"ל חולון 686</v>
          </cell>
          <cell r="C1288">
            <v>-19852000</v>
          </cell>
          <cell r="D1288">
            <v>-19768483</v>
          </cell>
          <cell r="E1288">
            <v>0</v>
          </cell>
          <cell r="F1288">
            <v>-19768483</v>
          </cell>
          <cell r="G1288">
            <v>-83517</v>
          </cell>
          <cell r="H1288">
            <v>99.57</v>
          </cell>
          <cell r="I1288">
            <v>-19852000</v>
          </cell>
          <cell r="J1288">
            <v>-19768483</v>
          </cell>
        </row>
        <row r="1289">
          <cell r="A1289">
            <v>1433000641</v>
          </cell>
          <cell r="B1289" t="str">
            <v>שכ"ד-מזנון העירייה</v>
          </cell>
          <cell r="C1289">
            <v>0</v>
          </cell>
          <cell r="D1289">
            <v>0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</row>
        <row r="1290">
          <cell r="A1290">
            <v>1433000642</v>
          </cell>
          <cell r="B1290" t="str">
            <v>דמ"ח חכ"ל 716</v>
          </cell>
          <cell r="C1290">
            <v>-280000</v>
          </cell>
          <cell r="D1290">
            <v>-292859</v>
          </cell>
          <cell r="E1290">
            <v>0</v>
          </cell>
          <cell r="F1290">
            <v>-292859</v>
          </cell>
          <cell r="G1290">
            <v>12859</v>
          </cell>
          <cell r="H1290">
            <v>104.59</v>
          </cell>
          <cell r="I1290">
            <v>-280000</v>
          </cell>
          <cell r="J1290">
            <v>-292859</v>
          </cell>
        </row>
        <row r="1291">
          <cell r="A1291">
            <v>1433000643</v>
          </cell>
          <cell r="B1291" t="str">
            <v>שכ"ד-משען 683</v>
          </cell>
          <cell r="C1291">
            <v>-660000</v>
          </cell>
          <cell r="D1291">
            <v>-1871746.99</v>
          </cell>
          <cell r="E1291">
            <v>0</v>
          </cell>
          <cell r="F1291">
            <v>-1871746.99</v>
          </cell>
          <cell r="G1291">
            <v>1211746.99</v>
          </cell>
          <cell r="H1291">
            <v>283.58999999999997</v>
          </cell>
          <cell r="I1291">
            <v>-660000</v>
          </cell>
          <cell r="J1291">
            <v>-1871746.99</v>
          </cell>
        </row>
        <row r="1292">
          <cell r="A1292">
            <v>1433000644</v>
          </cell>
          <cell r="B1292" t="str">
            <v>שכ"ד-מ.טכנולוגי684</v>
          </cell>
          <cell r="C1292">
            <v>-560000</v>
          </cell>
          <cell r="D1292">
            <v>-565724</v>
          </cell>
          <cell r="E1292">
            <v>0</v>
          </cell>
          <cell r="F1292">
            <v>-565724</v>
          </cell>
          <cell r="G1292">
            <v>5724</v>
          </cell>
          <cell r="H1292">
            <v>101.02</v>
          </cell>
          <cell r="I1292">
            <v>-560000</v>
          </cell>
          <cell r="J1292">
            <v>-565724</v>
          </cell>
        </row>
        <row r="1293">
          <cell r="A1293">
            <v>1433000645</v>
          </cell>
          <cell r="B1293" t="str">
            <v>שכ"ד-אג"ד 555</v>
          </cell>
          <cell r="C1293">
            <v>-62000</v>
          </cell>
          <cell r="D1293">
            <v>0</v>
          </cell>
          <cell r="E1293">
            <v>0</v>
          </cell>
          <cell r="F1293">
            <v>0</v>
          </cell>
          <cell r="G1293">
            <v>-62000</v>
          </cell>
          <cell r="H1293">
            <v>0</v>
          </cell>
          <cell r="I1293">
            <v>-62000</v>
          </cell>
          <cell r="J1293">
            <v>0</v>
          </cell>
        </row>
        <row r="1294">
          <cell r="A1294">
            <v>1433000646</v>
          </cell>
          <cell r="B1294" t="str">
            <v>שכ"ד-תלפיות 685</v>
          </cell>
          <cell r="C1294">
            <v>-1365000</v>
          </cell>
          <cell r="D1294">
            <v>-1349696</v>
          </cell>
          <cell r="E1294">
            <v>0</v>
          </cell>
          <cell r="F1294">
            <v>-1349696</v>
          </cell>
          <cell r="G1294">
            <v>-15304</v>
          </cell>
          <cell r="H1294">
            <v>98.87</v>
          </cell>
          <cell r="I1294">
            <v>-1365000</v>
          </cell>
          <cell r="J1294">
            <v>-1349696</v>
          </cell>
        </row>
        <row r="1295">
          <cell r="A1295">
            <v>1433000647</v>
          </cell>
          <cell r="B1295" t="str">
            <v>שכ"ד-עמותת אל"י</v>
          </cell>
          <cell r="C1295">
            <v>-4500</v>
          </cell>
          <cell r="D1295">
            <v>-4500</v>
          </cell>
          <cell r="E1295">
            <v>0</v>
          </cell>
          <cell r="F1295">
            <v>-4500</v>
          </cell>
          <cell r="G1295">
            <v>0</v>
          </cell>
          <cell r="H1295">
            <v>100</v>
          </cell>
          <cell r="I1295">
            <v>-4500</v>
          </cell>
          <cell r="J1295">
            <v>-4500</v>
          </cell>
        </row>
        <row r="1296">
          <cell r="A1296">
            <v>1433000648</v>
          </cell>
          <cell r="B1296" t="str">
            <v>שכ"ד-נכס איילון פ' גולדה695</v>
          </cell>
          <cell r="C1296">
            <v>-90000</v>
          </cell>
          <cell r="D1296">
            <v>-126992</v>
          </cell>
          <cell r="E1296">
            <v>0</v>
          </cell>
          <cell r="F1296">
            <v>-126992</v>
          </cell>
          <cell r="G1296">
            <v>36992</v>
          </cell>
          <cell r="H1296">
            <v>141.1</v>
          </cell>
          <cell r="I1296">
            <v>-90000</v>
          </cell>
          <cell r="J1296">
            <v>-126992</v>
          </cell>
        </row>
        <row r="1297">
          <cell r="A1297">
            <v>1433000649</v>
          </cell>
          <cell r="B1297" t="str">
            <v>שכ"ד-שיקום הילד693</v>
          </cell>
          <cell r="C1297">
            <v>0</v>
          </cell>
          <cell r="D1297">
            <v>0</v>
          </cell>
          <cell r="E1297">
            <v>0</v>
          </cell>
          <cell r="F1297">
            <v>0</v>
          </cell>
          <cell r="G1297">
            <v>0</v>
          </cell>
          <cell r="H1297">
            <v>0</v>
          </cell>
          <cell r="I1297">
            <v>0</v>
          </cell>
          <cell r="J1297">
            <v>0</v>
          </cell>
        </row>
        <row r="1298">
          <cell r="A1298">
            <v>1433000650</v>
          </cell>
          <cell r="B1298" t="str">
            <v>שכ"ד - דן 105</v>
          </cell>
          <cell r="C1298">
            <v>-21000</v>
          </cell>
          <cell r="D1298">
            <v>-19544</v>
          </cell>
          <cell r="E1298">
            <v>0</v>
          </cell>
          <cell r="F1298">
            <v>-19544</v>
          </cell>
          <cell r="G1298">
            <v>-1456</v>
          </cell>
          <cell r="H1298">
            <v>93.06</v>
          </cell>
          <cell r="I1298">
            <v>-21000</v>
          </cell>
          <cell r="J1298">
            <v>-19544</v>
          </cell>
        </row>
        <row r="1299">
          <cell r="A1299">
            <v>1433000651</v>
          </cell>
          <cell r="B1299" t="str">
            <v>דמ"ח מרפאות שרותי בריאות כללית</v>
          </cell>
          <cell r="C1299">
            <v>-606000</v>
          </cell>
          <cell r="D1299">
            <v>-608126</v>
          </cell>
          <cell r="E1299">
            <v>0</v>
          </cell>
          <cell r="F1299">
            <v>-608126</v>
          </cell>
          <cell r="G1299">
            <v>2126</v>
          </cell>
          <cell r="H1299">
            <v>100.35</v>
          </cell>
          <cell r="I1299">
            <v>-606000</v>
          </cell>
          <cell r="J1299">
            <v>-608126</v>
          </cell>
        </row>
        <row r="1300">
          <cell r="A1300">
            <v>1433000652</v>
          </cell>
          <cell r="B1300" t="str">
            <v>שכ"ד מרפאה לבריאות הנפש</v>
          </cell>
          <cell r="C1300">
            <v>-427600</v>
          </cell>
          <cell r="D1300">
            <v>-404690.39</v>
          </cell>
          <cell r="E1300">
            <v>0</v>
          </cell>
          <cell r="F1300">
            <v>-404690.39</v>
          </cell>
          <cell r="G1300">
            <v>-22909.61</v>
          </cell>
          <cell r="H1300">
            <v>94.64</v>
          </cell>
          <cell r="I1300">
            <v>-427600</v>
          </cell>
          <cell r="J1300">
            <v>-404690.39</v>
          </cell>
        </row>
        <row r="1301">
          <cell r="A1301">
            <v>1433000653</v>
          </cell>
          <cell r="B1301" t="str">
            <v>דמ"ש פוטו וולטאי</v>
          </cell>
          <cell r="C1301">
            <v>-378000</v>
          </cell>
          <cell r="D1301">
            <v>-734000</v>
          </cell>
          <cell r="E1301">
            <v>0</v>
          </cell>
          <cell r="F1301">
            <v>-734000</v>
          </cell>
          <cell r="G1301">
            <v>356000</v>
          </cell>
          <cell r="H1301">
            <v>194.17</v>
          </cell>
          <cell r="I1301">
            <v>-378000</v>
          </cell>
          <cell r="J1301">
            <v>-734000</v>
          </cell>
        </row>
        <row r="1302">
          <cell r="A1302">
            <v>1433000654</v>
          </cell>
          <cell r="B1302" t="str">
            <v>הכנסות חניות עזריאלי</v>
          </cell>
          <cell r="C1302">
            <v>-2676240</v>
          </cell>
          <cell r="D1302">
            <v>0</v>
          </cell>
          <cell r="E1302">
            <v>0</v>
          </cell>
          <cell r="F1302">
            <v>0</v>
          </cell>
          <cell r="G1302">
            <v>-2676240</v>
          </cell>
          <cell r="H1302">
            <v>0</v>
          </cell>
          <cell r="I1302">
            <v>-2676240</v>
          </cell>
          <cell r="J1302">
            <v>0</v>
          </cell>
        </row>
        <row r="1303">
          <cell r="A1303">
            <v>1433000655</v>
          </cell>
          <cell r="B1303" t="str">
            <v>דמי שימוש גב ים</v>
          </cell>
          <cell r="C1303">
            <v>0</v>
          </cell>
          <cell r="D1303">
            <v>-1000000</v>
          </cell>
          <cell r="E1303">
            <v>0</v>
          </cell>
          <cell r="F1303">
            <v>-1000000</v>
          </cell>
          <cell r="G1303">
            <v>1000000</v>
          </cell>
          <cell r="H1303">
            <v>0</v>
          </cell>
          <cell r="I1303">
            <v>0</v>
          </cell>
          <cell r="J1303">
            <v>-1000000</v>
          </cell>
        </row>
        <row r="1304">
          <cell r="A1304">
            <v>1433000691</v>
          </cell>
          <cell r="B1304" t="str">
            <v>החזר מס רכוש</v>
          </cell>
          <cell r="C1304">
            <v>0</v>
          </cell>
          <cell r="D1304">
            <v>0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A1305">
            <v>1439000413</v>
          </cell>
          <cell r="B1305" t="str">
            <v>דמי שימוש בקרקע ציבורית</v>
          </cell>
          <cell r="C1305">
            <v>-100000</v>
          </cell>
          <cell r="D1305">
            <v>-160319.16</v>
          </cell>
          <cell r="E1305">
            <v>0</v>
          </cell>
          <cell r="F1305">
            <v>-160319.16</v>
          </cell>
          <cell r="G1305">
            <v>60319.16</v>
          </cell>
          <cell r="H1305">
            <v>160.31</v>
          </cell>
          <cell r="I1305">
            <v>-100000</v>
          </cell>
          <cell r="J1305">
            <v>-160319.16</v>
          </cell>
        </row>
        <row r="1306">
          <cell r="A1306">
            <v>1439000670</v>
          </cell>
          <cell r="B1306" t="str">
            <v>דמ"ז-ח' לבידור 556</v>
          </cell>
          <cell r="C1306">
            <v>-4750000</v>
          </cell>
          <cell r="D1306">
            <v>-4809459</v>
          </cell>
          <cell r="E1306">
            <v>0</v>
          </cell>
          <cell r="F1306">
            <v>-4809459</v>
          </cell>
          <cell r="G1306">
            <v>59459</v>
          </cell>
          <cell r="H1306">
            <v>101.25</v>
          </cell>
          <cell r="I1306">
            <v>-4750000</v>
          </cell>
          <cell r="J1306">
            <v>-4809459</v>
          </cell>
        </row>
        <row r="1307">
          <cell r="A1307">
            <v>1439000671</v>
          </cell>
          <cell r="B1307" t="str">
            <v>דמי זיכיון משלטים</v>
          </cell>
          <cell r="C1307">
            <v>-2000000</v>
          </cell>
          <cell r="D1307">
            <v>-1648580.3</v>
          </cell>
          <cell r="E1307">
            <v>0</v>
          </cell>
          <cell r="F1307">
            <v>-1648580.3</v>
          </cell>
          <cell r="G1307">
            <v>-351419.7</v>
          </cell>
          <cell r="H1307">
            <v>82.42</v>
          </cell>
          <cell r="I1307">
            <v>-2000000</v>
          </cell>
          <cell r="J1307">
            <v>-1648580.3</v>
          </cell>
        </row>
        <row r="1308">
          <cell r="A1308">
            <v>1439000672</v>
          </cell>
          <cell r="B1308" t="str">
            <v>זיכיון-סככות אוטו'</v>
          </cell>
          <cell r="C1308">
            <v>0</v>
          </cell>
          <cell r="D1308">
            <v>0</v>
          </cell>
          <cell r="E1308">
            <v>0</v>
          </cell>
          <cell r="F1308">
            <v>0</v>
          </cell>
          <cell r="G1308">
            <v>0</v>
          </cell>
          <cell r="H1308">
            <v>0</v>
          </cell>
          <cell r="I1308">
            <v>0</v>
          </cell>
          <cell r="J1308">
            <v>0</v>
          </cell>
        </row>
        <row r="1309">
          <cell r="A1309">
            <v>1439000673</v>
          </cell>
          <cell r="B1309" t="str">
            <v>הרשאה-מוניות קניון 694</v>
          </cell>
          <cell r="C1309">
            <v>0</v>
          </cell>
          <cell r="D1309">
            <v>0</v>
          </cell>
          <cell r="E1309">
            <v>0</v>
          </cell>
          <cell r="F1309">
            <v>0</v>
          </cell>
          <cell r="G1309">
            <v>0</v>
          </cell>
          <cell r="H1309">
            <v>0</v>
          </cell>
          <cell r="I1309">
            <v>0</v>
          </cell>
          <cell r="J1309">
            <v>0</v>
          </cell>
        </row>
        <row r="1310">
          <cell r="A1310">
            <v>1439000800</v>
          </cell>
          <cell r="B1310" t="str">
            <v>.</v>
          </cell>
          <cell r="C1310">
            <v>0</v>
          </cell>
          <cell r="D1310">
            <v>0</v>
          </cell>
          <cell r="E1310">
            <v>0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0</v>
          </cell>
        </row>
        <row r="1311">
          <cell r="A1311">
            <v>1439000801</v>
          </cell>
          <cell r="B1311" t="str">
            <v>דמי זיכיון רשת קהילה ופנאי</v>
          </cell>
          <cell r="C1311">
            <v>0</v>
          </cell>
          <cell r="D1311">
            <v>0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A1312">
            <v>1439000802</v>
          </cell>
          <cell r="B1312" t="str">
            <v>דמ"ז החברה לפיתוח תאטרון</v>
          </cell>
          <cell r="C1312">
            <v>0</v>
          </cell>
          <cell r="D1312">
            <v>0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</row>
        <row r="1313">
          <cell r="A1313">
            <v>1439000803</v>
          </cell>
          <cell r="B1313" t="str">
            <v>זכות הפעלה החב' לפיתוח תאטרון</v>
          </cell>
          <cell r="C1313">
            <v>0</v>
          </cell>
          <cell r="D1313">
            <v>0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</row>
        <row r="1314">
          <cell r="A1314">
            <v>1439000804</v>
          </cell>
          <cell r="B1314" t="str">
            <v>זכות הפעלה רשת קהילה ופנאי</v>
          </cell>
          <cell r="C1314">
            <v>0</v>
          </cell>
          <cell r="D1314">
            <v>0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A1315">
            <v>1472000111</v>
          </cell>
          <cell r="B1315" t="str">
            <v>החזר הנחות מימון</v>
          </cell>
          <cell r="C1315">
            <v>0</v>
          </cell>
          <cell r="D1315">
            <v>0</v>
          </cell>
          <cell r="E1315">
            <v>0</v>
          </cell>
          <cell r="F1315">
            <v>0</v>
          </cell>
          <cell r="G1315">
            <v>0</v>
          </cell>
          <cell r="H1315">
            <v>0</v>
          </cell>
          <cell r="I1315">
            <v>0</v>
          </cell>
          <cell r="J1315">
            <v>0</v>
          </cell>
        </row>
        <row r="1316">
          <cell r="A1316">
            <v>1472000210</v>
          </cell>
          <cell r="B1316" t="str">
            <v>אג' ביוב-איגוד ערים</v>
          </cell>
          <cell r="C1316">
            <v>-60000</v>
          </cell>
          <cell r="D1316">
            <v>-26408.1</v>
          </cell>
          <cell r="E1316">
            <v>0</v>
          </cell>
          <cell r="F1316">
            <v>-26408.1</v>
          </cell>
          <cell r="G1316">
            <v>-33591.9</v>
          </cell>
          <cell r="H1316">
            <v>44.01</v>
          </cell>
          <cell r="I1316">
            <v>-60000</v>
          </cell>
          <cell r="J1316">
            <v>-26408.1</v>
          </cell>
        </row>
        <row r="1317">
          <cell r="A1317">
            <v>1472000211</v>
          </cell>
          <cell r="B1317" t="str">
            <v>אגרת ביוב-מקומית</v>
          </cell>
          <cell r="C1317">
            <v>0</v>
          </cell>
          <cell r="D1317">
            <v>0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</row>
        <row r="1318">
          <cell r="A1318">
            <v>1472000212</v>
          </cell>
          <cell r="B1318" t="str">
            <v>אגרת ביוב-פחת</v>
          </cell>
          <cell r="C1318">
            <v>0</v>
          </cell>
          <cell r="D1318">
            <v>0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A1319">
            <v>1472000213</v>
          </cell>
          <cell r="B1319" t="str">
            <v>אגרת ביוב-שידרוג</v>
          </cell>
          <cell r="C1319">
            <v>0</v>
          </cell>
          <cell r="D1319">
            <v>0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</row>
        <row r="1320">
          <cell r="A1320">
            <v>1472000410</v>
          </cell>
          <cell r="B1320" t="str">
            <v>חיבור ביוב ע"ח צרכן</v>
          </cell>
          <cell r="C1320">
            <v>0</v>
          </cell>
          <cell r="D1320">
            <v>0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</row>
        <row r="1321">
          <cell r="A1321">
            <v>1511000662</v>
          </cell>
          <cell r="B1321" t="str">
            <v>רבית ודיוידנדים</v>
          </cell>
          <cell r="C1321">
            <v>-2300000</v>
          </cell>
          <cell r="D1321">
            <v>-51321288.310000002</v>
          </cell>
          <cell r="E1321">
            <v>0</v>
          </cell>
          <cell r="F1321">
            <v>-51321288.310000002</v>
          </cell>
          <cell r="G1321">
            <v>49021288.310000002</v>
          </cell>
          <cell r="H1321">
            <v>2231.36</v>
          </cell>
          <cell r="I1321">
            <v>-2300000</v>
          </cell>
          <cell r="J1321">
            <v>-51321288.310000002</v>
          </cell>
        </row>
        <row r="1322">
          <cell r="A1322">
            <v>1511000663</v>
          </cell>
          <cell r="B1322" t="str">
            <v>דיבידנד מ"מי שיקמה"</v>
          </cell>
          <cell r="C1322">
            <v>0</v>
          </cell>
          <cell r="D1322">
            <v>0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</row>
        <row r="1323">
          <cell r="A1323">
            <v>1512000661</v>
          </cell>
          <cell r="B1323" t="str">
            <v>רבית מהקדמת תשלום</v>
          </cell>
          <cell r="C1323">
            <v>-1000</v>
          </cell>
          <cell r="D1323">
            <v>-7523.32</v>
          </cell>
          <cell r="E1323">
            <v>0</v>
          </cell>
          <cell r="F1323">
            <v>-7523.32</v>
          </cell>
          <cell r="G1323">
            <v>6523.32</v>
          </cell>
          <cell r="H1323">
            <v>752.33</v>
          </cell>
          <cell r="I1323">
            <v>-1000</v>
          </cell>
          <cell r="J1323">
            <v>-7523.32</v>
          </cell>
        </row>
        <row r="1324">
          <cell r="A1324">
            <v>1512000662</v>
          </cell>
          <cell r="B1324" t="str">
            <v>הנחות מימון אשפה</v>
          </cell>
          <cell r="C1324">
            <v>-50000</v>
          </cell>
          <cell r="D1324">
            <v>-41125.550000000003</v>
          </cell>
          <cell r="E1324">
            <v>0</v>
          </cell>
          <cell r="F1324">
            <v>-41125.550000000003</v>
          </cell>
          <cell r="G1324">
            <v>-8874.4500000000007</v>
          </cell>
          <cell r="H1324">
            <v>82.25</v>
          </cell>
          <cell r="I1324">
            <v>-50000</v>
          </cell>
          <cell r="J1324">
            <v>-41125.550000000003</v>
          </cell>
        </row>
        <row r="1325">
          <cell r="A1325">
            <v>1512000664</v>
          </cell>
          <cell r="B1325" t="str">
            <v>רבית משקים חוזרים</v>
          </cell>
          <cell r="C1325">
            <v>0</v>
          </cell>
          <cell r="D1325">
            <v>0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</row>
        <row r="1326">
          <cell r="A1326">
            <v>1513000690</v>
          </cell>
          <cell r="B1326" t="str">
            <v>הכנסות-שנים קודמות</v>
          </cell>
          <cell r="C1326">
            <v>-1669887</v>
          </cell>
          <cell r="D1326">
            <v>-5500395.0599999996</v>
          </cell>
          <cell r="E1326">
            <v>0</v>
          </cell>
          <cell r="F1326">
            <v>-5500395.0599999996</v>
          </cell>
          <cell r="G1326">
            <v>3830508.06</v>
          </cell>
          <cell r="H1326">
            <v>329.38</v>
          </cell>
          <cell r="I1326">
            <v>-1669887</v>
          </cell>
          <cell r="J1326">
            <v>-5500395.0599999996</v>
          </cell>
        </row>
        <row r="1327">
          <cell r="A1327">
            <v>1513000691</v>
          </cell>
          <cell r="B1327" t="str">
            <v>קרן עודפים</v>
          </cell>
          <cell r="C1327">
            <v>0</v>
          </cell>
          <cell r="D1327">
            <v>0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A1328">
            <v>1513000692</v>
          </cell>
          <cell r="B1328" t="str">
            <v>העברה מעודף מצטבר</v>
          </cell>
          <cell r="C1328">
            <v>-67807850</v>
          </cell>
          <cell r="D1328">
            <v>-67807850</v>
          </cell>
          <cell r="E1328">
            <v>0</v>
          </cell>
          <cell r="F1328">
            <v>-67807850</v>
          </cell>
          <cell r="G1328">
            <v>0</v>
          </cell>
          <cell r="H1328">
            <v>100</v>
          </cell>
          <cell r="I1328">
            <v>-67807850</v>
          </cell>
          <cell r="J1328">
            <v>-67807850</v>
          </cell>
        </row>
        <row r="1329">
          <cell r="A1329">
            <v>1513000693</v>
          </cell>
          <cell r="B1329" t="str">
            <v>מכון טכנולוגי (אנטנות)</v>
          </cell>
          <cell r="C1329">
            <v>-171923</v>
          </cell>
          <cell r="D1329">
            <v>-263064</v>
          </cell>
          <cell r="E1329">
            <v>0</v>
          </cell>
          <cell r="F1329">
            <v>-263064</v>
          </cell>
          <cell r="G1329">
            <v>91141</v>
          </cell>
          <cell r="H1329">
            <v>153.01</v>
          </cell>
          <cell r="I1329">
            <v>-171923</v>
          </cell>
          <cell r="J1329">
            <v>-263064</v>
          </cell>
        </row>
        <row r="1330">
          <cell r="A1330">
            <v>1513000920</v>
          </cell>
          <cell r="B1330" t="str">
            <v>הכנסות שנים קודמות-ממשלה</v>
          </cell>
          <cell r="C1330">
            <v>-1100000</v>
          </cell>
          <cell r="D1330">
            <v>-1127214.58</v>
          </cell>
          <cell r="E1330">
            <v>0</v>
          </cell>
          <cell r="F1330">
            <v>-1127214.58</v>
          </cell>
          <cell r="G1330">
            <v>27214.58</v>
          </cell>
          <cell r="H1330">
            <v>102.47</v>
          </cell>
          <cell r="I1330">
            <v>-1100000</v>
          </cell>
          <cell r="J1330">
            <v>-1127214.58</v>
          </cell>
        </row>
        <row r="1331">
          <cell r="A1331">
            <v>1590000691</v>
          </cell>
          <cell r="B1331" t="str">
            <v>מחזור הלוואה קרן</v>
          </cell>
          <cell r="C1331">
            <v>0</v>
          </cell>
          <cell r="D1331">
            <v>0</v>
          </cell>
          <cell r="E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A1332">
            <v>1590000692</v>
          </cell>
          <cell r="B1332" t="str">
            <v>מחזור הלוואה ריבית</v>
          </cell>
          <cell r="C1332">
            <v>0</v>
          </cell>
          <cell r="D1332">
            <v>0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</row>
        <row r="1333">
          <cell r="A1333">
            <v>1590000693</v>
          </cell>
          <cell r="B1333" t="str">
            <v>מחזור הלוואה הצמדה</v>
          </cell>
          <cell r="C1333">
            <v>0</v>
          </cell>
          <cell r="D1333">
            <v>0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</row>
        <row r="1334">
          <cell r="A1334">
            <v>1594000597</v>
          </cell>
          <cell r="B1334" t="str">
            <v>לא פעיל</v>
          </cell>
          <cell r="C1334">
            <v>0</v>
          </cell>
          <cell r="D1334">
            <v>0</v>
          </cell>
          <cell r="E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0</v>
          </cell>
        </row>
        <row r="1335">
          <cell r="A1335">
            <v>1594000690</v>
          </cell>
          <cell r="B1335" t="str">
            <v>חדרי שנאים חב' חשמל+נת"ע</v>
          </cell>
          <cell r="C1335">
            <v>0</v>
          </cell>
          <cell r="D1335">
            <v>-167755.99</v>
          </cell>
          <cell r="E1335">
            <v>0</v>
          </cell>
          <cell r="F1335">
            <v>-167755.99</v>
          </cell>
          <cell r="G1335">
            <v>167755.99</v>
          </cell>
          <cell r="H1335">
            <v>0</v>
          </cell>
          <cell r="I1335">
            <v>0</v>
          </cell>
          <cell r="J1335">
            <v>-167755.99</v>
          </cell>
        </row>
        <row r="1336">
          <cell r="A1336">
            <v>1594000691</v>
          </cell>
          <cell r="B1336" t="str">
            <v>תקב'-הביטוח הלאומי</v>
          </cell>
          <cell r="C1336">
            <v>-2500000</v>
          </cell>
          <cell r="D1336">
            <v>0</v>
          </cell>
          <cell r="E1336">
            <v>0</v>
          </cell>
          <cell r="F1336">
            <v>0</v>
          </cell>
          <cell r="G1336">
            <v>-2500000</v>
          </cell>
          <cell r="H1336">
            <v>0</v>
          </cell>
          <cell r="I1336">
            <v>-2500000</v>
          </cell>
          <cell r="J1336">
            <v>0</v>
          </cell>
        </row>
        <row r="1337">
          <cell r="A1337">
            <v>1594000692</v>
          </cell>
          <cell r="B1337" t="str">
            <v>השתתפות בגימלה</v>
          </cell>
          <cell r="C1337">
            <v>-1500000</v>
          </cell>
          <cell r="D1337">
            <v>-1309109.05</v>
          </cell>
          <cell r="E1337">
            <v>0</v>
          </cell>
          <cell r="F1337">
            <v>-1309109.05</v>
          </cell>
          <cell r="G1337">
            <v>-190890.95</v>
          </cell>
          <cell r="H1337">
            <v>87.27</v>
          </cell>
          <cell r="I1337">
            <v>-1500000</v>
          </cell>
          <cell r="J1337">
            <v>-1309109.05</v>
          </cell>
        </row>
        <row r="1338">
          <cell r="A1338">
            <v>1594000693</v>
          </cell>
          <cell r="B1338" t="str">
            <v>החזר הוצ' משפטיות</v>
          </cell>
          <cell r="C1338">
            <v>-50000</v>
          </cell>
          <cell r="D1338">
            <v>-33956.949999999997</v>
          </cell>
          <cell r="E1338">
            <v>0</v>
          </cell>
          <cell r="F1338">
            <v>-33956.949999999997</v>
          </cell>
          <cell r="G1338">
            <v>-16043.05</v>
          </cell>
          <cell r="H1338">
            <v>67.91</v>
          </cell>
          <cell r="I1338">
            <v>-50000</v>
          </cell>
          <cell r="J1338">
            <v>-33956.949999999997</v>
          </cell>
        </row>
        <row r="1339">
          <cell r="A1339">
            <v>1594000694</v>
          </cell>
          <cell r="B1339" t="str">
            <v>הכנסות שונות</v>
          </cell>
          <cell r="C1339">
            <v>-200000</v>
          </cell>
          <cell r="D1339">
            <v>-274900.53999999998</v>
          </cell>
          <cell r="E1339">
            <v>0</v>
          </cell>
          <cell r="F1339">
            <v>-274900.53999999998</v>
          </cell>
          <cell r="G1339">
            <v>74900.539999999994</v>
          </cell>
          <cell r="H1339">
            <v>137.44999999999999</v>
          </cell>
          <cell r="I1339">
            <v>-200000</v>
          </cell>
          <cell r="J1339">
            <v>-274900.53999999998</v>
          </cell>
        </row>
        <row r="1340">
          <cell r="A1340">
            <v>1594000695</v>
          </cell>
          <cell r="B1340" t="str">
            <v>חשמל-מוזיאון הקריקטורות</v>
          </cell>
          <cell r="C1340">
            <v>-15000</v>
          </cell>
          <cell r="D1340">
            <v>-4919.7299999999996</v>
          </cell>
          <cell r="E1340">
            <v>0</v>
          </cell>
          <cell r="F1340">
            <v>-4919.7299999999996</v>
          </cell>
          <cell r="G1340">
            <v>-10080.27</v>
          </cell>
          <cell r="H1340">
            <v>32.79</v>
          </cell>
          <cell r="I1340">
            <v>-15000</v>
          </cell>
          <cell r="J1340">
            <v>-4919.7299999999996</v>
          </cell>
        </row>
        <row r="1341">
          <cell r="A1341">
            <v>1594000696</v>
          </cell>
          <cell r="B1341" t="str">
            <v>תביעות משפטיות מפיתוח</v>
          </cell>
          <cell r="C1341">
            <v>0</v>
          </cell>
          <cell r="D1341">
            <v>0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</row>
        <row r="1342">
          <cell r="A1342">
            <v>1594000697</v>
          </cell>
          <cell r="B1342" t="str">
            <v>מיחזור הלוואה-קרן</v>
          </cell>
          <cell r="C1342">
            <v>0</v>
          </cell>
          <cell r="D1342">
            <v>0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</row>
        <row r="1343">
          <cell r="A1343">
            <v>1594000698</v>
          </cell>
          <cell r="B1343" t="str">
            <v>מיחזור הלוואה-ריבית</v>
          </cell>
          <cell r="C1343">
            <v>0</v>
          </cell>
          <cell r="D1343">
            <v>0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</row>
        <row r="1344">
          <cell r="A1344">
            <v>1594000699</v>
          </cell>
          <cell r="B1344" t="str">
            <v>מיחזור הלוואה-הצמדה</v>
          </cell>
          <cell r="C1344">
            <v>0</v>
          </cell>
          <cell r="D1344">
            <v>0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</row>
        <row r="1345">
          <cell r="A1345">
            <v>1594000700</v>
          </cell>
          <cell r="B1345" t="str">
            <v>היוון - תחזוקת זיקת הנאה</v>
          </cell>
          <cell r="C1345">
            <v>0</v>
          </cell>
          <cell r="D1345">
            <v>0</v>
          </cell>
          <cell r="E1345">
            <v>0</v>
          </cell>
          <cell r="F1345">
            <v>0</v>
          </cell>
          <cell r="G1345">
            <v>0</v>
          </cell>
          <cell r="H1345">
            <v>0</v>
          </cell>
          <cell r="I1345">
            <v>0</v>
          </cell>
          <cell r="J1345">
            <v>0</v>
          </cell>
        </row>
        <row r="1346">
          <cell r="A1346">
            <v>1594000790</v>
          </cell>
          <cell r="B1346" t="str">
            <v>תחזוקת משאיות התאגיד</v>
          </cell>
          <cell r="C1346">
            <v>0</v>
          </cell>
          <cell r="D1346">
            <v>0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</row>
        <row r="1347">
          <cell r="A1347">
            <v>1594000791</v>
          </cell>
          <cell r="B1347" t="str">
            <v>הכנסות משכ"ל</v>
          </cell>
          <cell r="C1347">
            <v>-50000</v>
          </cell>
          <cell r="D1347">
            <v>-21142</v>
          </cell>
          <cell r="E1347">
            <v>0</v>
          </cell>
          <cell r="F1347">
            <v>-21142</v>
          </cell>
          <cell r="G1347">
            <v>-28858</v>
          </cell>
          <cell r="H1347">
            <v>42.28</v>
          </cell>
          <cell r="I1347">
            <v>-50000</v>
          </cell>
          <cell r="J1347">
            <v>-21142</v>
          </cell>
        </row>
        <row r="1348">
          <cell r="A1348">
            <v>1594000792</v>
          </cell>
          <cell r="B1348" t="str">
            <v>קרן ארנונה</v>
          </cell>
          <cell r="C1348">
            <v>0</v>
          </cell>
          <cell r="D1348">
            <v>-4051050</v>
          </cell>
          <cell r="E1348">
            <v>0</v>
          </cell>
          <cell r="F1348">
            <v>-4051050</v>
          </cell>
          <cell r="G1348">
            <v>4051050</v>
          </cell>
          <cell r="H1348">
            <v>0</v>
          </cell>
          <cell r="I1348">
            <v>0</v>
          </cell>
          <cell r="J1348">
            <v>-4051050</v>
          </cell>
        </row>
        <row r="1349">
          <cell r="A1349">
            <v>1594000930</v>
          </cell>
          <cell r="B1349" t="str">
            <v>לא פעיל</v>
          </cell>
          <cell r="C1349">
            <v>0</v>
          </cell>
          <cell r="D1349">
            <v>0</v>
          </cell>
          <cell r="E1349">
            <v>0</v>
          </cell>
          <cell r="F1349">
            <v>0</v>
          </cell>
          <cell r="G1349">
            <v>0</v>
          </cell>
          <cell r="H1349">
            <v>0</v>
          </cell>
          <cell r="I1349">
            <v>0</v>
          </cell>
          <cell r="J1349">
            <v>0</v>
          </cell>
        </row>
        <row r="1350">
          <cell r="A1350">
            <v>1594000931</v>
          </cell>
          <cell r="B1350" t="str">
            <v>מענק תיאגוד</v>
          </cell>
          <cell r="C1350">
            <v>0</v>
          </cell>
          <cell r="D1350">
            <v>0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A1351">
            <v>1599000690</v>
          </cell>
          <cell r="B1351" t="str">
            <v>הכנס' מקרנות הרשות</v>
          </cell>
          <cell r="C1351">
            <v>0</v>
          </cell>
          <cell r="D1351">
            <v>0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</row>
        <row r="1352">
          <cell r="A1352">
            <v>1599300690</v>
          </cell>
          <cell r="B1352" t="str">
            <v>העברת יתרות</v>
          </cell>
          <cell r="C1352">
            <v>0</v>
          </cell>
          <cell r="D1352">
            <v>100063654.06</v>
          </cell>
          <cell r="E1352">
            <v>0</v>
          </cell>
          <cell r="F1352">
            <v>100063654.06</v>
          </cell>
          <cell r="G1352">
            <v>-100063654.06</v>
          </cell>
          <cell r="H1352">
            <v>0</v>
          </cell>
          <cell r="I1352">
            <v>0</v>
          </cell>
          <cell r="J1352">
            <v>100063654.06</v>
          </cell>
        </row>
        <row r="1353">
          <cell r="A1353">
            <v>1611100110</v>
          </cell>
          <cell r="B1353" t="str">
            <v>השכר הקובע-תקציבית</v>
          </cell>
          <cell r="C1353">
            <v>313500</v>
          </cell>
          <cell r="D1353">
            <v>482130.36</v>
          </cell>
          <cell r="E1353">
            <v>0</v>
          </cell>
          <cell r="F1353">
            <v>482130.36</v>
          </cell>
          <cell r="G1353">
            <v>-168630.36</v>
          </cell>
          <cell r="H1353">
            <v>153.78</v>
          </cell>
          <cell r="I1353">
            <v>330000</v>
          </cell>
          <cell r="J1353">
            <v>482130.36</v>
          </cell>
        </row>
        <row r="1354">
          <cell r="A1354">
            <v>1611100119</v>
          </cell>
          <cell r="B1354" t="str">
            <v>השכר הקובע-צוברת</v>
          </cell>
          <cell r="C1354">
            <v>6652090</v>
          </cell>
          <cell r="D1354">
            <v>6057834.2000000002</v>
          </cell>
          <cell r="E1354">
            <v>0</v>
          </cell>
          <cell r="F1354">
            <v>6057834.2000000002</v>
          </cell>
          <cell r="G1354">
            <v>594255.80000000005</v>
          </cell>
          <cell r="H1354">
            <v>91.06</v>
          </cell>
          <cell r="I1354">
            <v>7002200</v>
          </cell>
          <cell r="J1354">
            <v>6057834.2000000002</v>
          </cell>
        </row>
        <row r="1355">
          <cell r="A1355">
            <v>1611100122</v>
          </cell>
          <cell r="B1355" t="str">
            <v>ביגוד</v>
          </cell>
          <cell r="C1355">
            <v>46740</v>
          </cell>
          <cell r="D1355">
            <v>63139.41</v>
          </cell>
          <cell r="E1355">
            <v>0</v>
          </cell>
          <cell r="F1355">
            <v>63139.41</v>
          </cell>
          <cell r="G1355">
            <v>-16399.41</v>
          </cell>
          <cell r="H1355">
            <v>135.08000000000001</v>
          </cell>
          <cell r="I1355">
            <v>49200</v>
          </cell>
          <cell r="J1355">
            <v>63139.41</v>
          </cell>
        </row>
        <row r="1356">
          <cell r="A1356">
            <v>1611100126</v>
          </cell>
          <cell r="B1356" t="str">
            <v>דמי הבראה</v>
          </cell>
          <cell r="C1356">
            <v>63650</v>
          </cell>
          <cell r="D1356">
            <v>103470.39</v>
          </cell>
          <cell r="E1356">
            <v>0</v>
          </cell>
          <cell r="F1356">
            <v>103470.39</v>
          </cell>
          <cell r="G1356">
            <v>-39820.39</v>
          </cell>
          <cell r="H1356">
            <v>162.56</v>
          </cell>
          <cell r="I1356">
            <v>67000</v>
          </cell>
          <cell r="J1356">
            <v>103470.39</v>
          </cell>
        </row>
        <row r="1357">
          <cell r="A1357">
            <v>1611100130</v>
          </cell>
          <cell r="B1357" t="str">
            <v>שעות נוספות</v>
          </cell>
          <cell r="C1357">
            <v>5700</v>
          </cell>
          <cell r="D1357">
            <v>33353.82</v>
          </cell>
          <cell r="E1357">
            <v>0</v>
          </cell>
          <cell r="F1357">
            <v>33353.82</v>
          </cell>
          <cell r="G1357">
            <v>-27653.82</v>
          </cell>
          <cell r="H1357">
            <v>585.15</v>
          </cell>
          <cell r="I1357">
            <v>6000</v>
          </cell>
          <cell r="J1357">
            <v>33353.82</v>
          </cell>
        </row>
        <row r="1358">
          <cell r="A1358">
            <v>1611100140</v>
          </cell>
          <cell r="B1358" t="str">
            <v>השתתפות באחזקת רכב</v>
          </cell>
          <cell r="C1358">
            <v>514520</v>
          </cell>
          <cell r="D1358">
            <v>590113.9</v>
          </cell>
          <cell r="E1358">
            <v>0</v>
          </cell>
          <cell r="F1358">
            <v>590113.9</v>
          </cell>
          <cell r="G1358">
            <v>-75593.899999999994</v>
          </cell>
          <cell r="H1358">
            <v>114.69</v>
          </cell>
          <cell r="I1358">
            <v>541600</v>
          </cell>
          <cell r="J1358">
            <v>590113.9</v>
          </cell>
        </row>
        <row r="1359">
          <cell r="A1359">
            <v>1611100253</v>
          </cell>
          <cell r="B1359" t="str">
            <v>עובד חיצוני</v>
          </cell>
          <cell r="C1359">
            <v>184300</v>
          </cell>
          <cell r="D1359">
            <v>151380.16</v>
          </cell>
          <cell r="E1359">
            <v>0</v>
          </cell>
          <cell r="F1359">
            <v>151380.16</v>
          </cell>
          <cell r="G1359">
            <v>32919.839999999997</v>
          </cell>
          <cell r="H1359">
            <v>82.13</v>
          </cell>
          <cell r="I1359">
            <v>194000</v>
          </cell>
          <cell r="J1359">
            <v>151380.16</v>
          </cell>
        </row>
        <row r="1360">
          <cell r="A1360">
            <v>1611100350</v>
          </cell>
          <cell r="B1360" t="str">
            <v>ליסינג</v>
          </cell>
          <cell r="C1360">
            <v>30780</v>
          </cell>
          <cell r="D1360">
            <v>28946.65</v>
          </cell>
          <cell r="E1360">
            <v>0</v>
          </cell>
          <cell r="F1360">
            <v>28946.65</v>
          </cell>
          <cell r="G1360">
            <v>1833.35</v>
          </cell>
          <cell r="H1360">
            <v>94.04</v>
          </cell>
          <cell r="I1360">
            <v>32400</v>
          </cell>
          <cell r="J1360">
            <v>28946.65</v>
          </cell>
        </row>
        <row r="1361">
          <cell r="A1361">
            <v>1611100351</v>
          </cell>
          <cell r="B1361" t="str">
            <v>הוצאות</v>
          </cell>
          <cell r="C1361">
            <v>17100</v>
          </cell>
          <cell r="D1361">
            <v>5345.18</v>
          </cell>
          <cell r="E1361">
            <v>0</v>
          </cell>
          <cell r="F1361">
            <v>5345.18</v>
          </cell>
          <cell r="G1361">
            <v>11754.82</v>
          </cell>
          <cell r="H1361">
            <v>31.25</v>
          </cell>
          <cell r="I1361">
            <v>18000</v>
          </cell>
          <cell r="J1361">
            <v>5345.18</v>
          </cell>
        </row>
        <row r="1362">
          <cell r="A1362">
            <v>1611100352</v>
          </cell>
          <cell r="B1362" t="str">
            <v>לא פעיל</v>
          </cell>
          <cell r="C1362">
            <v>0</v>
          </cell>
          <cell r="D1362">
            <v>0</v>
          </cell>
          <cell r="E1362">
            <v>0</v>
          </cell>
          <cell r="F1362">
            <v>0</v>
          </cell>
          <cell r="G1362">
            <v>0</v>
          </cell>
          <cell r="H1362">
            <v>0</v>
          </cell>
          <cell r="I1362">
            <v>0</v>
          </cell>
          <cell r="J1362">
            <v>0</v>
          </cell>
        </row>
        <row r="1363">
          <cell r="A1363">
            <v>1611100353</v>
          </cell>
          <cell r="B1363" t="str">
            <v>הוצ' רכב 65-700-73</v>
          </cell>
          <cell r="C1363">
            <v>19000</v>
          </cell>
          <cell r="D1363">
            <v>1295.08</v>
          </cell>
          <cell r="E1363">
            <v>0</v>
          </cell>
          <cell r="F1363">
            <v>1295.08</v>
          </cell>
          <cell r="G1363">
            <v>17704.919999999998</v>
          </cell>
          <cell r="H1363">
            <v>6.81</v>
          </cell>
          <cell r="I1363">
            <v>20000</v>
          </cell>
          <cell r="J1363">
            <v>1295.08</v>
          </cell>
        </row>
        <row r="1364">
          <cell r="A1364">
            <v>1611100441</v>
          </cell>
          <cell r="B1364" t="str">
            <v>בטוח אחריות בכירים</v>
          </cell>
          <cell r="C1364">
            <v>237500</v>
          </cell>
          <cell r="D1364">
            <v>231282</v>
          </cell>
          <cell r="E1364">
            <v>0</v>
          </cell>
          <cell r="F1364">
            <v>231282</v>
          </cell>
          <cell r="G1364">
            <v>6218</v>
          </cell>
          <cell r="H1364">
            <v>97.38</v>
          </cell>
          <cell r="I1364">
            <v>250000</v>
          </cell>
          <cell r="J1364">
            <v>231282</v>
          </cell>
        </row>
        <row r="1365">
          <cell r="A1365">
            <v>1611100471</v>
          </cell>
          <cell r="B1365" t="str">
            <v>מכשירי כתיבה</v>
          </cell>
          <cell r="C1365">
            <v>40700</v>
          </cell>
          <cell r="D1365">
            <v>39678.230000000003</v>
          </cell>
          <cell r="E1365">
            <v>886.43</v>
          </cell>
          <cell r="F1365">
            <v>40564.660000000003</v>
          </cell>
          <cell r="G1365">
            <v>135.34</v>
          </cell>
          <cell r="H1365">
            <v>99.66</v>
          </cell>
          <cell r="I1365">
            <v>40700</v>
          </cell>
          <cell r="J1365">
            <v>39678.230000000003</v>
          </cell>
        </row>
        <row r="1366">
          <cell r="A1366">
            <v>1611100492</v>
          </cell>
          <cell r="B1366" t="str">
            <v>השתתפות בעזר 092</v>
          </cell>
          <cell r="C1366">
            <v>409450</v>
          </cell>
          <cell r="D1366">
            <v>471935</v>
          </cell>
          <cell r="E1366">
            <v>0</v>
          </cell>
          <cell r="F1366">
            <v>471935</v>
          </cell>
          <cell r="G1366">
            <v>-62485</v>
          </cell>
          <cell r="H1366">
            <v>115.26</v>
          </cell>
          <cell r="I1366">
            <v>431000</v>
          </cell>
          <cell r="J1366">
            <v>471935</v>
          </cell>
        </row>
        <row r="1367">
          <cell r="A1367">
            <v>1611100511</v>
          </cell>
          <cell r="B1367" t="str">
            <v>אירוח וכיבוד</v>
          </cell>
          <cell r="C1367">
            <v>81200</v>
          </cell>
          <cell r="D1367">
            <v>69372.88</v>
          </cell>
          <cell r="E1367">
            <v>3297.48</v>
          </cell>
          <cell r="F1367">
            <v>72670.36</v>
          </cell>
          <cell r="G1367">
            <v>8529.64</v>
          </cell>
          <cell r="H1367">
            <v>89.49</v>
          </cell>
          <cell r="I1367">
            <v>81200</v>
          </cell>
          <cell r="J1367">
            <v>69372.88</v>
          </cell>
        </row>
        <row r="1368">
          <cell r="A1368">
            <v>1611100512</v>
          </cell>
          <cell r="B1368" t="str">
            <v>נסיעות ואש"ל</v>
          </cell>
          <cell r="C1368">
            <v>1805</v>
          </cell>
          <cell r="D1368">
            <v>40</v>
          </cell>
          <cell r="E1368">
            <v>0</v>
          </cell>
          <cell r="F1368">
            <v>40</v>
          </cell>
          <cell r="G1368">
            <v>1765</v>
          </cell>
          <cell r="H1368">
            <v>2.21</v>
          </cell>
          <cell r="I1368">
            <v>1900</v>
          </cell>
          <cell r="J1368">
            <v>40</v>
          </cell>
        </row>
        <row r="1369">
          <cell r="A1369">
            <v>1611100522</v>
          </cell>
          <cell r="B1369" t="str">
            <v>ספרים ועיתונים</v>
          </cell>
          <cell r="C1369">
            <v>16245</v>
          </cell>
          <cell r="D1369">
            <v>3635.25</v>
          </cell>
          <cell r="E1369">
            <v>0</v>
          </cell>
          <cell r="F1369">
            <v>3635.25</v>
          </cell>
          <cell r="G1369">
            <v>12609.75</v>
          </cell>
          <cell r="H1369">
            <v>22.37</v>
          </cell>
          <cell r="I1369">
            <v>17100</v>
          </cell>
          <cell r="J1369">
            <v>3635.25</v>
          </cell>
        </row>
        <row r="1370">
          <cell r="A1370">
            <v>1611100540</v>
          </cell>
          <cell r="B1370" t="str">
            <v>הוצאות טלפון</v>
          </cell>
          <cell r="C1370">
            <v>1615</v>
          </cell>
          <cell r="D1370">
            <v>0</v>
          </cell>
          <cell r="E1370">
            <v>0</v>
          </cell>
          <cell r="F1370">
            <v>0</v>
          </cell>
          <cell r="G1370">
            <v>1615</v>
          </cell>
          <cell r="H1370">
            <v>0</v>
          </cell>
          <cell r="I1370">
            <v>1700</v>
          </cell>
          <cell r="J1370">
            <v>0</v>
          </cell>
        </row>
        <row r="1371">
          <cell r="A1371">
            <v>1611100543</v>
          </cell>
          <cell r="B1371" t="str">
            <v>טלפונים סלולריים</v>
          </cell>
          <cell r="C1371">
            <v>20330</v>
          </cell>
          <cell r="D1371">
            <v>0</v>
          </cell>
          <cell r="E1371">
            <v>0</v>
          </cell>
          <cell r="F1371">
            <v>0</v>
          </cell>
          <cell r="G1371">
            <v>20330</v>
          </cell>
          <cell r="H1371">
            <v>0</v>
          </cell>
          <cell r="I1371">
            <v>21400</v>
          </cell>
          <cell r="J1371">
            <v>0</v>
          </cell>
        </row>
        <row r="1372">
          <cell r="A1372">
            <v>1611100544</v>
          </cell>
          <cell r="B1372" t="str">
            <v>הוצאות דאר</v>
          </cell>
          <cell r="C1372">
            <v>32300</v>
          </cell>
          <cell r="D1372">
            <v>2304.19</v>
          </cell>
          <cell r="E1372">
            <v>0</v>
          </cell>
          <cell r="F1372">
            <v>2304.19</v>
          </cell>
          <cell r="G1372">
            <v>29995.81</v>
          </cell>
          <cell r="H1372">
            <v>7.13</v>
          </cell>
          <cell r="I1372">
            <v>34000</v>
          </cell>
          <cell r="J1372">
            <v>2304.19</v>
          </cell>
        </row>
        <row r="1373">
          <cell r="A1373">
            <v>1611100550</v>
          </cell>
          <cell r="B1373" t="str">
            <v>פירסומים</v>
          </cell>
          <cell r="C1373">
            <v>0</v>
          </cell>
          <cell r="D1373">
            <v>0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</row>
        <row r="1374">
          <cell r="A1374">
            <v>1611100551</v>
          </cell>
          <cell r="B1374" t="str">
            <v>מבצע פירסום</v>
          </cell>
          <cell r="C1374">
            <v>0</v>
          </cell>
          <cell r="D1374">
            <v>0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</row>
        <row r="1375">
          <cell r="A1375">
            <v>1611100552</v>
          </cell>
          <cell r="B1375" t="str">
            <v>דוברות</v>
          </cell>
          <cell r="C1375">
            <v>1105610</v>
          </cell>
          <cell r="D1375">
            <v>966466.56000000006</v>
          </cell>
          <cell r="E1375">
            <v>71078.78</v>
          </cell>
          <cell r="F1375">
            <v>1037545.34</v>
          </cell>
          <cell r="G1375">
            <v>68064.66</v>
          </cell>
          <cell r="H1375">
            <v>93.84</v>
          </cell>
          <cell r="I1375">
            <v>1163800</v>
          </cell>
          <cell r="J1375">
            <v>966466.56000000006</v>
          </cell>
        </row>
        <row r="1376">
          <cell r="A1376">
            <v>1611100553</v>
          </cell>
          <cell r="B1376" t="str">
            <v>יחסי ציבור ומיתוג</v>
          </cell>
          <cell r="C1376">
            <v>502170</v>
          </cell>
          <cell r="D1376">
            <v>142155</v>
          </cell>
          <cell r="E1376">
            <v>0</v>
          </cell>
          <cell r="F1376">
            <v>142155</v>
          </cell>
          <cell r="G1376">
            <v>360015</v>
          </cell>
          <cell r="H1376">
            <v>28.3</v>
          </cell>
          <cell r="I1376">
            <v>528600</v>
          </cell>
          <cell r="J1376">
            <v>142155</v>
          </cell>
        </row>
        <row r="1377">
          <cell r="A1377">
            <v>1611100554</v>
          </cell>
          <cell r="B1377" t="str">
            <v>פרסום הליכות ג'יין</v>
          </cell>
          <cell r="C1377">
            <v>0</v>
          </cell>
          <cell r="D1377">
            <v>0</v>
          </cell>
          <cell r="E1377">
            <v>0</v>
          </cell>
          <cell r="F1377">
            <v>0</v>
          </cell>
          <cell r="G1377">
            <v>0</v>
          </cell>
          <cell r="H1377">
            <v>0</v>
          </cell>
          <cell r="I1377">
            <v>0</v>
          </cell>
          <cell r="J1377">
            <v>0</v>
          </cell>
        </row>
        <row r="1378">
          <cell r="A1378">
            <v>1611100555</v>
          </cell>
          <cell r="B1378" t="str">
            <v>צלמים</v>
          </cell>
          <cell r="C1378">
            <v>0</v>
          </cell>
          <cell r="D1378">
            <v>0</v>
          </cell>
          <cell r="E1378">
            <v>0</v>
          </cell>
          <cell r="F1378">
            <v>0</v>
          </cell>
          <cell r="G1378">
            <v>0</v>
          </cell>
          <cell r="H1378">
            <v>0</v>
          </cell>
          <cell r="I1378">
            <v>0</v>
          </cell>
          <cell r="J1378">
            <v>0</v>
          </cell>
        </row>
        <row r="1379">
          <cell r="A1379">
            <v>1611100556</v>
          </cell>
          <cell r="B1379" t="str">
            <v>כתיבת טקסטים</v>
          </cell>
          <cell r="C1379">
            <v>0</v>
          </cell>
          <cell r="D1379">
            <v>0</v>
          </cell>
          <cell r="E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A1380">
            <v>1611100561</v>
          </cell>
          <cell r="B1380" t="str">
            <v>שיכפולים</v>
          </cell>
          <cell r="C1380">
            <v>8170</v>
          </cell>
          <cell r="D1380">
            <v>0</v>
          </cell>
          <cell r="E1380">
            <v>3393</v>
          </cell>
          <cell r="F1380">
            <v>3393</v>
          </cell>
          <cell r="G1380">
            <v>4777</v>
          </cell>
          <cell r="H1380">
            <v>41.52</v>
          </cell>
          <cell r="I1380">
            <v>8600</v>
          </cell>
          <cell r="J1380">
            <v>0</v>
          </cell>
        </row>
        <row r="1381">
          <cell r="A1381">
            <v>1611100562</v>
          </cell>
          <cell r="B1381" t="str">
            <v>הדפסות</v>
          </cell>
          <cell r="C1381">
            <v>5700</v>
          </cell>
          <cell r="D1381">
            <v>3503.4</v>
          </cell>
          <cell r="E1381">
            <v>0</v>
          </cell>
          <cell r="F1381">
            <v>3503.4</v>
          </cell>
          <cell r="G1381">
            <v>2196.6</v>
          </cell>
          <cell r="H1381">
            <v>61.46</v>
          </cell>
          <cell r="I1381">
            <v>6000</v>
          </cell>
          <cell r="J1381">
            <v>3503.4</v>
          </cell>
        </row>
        <row r="1382">
          <cell r="A1382">
            <v>1611100563</v>
          </cell>
          <cell r="B1382" t="str">
            <v>הדפסת פרטיכלים</v>
          </cell>
          <cell r="C1382">
            <v>18000</v>
          </cell>
          <cell r="D1382">
            <v>25987.9</v>
          </cell>
          <cell r="E1382">
            <v>0</v>
          </cell>
          <cell r="F1382">
            <v>25987.9</v>
          </cell>
          <cell r="G1382">
            <v>-7987.9</v>
          </cell>
          <cell r="H1382">
            <v>144.37</v>
          </cell>
          <cell r="I1382">
            <v>18000</v>
          </cell>
          <cell r="J1382">
            <v>25987.9</v>
          </cell>
        </row>
        <row r="1383">
          <cell r="A1383">
            <v>1611100571</v>
          </cell>
          <cell r="B1383" t="str">
            <v>מיכון וענ"א</v>
          </cell>
          <cell r="C1383">
            <v>201780</v>
          </cell>
          <cell r="D1383">
            <v>212400</v>
          </cell>
          <cell r="E1383">
            <v>0</v>
          </cell>
          <cell r="F1383">
            <v>212400</v>
          </cell>
          <cell r="G1383">
            <v>-10620</v>
          </cell>
          <cell r="H1383">
            <v>105.26</v>
          </cell>
          <cell r="I1383">
            <v>212400</v>
          </cell>
          <cell r="J1383">
            <v>212400</v>
          </cell>
        </row>
        <row r="1384">
          <cell r="A1384">
            <v>1611100596</v>
          </cell>
          <cell r="B1384" t="str">
            <v>השתתפות בעזר 096</v>
          </cell>
          <cell r="C1384">
            <v>125875</v>
          </cell>
          <cell r="D1384">
            <v>123848</v>
          </cell>
          <cell r="E1384">
            <v>0</v>
          </cell>
          <cell r="F1384">
            <v>123848</v>
          </cell>
          <cell r="G1384">
            <v>2027</v>
          </cell>
          <cell r="H1384">
            <v>98.38</v>
          </cell>
          <cell r="I1384">
            <v>132500</v>
          </cell>
          <cell r="J1384">
            <v>123848</v>
          </cell>
        </row>
        <row r="1385">
          <cell r="A1385">
            <v>1611100715</v>
          </cell>
          <cell r="B1385" t="str">
            <v>עבודות קבלניות-רכב</v>
          </cell>
          <cell r="C1385">
            <v>0</v>
          </cell>
          <cell r="D1385">
            <v>0</v>
          </cell>
          <cell r="E1385">
            <v>0</v>
          </cell>
          <cell r="F1385">
            <v>0</v>
          </cell>
          <cell r="G1385">
            <v>0</v>
          </cell>
          <cell r="H1385">
            <v>0</v>
          </cell>
          <cell r="I1385">
            <v>0</v>
          </cell>
          <cell r="J1385">
            <v>0</v>
          </cell>
        </row>
        <row r="1386">
          <cell r="A1386">
            <v>1611100780</v>
          </cell>
          <cell r="B1386" t="str">
            <v>השכרת פרומפטר</v>
          </cell>
          <cell r="C1386">
            <v>0</v>
          </cell>
          <cell r="D1386">
            <v>0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</row>
        <row r="1387">
          <cell r="A1387">
            <v>1611100782</v>
          </cell>
          <cell r="B1387" t="str">
            <v>פרוייקט ג'ויינט</v>
          </cell>
          <cell r="C1387">
            <v>0</v>
          </cell>
          <cell r="D1387">
            <v>0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A1388">
            <v>1612000110</v>
          </cell>
          <cell r="B1388" t="str">
            <v>השכר הקובע-תקציבית</v>
          </cell>
          <cell r="C1388">
            <v>655500</v>
          </cell>
          <cell r="D1388">
            <v>591477.37</v>
          </cell>
          <cell r="E1388">
            <v>0</v>
          </cell>
          <cell r="F1388">
            <v>591477.37</v>
          </cell>
          <cell r="G1388">
            <v>64022.63</v>
          </cell>
          <cell r="H1388">
            <v>90.23</v>
          </cell>
          <cell r="I1388">
            <v>690000</v>
          </cell>
          <cell r="J1388">
            <v>591477.37</v>
          </cell>
        </row>
        <row r="1389">
          <cell r="A1389">
            <v>1612000119</v>
          </cell>
          <cell r="B1389" t="str">
            <v>השכר הקובע-צוברת</v>
          </cell>
          <cell r="C1389">
            <v>1125465</v>
          </cell>
          <cell r="D1389">
            <v>866249.73</v>
          </cell>
          <cell r="E1389">
            <v>0</v>
          </cell>
          <cell r="F1389">
            <v>866249.73</v>
          </cell>
          <cell r="G1389">
            <v>259215.27</v>
          </cell>
          <cell r="H1389">
            <v>76.959999999999994</v>
          </cell>
          <cell r="I1389">
            <v>1184700</v>
          </cell>
          <cell r="J1389">
            <v>866249.73</v>
          </cell>
        </row>
        <row r="1390">
          <cell r="A1390">
            <v>1612000122</v>
          </cell>
          <cell r="B1390" t="str">
            <v>ביגוד</v>
          </cell>
          <cell r="C1390">
            <v>59375</v>
          </cell>
          <cell r="D1390">
            <v>14924.12</v>
          </cell>
          <cell r="E1390">
            <v>0</v>
          </cell>
          <cell r="F1390">
            <v>14924.12</v>
          </cell>
          <cell r="G1390">
            <v>44450.879999999997</v>
          </cell>
          <cell r="H1390">
            <v>25.13</v>
          </cell>
          <cell r="I1390">
            <v>62500</v>
          </cell>
          <cell r="J1390">
            <v>14924.12</v>
          </cell>
        </row>
        <row r="1391">
          <cell r="A1391">
            <v>1612000126</v>
          </cell>
          <cell r="B1391" t="str">
            <v>דמי הבראה</v>
          </cell>
          <cell r="C1391">
            <v>33250</v>
          </cell>
          <cell r="D1391">
            <v>26689.31</v>
          </cell>
          <cell r="E1391">
            <v>0</v>
          </cell>
          <cell r="F1391">
            <v>26689.31</v>
          </cell>
          <cell r="G1391">
            <v>6560.69</v>
          </cell>
          <cell r="H1391">
            <v>80.260000000000005</v>
          </cell>
          <cell r="I1391">
            <v>35000</v>
          </cell>
          <cell r="J1391">
            <v>26689.31</v>
          </cell>
        </row>
        <row r="1392">
          <cell r="A1392">
            <v>1612000140</v>
          </cell>
          <cell r="B1392" t="str">
            <v>השתתפות באחזקת רכב</v>
          </cell>
          <cell r="C1392">
            <v>214225</v>
          </cell>
          <cell r="D1392">
            <v>105540.29</v>
          </cell>
          <cell r="E1392">
            <v>0</v>
          </cell>
          <cell r="F1392">
            <v>105540.29</v>
          </cell>
          <cell r="G1392">
            <v>108684.71</v>
          </cell>
          <cell r="H1392">
            <v>49.26</v>
          </cell>
          <cell r="I1392">
            <v>225500</v>
          </cell>
          <cell r="J1392">
            <v>105540.29</v>
          </cell>
        </row>
        <row r="1393">
          <cell r="A1393">
            <v>1612000253</v>
          </cell>
          <cell r="B1393" t="str">
            <v>עובדים חיצוניים</v>
          </cell>
          <cell r="C1393">
            <v>0</v>
          </cell>
          <cell r="D1393">
            <v>0</v>
          </cell>
          <cell r="E1393">
            <v>0</v>
          </cell>
          <cell r="F1393">
            <v>0</v>
          </cell>
          <cell r="G1393">
            <v>0</v>
          </cell>
          <cell r="H1393">
            <v>0</v>
          </cell>
          <cell r="I1393">
            <v>0</v>
          </cell>
          <cell r="J1393">
            <v>0</v>
          </cell>
        </row>
        <row r="1394">
          <cell r="A1394">
            <v>1612000350</v>
          </cell>
          <cell r="B1394" t="str">
            <v>ליסינג - 162-53-902</v>
          </cell>
          <cell r="C1394">
            <v>0</v>
          </cell>
          <cell r="D1394">
            <v>22286.38</v>
          </cell>
          <cell r="E1394">
            <v>0</v>
          </cell>
          <cell r="F1394">
            <v>22286.38</v>
          </cell>
          <cell r="G1394">
            <v>-22286.38</v>
          </cell>
          <cell r="H1394">
            <v>0</v>
          </cell>
          <cell r="I1394">
            <v>0</v>
          </cell>
          <cell r="J1394">
            <v>22286.38</v>
          </cell>
        </row>
        <row r="1395">
          <cell r="A1395">
            <v>1612000351</v>
          </cell>
          <cell r="B1395" t="str">
            <v>הוצאות - 162-53-902</v>
          </cell>
          <cell r="C1395">
            <v>0</v>
          </cell>
          <cell r="D1395">
            <v>0</v>
          </cell>
          <cell r="E1395">
            <v>0</v>
          </cell>
          <cell r="F1395">
            <v>0</v>
          </cell>
          <cell r="G1395">
            <v>0</v>
          </cell>
          <cell r="H1395">
            <v>0</v>
          </cell>
          <cell r="I1395">
            <v>0</v>
          </cell>
          <cell r="J1395">
            <v>0</v>
          </cell>
        </row>
        <row r="1396">
          <cell r="A1396">
            <v>1612000470</v>
          </cell>
          <cell r="B1396" t="str">
            <v>אחזקת מכונות</v>
          </cell>
          <cell r="C1396">
            <v>1995</v>
          </cell>
          <cell r="D1396">
            <v>0</v>
          </cell>
          <cell r="E1396">
            <v>0</v>
          </cell>
          <cell r="F1396">
            <v>0</v>
          </cell>
          <cell r="G1396">
            <v>1995</v>
          </cell>
          <cell r="H1396">
            <v>0</v>
          </cell>
          <cell r="I1396">
            <v>2100</v>
          </cell>
          <cell r="J1396">
            <v>0</v>
          </cell>
        </row>
        <row r="1397">
          <cell r="A1397">
            <v>1612000471</v>
          </cell>
          <cell r="B1397" t="str">
            <v>מכשירי כתיבה</v>
          </cell>
          <cell r="C1397">
            <v>11400</v>
          </cell>
          <cell r="D1397">
            <v>9313.2900000000009</v>
          </cell>
          <cell r="E1397">
            <v>23.4</v>
          </cell>
          <cell r="F1397">
            <v>9336.69</v>
          </cell>
          <cell r="G1397">
            <v>2063.31</v>
          </cell>
          <cell r="H1397">
            <v>81.900000000000006</v>
          </cell>
          <cell r="I1397">
            <v>12000</v>
          </cell>
          <cell r="J1397">
            <v>9313.2900000000009</v>
          </cell>
        </row>
        <row r="1398">
          <cell r="A1398">
            <v>1612000492</v>
          </cell>
          <cell r="B1398" t="str">
            <v>השתתפת בעזר 092</v>
          </cell>
          <cell r="C1398">
            <v>13300</v>
          </cell>
          <cell r="D1398">
            <v>15330</v>
          </cell>
          <cell r="E1398">
            <v>0</v>
          </cell>
          <cell r="F1398">
            <v>15330</v>
          </cell>
          <cell r="G1398">
            <v>-2030</v>
          </cell>
          <cell r="H1398">
            <v>115.26</v>
          </cell>
          <cell r="I1398">
            <v>14000</v>
          </cell>
          <cell r="J1398">
            <v>15330</v>
          </cell>
        </row>
        <row r="1399">
          <cell r="A1399">
            <v>1612000511</v>
          </cell>
          <cell r="B1399" t="str">
            <v>אירוח וכיבוד</v>
          </cell>
          <cell r="C1399">
            <v>6650</v>
          </cell>
          <cell r="D1399">
            <v>6446.52</v>
          </cell>
          <cell r="E1399">
            <v>0</v>
          </cell>
          <cell r="F1399">
            <v>6446.52</v>
          </cell>
          <cell r="G1399">
            <v>203.48</v>
          </cell>
          <cell r="H1399">
            <v>96.94</v>
          </cell>
          <cell r="I1399">
            <v>7000</v>
          </cell>
          <cell r="J1399">
            <v>6446.52</v>
          </cell>
        </row>
        <row r="1400">
          <cell r="A1400">
            <v>1612000512</v>
          </cell>
          <cell r="B1400" t="str">
            <v>נסיעות ואש"ל</v>
          </cell>
          <cell r="C1400">
            <v>950</v>
          </cell>
          <cell r="D1400">
            <v>0</v>
          </cell>
          <cell r="E1400">
            <v>0</v>
          </cell>
          <cell r="F1400">
            <v>0</v>
          </cell>
          <cell r="G1400">
            <v>950</v>
          </cell>
          <cell r="H1400">
            <v>0</v>
          </cell>
          <cell r="I1400">
            <v>1000</v>
          </cell>
          <cell r="J1400">
            <v>0</v>
          </cell>
        </row>
        <row r="1401">
          <cell r="A1401">
            <v>1612000521</v>
          </cell>
          <cell r="B1401" t="str">
            <v>השתלמות עובדים</v>
          </cell>
          <cell r="C1401">
            <v>19000</v>
          </cell>
          <cell r="D1401">
            <v>0</v>
          </cell>
          <cell r="E1401">
            <v>0</v>
          </cell>
          <cell r="F1401">
            <v>0</v>
          </cell>
          <cell r="G1401">
            <v>19000</v>
          </cell>
          <cell r="H1401">
            <v>0</v>
          </cell>
          <cell r="I1401">
            <v>20000</v>
          </cell>
          <cell r="J1401">
            <v>0</v>
          </cell>
        </row>
        <row r="1402">
          <cell r="A1402">
            <v>1612000522</v>
          </cell>
          <cell r="B1402" t="str">
            <v>ספרים ועיתונים</v>
          </cell>
          <cell r="C1402">
            <v>8550</v>
          </cell>
          <cell r="D1402">
            <v>3222</v>
          </cell>
          <cell r="E1402">
            <v>0</v>
          </cell>
          <cell r="F1402">
            <v>3222</v>
          </cell>
          <cell r="G1402">
            <v>5328</v>
          </cell>
          <cell r="H1402">
            <v>37.68</v>
          </cell>
          <cell r="I1402">
            <v>9000</v>
          </cell>
          <cell r="J1402">
            <v>3222</v>
          </cell>
        </row>
        <row r="1403">
          <cell r="A1403">
            <v>1612000562</v>
          </cell>
          <cell r="B1403" t="str">
            <v>הדפסות</v>
          </cell>
          <cell r="C1403">
            <v>16340</v>
          </cell>
          <cell r="D1403">
            <v>4758.6000000000004</v>
          </cell>
          <cell r="E1403">
            <v>0</v>
          </cell>
          <cell r="F1403">
            <v>4758.6000000000004</v>
          </cell>
          <cell r="G1403">
            <v>11581.4</v>
          </cell>
          <cell r="H1403">
            <v>29.12</v>
          </cell>
          <cell r="I1403">
            <v>17200</v>
          </cell>
          <cell r="J1403">
            <v>4758.6000000000004</v>
          </cell>
        </row>
        <row r="1404">
          <cell r="A1404">
            <v>1612000571</v>
          </cell>
          <cell r="B1404" t="str">
            <v>מיכון וענ"א</v>
          </cell>
          <cell r="C1404">
            <v>29925</v>
          </cell>
          <cell r="D1404">
            <v>31500</v>
          </cell>
          <cell r="E1404">
            <v>0</v>
          </cell>
          <cell r="F1404">
            <v>31500</v>
          </cell>
          <cell r="G1404">
            <v>-1575</v>
          </cell>
          <cell r="H1404">
            <v>105.26</v>
          </cell>
          <cell r="I1404">
            <v>31500</v>
          </cell>
          <cell r="J1404">
            <v>31500</v>
          </cell>
        </row>
        <row r="1405">
          <cell r="A1405">
            <v>1612000580</v>
          </cell>
          <cell r="B1405" t="str">
            <v>סקרים ויעוץ חיצוני</v>
          </cell>
          <cell r="C1405">
            <v>285000</v>
          </cell>
          <cell r="D1405">
            <v>157950</v>
          </cell>
          <cell r="E1405">
            <v>9179.82</v>
          </cell>
          <cell r="F1405">
            <v>167129.82</v>
          </cell>
          <cell r="G1405">
            <v>117870.18</v>
          </cell>
          <cell r="H1405">
            <v>58.64</v>
          </cell>
          <cell r="I1405">
            <v>300000</v>
          </cell>
          <cell r="J1405">
            <v>157950</v>
          </cell>
        </row>
        <row r="1406">
          <cell r="A1406">
            <v>1612000596</v>
          </cell>
          <cell r="B1406" t="str">
            <v>השתתפות בעזר 096</v>
          </cell>
          <cell r="C1406">
            <v>11400</v>
          </cell>
          <cell r="D1406">
            <v>11216</v>
          </cell>
          <cell r="E1406">
            <v>0</v>
          </cell>
          <cell r="F1406">
            <v>11216</v>
          </cell>
          <cell r="G1406">
            <v>184</v>
          </cell>
          <cell r="H1406">
            <v>98.38</v>
          </cell>
          <cell r="I1406">
            <v>12000</v>
          </cell>
          <cell r="J1406">
            <v>11216</v>
          </cell>
        </row>
        <row r="1407">
          <cell r="A1407">
            <v>1612000753</v>
          </cell>
          <cell r="B1407" t="str">
            <v>עובדת חברה</v>
          </cell>
          <cell r="C1407">
            <v>0</v>
          </cell>
          <cell r="D1407">
            <v>0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</row>
        <row r="1408">
          <cell r="A1408">
            <v>1612000781</v>
          </cell>
          <cell r="B1408" t="str">
            <v>פעולות סמנכ"ל</v>
          </cell>
          <cell r="C1408">
            <v>10450</v>
          </cell>
          <cell r="D1408">
            <v>5928.5</v>
          </cell>
          <cell r="E1408">
            <v>936</v>
          </cell>
          <cell r="F1408">
            <v>6864.5</v>
          </cell>
          <cell r="G1408">
            <v>3585.5</v>
          </cell>
          <cell r="H1408">
            <v>65.680000000000007</v>
          </cell>
          <cell r="I1408">
            <v>11000</v>
          </cell>
          <cell r="J1408">
            <v>5928.5</v>
          </cell>
        </row>
        <row r="1409">
          <cell r="A1409">
            <v>1612000794</v>
          </cell>
          <cell r="B1409" t="str">
            <v>השתתפות בעזר 094</v>
          </cell>
          <cell r="C1409">
            <v>12825</v>
          </cell>
          <cell r="D1409">
            <v>16103</v>
          </cell>
          <cell r="E1409">
            <v>0</v>
          </cell>
          <cell r="F1409">
            <v>16103</v>
          </cell>
          <cell r="G1409">
            <v>-3278</v>
          </cell>
          <cell r="H1409">
            <v>125.55</v>
          </cell>
          <cell r="I1409">
            <v>13500</v>
          </cell>
          <cell r="J1409">
            <v>16103</v>
          </cell>
        </row>
        <row r="1410">
          <cell r="A1410">
            <v>1612000931</v>
          </cell>
          <cell r="B1410" t="str">
            <v>רכישות חד-פעמיות</v>
          </cell>
          <cell r="C1410">
            <v>0</v>
          </cell>
          <cell r="D1410">
            <v>0</v>
          </cell>
          <cell r="E1410">
            <v>0</v>
          </cell>
          <cell r="F1410">
            <v>0</v>
          </cell>
          <cell r="G1410">
            <v>0</v>
          </cell>
          <cell r="H1410">
            <v>0</v>
          </cell>
          <cell r="I1410">
            <v>0</v>
          </cell>
          <cell r="J1410">
            <v>0</v>
          </cell>
        </row>
        <row r="1411">
          <cell r="A1411">
            <v>1613100110</v>
          </cell>
          <cell r="B1411" t="str">
            <v>השכר הקובע-תקציבית</v>
          </cell>
          <cell r="C1411">
            <v>197885</v>
          </cell>
          <cell r="D1411">
            <v>230212.15</v>
          </cell>
          <cell r="E1411">
            <v>0</v>
          </cell>
          <cell r="F1411">
            <v>230212.15</v>
          </cell>
          <cell r="G1411">
            <v>-32327.15</v>
          </cell>
          <cell r="H1411">
            <v>116.33</v>
          </cell>
          <cell r="I1411">
            <v>208300</v>
          </cell>
          <cell r="J1411">
            <v>230212.15</v>
          </cell>
        </row>
        <row r="1412">
          <cell r="A1412">
            <v>1613100119</v>
          </cell>
          <cell r="B1412" t="str">
            <v>השכר הקובע-צוברת</v>
          </cell>
          <cell r="C1412">
            <v>2799270</v>
          </cell>
          <cell r="D1412">
            <v>2792694.01</v>
          </cell>
          <cell r="E1412">
            <v>0</v>
          </cell>
          <cell r="F1412">
            <v>2792694.01</v>
          </cell>
          <cell r="G1412">
            <v>6575.99</v>
          </cell>
          <cell r="H1412">
            <v>99.76</v>
          </cell>
          <cell r="I1412">
            <v>2946600</v>
          </cell>
          <cell r="J1412">
            <v>2792694.01</v>
          </cell>
        </row>
        <row r="1413">
          <cell r="A1413">
            <v>1613100122</v>
          </cell>
          <cell r="B1413" t="str">
            <v>ביגוד</v>
          </cell>
          <cell r="C1413">
            <v>19950</v>
          </cell>
          <cell r="D1413">
            <v>32321.31</v>
          </cell>
          <cell r="E1413">
            <v>0</v>
          </cell>
          <cell r="F1413">
            <v>32321.31</v>
          </cell>
          <cell r="G1413">
            <v>-12371.31</v>
          </cell>
          <cell r="H1413">
            <v>162.01</v>
          </cell>
          <cell r="I1413">
            <v>21000</v>
          </cell>
          <cell r="J1413">
            <v>32321.31</v>
          </cell>
        </row>
        <row r="1414">
          <cell r="A1414">
            <v>1613100126</v>
          </cell>
          <cell r="B1414" t="str">
            <v>דמי הבראה</v>
          </cell>
          <cell r="C1414">
            <v>42750</v>
          </cell>
          <cell r="D1414">
            <v>63660.37</v>
          </cell>
          <cell r="E1414">
            <v>0</v>
          </cell>
          <cell r="F1414">
            <v>63660.37</v>
          </cell>
          <cell r="G1414">
            <v>-20910.37</v>
          </cell>
          <cell r="H1414">
            <v>148.91</v>
          </cell>
          <cell r="I1414">
            <v>45000</v>
          </cell>
          <cell r="J1414">
            <v>63660.37</v>
          </cell>
        </row>
        <row r="1415">
          <cell r="A1415">
            <v>1613100130</v>
          </cell>
          <cell r="B1415" t="str">
            <v>שעות נוספות</v>
          </cell>
          <cell r="C1415">
            <v>45505</v>
          </cell>
          <cell r="D1415">
            <v>52860.98</v>
          </cell>
          <cell r="E1415">
            <v>0</v>
          </cell>
          <cell r="F1415">
            <v>52860.98</v>
          </cell>
          <cell r="G1415">
            <v>-7355.98</v>
          </cell>
          <cell r="H1415">
            <v>116.16</v>
          </cell>
          <cell r="I1415">
            <v>47900</v>
          </cell>
          <cell r="J1415">
            <v>52860.98</v>
          </cell>
        </row>
        <row r="1416">
          <cell r="A1416">
            <v>1613100140</v>
          </cell>
          <cell r="B1416" t="str">
            <v>השתתפות באחזקת רכב</v>
          </cell>
          <cell r="C1416">
            <v>282720</v>
          </cell>
          <cell r="D1416">
            <v>279334.93</v>
          </cell>
          <cell r="E1416">
            <v>0</v>
          </cell>
          <cell r="F1416">
            <v>279334.93</v>
          </cell>
          <cell r="G1416">
            <v>3385.07</v>
          </cell>
          <cell r="H1416">
            <v>98.8</v>
          </cell>
          <cell r="I1416">
            <v>297600</v>
          </cell>
          <cell r="J1416">
            <v>279334.93</v>
          </cell>
        </row>
        <row r="1417">
          <cell r="A1417">
            <v>1613100210</v>
          </cell>
          <cell r="B1417" t="str">
            <v>שכר ללא תקן</v>
          </cell>
          <cell r="C1417">
            <v>0</v>
          </cell>
          <cell r="D1417">
            <v>0</v>
          </cell>
          <cell r="E1417">
            <v>0</v>
          </cell>
          <cell r="F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0</v>
          </cell>
        </row>
        <row r="1418">
          <cell r="A1418">
            <v>1613100253</v>
          </cell>
          <cell r="B1418" t="str">
            <v>עובדים חיצוניים</v>
          </cell>
          <cell r="C1418">
            <v>0</v>
          </cell>
          <cell r="D1418">
            <v>0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</row>
        <row r="1419">
          <cell r="A1419">
            <v>1613100350</v>
          </cell>
          <cell r="B1419" t="str">
            <v>ליסינג</v>
          </cell>
          <cell r="C1419">
            <v>96900</v>
          </cell>
          <cell r="D1419">
            <v>119473.8</v>
          </cell>
          <cell r="E1419">
            <v>0</v>
          </cell>
          <cell r="F1419">
            <v>119473.8</v>
          </cell>
          <cell r="G1419">
            <v>-22573.8</v>
          </cell>
          <cell r="H1419">
            <v>123.29</v>
          </cell>
          <cell r="I1419">
            <v>102000</v>
          </cell>
          <cell r="J1419">
            <v>119473.8</v>
          </cell>
        </row>
        <row r="1420">
          <cell r="A1420">
            <v>1613100351</v>
          </cell>
          <cell r="B1420" t="str">
            <v>הוצאות ליסינג</v>
          </cell>
          <cell r="C1420">
            <v>45885</v>
          </cell>
          <cell r="D1420">
            <v>32273.279999999999</v>
          </cell>
          <cell r="E1420">
            <v>0</v>
          </cell>
          <cell r="F1420">
            <v>32273.279999999999</v>
          </cell>
          <cell r="G1420">
            <v>13611.72</v>
          </cell>
          <cell r="H1420">
            <v>70.33</v>
          </cell>
          <cell r="I1420">
            <v>48300</v>
          </cell>
          <cell r="J1420">
            <v>32273.279999999999</v>
          </cell>
        </row>
        <row r="1421">
          <cell r="A1421">
            <v>1613100471</v>
          </cell>
          <cell r="B1421" t="str">
            <v>מכשירי כתיבה</v>
          </cell>
          <cell r="C1421">
            <v>12825</v>
          </cell>
          <cell r="D1421">
            <v>11332.71</v>
          </cell>
          <cell r="E1421">
            <v>1610.21</v>
          </cell>
          <cell r="F1421">
            <v>12942.92</v>
          </cell>
          <cell r="G1421">
            <v>-117.92</v>
          </cell>
          <cell r="H1421">
            <v>100.91</v>
          </cell>
          <cell r="I1421">
            <v>13500</v>
          </cell>
          <cell r="J1421">
            <v>11332.71</v>
          </cell>
        </row>
        <row r="1422">
          <cell r="A1422">
            <v>1613100511</v>
          </cell>
          <cell r="B1422" t="str">
            <v>אירוח וכיבוד</v>
          </cell>
          <cell r="C1422">
            <v>9025</v>
          </cell>
          <cell r="D1422">
            <v>9250.52</v>
          </cell>
          <cell r="E1422">
            <v>0</v>
          </cell>
          <cell r="F1422">
            <v>9250.52</v>
          </cell>
          <cell r="G1422">
            <v>-225.52</v>
          </cell>
          <cell r="H1422">
            <v>102.49</v>
          </cell>
          <cell r="I1422">
            <v>9500</v>
          </cell>
          <cell r="J1422">
            <v>9250.52</v>
          </cell>
        </row>
        <row r="1423">
          <cell r="A1423">
            <v>1613100512</v>
          </cell>
          <cell r="B1423" t="str">
            <v>נסיעות ואש"ל</v>
          </cell>
          <cell r="C1423">
            <v>1330</v>
          </cell>
          <cell r="D1423">
            <v>795.28</v>
          </cell>
          <cell r="E1423">
            <v>0</v>
          </cell>
          <cell r="F1423">
            <v>795.28</v>
          </cell>
          <cell r="G1423">
            <v>534.72</v>
          </cell>
          <cell r="H1423">
            <v>59.79</v>
          </cell>
          <cell r="I1423">
            <v>1400</v>
          </cell>
          <cell r="J1423">
            <v>795.28</v>
          </cell>
        </row>
        <row r="1424">
          <cell r="A1424">
            <v>1613100513</v>
          </cell>
          <cell r="B1424" t="str">
            <v>חוזר מנכ"ל</v>
          </cell>
          <cell r="C1424">
            <v>47500</v>
          </cell>
          <cell r="D1424">
            <v>0</v>
          </cell>
          <cell r="E1424">
            <v>0</v>
          </cell>
          <cell r="F1424">
            <v>0</v>
          </cell>
          <cell r="G1424">
            <v>47500</v>
          </cell>
          <cell r="H1424">
            <v>0</v>
          </cell>
          <cell r="I1424">
            <v>50000</v>
          </cell>
          <cell r="J1424">
            <v>0</v>
          </cell>
        </row>
        <row r="1425">
          <cell r="A1425">
            <v>1613100522</v>
          </cell>
          <cell r="B1425" t="str">
            <v>ספרים ועיתונים</v>
          </cell>
          <cell r="C1425">
            <v>3800</v>
          </cell>
          <cell r="D1425">
            <v>3857.8</v>
          </cell>
          <cell r="E1425">
            <v>0</v>
          </cell>
          <cell r="F1425">
            <v>3857.8</v>
          </cell>
          <cell r="G1425">
            <v>-57.8</v>
          </cell>
          <cell r="H1425">
            <v>101.52</v>
          </cell>
          <cell r="I1425">
            <v>4000</v>
          </cell>
          <cell r="J1425">
            <v>3857.8</v>
          </cell>
        </row>
        <row r="1426">
          <cell r="A1426">
            <v>1613100544</v>
          </cell>
          <cell r="B1426" t="str">
            <v>הוצאות דאר</v>
          </cell>
          <cell r="C1426">
            <v>9785</v>
          </cell>
          <cell r="D1426">
            <v>4231.53</v>
          </cell>
          <cell r="E1426">
            <v>0</v>
          </cell>
          <cell r="F1426">
            <v>4231.53</v>
          </cell>
          <cell r="G1426">
            <v>5553.47</v>
          </cell>
          <cell r="H1426">
            <v>43.24</v>
          </cell>
          <cell r="I1426">
            <v>10300</v>
          </cell>
          <cell r="J1426">
            <v>4231.53</v>
          </cell>
        </row>
        <row r="1427">
          <cell r="A1427">
            <v>1613100561</v>
          </cell>
          <cell r="B1427" t="str">
            <v>שיכפולים</v>
          </cell>
          <cell r="C1427">
            <v>3230</v>
          </cell>
          <cell r="D1427">
            <v>0</v>
          </cell>
          <cell r="E1427">
            <v>0</v>
          </cell>
          <cell r="F1427">
            <v>0</v>
          </cell>
          <cell r="G1427">
            <v>3230</v>
          </cell>
          <cell r="H1427">
            <v>0</v>
          </cell>
          <cell r="I1427">
            <v>3400</v>
          </cell>
          <cell r="J1427">
            <v>0</v>
          </cell>
        </row>
        <row r="1428">
          <cell r="A1428">
            <v>1613100562</v>
          </cell>
          <cell r="B1428" t="str">
            <v>הדפסות</v>
          </cell>
          <cell r="C1428">
            <v>855</v>
          </cell>
          <cell r="D1428">
            <v>0</v>
          </cell>
          <cell r="E1428">
            <v>0</v>
          </cell>
          <cell r="F1428">
            <v>0</v>
          </cell>
          <cell r="G1428">
            <v>855</v>
          </cell>
          <cell r="H1428">
            <v>0</v>
          </cell>
          <cell r="I1428">
            <v>900</v>
          </cell>
          <cell r="J1428">
            <v>0</v>
          </cell>
        </row>
        <row r="1429">
          <cell r="A1429">
            <v>1613100571</v>
          </cell>
          <cell r="B1429" t="str">
            <v>מיכון וענ"א</v>
          </cell>
          <cell r="C1429">
            <v>59945</v>
          </cell>
          <cell r="D1429">
            <v>63100</v>
          </cell>
          <cell r="E1429">
            <v>0</v>
          </cell>
          <cell r="F1429">
            <v>63100</v>
          </cell>
          <cell r="G1429">
            <v>-3155</v>
          </cell>
          <cell r="H1429">
            <v>105.26</v>
          </cell>
          <cell r="I1429">
            <v>63100</v>
          </cell>
          <cell r="J1429">
            <v>63100</v>
          </cell>
        </row>
        <row r="1430">
          <cell r="A1430">
            <v>1613100580</v>
          </cell>
          <cell r="B1430" t="str">
            <v>פעולות שונות</v>
          </cell>
          <cell r="C1430">
            <v>49400</v>
          </cell>
          <cell r="D1430">
            <v>27454.67</v>
          </cell>
          <cell r="E1430">
            <v>8102.47</v>
          </cell>
          <cell r="F1430">
            <v>35557.14</v>
          </cell>
          <cell r="G1430">
            <v>13842.86</v>
          </cell>
          <cell r="H1430">
            <v>71.97</v>
          </cell>
          <cell r="I1430">
            <v>52000</v>
          </cell>
          <cell r="J1430">
            <v>27454.67</v>
          </cell>
        </row>
        <row r="1431">
          <cell r="A1431">
            <v>1613100581</v>
          </cell>
          <cell r="B1431" t="str">
            <v>פעולות מנכ"ל מינהל</v>
          </cell>
          <cell r="C1431">
            <v>33000</v>
          </cell>
          <cell r="D1431">
            <v>29293.19</v>
          </cell>
          <cell r="E1431">
            <v>4112.1000000000004</v>
          </cell>
          <cell r="F1431">
            <v>33405.29</v>
          </cell>
          <cell r="G1431">
            <v>-405.29</v>
          </cell>
          <cell r="H1431">
            <v>101.22</v>
          </cell>
          <cell r="I1431">
            <v>33000</v>
          </cell>
          <cell r="J1431">
            <v>29293.19</v>
          </cell>
        </row>
        <row r="1432">
          <cell r="A1432">
            <v>1613100596</v>
          </cell>
          <cell r="B1432" t="str">
            <v>השתתפות בעזר 096</v>
          </cell>
          <cell r="C1432">
            <v>12445</v>
          </cell>
          <cell r="D1432">
            <v>12244</v>
          </cell>
          <cell r="E1432">
            <v>0</v>
          </cell>
          <cell r="F1432">
            <v>12244</v>
          </cell>
          <cell r="G1432">
            <v>201</v>
          </cell>
          <cell r="H1432">
            <v>98.38</v>
          </cell>
          <cell r="I1432">
            <v>13100</v>
          </cell>
          <cell r="J1432">
            <v>12244</v>
          </cell>
        </row>
        <row r="1433">
          <cell r="A1433">
            <v>1613100681</v>
          </cell>
          <cell r="B1433" t="str">
            <v>הוצ' משפטיות-ועדת ערר</v>
          </cell>
          <cell r="C1433">
            <v>0</v>
          </cell>
          <cell r="D1433">
            <v>0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</row>
        <row r="1434">
          <cell r="A1434">
            <v>1613100780</v>
          </cell>
          <cell r="B1434" t="str">
            <v>שיווק והסברה דיגיטליים</v>
          </cell>
          <cell r="C1434">
            <v>171000</v>
          </cell>
          <cell r="D1434">
            <v>151325.4</v>
          </cell>
          <cell r="E1434">
            <v>16350.85</v>
          </cell>
          <cell r="F1434">
            <v>167676.25</v>
          </cell>
          <cell r="G1434">
            <v>3323.75</v>
          </cell>
          <cell r="H1434">
            <v>98.05</v>
          </cell>
          <cell r="I1434">
            <v>180000</v>
          </cell>
          <cell r="J1434">
            <v>151325.4</v>
          </cell>
        </row>
        <row r="1435">
          <cell r="A1435">
            <v>1613100781</v>
          </cell>
          <cell r="B1435" t="str">
            <v>ניהול הרשות במדיה החברתית</v>
          </cell>
          <cell r="C1435">
            <v>148200</v>
          </cell>
          <cell r="D1435">
            <v>84708</v>
          </cell>
          <cell r="E1435">
            <v>10296</v>
          </cell>
          <cell r="F1435">
            <v>95004</v>
          </cell>
          <cell r="G1435">
            <v>53196</v>
          </cell>
          <cell r="H1435">
            <v>64.099999999999994</v>
          </cell>
          <cell r="I1435">
            <v>156000</v>
          </cell>
          <cell r="J1435">
            <v>84708</v>
          </cell>
        </row>
        <row r="1436">
          <cell r="A1436">
            <v>1613100782</v>
          </cell>
          <cell r="B1436" t="str">
            <v>פסטיבל אשה</v>
          </cell>
          <cell r="C1436">
            <v>0</v>
          </cell>
          <cell r="D1436">
            <v>0</v>
          </cell>
          <cell r="E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0</v>
          </cell>
        </row>
        <row r="1437">
          <cell r="A1437">
            <v>1613100783</v>
          </cell>
          <cell r="B1437" t="str">
            <v>ארועי סוקולוב</v>
          </cell>
          <cell r="C1437">
            <v>0</v>
          </cell>
          <cell r="D1437">
            <v>0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A1438">
            <v>1613100784</v>
          </cell>
          <cell r="B1438" t="str">
            <v>תחום התנדבות</v>
          </cell>
          <cell r="C1438">
            <v>0</v>
          </cell>
          <cell r="D1438">
            <v>0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</row>
        <row r="1439">
          <cell r="A1439">
            <v>1613100785</v>
          </cell>
          <cell r="B1439" t="str">
            <v>טקס מגן רה"ע</v>
          </cell>
          <cell r="C1439">
            <v>26030</v>
          </cell>
          <cell r="D1439">
            <v>0</v>
          </cell>
          <cell r="E1439">
            <v>0</v>
          </cell>
          <cell r="F1439">
            <v>0</v>
          </cell>
          <cell r="G1439">
            <v>26030</v>
          </cell>
          <cell r="H1439">
            <v>0</v>
          </cell>
          <cell r="I1439">
            <v>27400</v>
          </cell>
          <cell r="J1439">
            <v>0</v>
          </cell>
        </row>
        <row r="1440">
          <cell r="A1440">
            <v>1613100786</v>
          </cell>
          <cell r="B1440" t="str">
            <v>אירוע שנתי למתנדבים</v>
          </cell>
          <cell r="C1440">
            <v>0</v>
          </cell>
          <cell r="D1440">
            <v>0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</row>
        <row r="1441">
          <cell r="A1441">
            <v>1613100787</v>
          </cell>
          <cell r="B1441" t="str">
            <v>שיח ברשתות החברתיות</v>
          </cell>
          <cell r="C1441">
            <v>65550</v>
          </cell>
          <cell r="D1441">
            <v>63063</v>
          </cell>
          <cell r="E1441">
            <v>0</v>
          </cell>
          <cell r="F1441">
            <v>63063</v>
          </cell>
          <cell r="G1441">
            <v>2487</v>
          </cell>
          <cell r="H1441">
            <v>96.2</v>
          </cell>
          <cell r="I1441">
            <v>69000</v>
          </cell>
          <cell r="J1441">
            <v>63063</v>
          </cell>
        </row>
        <row r="1442">
          <cell r="A1442">
            <v>1613100788</v>
          </cell>
          <cell r="B1442" t="str">
            <v>סיורים מקצועיים+סיורים בשכונות</v>
          </cell>
          <cell r="C1442">
            <v>14250</v>
          </cell>
          <cell r="D1442">
            <v>4992.1400000000003</v>
          </cell>
          <cell r="E1442">
            <v>3780.13</v>
          </cell>
          <cell r="F1442">
            <v>8772.27</v>
          </cell>
          <cell r="G1442">
            <v>5477.73</v>
          </cell>
          <cell r="H1442">
            <v>61.55</v>
          </cell>
          <cell r="I1442">
            <v>15000</v>
          </cell>
          <cell r="J1442">
            <v>4992.1400000000003</v>
          </cell>
        </row>
        <row r="1443">
          <cell r="A1443">
            <v>1613100871</v>
          </cell>
          <cell r="B1443" t="str">
            <v>פסטיבל אישה</v>
          </cell>
          <cell r="C1443">
            <v>0</v>
          </cell>
          <cell r="D1443">
            <v>0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</row>
        <row r="1444">
          <cell r="A1444">
            <v>1613200110</v>
          </cell>
          <cell r="B1444" t="str">
            <v>השכר הקובע-תקציבית</v>
          </cell>
          <cell r="C1444">
            <v>0</v>
          </cell>
          <cell r="D1444">
            <v>0</v>
          </cell>
          <cell r="E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A1445">
            <v>1613200119</v>
          </cell>
          <cell r="B1445" t="str">
            <v>השכר הקובע-צוברת</v>
          </cell>
          <cell r="C1445">
            <v>2217300</v>
          </cell>
          <cell r="D1445">
            <v>1906460.5</v>
          </cell>
          <cell r="E1445">
            <v>0</v>
          </cell>
          <cell r="F1445">
            <v>1906460.5</v>
          </cell>
          <cell r="G1445">
            <v>310839.5</v>
          </cell>
          <cell r="H1445">
            <v>85.98</v>
          </cell>
          <cell r="I1445">
            <v>2334000</v>
          </cell>
          <cell r="J1445">
            <v>1906460.5</v>
          </cell>
        </row>
        <row r="1446">
          <cell r="A1446">
            <v>1613200122</v>
          </cell>
          <cell r="B1446" t="str">
            <v>ביגוד</v>
          </cell>
          <cell r="C1446">
            <v>15675</v>
          </cell>
          <cell r="D1446">
            <v>18468.47</v>
          </cell>
          <cell r="E1446">
            <v>0</v>
          </cell>
          <cell r="F1446">
            <v>18468.47</v>
          </cell>
          <cell r="G1446">
            <v>-2793.47</v>
          </cell>
          <cell r="H1446">
            <v>117.82</v>
          </cell>
          <cell r="I1446">
            <v>16500</v>
          </cell>
          <cell r="J1446">
            <v>18468.47</v>
          </cell>
        </row>
        <row r="1447">
          <cell r="A1447">
            <v>1613200126</v>
          </cell>
          <cell r="B1447" t="str">
            <v>דמי הבראה</v>
          </cell>
          <cell r="C1447">
            <v>40850</v>
          </cell>
          <cell r="D1447">
            <v>42078.58</v>
          </cell>
          <cell r="E1447">
            <v>0</v>
          </cell>
          <cell r="F1447">
            <v>42078.58</v>
          </cell>
          <cell r="G1447">
            <v>-1228.58</v>
          </cell>
          <cell r="H1447">
            <v>103</v>
          </cell>
          <cell r="I1447">
            <v>43000</v>
          </cell>
          <cell r="J1447">
            <v>42078.58</v>
          </cell>
        </row>
        <row r="1448">
          <cell r="A1448">
            <v>1613200130</v>
          </cell>
          <cell r="B1448" t="str">
            <v>שעות נוספות</v>
          </cell>
          <cell r="C1448">
            <v>3800</v>
          </cell>
          <cell r="D1448">
            <v>937.64</v>
          </cell>
          <cell r="E1448">
            <v>0</v>
          </cell>
          <cell r="F1448">
            <v>937.64</v>
          </cell>
          <cell r="G1448">
            <v>2862.36</v>
          </cell>
          <cell r="H1448">
            <v>24.67</v>
          </cell>
          <cell r="I1448">
            <v>4000</v>
          </cell>
          <cell r="J1448">
            <v>937.64</v>
          </cell>
        </row>
        <row r="1449">
          <cell r="A1449">
            <v>1613200140</v>
          </cell>
          <cell r="B1449" t="str">
            <v>השתתפות באחזקת רכב</v>
          </cell>
          <cell r="C1449">
            <v>180500</v>
          </cell>
          <cell r="D1449">
            <v>203468.59</v>
          </cell>
          <cell r="E1449">
            <v>0</v>
          </cell>
          <cell r="F1449">
            <v>203468.59</v>
          </cell>
          <cell r="G1449">
            <v>-22968.59</v>
          </cell>
          <cell r="H1449">
            <v>112.72</v>
          </cell>
          <cell r="I1449">
            <v>190000</v>
          </cell>
          <cell r="J1449">
            <v>203468.59</v>
          </cell>
        </row>
        <row r="1450">
          <cell r="A1450">
            <v>1613200253</v>
          </cell>
          <cell r="B1450" t="str">
            <v>שרותי כח - אדם</v>
          </cell>
          <cell r="C1450">
            <v>0</v>
          </cell>
          <cell r="D1450">
            <v>0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</row>
        <row r="1451">
          <cell r="A1451">
            <v>1613200350</v>
          </cell>
          <cell r="B1451" t="str">
            <v>ליסינג 548-86-802</v>
          </cell>
          <cell r="C1451">
            <v>28500</v>
          </cell>
          <cell r="D1451">
            <v>14402.85</v>
          </cell>
          <cell r="E1451">
            <v>0</v>
          </cell>
          <cell r="F1451">
            <v>14402.85</v>
          </cell>
          <cell r="G1451">
            <v>14097.15</v>
          </cell>
          <cell r="H1451">
            <v>50.53</v>
          </cell>
          <cell r="I1451">
            <v>30000</v>
          </cell>
          <cell r="J1451">
            <v>14402.85</v>
          </cell>
        </row>
        <row r="1452">
          <cell r="A1452">
            <v>1613200351</v>
          </cell>
          <cell r="B1452" t="str">
            <v>הוצאות - 548-86-802</v>
          </cell>
          <cell r="C1452">
            <v>20995</v>
          </cell>
          <cell r="D1452">
            <v>3263.17</v>
          </cell>
          <cell r="E1452">
            <v>0</v>
          </cell>
          <cell r="F1452">
            <v>3263.17</v>
          </cell>
          <cell r="G1452">
            <v>17731.830000000002</v>
          </cell>
          <cell r="H1452">
            <v>15.54</v>
          </cell>
          <cell r="I1452">
            <v>22100</v>
          </cell>
          <cell r="J1452">
            <v>3263.17</v>
          </cell>
        </row>
        <row r="1453">
          <cell r="A1453">
            <v>1613200470</v>
          </cell>
          <cell r="B1453" t="str">
            <v>אחזקת מכונות משרד</v>
          </cell>
          <cell r="C1453">
            <v>15865</v>
          </cell>
          <cell r="D1453">
            <v>10299.81</v>
          </cell>
          <cell r="E1453">
            <v>0</v>
          </cell>
          <cell r="F1453">
            <v>10299.81</v>
          </cell>
          <cell r="G1453">
            <v>5565.19</v>
          </cell>
          <cell r="H1453">
            <v>64.92</v>
          </cell>
          <cell r="I1453">
            <v>16700</v>
          </cell>
          <cell r="J1453">
            <v>10299.81</v>
          </cell>
        </row>
        <row r="1454">
          <cell r="A1454">
            <v>1613200471</v>
          </cell>
          <cell r="B1454" t="str">
            <v>מכשירי כתיבה</v>
          </cell>
          <cell r="C1454">
            <v>17765</v>
          </cell>
          <cell r="D1454">
            <v>18265.23</v>
          </cell>
          <cell r="E1454">
            <v>0</v>
          </cell>
          <cell r="F1454">
            <v>18265.23</v>
          </cell>
          <cell r="G1454">
            <v>-500.23</v>
          </cell>
          <cell r="H1454">
            <v>102.81</v>
          </cell>
          <cell r="I1454">
            <v>18700</v>
          </cell>
          <cell r="J1454">
            <v>18265.23</v>
          </cell>
        </row>
        <row r="1455">
          <cell r="A1455">
            <v>1613200492</v>
          </cell>
          <cell r="B1455" t="str">
            <v>השתתפות בעזר 092</v>
          </cell>
          <cell r="C1455">
            <v>753350</v>
          </cell>
          <cell r="D1455">
            <v>856100</v>
          </cell>
          <cell r="E1455">
            <v>0</v>
          </cell>
          <cell r="F1455">
            <v>856100</v>
          </cell>
          <cell r="G1455">
            <v>-102750</v>
          </cell>
          <cell r="H1455">
            <v>113.63</v>
          </cell>
          <cell r="I1455">
            <v>793000</v>
          </cell>
          <cell r="J1455">
            <v>856100</v>
          </cell>
        </row>
        <row r="1456">
          <cell r="A1456">
            <v>1613200511</v>
          </cell>
          <cell r="B1456" t="str">
            <v>אירוח וכיבוד</v>
          </cell>
          <cell r="C1456">
            <v>9405</v>
          </cell>
          <cell r="D1456">
            <v>4821.3999999999996</v>
          </cell>
          <cell r="E1456">
            <v>38.61</v>
          </cell>
          <cell r="F1456">
            <v>4860.01</v>
          </cell>
          <cell r="G1456">
            <v>4544.99</v>
          </cell>
          <cell r="H1456">
            <v>51.67</v>
          </cell>
          <cell r="I1456">
            <v>9900</v>
          </cell>
          <cell r="J1456">
            <v>4821.3999999999996</v>
          </cell>
        </row>
        <row r="1457">
          <cell r="A1457">
            <v>1613200512</v>
          </cell>
          <cell r="B1457" t="str">
            <v>נסיעות ואש"ל</v>
          </cell>
          <cell r="C1457">
            <v>599</v>
          </cell>
          <cell r="D1457">
            <v>461.9</v>
          </cell>
          <cell r="E1457">
            <v>0</v>
          </cell>
          <cell r="F1457">
            <v>461.9</v>
          </cell>
          <cell r="G1457">
            <v>137.1</v>
          </cell>
          <cell r="H1457">
            <v>77.11</v>
          </cell>
          <cell r="I1457">
            <v>630</v>
          </cell>
          <cell r="J1457">
            <v>461.9</v>
          </cell>
        </row>
        <row r="1458">
          <cell r="A1458">
            <v>1613200522</v>
          </cell>
          <cell r="B1458" t="str">
            <v>ספרים ועיתונים</v>
          </cell>
          <cell r="C1458">
            <v>4100</v>
          </cell>
          <cell r="D1458">
            <v>3894.49</v>
          </cell>
          <cell r="E1458">
            <v>30</v>
          </cell>
          <cell r="F1458">
            <v>3924.49</v>
          </cell>
          <cell r="G1458">
            <v>175.51</v>
          </cell>
          <cell r="H1458">
            <v>95.71</v>
          </cell>
          <cell r="I1458">
            <v>4100</v>
          </cell>
          <cell r="J1458">
            <v>3894.49</v>
          </cell>
        </row>
        <row r="1459">
          <cell r="A1459">
            <v>1613200541</v>
          </cell>
          <cell r="B1459" t="str">
            <v>משלוחים</v>
          </cell>
          <cell r="C1459">
            <v>51300</v>
          </cell>
          <cell r="D1459">
            <v>47101.68</v>
          </cell>
          <cell r="E1459">
            <v>2123</v>
          </cell>
          <cell r="F1459">
            <v>49224.68</v>
          </cell>
          <cell r="G1459">
            <v>2075.3200000000002</v>
          </cell>
          <cell r="H1459">
            <v>95.95</v>
          </cell>
          <cell r="I1459">
            <v>51300</v>
          </cell>
          <cell r="J1459">
            <v>47101.68</v>
          </cell>
        </row>
        <row r="1460">
          <cell r="A1460">
            <v>1613200544</v>
          </cell>
          <cell r="B1460" t="str">
            <v>הוצאות דאר</v>
          </cell>
          <cell r="C1460">
            <v>8170</v>
          </cell>
          <cell r="D1460">
            <v>5795.47</v>
          </cell>
          <cell r="E1460">
            <v>0</v>
          </cell>
          <cell r="F1460">
            <v>5795.47</v>
          </cell>
          <cell r="G1460">
            <v>2374.5300000000002</v>
          </cell>
          <cell r="H1460">
            <v>70.930000000000007</v>
          </cell>
          <cell r="I1460">
            <v>8600</v>
          </cell>
          <cell r="J1460">
            <v>5795.47</v>
          </cell>
        </row>
        <row r="1461">
          <cell r="A1461">
            <v>1613200561</v>
          </cell>
          <cell r="B1461" t="str">
            <v>שיכפולים</v>
          </cell>
          <cell r="C1461">
            <v>855</v>
          </cell>
          <cell r="D1461">
            <v>0</v>
          </cell>
          <cell r="E1461">
            <v>64.040000000000006</v>
          </cell>
          <cell r="F1461">
            <v>64.040000000000006</v>
          </cell>
          <cell r="G1461">
            <v>790.96</v>
          </cell>
          <cell r="H1461">
            <v>7.49</v>
          </cell>
          <cell r="I1461">
            <v>900</v>
          </cell>
          <cell r="J1461">
            <v>0</v>
          </cell>
        </row>
        <row r="1462">
          <cell r="A1462">
            <v>1613200562</v>
          </cell>
          <cell r="B1462" t="str">
            <v>הדפסות</v>
          </cell>
          <cell r="C1462">
            <v>665</v>
          </cell>
          <cell r="D1462">
            <v>436.8</v>
          </cell>
          <cell r="E1462">
            <v>71.75</v>
          </cell>
          <cell r="F1462">
            <v>508.55</v>
          </cell>
          <cell r="G1462">
            <v>156.44999999999999</v>
          </cell>
          <cell r="H1462">
            <v>76.47</v>
          </cell>
          <cell r="I1462">
            <v>700</v>
          </cell>
          <cell r="J1462">
            <v>436.8</v>
          </cell>
        </row>
        <row r="1463">
          <cell r="A1463">
            <v>1613200563</v>
          </cell>
          <cell r="B1463" t="str">
            <v>הדפסת פרטיכלים</v>
          </cell>
          <cell r="C1463">
            <v>855</v>
          </cell>
          <cell r="D1463">
            <v>1686</v>
          </cell>
          <cell r="E1463">
            <v>0</v>
          </cell>
          <cell r="F1463">
            <v>1686</v>
          </cell>
          <cell r="G1463">
            <v>-831</v>
          </cell>
          <cell r="H1463">
            <v>197.19</v>
          </cell>
          <cell r="I1463">
            <v>900</v>
          </cell>
          <cell r="J1463">
            <v>1686</v>
          </cell>
        </row>
        <row r="1464">
          <cell r="A1464">
            <v>1613200571</v>
          </cell>
          <cell r="B1464" t="str">
            <v>מיכון וענ"א</v>
          </cell>
          <cell r="C1464">
            <v>134900</v>
          </cell>
          <cell r="D1464">
            <v>142000</v>
          </cell>
          <cell r="E1464">
            <v>0</v>
          </cell>
          <cell r="F1464">
            <v>142000</v>
          </cell>
          <cell r="G1464">
            <v>-7100</v>
          </cell>
          <cell r="H1464">
            <v>105.26</v>
          </cell>
          <cell r="I1464">
            <v>142000</v>
          </cell>
          <cell r="J1464">
            <v>142000</v>
          </cell>
        </row>
        <row r="1465">
          <cell r="A1465">
            <v>1613200580</v>
          </cell>
          <cell r="B1465" t="str">
            <v>בקרת חשמל</v>
          </cell>
          <cell r="C1465">
            <v>71700</v>
          </cell>
          <cell r="D1465">
            <v>85568</v>
          </cell>
          <cell r="E1465">
            <v>0</v>
          </cell>
          <cell r="F1465">
            <v>85568</v>
          </cell>
          <cell r="G1465">
            <v>-13868</v>
          </cell>
          <cell r="H1465">
            <v>119.34</v>
          </cell>
          <cell r="I1465">
            <v>71700</v>
          </cell>
          <cell r="J1465">
            <v>85568</v>
          </cell>
        </row>
        <row r="1466">
          <cell r="A1466">
            <v>1613200581</v>
          </cell>
          <cell r="B1466" t="str">
            <v>סקר אנרגיה</v>
          </cell>
          <cell r="C1466">
            <v>55575</v>
          </cell>
          <cell r="D1466">
            <v>0</v>
          </cell>
          <cell r="E1466">
            <v>0</v>
          </cell>
          <cell r="F1466">
            <v>0</v>
          </cell>
          <cell r="G1466">
            <v>55575</v>
          </cell>
          <cell r="H1466">
            <v>0</v>
          </cell>
          <cell r="I1466">
            <v>58500</v>
          </cell>
          <cell r="J1466">
            <v>0</v>
          </cell>
        </row>
        <row r="1467">
          <cell r="A1467">
            <v>1613200582</v>
          </cell>
          <cell r="B1467" t="str">
            <v>ייעוץ</v>
          </cell>
          <cell r="C1467">
            <v>0</v>
          </cell>
          <cell r="D1467">
            <v>0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</row>
        <row r="1468">
          <cell r="A1468">
            <v>1613200583</v>
          </cell>
          <cell r="B1468" t="str">
            <v>ייעוץ להתייעלות  אנרגטית</v>
          </cell>
          <cell r="C1468">
            <v>0</v>
          </cell>
          <cell r="D1468">
            <v>0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</row>
        <row r="1469">
          <cell r="A1469">
            <v>1613200753</v>
          </cell>
          <cell r="B1469" t="str">
            <v>עובדים חיצוניים</v>
          </cell>
          <cell r="C1469">
            <v>0</v>
          </cell>
          <cell r="D1469">
            <v>0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A1470">
            <v>1613200755</v>
          </cell>
          <cell r="B1470" t="str">
            <v>כ"א חיצוני</v>
          </cell>
          <cell r="C1470">
            <v>0</v>
          </cell>
          <cell r="D1470">
            <v>0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</row>
        <row r="1471">
          <cell r="A1471">
            <v>1613200780</v>
          </cell>
          <cell r="B1471" t="str">
            <v>עיר בריאה ומקיימת</v>
          </cell>
          <cell r="C1471">
            <v>0</v>
          </cell>
          <cell r="D1471">
            <v>0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</row>
        <row r="1472">
          <cell r="A1472">
            <v>1613200781</v>
          </cell>
          <cell r="B1472" t="str">
            <v>פעולות סמנכ"ל</v>
          </cell>
          <cell r="C1472">
            <v>40000</v>
          </cell>
          <cell r="D1472">
            <v>38685.08</v>
          </cell>
          <cell r="E1472">
            <v>0</v>
          </cell>
          <cell r="F1472">
            <v>38685.08</v>
          </cell>
          <cell r="G1472">
            <v>1314.92</v>
          </cell>
          <cell r="H1472">
            <v>96.71</v>
          </cell>
          <cell r="I1472">
            <v>40000</v>
          </cell>
          <cell r="J1472">
            <v>38685.08</v>
          </cell>
        </row>
        <row r="1473">
          <cell r="A1473">
            <v>1613200784</v>
          </cell>
          <cell r="B1473" t="str">
            <v>עיר בריאה ומקיימת - חינוך</v>
          </cell>
          <cell r="C1473">
            <v>0</v>
          </cell>
          <cell r="D1473">
            <v>0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</row>
        <row r="1474">
          <cell r="A1474">
            <v>1613200794</v>
          </cell>
          <cell r="B1474" t="str">
            <v>השתתפות בעזר 094</v>
          </cell>
          <cell r="C1474">
            <v>61750</v>
          </cell>
          <cell r="D1474">
            <v>77527</v>
          </cell>
          <cell r="E1474">
            <v>0</v>
          </cell>
          <cell r="F1474">
            <v>77527</v>
          </cell>
          <cell r="G1474">
            <v>-15777</v>
          </cell>
          <cell r="H1474">
            <v>125.54</v>
          </cell>
          <cell r="I1474">
            <v>65000</v>
          </cell>
          <cell r="J1474">
            <v>77527</v>
          </cell>
        </row>
        <row r="1475">
          <cell r="A1475">
            <v>1613220119</v>
          </cell>
          <cell r="B1475" t="str">
            <v>השכר הקובע-צוברת</v>
          </cell>
          <cell r="C1475">
            <v>1982175</v>
          </cell>
          <cell r="D1475">
            <v>1744754.78</v>
          </cell>
          <cell r="E1475">
            <v>0</v>
          </cell>
          <cell r="F1475">
            <v>1744754.78</v>
          </cell>
          <cell r="G1475">
            <v>237420.22</v>
          </cell>
          <cell r="H1475">
            <v>88.02</v>
          </cell>
          <cell r="I1475">
            <v>2086500</v>
          </cell>
          <cell r="J1475">
            <v>1744754.78</v>
          </cell>
        </row>
        <row r="1476">
          <cell r="A1476">
            <v>1613220122</v>
          </cell>
          <cell r="B1476" t="str">
            <v>ביגוד</v>
          </cell>
          <cell r="C1476">
            <v>46265</v>
          </cell>
          <cell r="D1476">
            <v>13541.52</v>
          </cell>
          <cell r="E1476">
            <v>0</v>
          </cell>
          <cell r="F1476">
            <v>13541.52</v>
          </cell>
          <cell r="G1476">
            <v>32723.48</v>
          </cell>
          <cell r="H1476">
            <v>29.26</v>
          </cell>
          <cell r="I1476">
            <v>48700</v>
          </cell>
          <cell r="J1476">
            <v>13541.52</v>
          </cell>
        </row>
        <row r="1477">
          <cell r="A1477">
            <v>1613220126</v>
          </cell>
          <cell r="B1477" t="str">
            <v>דמי הבראה</v>
          </cell>
          <cell r="C1477">
            <v>6650</v>
          </cell>
          <cell r="D1477">
            <v>36107.269999999997</v>
          </cell>
          <cell r="E1477">
            <v>0</v>
          </cell>
          <cell r="F1477">
            <v>36107.269999999997</v>
          </cell>
          <cell r="G1477">
            <v>-29457.27</v>
          </cell>
          <cell r="H1477">
            <v>542.96</v>
          </cell>
          <cell r="I1477">
            <v>7000</v>
          </cell>
          <cell r="J1477">
            <v>36107.269999999997</v>
          </cell>
        </row>
        <row r="1478">
          <cell r="A1478">
            <v>1613220130</v>
          </cell>
          <cell r="B1478" t="str">
            <v>שעות נוספות</v>
          </cell>
          <cell r="C1478">
            <v>0</v>
          </cell>
          <cell r="D1478">
            <v>11787.32</v>
          </cell>
          <cell r="E1478">
            <v>0</v>
          </cell>
          <cell r="F1478">
            <v>11787.32</v>
          </cell>
          <cell r="G1478">
            <v>-11787.32</v>
          </cell>
          <cell r="H1478">
            <v>0</v>
          </cell>
          <cell r="I1478">
            <v>0</v>
          </cell>
          <cell r="J1478">
            <v>11787.32</v>
          </cell>
        </row>
        <row r="1479">
          <cell r="A1479">
            <v>1613220140</v>
          </cell>
          <cell r="B1479" t="str">
            <v>השתתפת באחזקת רכב</v>
          </cell>
          <cell r="C1479">
            <v>311885</v>
          </cell>
          <cell r="D1479">
            <v>181274</v>
          </cell>
          <cell r="E1479">
            <v>0</v>
          </cell>
          <cell r="F1479">
            <v>181274</v>
          </cell>
          <cell r="G1479">
            <v>130611</v>
          </cell>
          <cell r="H1479">
            <v>58.12</v>
          </cell>
          <cell r="I1479">
            <v>328300</v>
          </cell>
          <cell r="J1479">
            <v>181274</v>
          </cell>
        </row>
        <row r="1480">
          <cell r="A1480">
            <v>1613220253</v>
          </cell>
          <cell r="B1480" t="str">
            <v>עובדים חיצוניים</v>
          </cell>
          <cell r="C1480">
            <v>4380000</v>
          </cell>
          <cell r="D1480">
            <v>4347012.1500000004</v>
          </cell>
          <cell r="E1480">
            <v>0</v>
          </cell>
          <cell r="F1480">
            <v>4347012.1500000004</v>
          </cell>
          <cell r="G1480">
            <v>32987.85</v>
          </cell>
          <cell r="H1480">
            <v>99.24</v>
          </cell>
          <cell r="I1480">
            <v>4380000</v>
          </cell>
          <cell r="J1480">
            <v>4347012.1500000004</v>
          </cell>
        </row>
        <row r="1481">
          <cell r="A1481">
            <v>1613220350</v>
          </cell>
          <cell r="B1481" t="str">
            <v>ליסינג 489-03-303</v>
          </cell>
          <cell r="C1481">
            <v>41800</v>
          </cell>
          <cell r="D1481">
            <v>58577.45</v>
          </cell>
          <cell r="E1481">
            <v>0</v>
          </cell>
          <cell r="F1481">
            <v>58577.45</v>
          </cell>
          <cell r="G1481">
            <v>-16777.45</v>
          </cell>
          <cell r="H1481">
            <v>140.13</v>
          </cell>
          <cell r="I1481">
            <v>44000</v>
          </cell>
          <cell r="J1481">
            <v>58577.45</v>
          </cell>
        </row>
        <row r="1482">
          <cell r="A1482">
            <v>1613220351</v>
          </cell>
          <cell r="B1482" t="str">
            <v>הוצאות 489-03-303</v>
          </cell>
          <cell r="C1482">
            <v>24130</v>
          </cell>
          <cell r="D1482">
            <v>0</v>
          </cell>
          <cell r="E1482">
            <v>0</v>
          </cell>
          <cell r="F1482">
            <v>0</v>
          </cell>
          <cell r="G1482">
            <v>24130</v>
          </cell>
          <cell r="H1482">
            <v>0</v>
          </cell>
          <cell r="I1482">
            <v>25400</v>
          </cell>
          <cell r="J1482">
            <v>0</v>
          </cell>
        </row>
        <row r="1483">
          <cell r="A1483">
            <v>1613220435</v>
          </cell>
          <cell r="B1483" t="str">
            <v>תחזוקת תוכנה</v>
          </cell>
          <cell r="C1483">
            <v>2971200</v>
          </cell>
          <cell r="D1483">
            <v>2791894.6</v>
          </cell>
          <cell r="E1483">
            <v>48831</v>
          </cell>
          <cell r="F1483">
            <v>2840725.6</v>
          </cell>
          <cell r="G1483">
            <v>130474.4</v>
          </cell>
          <cell r="H1483">
            <v>95.6</v>
          </cell>
          <cell r="I1483">
            <v>2971200</v>
          </cell>
          <cell r="J1483">
            <v>2791894.6</v>
          </cell>
        </row>
        <row r="1484">
          <cell r="A1484">
            <v>1613220438</v>
          </cell>
          <cell r="B1484" t="str">
            <v>תחזוקת חומרה-חוזה</v>
          </cell>
          <cell r="C1484">
            <v>726100</v>
          </cell>
          <cell r="D1484">
            <v>537069.36</v>
          </cell>
          <cell r="E1484">
            <v>29787.59</v>
          </cell>
          <cell r="F1484">
            <v>566856.94999999995</v>
          </cell>
          <cell r="G1484">
            <v>159243.04999999999</v>
          </cell>
          <cell r="H1484">
            <v>78.06</v>
          </cell>
          <cell r="I1484">
            <v>726100</v>
          </cell>
          <cell r="J1484">
            <v>537069.36</v>
          </cell>
        </row>
        <row r="1485">
          <cell r="A1485">
            <v>1613220439</v>
          </cell>
          <cell r="B1485" t="str">
            <v>שאילתות האוכלוסין</v>
          </cell>
          <cell r="C1485">
            <v>108300</v>
          </cell>
          <cell r="D1485">
            <v>89605.21</v>
          </cell>
          <cell r="E1485">
            <v>0</v>
          </cell>
          <cell r="F1485">
            <v>89605.21</v>
          </cell>
          <cell r="G1485">
            <v>18694.79</v>
          </cell>
          <cell r="H1485">
            <v>82.73</v>
          </cell>
          <cell r="I1485">
            <v>114000</v>
          </cell>
          <cell r="J1485">
            <v>89605.21</v>
          </cell>
        </row>
        <row r="1486">
          <cell r="A1486">
            <v>1613220441</v>
          </cell>
          <cell r="B1486" t="str">
            <v>ביטוח</v>
          </cell>
          <cell r="C1486">
            <v>0</v>
          </cell>
          <cell r="D1486">
            <v>0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</row>
        <row r="1487">
          <cell r="A1487">
            <v>1613220471</v>
          </cell>
          <cell r="B1487" t="str">
            <v>מכשירי כתיבה</v>
          </cell>
          <cell r="C1487">
            <v>1710</v>
          </cell>
          <cell r="D1487">
            <v>1780.8</v>
          </cell>
          <cell r="E1487">
            <v>0</v>
          </cell>
          <cell r="F1487">
            <v>1780.8</v>
          </cell>
          <cell r="G1487">
            <v>-70.8</v>
          </cell>
          <cell r="H1487">
            <v>104.14</v>
          </cell>
          <cell r="I1487">
            <v>1800</v>
          </cell>
          <cell r="J1487">
            <v>1780.8</v>
          </cell>
        </row>
        <row r="1488">
          <cell r="A1488">
            <v>1613220492</v>
          </cell>
          <cell r="B1488" t="str">
            <v>השתתפות בעזר 092</v>
          </cell>
          <cell r="C1488">
            <v>134900</v>
          </cell>
          <cell r="D1488">
            <v>156152.84</v>
          </cell>
          <cell r="E1488">
            <v>0</v>
          </cell>
          <cell r="F1488">
            <v>156152.84</v>
          </cell>
          <cell r="G1488">
            <v>-21252.84</v>
          </cell>
          <cell r="H1488">
            <v>115.75</v>
          </cell>
          <cell r="I1488">
            <v>142000</v>
          </cell>
          <cell r="J1488">
            <v>156152.84</v>
          </cell>
        </row>
        <row r="1489">
          <cell r="A1489">
            <v>1613220511</v>
          </cell>
          <cell r="B1489" t="str">
            <v>אירוח וכיבוד</v>
          </cell>
          <cell r="C1489">
            <v>8700</v>
          </cell>
          <cell r="D1489">
            <v>7927.86</v>
          </cell>
          <cell r="E1489">
            <v>519.32000000000005</v>
          </cell>
          <cell r="F1489">
            <v>8447.18</v>
          </cell>
          <cell r="G1489">
            <v>252.82</v>
          </cell>
          <cell r="H1489">
            <v>97.09</v>
          </cell>
          <cell r="I1489">
            <v>8700</v>
          </cell>
          <cell r="J1489">
            <v>7927.86</v>
          </cell>
        </row>
        <row r="1490">
          <cell r="A1490">
            <v>1613220521</v>
          </cell>
          <cell r="B1490" t="str">
            <v>השתלמויות עובדים</v>
          </cell>
          <cell r="C1490">
            <v>19700</v>
          </cell>
          <cell r="D1490">
            <v>19656</v>
          </cell>
          <cell r="E1490">
            <v>0</v>
          </cell>
          <cell r="F1490">
            <v>19656</v>
          </cell>
          <cell r="G1490">
            <v>44</v>
          </cell>
          <cell r="H1490">
            <v>99.77</v>
          </cell>
          <cell r="I1490">
            <v>19700</v>
          </cell>
          <cell r="J1490">
            <v>19656</v>
          </cell>
        </row>
        <row r="1491">
          <cell r="A1491">
            <v>1613220522</v>
          </cell>
          <cell r="B1491" t="str">
            <v>ספרים ועיתונים</v>
          </cell>
          <cell r="C1491">
            <v>2945</v>
          </cell>
          <cell r="D1491">
            <v>2794.03</v>
          </cell>
          <cell r="E1491">
            <v>0</v>
          </cell>
          <cell r="F1491">
            <v>2794.03</v>
          </cell>
          <cell r="G1491">
            <v>150.97</v>
          </cell>
          <cell r="H1491">
            <v>94.87</v>
          </cell>
          <cell r="I1491">
            <v>3100</v>
          </cell>
          <cell r="J1491">
            <v>2794.03</v>
          </cell>
        </row>
        <row r="1492">
          <cell r="A1492">
            <v>1613220561</v>
          </cell>
          <cell r="B1492" t="str">
            <v>שיכפולים</v>
          </cell>
          <cell r="C1492">
            <v>570</v>
          </cell>
          <cell r="D1492">
            <v>2057</v>
          </cell>
          <cell r="E1492">
            <v>0</v>
          </cell>
          <cell r="F1492">
            <v>2057</v>
          </cell>
          <cell r="G1492">
            <v>-1487</v>
          </cell>
          <cell r="H1492">
            <v>360.87</v>
          </cell>
          <cell r="I1492">
            <v>600</v>
          </cell>
          <cell r="J1492">
            <v>2057</v>
          </cell>
        </row>
        <row r="1493">
          <cell r="A1493">
            <v>1613220580</v>
          </cell>
          <cell r="B1493" t="str">
            <v>אבטחת מידע</v>
          </cell>
          <cell r="C1493">
            <v>0</v>
          </cell>
          <cell r="D1493">
            <v>0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A1494">
            <v>1613220723</v>
          </cell>
          <cell r="B1494" t="str">
            <v>חומרים אוזלים</v>
          </cell>
          <cell r="C1494">
            <v>71800</v>
          </cell>
          <cell r="D1494">
            <v>55809.74</v>
          </cell>
          <cell r="E1494">
            <v>14932.84</v>
          </cell>
          <cell r="F1494">
            <v>70742.58</v>
          </cell>
          <cell r="G1494">
            <v>1057.42</v>
          </cell>
          <cell r="H1494">
            <v>98.52</v>
          </cell>
          <cell r="I1494">
            <v>71800</v>
          </cell>
          <cell r="J1494">
            <v>55809.74</v>
          </cell>
        </row>
        <row r="1495">
          <cell r="A1495">
            <v>1613220743</v>
          </cell>
          <cell r="B1495" t="str">
            <v>אחזקה עפ"י קריאה</v>
          </cell>
          <cell r="C1495">
            <v>0</v>
          </cell>
          <cell r="D1495">
            <v>0</v>
          </cell>
          <cell r="E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A1496">
            <v>1613220753</v>
          </cell>
          <cell r="B1496" t="str">
            <v>שכר עובדי אוטומציה</v>
          </cell>
          <cell r="C1496">
            <v>0</v>
          </cell>
          <cell r="D1496">
            <v>0</v>
          </cell>
          <cell r="E1496">
            <v>0</v>
          </cell>
          <cell r="F1496">
            <v>0</v>
          </cell>
          <cell r="G1496">
            <v>0</v>
          </cell>
          <cell r="H1496">
            <v>0</v>
          </cell>
          <cell r="I1496">
            <v>0</v>
          </cell>
          <cell r="J1496">
            <v>0</v>
          </cell>
        </row>
        <row r="1497">
          <cell r="A1497">
            <v>1613220755</v>
          </cell>
          <cell r="B1497" t="str">
            <v>תוכניתנים חיצוניים</v>
          </cell>
          <cell r="C1497">
            <v>487825</v>
          </cell>
          <cell r="D1497">
            <v>421280.96</v>
          </cell>
          <cell r="E1497">
            <v>13605.88</v>
          </cell>
          <cell r="F1497">
            <v>434886.84</v>
          </cell>
          <cell r="G1497">
            <v>52938.16</v>
          </cell>
          <cell r="H1497">
            <v>89.14</v>
          </cell>
          <cell r="I1497">
            <v>513500</v>
          </cell>
          <cell r="J1497">
            <v>421280.96</v>
          </cell>
        </row>
        <row r="1498">
          <cell r="A1498">
            <v>1613220794</v>
          </cell>
          <cell r="B1498" t="str">
            <v>השתתפות בעזר 094</v>
          </cell>
          <cell r="C1498">
            <v>21375</v>
          </cell>
          <cell r="D1498">
            <v>26836</v>
          </cell>
          <cell r="E1498">
            <v>0</v>
          </cell>
          <cell r="F1498">
            <v>26836</v>
          </cell>
          <cell r="G1498">
            <v>-5461</v>
          </cell>
          <cell r="H1498">
            <v>125.54</v>
          </cell>
          <cell r="I1498">
            <v>22500</v>
          </cell>
          <cell r="J1498">
            <v>26836</v>
          </cell>
        </row>
        <row r="1499">
          <cell r="A1499">
            <v>1613220931</v>
          </cell>
          <cell r="B1499" t="str">
            <v>רכישות/העברה לתב"ר</v>
          </cell>
          <cell r="C1499">
            <v>0</v>
          </cell>
          <cell r="D1499">
            <v>0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</row>
        <row r="1500">
          <cell r="A1500">
            <v>1613220932</v>
          </cell>
          <cell r="B1500" t="str">
            <v>קיזוז עלויות תאגיד</v>
          </cell>
          <cell r="C1500">
            <v>0</v>
          </cell>
          <cell r="D1500">
            <v>0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</row>
        <row r="1501">
          <cell r="A1501">
            <v>1613220934</v>
          </cell>
          <cell r="B1501" t="str">
            <v>רכישות</v>
          </cell>
          <cell r="C1501">
            <v>0</v>
          </cell>
          <cell r="D1501">
            <v>1447</v>
          </cell>
          <cell r="E1501">
            <v>0</v>
          </cell>
          <cell r="F1501">
            <v>1447</v>
          </cell>
          <cell r="G1501">
            <v>-1447</v>
          </cell>
          <cell r="H1501">
            <v>0</v>
          </cell>
          <cell r="I1501">
            <v>0</v>
          </cell>
          <cell r="J1501">
            <v>1447</v>
          </cell>
        </row>
        <row r="1502">
          <cell r="A1502">
            <v>1613220961</v>
          </cell>
          <cell r="B1502" t="str">
            <v>רז' פעולות ורכישות</v>
          </cell>
          <cell r="C1502">
            <v>0</v>
          </cell>
          <cell r="D1502">
            <v>0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A1503">
            <v>1613221571</v>
          </cell>
          <cell r="B1503" t="str">
            <v>שרותי מיכון וענ"א</v>
          </cell>
          <cell r="C1503">
            <v>-10939155</v>
          </cell>
          <cell r="D1503">
            <v>-11514900</v>
          </cell>
          <cell r="E1503">
            <v>0</v>
          </cell>
          <cell r="F1503">
            <v>-11514900</v>
          </cell>
          <cell r="G1503">
            <v>575745</v>
          </cell>
          <cell r="H1503">
            <v>105.26</v>
          </cell>
          <cell r="I1503">
            <v>-11514900</v>
          </cell>
          <cell r="J1503">
            <v>-11514900</v>
          </cell>
        </row>
        <row r="1504">
          <cell r="A1504">
            <v>1613300110</v>
          </cell>
          <cell r="B1504" t="str">
            <v>השכר הקובע-תקציבית</v>
          </cell>
          <cell r="C1504">
            <v>162735</v>
          </cell>
          <cell r="D1504">
            <v>207663.38</v>
          </cell>
          <cell r="E1504">
            <v>0</v>
          </cell>
          <cell r="F1504">
            <v>207663.38</v>
          </cell>
          <cell r="G1504">
            <v>-44928.38</v>
          </cell>
          <cell r="H1504">
            <v>127.6</v>
          </cell>
          <cell r="I1504">
            <v>171300</v>
          </cell>
          <cell r="J1504">
            <v>207663.38</v>
          </cell>
        </row>
        <row r="1505">
          <cell r="A1505">
            <v>1613300119</v>
          </cell>
          <cell r="B1505" t="str">
            <v>השכר הקובע-צוברת</v>
          </cell>
          <cell r="C1505">
            <v>71126</v>
          </cell>
          <cell r="D1505">
            <v>40743.35</v>
          </cell>
          <cell r="E1505">
            <v>0</v>
          </cell>
          <cell r="F1505">
            <v>40743.35</v>
          </cell>
          <cell r="G1505">
            <v>30382.65</v>
          </cell>
          <cell r="H1505">
            <v>57.28</v>
          </cell>
          <cell r="I1505">
            <v>74870</v>
          </cell>
          <cell r="J1505">
            <v>40743.35</v>
          </cell>
        </row>
        <row r="1506">
          <cell r="A1506">
            <v>1613300122</v>
          </cell>
          <cell r="B1506" t="str">
            <v>ביגוד</v>
          </cell>
          <cell r="C1506">
            <v>2565</v>
          </cell>
          <cell r="D1506">
            <v>2012.89</v>
          </cell>
          <cell r="E1506">
            <v>0</v>
          </cell>
          <cell r="F1506">
            <v>2012.89</v>
          </cell>
          <cell r="G1506">
            <v>552.11</v>
          </cell>
          <cell r="H1506">
            <v>78.47</v>
          </cell>
          <cell r="I1506">
            <v>2700</v>
          </cell>
          <cell r="J1506">
            <v>2012.89</v>
          </cell>
        </row>
        <row r="1507">
          <cell r="A1507">
            <v>1613300126</v>
          </cell>
          <cell r="B1507" t="str">
            <v>דמי הבראה</v>
          </cell>
          <cell r="C1507">
            <v>10450</v>
          </cell>
          <cell r="D1507">
            <v>9192.2999999999993</v>
          </cell>
          <cell r="E1507">
            <v>0</v>
          </cell>
          <cell r="F1507">
            <v>9192.2999999999993</v>
          </cell>
          <cell r="G1507">
            <v>1257.7</v>
          </cell>
          <cell r="H1507">
            <v>87.96</v>
          </cell>
          <cell r="I1507">
            <v>11000</v>
          </cell>
          <cell r="J1507">
            <v>9192.2999999999993</v>
          </cell>
        </row>
        <row r="1508">
          <cell r="A1508">
            <v>1613300140</v>
          </cell>
          <cell r="B1508" t="str">
            <v>השתתפות באחזקת רכב</v>
          </cell>
          <cell r="C1508">
            <v>40185</v>
          </cell>
          <cell r="D1508">
            <v>40294.870000000003</v>
          </cell>
          <cell r="E1508">
            <v>0</v>
          </cell>
          <cell r="F1508">
            <v>40294.870000000003</v>
          </cell>
          <cell r="G1508">
            <v>-109.87</v>
          </cell>
          <cell r="H1508">
            <v>100.27</v>
          </cell>
          <cell r="I1508">
            <v>42300</v>
          </cell>
          <cell r="J1508">
            <v>40294.870000000003</v>
          </cell>
        </row>
        <row r="1509">
          <cell r="A1509">
            <v>1613300253</v>
          </cell>
          <cell r="B1509" t="str">
            <v>עובדים חיצוניים</v>
          </cell>
          <cell r="C1509">
            <v>1644</v>
          </cell>
          <cell r="D1509">
            <v>1728.18</v>
          </cell>
          <cell r="E1509">
            <v>0</v>
          </cell>
          <cell r="F1509">
            <v>1728.18</v>
          </cell>
          <cell r="G1509">
            <v>-84.18</v>
          </cell>
          <cell r="H1509">
            <v>105.12</v>
          </cell>
          <cell r="I1509">
            <v>1730</v>
          </cell>
          <cell r="J1509">
            <v>1728.18</v>
          </cell>
        </row>
        <row r="1510">
          <cell r="A1510">
            <v>1613300410</v>
          </cell>
          <cell r="B1510" t="str">
            <v>השתת במס ועד בית</v>
          </cell>
          <cell r="C1510">
            <v>4750</v>
          </cell>
          <cell r="D1510">
            <v>3360</v>
          </cell>
          <cell r="E1510">
            <v>0</v>
          </cell>
          <cell r="F1510">
            <v>3360</v>
          </cell>
          <cell r="G1510">
            <v>1390</v>
          </cell>
          <cell r="H1510">
            <v>70.73</v>
          </cell>
          <cell r="I1510">
            <v>5000</v>
          </cell>
          <cell r="J1510">
            <v>3360</v>
          </cell>
        </row>
        <row r="1511">
          <cell r="A1511">
            <v>1613300420</v>
          </cell>
          <cell r="B1511" t="str">
            <v>כיבוי אש</v>
          </cell>
          <cell r="C1511">
            <v>1900</v>
          </cell>
          <cell r="D1511">
            <v>1573.38</v>
          </cell>
          <cell r="E1511">
            <v>0</v>
          </cell>
          <cell r="F1511">
            <v>1573.38</v>
          </cell>
          <cell r="G1511">
            <v>326.62</v>
          </cell>
          <cell r="H1511">
            <v>82.8</v>
          </cell>
          <cell r="I1511">
            <v>2000</v>
          </cell>
          <cell r="J1511">
            <v>1573.38</v>
          </cell>
        </row>
        <row r="1512">
          <cell r="A1512">
            <v>1613300431</v>
          </cell>
          <cell r="B1512" t="str">
            <v>חשמל</v>
          </cell>
          <cell r="C1512">
            <v>6270</v>
          </cell>
          <cell r="D1512">
            <v>2226.46</v>
          </cell>
          <cell r="E1512">
            <v>0</v>
          </cell>
          <cell r="F1512">
            <v>2226.46</v>
          </cell>
          <cell r="G1512">
            <v>4043.54</v>
          </cell>
          <cell r="H1512">
            <v>35.5</v>
          </cell>
          <cell r="I1512">
            <v>6600</v>
          </cell>
          <cell r="J1512">
            <v>2226.46</v>
          </cell>
        </row>
        <row r="1513">
          <cell r="A1513">
            <v>1613300432</v>
          </cell>
          <cell r="B1513" t="str">
            <v>מים</v>
          </cell>
          <cell r="C1513">
            <v>760</v>
          </cell>
          <cell r="D1513">
            <v>72.19</v>
          </cell>
          <cell r="E1513">
            <v>0</v>
          </cell>
          <cell r="F1513">
            <v>72.19</v>
          </cell>
          <cell r="G1513">
            <v>687.81</v>
          </cell>
          <cell r="H1513">
            <v>9.49</v>
          </cell>
          <cell r="I1513">
            <v>800</v>
          </cell>
          <cell r="J1513">
            <v>72.19</v>
          </cell>
        </row>
        <row r="1514">
          <cell r="A1514">
            <v>1613300433</v>
          </cell>
          <cell r="B1514" t="str">
            <v>חומרי נקיון</v>
          </cell>
          <cell r="C1514">
            <v>0</v>
          </cell>
          <cell r="D1514">
            <v>0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A1515">
            <v>1613300434</v>
          </cell>
          <cell r="B1515" t="str">
            <v>חיטוי והדברה</v>
          </cell>
          <cell r="C1515">
            <v>0</v>
          </cell>
          <cell r="D1515">
            <v>0</v>
          </cell>
          <cell r="E1515">
            <v>0</v>
          </cell>
          <cell r="F1515">
            <v>0</v>
          </cell>
          <cell r="G1515">
            <v>0</v>
          </cell>
          <cell r="H1515">
            <v>0</v>
          </cell>
          <cell r="I1515">
            <v>0</v>
          </cell>
          <cell r="J1515">
            <v>0</v>
          </cell>
        </row>
        <row r="1516">
          <cell r="A1516">
            <v>1613300437</v>
          </cell>
          <cell r="B1516" t="str">
            <v>אחזקת אזעקה</v>
          </cell>
          <cell r="C1516">
            <v>1235</v>
          </cell>
          <cell r="D1516">
            <v>1221.48</v>
          </cell>
          <cell r="E1516">
            <v>0</v>
          </cell>
          <cell r="F1516">
            <v>1221.48</v>
          </cell>
          <cell r="G1516">
            <v>13.52</v>
          </cell>
          <cell r="H1516">
            <v>98.9</v>
          </cell>
          <cell r="I1516">
            <v>1300</v>
          </cell>
          <cell r="J1516">
            <v>1221.48</v>
          </cell>
        </row>
        <row r="1517">
          <cell r="A1517">
            <v>1613300441</v>
          </cell>
          <cell r="B1517" t="str">
            <v>ביטוח</v>
          </cell>
          <cell r="C1517">
            <v>0</v>
          </cell>
          <cell r="D1517">
            <v>202</v>
          </cell>
          <cell r="E1517">
            <v>0</v>
          </cell>
          <cell r="F1517">
            <v>202</v>
          </cell>
          <cell r="G1517">
            <v>-202</v>
          </cell>
          <cell r="H1517">
            <v>0</v>
          </cell>
          <cell r="I1517">
            <v>0</v>
          </cell>
          <cell r="J1517">
            <v>202</v>
          </cell>
        </row>
        <row r="1518">
          <cell r="A1518">
            <v>1613300471</v>
          </cell>
          <cell r="B1518" t="str">
            <v>מכשירי כתיבה</v>
          </cell>
          <cell r="C1518">
            <v>0</v>
          </cell>
          <cell r="D1518">
            <v>0</v>
          </cell>
          <cell r="E1518">
            <v>0</v>
          </cell>
          <cell r="F1518">
            <v>0</v>
          </cell>
          <cell r="G1518">
            <v>0</v>
          </cell>
          <cell r="H1518">
            <v>0</v>
          </cell>
          <cell r="I1518">
            <v>0</v>
          </cell>
          <cell r="J1518">
            <v>0</v>
          </cell>
        </row>
        <row r="1519">
          <cell r="A1519">
            <v>1613300544</v>
          </cell>
          <cell r="B1519" t="str">
            <v>הוצאות דאר</v>
          </cell>
          <cell r="C1519">
            <v>0</v>
          </cell>
          <cell r="D1519">
            <v>0</v>
          </cell>
          <cell r="E1519">
            <v>0</v>
          </cell>
          <cell r="F1519">
            <v>0</v>
          </cell>
          <cell r="G1519">
            <v>0</v>
          </cell>
          <cell r="H1519">
            <v>0</v>
          </cell>
          <cell r="I1519">
            <v>0</v>
          </cell>
          <cell r="J1519">
            <v>0</v>
          </cell>
        </row>
        <row r="1520">
          <cell r="A1520">
            <v>1613300561</v>
          </cell>
          <cell r="B1520" t="str">
            <v>שיכפולים</v>
          </cell>
          <cell r="C1520">
            <v>0</v>
          </cell>
          <cell r="D1520">
            <v>0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</row>
        <row r="1521">
          <cell r="A1521">
            <v>1613300562</v>
          </cell>
          <cell r="B1521" t="str">
            <v>הדפסות</v>
          </cell>
          <cell r="C1521">
            <v>0</v>
          </cell>
          <cell r="D1521">
            <v>0</v>
          </cell>
          <cell r="E1521">
            <v>0</v>
          </cell>
          <cell r="F1521">
            <v>0</v>
          </cell>
          <cell r="G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A1522">
            <v>1613300565</v>
          </cell>
          <cell r="B1522" t="str">
            <v>צילומי מיקרופיש</v>
          </cell>
          <cell r="C1522">
            <v>0</v>
          </cell>
          <cell r="D1522">
            <v>0</v>
          </cell>
          <cell r="E1522">
            <v>0</v>
          </cell>
          <cell r="F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0</v>
          </cell>
        </row>
        <row r="1523">
          <cell r="A1523">
            <v>1613300566</v>
          </cell>
          <cell r="B1523" t="str">
            <v>צילומים לארכיון</v>
          </cell>
          <cell r="C1523">
            <v>0</v>
          </cell>
          <cell r="D1523">
            <v>0</v>
          </cell>
          <cell r="E1523">
            <v>0</v>
          </cell>
          <cell r="F1523">
            <v>0</v>
          </cell>
          <cell r="G1523">
            <v>0</v>
          </cell>
          <cell r="H1523">
            <v>0</v>
          </cell>
          <cell r="I1523">
            <v>0</v>
          </cell>
          <cell r="J1523">
            <v>0</v>
          </cell>
        </row>
        <row r="1524">
          <cell r="A1524">
            <v>1613300571</v>
          </cell>
          <cell r="B1524" t="str">
            <v>מיכון וענ"א</v>
          </cell>
          <cell r="C1524">
            <v>30875</v>
          </cell>
          <cell r="D1524">
            <v>32500</v>
          </cell>
          <cell r="E1524">
            <v>0</v>
          </cell>
          <cell r="F1524">
            <v>32500</v>
          </cell>
          <cell r="G1524">
            <v>-1625</v>
          </cell>
          <cell r="H1524">
            <v>105.26</v>
          </cell>
          <cell r="I1524">
            <v>32500</v>
          </cell>
          <cell r="J1524">
            <v>32500</v>
          </cell>
        </row>
        <row r="1525">
          <cell r="A1525">
            <v>1613300721</v>
          </cell>
          <cell r="B1525" t="str">
            <v>חמרים-חחזוקת מבנים</v>
          </cell>
          <cell r="C1525">
            <v>475</v>
          </cell>
          <cell r="D1525">
            <v>0</v>
          </cell>
          <cell r="E1525">
            <v>0</v>
          </cell>
          <cell r="F1525">
            <v>0</v>
          </cell>
          <cell r="G1525">
            <v>475</v>
          </cell>
          <cell r="H1525">
            <v>0</v>
          </cell>
          <cell r="I1525">
            <v>500</v>
          </cell>
          <cell r="J1525">
            <v>0</v>
          </cell>
        </row>
        <row r="1526">
          <cell r="A1526">
            <v>1613300722</v>
          </cell>
          <cell r="B1526" t="str">
            <v>חמרים-תחזוקה עצמית</v>
          </cell>
          <cell r="C1526">
            <v>0</v>
          </cell>
          <cell r="D1526">
            <v>0</v>
          </cell>
          <cell r="E1526">
            <v>0</v>
          </cell>
          <cell r="F1526">
            <v>0</v>
          </cell>
          <cell r="G1526">
            <v>0</v>
          </cell>
          <cell r="H1526">
            <v>0</v>
          </cell>
          <cell r="I1526">
            <v>0</v>
          </cell>
          <cell r="J1526">
            <v>0</v>
          </cell>
        </row>
        <row r="1527">
          <cell r="A1527">
            <v>1613300741</v>
          </cell>
          <cell r="B1527" t="str">
            <v>כריכה+שיקום פרטיכל</v>
          </cell>
          <cell r="C1527">
            <v>0</v>
          </cell>
          <cell r="D1527">
            <v>0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</row>
        <row r="1528">
          <cell r="A1528">
            <v>1613300751</v>
          </cell>
          <cell r="B1528" t="str">
            <v>עבודות קבלניות</v>
          </cell>
          <cell r="C1528">
            <v>1330</v>
          </cell>
          <cell r="D1528">
            <v>0</v>
          </cell>
          <cell r="E1528">
            <v>0</v>
          </cell>
          <cell r="F1528">
            <v>0</v>
          </cell>
          <cell r="G1528">
            <v>1330</v>
          </cell>
          <cell r="H1528">
            <v>0</v>
          </cell>
          <cell r="I1528">
            <v>1400</v>
          </cell>
          <cell r="J1528">
            <v>0</v>
          </cell>
        </row>
        <row r="1529">
          <cell r="A1529">
            <v>1613300752</v>
          </cell>
          <cell r="B1529" t="str">
            <v>נקיון בקבלנות</v>
          </cell>
          <cell r="C1529">
            <v>48450</v>
          </cell>
          <cell r="D1529">
            <v>48211.69</v>
          </cell>
          <cell r="E1529">
            <v>0</v>
          </cell>
          <cell r="F1529">
            <v>48211.69</v>
          </cell>
          <cell r="G1529">
            <v>238.31</v>
          </cell>
          <cell r="H1529">
            <v>99.5</v>
          </cell>
          <cell r="I1529">
            <v>51000</v>
          </cell>
          <cell r="J1529">
            <v>48211.69</v>
          </cell>
        </row>
        <row r="1530">
          <cell r="A1530">
            <v>1613300757</v>
          </cell>
          <cell r="B1530" t="str">
            <v>שרותי גניזה</v>
          </cell>
          <cell r="C1530">
            <v>12825</v>
          </cell>
          <cell r="D1530">
            <v>10342.299999999999</v>
          </cell>
          <cell r="E1530">
            <v>550.4</v>
          </cell>
          <cell r="F1530">
            <v>10892.7</v>
          </cell>
          <cell r="G1530">
            <v>1932.3</v>
          </cell>
          <cell r="H1530">
            <v>84.93</v>
          </cell>
          <cell r="I1530">
            <v>13500</v>
          </cell>
          <cell r="J1530">
            <v>10342.299999999999</v>
          </cell>
        </row>
        <row r="1531">
          <cell r="A1531">
            <v>1613300794</v>
          </cell>
          <cell r="B1531" t="str">
            <v>השתתפות בעזר 094</v>
          </cell>
          <cell r="C1531">
            <v>1995</v>
          </cell>
          <cell r="D1531">
            <v>2504</v>
          </cell>
          <cell r="E1531">
            <v>0</v>
          </cell>
          <cell r="F1531">
            <v>2504</v>
          </cell>
          <cell r="G1531">
            <v>-509</v>
          </cell>
          <cell r="H1531">
            <v>125.51</v>
          </cell>
          <cell r="I1531">
            <v>2100</v>
          </cell>
          <cell r="J1531">
            <v>2504</v>
          </cell>
        </row>
        <row r="1532">
          <cell r="A1532">
            <v>1613300931</v>
          </cell>
          <cell r="B1532" t="str">
            <v>רכישות</v>
          </cell>
          <cell r="C1532">
            <v>0</v>
          </cell>
          <cell r="D1532">
            <v>0</v>
          </cell>
          <cell r="E1532">
            <v>0</v>
          </cell>
          <cell r="F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</row>
        <row r="1533">
          <cell r="A1533">
            <v>1613400110</v>
          </cell>
          <cell r="B1533" t="str">
            <v>השכר הקובע-תקציבית</v>
          </cell>
          <cell r="C1533">
            <v>0</v>
          </cell>
          <cell r="D1533">
            <v>0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</row>
        <row r="1534">
          <cell r="A1534">
            <v>1613400119</v>
          </cell>
          <cell r="B1534" t="str">
            <v>השכר הקובע צוברת</v>
          </cell>
          <cell r="C1534">
            <v>114000</v>
          </cell>
          <cell r="D1534">
            <v>0</v>
          </cell>
          <cell r="E1534">
            <v>0</v>
          </cell>
          <cell r="F1534">
            <v>0</v>
          </cell>
          <cell r="G1534">
            <v>114000</v>
          </cell>
          <cell r="H1534">
            <v>0</v>
          </cell>
          <cell r="I1534">
            <v>120000</v>
          </cell>
          <cell r="J1534">
            <v>0</v>
          </cell>
        </row>
        <row r="1535">
          <cell r="A1535">
            <v>1613400122</v>
          </cell>
          <cell r="B1535" t="str">
            <v>ביגוד</v>
          </cell>
          <cell r="C1535">
            <v>2565</v>
          </cell>
          <cell r="D1535">
            <v>0</v>
          </cell>
          <cell r="E1535">
            <v>0</v>
          </cell>
          <cell r="F1535">
            <v>0</v>
          </cell>
          <cell r="G1535">
            <v>2565</v>
          </cell>
          <cell r="H1535">
            <v>0</v>
          </cell>
          <cell r="I1535">
            <v>2700</v>
          </cell>
          <cell r="J1535">
            <v>0</v>
          </cell>
        </row>
        <row r="1536">
          <cell r="A1536">
            <v>1613400126</v>
          </cell>
          <cell r="B1536" t="str">
            <v>דמי הבראה</v>
          </cell>
          <cell r="C1536">
            <v>8360</v>
          </cell>
          <cell r="D1536">
            <v>0</v>
          </cell>
          <cell r="E1536">
            <v>0</v>
          </cell>
          <cell r="F1536">
            <v>0</v>
          </cell>
          <cell r="G1536">
            <v>8360</v>
          </cell>
          <cell r="H1536">
            <v>0</v>
          </cell>
          <cell r="I1536">
            <v>8800</v>
          </cell>
          <cell r="J1536">
            <v>0</v>
          </cell>
        </row>
        <row r="1537">
          <cell r="A1537">
            <v>1613400130</v>
          </cell>
          <cell r="B1537" t="str">
            <v>שעות נוספות</v>
          </cell>
          <cell r="C1537">
            <v>0</v>
          </cell>
          <cell r="D1537">
            <v>0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</row>
        <row r="1538">
          <cell r="A1538">
            <v>1613400140</v>
          </cell>
          <cell r="B1538" t="str">
            <v>השתתפות באחזקת רכב</v>
          </cell>
          <cell r="C1538">
            <v>35625</v>
          </cell>
          <cell r="D1538">
            <v>0</v>
          </cell>
          <cell r="E1538">
            <v>0</v>
          </cell>
          <cell r="F1538">
            <v>0</v>
          </cell>
          <cell r="G1538">
            <v>35625</v>
          </cell>
          <cell r="H1538">
            <v>0</v>
          </cell>
          <cell r="I1538">
            <v>37500</v>
          </cell>
          <cell r="J1538">
            <v>0</v>
          </cell>
        </row>
        <row r="1539">
          <cell r="A1539">
            <v>1613400571</v>
          </cell>
          <cell r="B1539" t="str">
            <v>מיכון וענ"א</v>
          </cell>
          <cell r="C1539">
            <v>14820</v>
          </cell>
          <cell r="D1539">
            <v>15600</v>
          </cell>
          <cell r="E1539">
            <v>0</v>
          </cell>
          <cell r="F1539">
            <v>15600</v>
          </cell>
          <cell r="G1539">
            <v>-780</v>
          </cell>
          <cell r="H1539">
            <v>105.26</v>
          </cell>
          <cell r="I1539">
            <v>15600</v>
          </cell>
          <cell r="J1539">
            <v>15600</v>
          </cell>
        </row>
        <row r="1540">
          <cell r="A1540">
            <v>1613400710</v>
          </cell>
          <cell r="B1540" t="str">
            <v>הובלות והסעות</v>
          </cell>
          <cell r="C1540">
            <v>46600</v>
          </cell>
          <cell r="D1540">
            <v>46599.5</v>
          </cell>
          <cell r="E1540">
            <v>0</v>
          </cell>
          <cell r="F1540">
            <v>46599.5</v>
          </cell>
          <cell r="G1540">
            <v>0.5</v>
          </cell>
          <cell r="H1540">
            <v>99.99</v>
          </cell>
          <cell r="I1540">
            <v>46600</v>
          </cell>
          <cell r="J1540">
            <v>46599.5</v>
          </cell>
        </row>
        <row r="1541">
          <cell r="A1541">
            <v>1615000110</v>
          </cell>
          <cell r="B1541" t="str">
            <v>השכר הקובע-תקציבית</v>
          </cell>
          <cell r="C1541">
            <v>603060</v>
          </cell>
          <cell r="D1541">
            <v>846013.42</v>
          </cell>
          <cell r="E1541">
            <v>0</v>
          </cell>
          <cell r="F1541">
            <v>846013.42</v>
          </cell>
          <cell r="G1541">
            <v>-242953.42</v>
          </cell>
          <cell r="H1541">
            <v>140.28</v>
          </cell>
          <cell r="I1541">
            <v>634800</v>
          </cell>
          <cell r="J1541">
            <v>846013.42</v>
          </cell>
        </row>
        <row r="1542">
          <cell r="A1542">
            <v>1615000119</v>
          </cell>
          <cell r="B1542" t="str">
            <v>השכר הקובע-צוברת</v>
          </cell>
          <cell r="C1542">
            <v>3001525</v>
          </cell>
          <cell r="D1542">
            <v>3409268.55</v>
          </cell>
          <cell r="E1542">
            <v>0</v>
          </cell>
          <cell r="F1542">
            <v>3409268.55</v>
          </cell>
          <cell r="G1542">
            <v>-407743.55</v>
          </cell>
          <cell r="H1542">
            <v>113.58</v>
          </cell>
          <cell r="I1542">
            <v>3159500</v>
          </cell>
          <cell r="J1542">
            <v>3409268.55</v>
          </cell>
        </row>
        <row r="1543">
          <cell r="A1543">
            <v>1615000122</v>
          </cell>
          <cell r="B1543" t="str">
            <v>ביגוד</v>
          </cell>
          <cell r="C1543">
            <v>40850</v>
          </cell>
          <cell r="D1543">
            <v>47305.81</v>
          </cell>
          <cell r="E1543">
            <v>0</v>
          </cell>
          <cell r="F1543">
            <v>47305.81</v>
          </cell>
          <cell r="G1543">
            <v>-6455.81</v>
          </cell>
          <cell r="H1543">
            <v>115.8</v>
          </cell>
          <cell r="I1543">
            <v>43000</v>
          </cell>
          <cell r="J1543">
            <v>47305.81</v>
          </cell>
        </row>
        <row r="1544">
          <cell r="A1544">
            <v>1615000126</v>
          </cell>
          <cell r="B1544" t="str">
            <v>דמי הבראה</v>
          </cell>
          <cell r="C1544">
            <v>99750</v>
          </cell>
          <cell r="D1544">
            <v>107067.47</v>
          </cell>
          <cell r="E1544">
            <v>0</v>
          </cell>
          <cell r="F1544">
            <v>107067.47</v>
          </cell>
          <cell r="G1544">
            <v>-7317.47</v>
          </cell>
          <cell r="H1544">
            <v>107.33</v>
          </cell>
          <cell r="I1544">
            <v>105000</v>
          </cell>
          <cell r="J1544">
            <v>107067.47</v>
          </cell>
        </row>
        <row r="1545">
          <cell r="A1545">
            <v>1615000130</v>
          </cell>
          <cell r="B1545" t="str">
            <v>שעות נוספות</v>
          </cell>
          <cell r="C1545">
            <v>6175</v>
          </cell>
          <cell r="D1545">
            <v>19475.04</v>
          </cell>
          <cell r="E1545">
            <v>0</v>
          </cell>
          <cell r="F1545">
            <v>19475.04</v>
          </cell>
          <cell r="G1545">
            <v>-13300.04</v>
          </cell>
          <cell r="H1545">
            <v>315.38</v>
          </cell>
          <cell r="I1545">
            <v>6500</v>
          </cell>
          <cell r="J1545">
            <v>19475.04</v>
          </cell>
        </row>
        <row r="1546">
          <cell r="A1546">
            <v>1615000140</v>
          </cell>
          <cell r="B1546" t="str">
            <v>השתתפות באחזקת רכב</v>
          </cell>
          <cell r="C1546">
            <v>380950</v>
          </cell>
          <cell r="D1546">
            <v>467362.58</v>
          </cell>
          <cell r="E1546">
            <v>0</v>
          </cell>
          <cell r="F1546">
            <v>467362.58</v>
          </cell>
          <cell r="G1546">
            <v>-86412.58</v>
          </cell>
          <cell r="H1546">
            <v>122.68</v>
          </cell>
          <cell r="I1546">
            <v>401000</v>
          </cell>
          <cell r="J1546">
            <v>467362.58</v>
          </cell>
        </row>
        <row r="1547">
          <cell r="A1547">
            <v>1615000253</v>
          </cell>
          <cell r="B1547" t="str">
            <v>עובדי חברות כ"א</v>
          </cell>
          <cell r="C1547">
            <v>113050</v>
          </cell>
          <cell r="D1547">
            <v>200959.25</v>
          </cell>
          <cell r="E1547">
            <v>0</v>
          </cell>
          <cell r="F1547">
            <v>200959.25</v>
          </cell>
          <cell r="G1547">
            <v>-87909.25</v>
          </cell>
          <cell r="H1547">
            <v>177.76</v>
          </cell>
          <cell r="I1547">
            <v>119000</v>
          </cell>
          <cell r="J1547">
            <v>200959.25</v>
          </cell>
        </row>
        <row r="1548">
          <cell r="A1548">
            <v>1615000255</v>
          </cell>
          <cell r="B1548" t="str">
            <v>מ"מ עובדים חיצוניים</v>
          </cell>
          <cell r="C1548">
            <v>95000</v>
          </cell>
          <cell r="D1548">
            <v>99174.63</v>
          </cell>
          <cell r="E1548">
            <v>0</v>
          </cell>
          <cell r="F1548">
            <v>99174.63</v>
          </cell>
          <cell r="G1548">
            <v>-4174.63</v>
          </cell>
          <cell r="H1548">
            <v>104.39</v>
          </cell>
          <cell r="I1548">
            <v>100000</v>
          </cell>
          <cell r="J1548">
            <v>99174.63</v>
          </cell>
        </row>
        <row r="1549">
          <cell r="A1549">
            <v>1615000350</v>
          </cell>
          <cell r="B1549" t="str">
            <v>ליסינג שני רכבים</v>
          </cell>
          <cell r="C1549">
            <v>114000</v>
          </cell>
          <cell r="D1549">
            <v>111651.59</v>
          </cell>
          <cell r="E1549">
            <v>0</v>
          </cell>
          <cell r="F1549">
            <v>111651.59</v>
          </cell>
          <cell r="G1549">
            <v>2348.41</v>
          </cell>
          <cell r="H1549">
            <v>97.93</v>
          </cell>
          <cell r="I1549">
            <v>120000</v>
          </cell>
          <cell r="J1549">
            <v>111651.59</v>
          </cell>
        </row>
        <row r="1550">
          <cell r="A1550">
            <v>1615000351</v>
          </cell>
          <cell r="B1550" t="str">
            <v>הוצאות שני רכבים</v>
          </cell>
          <cell r="C1550">
            <v>28975</v>
          </cell>
          <cell r="D1550">
            <v>39132.120000000003</v>
          </cell>
          <cell r="E1550">
            <v>0</v>
          </cell>
          <cell r="F1550">
            <v>39132.120000000003</v>
          </cell>
          <cell r="G1550">
            <v>-10157.120000000001</v>
          </cell>
          <cell r="H1550">
            <v>135.05000000000001</v>
          </cell>
          <cell r="I1550">
            <v>30500</v>
          </cell>
          <cell r="J1550">
            <v>39132.120000000003</v>
          </cell>
        </row>
        <row r="1551">
          <cell r="A1551">
            <v>1615000471</v>
          </cell>
          <cell r="B1551" t="str">
            <v>מכשירי כתיבה</v>
          </cell>
          <cell r="C1551">
            <v>25270</v>
          </cell>
          <cell r="D1551">
            <v>26030.29</v>
          </cell>
          <cell r="E1551">
            <v>0</v>
          </cell>
          <cell r="F1551">
            <v>26030.29</v>
          </cell>
          <cell r="G1551">
            <v>-760.29</v>
          </cell>
          <cell r="H1551">
            <v>103</v>
          </cell>
          <cell r="I1551">
            <v>26600</v>
          </cell>
          <cell r="J1551">
            <v>26030.29</v>
          </cell>
        </row>
        <row r="1552">
          <cell r="A1552">
            <v>1615000511</v>
          </cell>
          <cell r="B1552" t="str">
            <v>אירוח וכיבוד</v>
          </cell>
          <cell r="C1552">
            <v>4300</v>
          </cell>
          <cell r="D1552">
            <v>4240</v>
          </cell>
          <cell r="E1552">
            <v>0</v>
          </cell>
          <cell r="F1552">
            <v>4240</v>
          </cell>
          <cell r="G1552">
            <v>60</v>
          </cell>
          <cell r="H1552">
            <v>98.6</v>
          </cell>
          <cell r="I1552">
            <v>4300</v>
          </cell>
          <cell r="J1552">
            <v>4240</v>
          </cell>
        </row>
        <row r="1553">
          <cell r="A1553">
            <v>1615000512</v>
          </cell>
          <cell r="B1553" t="str">
            <v>נסיעות ואש"ל</v>
          </cell>
          <cell r="C1553">
            <v>475</v>
          </cell>
          <cell r="D1553">
            <v>0</v>
          </cell>
          <cell r="E1553">
            <v>0</v>
          </cell>
          <cell r="F1553">
            <v>0</v>
          </cell>
          <cell r="G1553">
            <v>475</v>
          </cell>
          <cell r="H1553">
            <v>0</v>
          </cell>
          <cell r="I1553">
            <v>500</v>
          </cell>
          <cell r="J1553">
            <v>0</v>
          </cell>
        </row>
        <row r="1554">
          <cell r="A1554">
            <v>1615000515</v>
          </cell>
          <cell r="B1554" t="str">
            <v>משלחת עובדים לפולין</v>
          </cell>
          <cell r="C1554">
            <v>0</v>
          </cell>
          <cell r="D1554">
            <v>0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</row>
        <row r="1555">
          <cell r="A1555">
            <v>1615000516</v>
          </cell>
          <cell r="B1555" t="str">
            <v>מועודון לקוחות</v>
          </cell>
          <cell r="C1555">
            <v>0</v>
          </cell>
          <cell r="D1555">
            <v>0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A1556">
            <v>1615000521</v>
          </cell>
          <cell r="B1556" t="str">
            <v>השתלמויות-ימי עיון</v>
          </cell>
          <cell r="C1556">
            <v>438900</v>
          </cell>
          <cell r="D1556">
            <v>409316.27</v>
          </cell>
          <cell r="E1556">
            <v>9477</v>
          </cell>
          <cell r="F1556">
            <v>418793.27</v>
          </cell>
          <cell r="G1556">
            <v>20106.73</v>
          </cell>
          <cell r="H1556">
            <v>95.41</v>
          </cell>
          <cell r="I1556">
            <v>462000</v>
          </cell>
          <cell r="J1556">
            <v>409316.27</v>
          </cell>
        </row>
        <row r="1557">
          <cell r="A1557">
            <v>1615000522</v>
          </cell>
          <cell r="B1557" t="str">
            <v>ספרים ועיתונים</v>
          </cell>
          <cell r="C1557">
            <v>4085</v>
          </cell>
          <cell r="D1557">
            <v>2009.2</v>
          </cell>
          <cell r="E1557">
            <v>0</v>
          </cell>
          <cell r="F1557">
            <v>2009.2</v>
          </cell>
          <cell r="G1557">
            <v>2075.8000000000002</v>
          </cell>
          <cell r="H1557">
            <v>49.18</v>
          </cell>
          <cell r="I1557">
            <v>4300</v>
          </cell>
          <cell r="J1557">
            <v>2009.2</v>
          </cell>
        </row>
        <row r="1558">
          <cell r="A1558">
            <v>1615000523</v>
          </cell>
          <cell r="B1558" t="str">
            <v>השתתפות באירגונים</v>
          </cell>
          <cell r="C1558">
            <v>95000</v>
          </cell>
          <cell r="D1558">
            <v>99038</v>
          </cell>
          <cell r="E1558">
            <v>0</v>
          </cell>
          <cell r="F1558">
            <v>99038</v>
          </cell>
          <cell r="G1558">
            <v>-4038</v>
          </cell>
          <cell r="H1558">
            <v>104.25</v>
          </cell>
          <cell r="I1558">
            <v>100000</v>
          </cell>
          <cell r="J1558">
            <v>99038</v>
          </cell>
        </row>
        <row r="1559">
          <cell r="A1559">
            <v>1615000524</v>
          </cell>
          <cell r="B1559" t="str">
            <v>קורסים מקצועיים</v>
          </cell>
          <cell r="C1559">
            <v>133000</v>
          </cell>
          <cell r="D1559">
            <v>136150.5</v>
          </cell>
          <cell r="E1559">
            <v>0</v>
          </cell>
          <cell r="F1559">
            <v>136150.5</v>
          </cell>
          <cell r="G1559">
            <v>-3150.5</v>
          </cell>
          <cell r="H1559">
            <v>102.36</v>
          </cell>
          <cell r="I1559">
            <v>133000</v>
          </cell>
          <cell r="J1559">
            <v>136150.5</v>
          </cell>
        </row>
        <row r="1560">
          <cell r="A1560">
            <v>1615000525</v>
          </cell>
          <cell r="B1560" t="str">
            <v>השתת' בשכר לימוד</v>
          </cell>
          <cell r="C1560">
            <v>193800</v>
          </cell>
          <cell r="D1560">
            <v>230330</v>
          </cell>
          <cell r="E1560">
            <v>0</v>
          </cell>
          <cell r="F1560">
            <v>230330</v>
          </cell>
          <cell r="G1560">
            <v>-36530</v>
          </cell>
          <cell r="H1560">
            <v>118.84</v>
          </cell>
          <cell r="I1560">
            <v>204000</v>
          </cell>
          <cell r="J1560">
            <v>230330</v>
          </cell>
        </row>
        <row r="1561">
          <cell r="A1561">
            <v>1615000526</v>
          </cell>
          <cell r="B1561" t="str">
            <v>חברות-עמותות השתל'</v>
          </cell>
          <cell r="C1561">
            <v>463600</v>
          </cell>
          <cell r="D1561">
            <v>650199</v>
          </cell>
          <cell r="E1561">
            <v>0</v>
          </cell>
          <cell r="F1561">
            <v>650199</v>
          </cell>
          <cell r="G1561">
            <v>-186599</v>
          </cell>
          <cell r="H1561">
            <v>140.25</v>
          </cell>
          <cell r="I1561">
            <v>488000</v>
          </cell>
          <cell r="J1561">
            <v>650199</v>
          </cell>
        </row>
        <row r="1562">
          <cell r="A1562">
            <v>1615000527</v>
          </cell>
          <cell r="B1562" t="str">
            <v>עמותת "שלך"</v>
          </cell>
          <cell r="C1562">
            <v>0</v>
          </cell>
          <cell r="D1562">
            <v>0</v>
          </cell>
          <cell r="E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A1563">
            <v>1615000544</v>
          </cell>
          <cell r="B1563" t="str">
            <v>הוצאות דאר</v>
          </cell>
          <cell r="C1563">
            <v>4085</v>
          </cell>
          <cell r="D1563">
            <v>3138.78</v>
          </cell>
          <cell r="E1563">
            <v>0</v>
          </cell>
          <cell r="F1563">
            <v>3138.78</v>
          </cell>
          <cell r="G1563">
            <v>946.22</v>
          </cell>
          <cell r="H1563">
            <v>76.83</v>
          </cell>
          <cell r="I1563">
            <v>4300</v>
          </cell>
          <cell r="J1563">
            <v>3138.78</v>
          </cell>
        </row>
        <row r="1564">
          <cell r="A1564">
            <v>1615000550</v>
          </cell>
          <cell r="B1564" t="str">
            <v>פירסומים</v>
          </cell>
          <cell r="C1564">
            <v>207575</v>
          </cell>
          <cell r="D1564">
            <v>110995</v>
          </cell>
          <cell r="E1564">
            <v>22200</v>
          </cell>
          <cell r="F1564">
            <v>133195</v>
          </cell>
          <cell r="G1564">
            <v>74380</v>
          </cell>
          <cell r="H1564">
            <v>64.16</v>
          </cell>
          <cell r="I1564">
            <v>218500</v>
          </cell>
          <cell r="J1564">
            <v>110995</v>
          </cell>
        </row>
        <row r="1565">
          <cell r="A1565">
            <v>1615000562</v>
          </cell>
          <cell r="B1565" t="str">
            <v>הדפסות</v>
          </cell>
          <cell r="C1565">
            <v>1425</v>
          </cell>
          <cell r="D1565">
            <v>291.2</v>
          </cell>
          <cell r="E1565">
            <v>131.04</v>
          </cell>
          <cell r="F1565">
            <v>422.24</v>
          </cell>
          <cell r="G1565">
            <v>1002.76</v>
          </cell>
          <cell r="H1565">
            <v>29.63</v>
          </cell>
          <cell r="I1565">
            <v>1500</v>
          </cell>
          <cell r="J1565">
            <v>291.2</v>
          </cell>
        </row>
        <row r="1566">
          <cell r="A1566">
            <v>1615000565</v>
          </cell>
          <cell r="B1566" t="str">
            <v>עובדים שרותיים ומוערכים</v>
          </cell>
          <cell r="C1566">
            <v>25650</v>
          </cell>
          <cell r="D1566">
            <v>17866.48</v>
          </cell>
          <cell r="E1566">
            <v>0</v>
          </cell>
          <cell r="F1566">
            <v>17866.48</v>
          </cell>
          <cell r="G1566">
            <v>7783.52</v>
          </cell>
          <cell r="H1566">
            <v>69.650000000000006</v>
          </cell>
          <cell r="I1566">
            <v>27000</v>
          </cell>
          <cell r="J1566">
            <v>17866.48</v>
          </cell>
        </row>
        <row r="1567">
          <cell r="A1567">
            <v>1615000571</v>
          </cell>
          <cell r="B1567" t="str">
            <v>מיכון וענ"א</v>
          </cell>
          <cell r="C1567">
            <v>1109980</v>
          </cell>
          <cell r="D1567">
            <v>1168400</v>
          </cell>
          <cell r="E1567">
            <v>0</v>
          </cell>
          <cell r="F1567">
            <v>1168400</v>
          </cell>
          <cell r="G1567">
            <v>-58420</v>
          </cell>
          <cell r="H1567">
            <v>105.26</v>
          </cell>
          <cell r="I1567">
            <v>1168400</v>
          </cell>
          <cell r="J1567">
            <v>1168400</v>
          </cell>
        </row>
        <row r="1568">
          <cell r="A1568">
            <v>1615000580</v>
          </cell>
          <cell r="B1568" t="str">
            <v>בדיקות פסיכוטכניות</v>
          </cell>
          <cell r="C1568">
            <v>171000</v>
          </cell>
          <cell r="D1568">
            <v>168286.75</v>
          </cell>
          <cell r="E1568">
            <v>0</v>
          </cell>
          <cell r="F1568">
            <v>168286.75</v>
          </cell>
          <cell r="G1568">
            <v>2713.25</v>
          </cell>
          <cell r="H1568">
            <v>98.41</v>
          </cell>
          <cell r="I1568">
            <v>180000</v>
          </cell>
          <cell r="J1568">
            <v>168286.75</v>
          </cell>
        </row>
        <row r="1569">
          <cell r="A1569">
            <v>1615000581</v>
          </cell>
          <cell r="B1569" t="str">
            <v>בדיקות רפואיות</v>
          </cell>
          <cell r="C1569">
            <v>10260</v>
          </cell>
          <cell r="D1569">
            <v>2816</v>
          </cell>
          <cell r="E1569">
            <v>0</v>
          </cell>
          <cell r="F1569">
            <v>2816</v>
          </cell>
          <cell r="G1569">
            <v>7444</v>
          </cell>
          <cell r="H1569">
            <v>27.44</v>
          </cell>
          <cell r="I1569">
            <v>10800</v>
          </cell>
          <cell r="J1569">
            <v>2816</v>
          </cell>
        </row>
        <row r="1570">
          <cell r="A1570">
            <v>1615000582</v>
          </cell>
          <cell r="B1570" t="str">
            <v>יעוץ משפטי</v>
          </cell>
          <cell r="C1570">
            <v>284000</v>
          </cell>
          <cell r="D1570">
            <v>284204.71999999997</v>
          </cell>
          <cell r="E1570">
            <v>0</v>
          </cell>
          <cell r="F1570">
            <v>284204.71999999997</v>
          </cell>
          <cell r="G1570">
            <v>-204.72</v>
          </cell>
          <cell r="H1570">
            <v>100.07</v>
          </cell>
          <cell r="I1570">
            <v>284000</v>
          </cell>
          <cell r="J1570">
            <v>284204.71999999997</v>
          </cell>
        </row>
        <row r="1571">
          <cell r="A1571">
            <v>1615000755</v>
          </cell>
          <cell r="B1571" t="str">
            <v>מ"מ עובדים חיצוניים</v>
          </cell>
          <cell r="C1571">
            <v>0</v>
          </cell>
          <cell r="D1571">
            <v>0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</row>
        <row r="1572">
          <cell r="A1572">
            <v>1615000757</v>
          </cell>
          <cell r="B1572" t="str">
            <v>שרותי סיוע לנושאי פנסיה</v>
          </cell>
          <cell r="C1572">
            <v>68970</v>
          </cell>
          <cell r="D1572">
            <v>52168.4</v>
          </cell>
          <cell r="E1572">
            <v>0</v>
          </cell>
          <cell r="F1572">
            <v>52168.4</v>
          </cell>
          <cell r="G1572">
            <v>16801.599999999999</v>
          </cell>
          <cell r="H1572">
            <v>75.63</v>
          </cell>
          <cell r="I1572">
            <v>72600</v>
          </cell>
          <cell r="J1572">
            <v>52168.4</v>
          </cell>
        </row>
        <row r="1573">
          <cell r="A1573">
            <v>1615000780</v>
          </cell>
          <cell r="B1573" t="str">
            <v>ארועים לעובדים</v>
          </cell>
          <cell r="C1573">
            <v>250000</v>
          </cell>
          <cell r="D1573">
            <v>250929.87</v>
          </cell>
          <cell r="E1573">
            <v>2262</v>
          </cell>
          <cell r="F1573">
            <v>253191.87</v>
          </cell>
          <cell r="G1573">
            <v>-3191.87</v>
          </cell>
          <cell r="H1573">
            <v>101.27</v>
          </cell>
          <cell r="I1573">
            <v>250000</v>
          </cell>
          <cell r="J1573">
            <v>250929.87</v>
          </cell>
        </row>
        <row r="1574">
          <cell r="A1574">
            <v>1615000781</v>
          </cell>
          <cell r="B1574" t="str">
            <v>טיפול  בפנסיונרים</v>
          </cell>
          <cell r="C1574">
            <v>38500</v>
          </cell>
          <cell r="D1574">
            <v>44473.16</v>
          </cell>
          <cell r="E1574">
            <v>0</v>
          </cell>
          <cell r="F1574">
            <v>44473.16</v>
          </cell>
          <cell r="G1574">
            <v>-5973.16</v>
          </cell>
          <cell r="H1574">
            <v>115.51</v>
          </cell>
          <cell r="I1574">
            <v>38500</v>
          </cell>
          <cell r="J1574">
            <v>44473.16</v>
          </cell>
        </row>
        <row r="1575">
          <cell r="A1575">
            <v>1615000782</v>
          </cell>
          <cell r="B1575" t="str">
            <v>עובד מצטיין</v>
          </cell>
          <cell r="C1575">
            <v>47110</v>
          </cell>
          <cell r="D1575">
            <v>32121</v>
          </cell>
          <cell r="E1575">
            <v>1120.2</v>
          </cell>
          <cell r="F1575">
            <v>33241.199999999997</v>
          </cell>
          <cell r="G1575">
            <v>13868.8</v>
          </cell>
          <cell r="H1575">
            <v>70.56</v>
          </cell>
          <cell r="I1575">
            <v>49590</v>
          </cell>
          <cell r="J1575">
            <v>32121</v>
          </cell>
        </row>
        <row r="1576">
          <cell r="A1576">
            <v>1615000783</v>
          </cell>
          <cell r="B1576" t="str">
            <v>השתלמות מקצועית לעובדים</v>
          </cell>
          <cell r="C1576">
            <v>1900000</v>
          </cell>
          <cell r="D1576">
            <v>2000376.66</v>
          </cell>
          <cell r="E1576">
            <v>0</v>
          </cell>
          <cell r="F1576">
            <v>2000376.66</v>
          </cell>
          <cell r="G1576">
            <v>-100376.66</v>
          </cell>
          <cell r="H1576">
            <v>105.28</v>
          </cell>
          <cell r="I1576">
            <v>2000000</v>
          </cell>
          <cell r="J1576">
            <v>2000376.66</v>
          </cell>
        </row>
        <row r="1577">
          <cell r="A1577">
            <v>1615000784</v>
          </cell>
          <cell r="B1577" t="str">
            <v>שי לעובדים חדשים</v>
          </cell>
          <cell r="C1577">
            <v>5700</v>
          </cell>
          <cell r="D1577">
            <v>3159</v>
          </cell>
          <cell r="E1577">
            <v>1404</v>
          </cell>
          <cell r="F1577">
            <v>4563</v>
          </cell>
          <cell r="G1577">
            <v>1137</v>
          </cell>
          <cell r="H1577">
            <v>80.05</v>
          </cell>
          <cell r="I1577">
            <v>6000</v>
          </cell>
          <cell r="J1577">
            <v>3159</v>
          </cell>
        </row>
        <row r="1578">
          <cell r="A1578">
            <v>1615000785</v>
          </cell>
          <cell r="B1578" t="str">
            <v>קבוצות ספורט-עיריית חולון</v>
          </cell>
          <cell r="C1578">
            <v>85310</v>
          </cell>
          <cell r="D1578">
            <v>53537.9</v>
          </cell>
          <cell r="E1578">
            <v>65.53</v>
          </cell>
          <cell r="F1578">
            <v>53603.43</v>
          </cell>
          <cell r="G1578">
            <v>31706.57</v>
          </cell>
          <cell r="H1578">
            <v>62.83</v>
          </cell>
          <cell r="I1578">
            <v>89800</v>
          </cell>
          <cell r="J1578">
            <v>53537.9</v>
          </cell>
        </row>
        <row r="1579">
          <cell r="A1579">
            <v>1615000786</v>
          </cell>
          <cell r="B1579" t="str">
            <v>פעולות סמנכ"ל</v>
          </cell>
          <cell r="C1579">
            <v>9500</v>
          </cell>
          <cell r="D1579">
            <v>10368.52</v>
          </cell>
          <cell r="E1579">
            <v>0</v>
          </cell>
          <cell r="F1579">
            <v>10368.52</v>
          </cell>
          <cell r="G1579">
            <v>-868.52</v>
          </cell>
          <cell r="H1579">
            <v>109.14</v>
          </cell>
          <cell r="I1579">
            <v>10000</v>
          </cell>
          <cell r="J1579">
            <v>10368.52</v>
          </cell>
        </row>
        <row r="1580">
          <cell r="A1580">
            <v>1615000787</v>
          </cell>
          <cell r="B1580" t="str">
            <v>פיתוח משאבי אנוש</v>
          </cell>
          <cell r="C1580">
            <v>187700</v>
          </cell>
          <cell r="D1580">
            <v>181892.63</v>
          </cell>
          <cell r="E1580">
            <v>4896.33</v>
          </cell>
          <cell r="F1580">
            <v>186788.96</v>
          </cell>
          <cell r="G1580">
            <v>911.04</v>
          </cell>
          <cell r="H1580">
            <v>99.51</v>
          </cell>
          <cell r="I1580">
            <v>187700</v>
          </cell>
          <cell r="J1580">
            <v>181892.63</v>
          </cell>
        </row>
        <row r="1581">
          <cell r="A1581">
            <v>1615000788</v>
          </cell>
          <cell r="B1581" t="str">
            <v>יום עיון לעובדים חדשים</v>
          </cell>
          <cell r="C1581">
            <v>6460</v>
          </cell>
          <cell r="D1581">
            <v>6266.89</v>
          </cell>
          <cell r="E1581">
            <v>0</v>
          </cell>
          <cell r="F1581">
            <v>6266.89</v>
          </cell>
          <cell r="G1581">
            <v>193.11</v>
          </cell>
          <cell r="H1581">
            <v>97.01</v>
          </cell>
          <cell r="I1581">
            <v>6800</v>
          </cell>
          <cell r="J1581">
            <v>6266.89</v>
          </cell>
        </row>
        <row r="1582">
          <cell r="A1582">
            <v>1615000789</v>
          </cell>
          <cell r="B1582" t="str">
            <v>יום האישה</v>
          </cell>
          <cell r="C1582">
            <v>34200</v>
          </cell>
          <cell r="D1582">
            <v>26956.32</v>
          </cell>
          <cell r="E1582">
            <v>7060.92</v>
          </cell>
          <cell r="F1582">
            <v>34017.24</v>
          </cell>
          <cell r="G1582">
            <v>182.76</v>
          </cell>
          <cell r="H1582">
            <v>99.46</v>
          </cell>
          <cell r="I1582">
            <v>36000</v>
          </cell>
          <cell r="J1582">
            <v>26956.32</v>
          </cell>
        </row>
        <row r="1583">
          <cell r="A1583">
            <v>1615000932</v>
          </cell>
          <cell r="B1583" t="str">
            <v>רכישות</v>
          </cell>
          <cell r="C1583">
            <v>3400</v>
          </cell>
          <cell r="D1583">
            <v>3323.43</v>
          </cell>
          <cell r="E1583">
            <v>7.02</v>
          </cell>
          <cell r="F1583">
            <v>3330.45</v>
          </cell>
          <cell r="G1583">
            <v>69.55</v>
          </cell>
          <cell r="H1583">
            <v>97.95</v>
          </cell>
          <cell r="I1583">
            <v>3400</v>
          </cell>
          <cell r="J1583">
            <v>3323.43</v>
          </cell>
        </row>
        <row r="1584">
          <cell r="A1584">
            <v>1616000110</v>
          </cell>
          <cell r="B1584" t="str">
            <v>השכר הקובע-תקציבית</v>
          </cell>
          <cell r="C1584">
            <v>0</v>
          </cell>
          <cell r="D1584">
            <v>0</v>
          </cell>
          <cell r="E1584">
            <v>0</v>
          </cell>
          <cell r="F1584">
            <v>0</v>
          </cell>
          <cell r="G1584">
            <v>0</v>
          </cell>
          <cell r="H1584">
            <v>0</v>
          </cell>
          <cell r="I1584">
            <v>0</v>
          </cell>
          <cell r="J1584">
            <v>0</v>
          </cell>
        </row>
        <row r="1585">
          <cell r="A1585">
            <v>1616000119</v>
          </cell>
          <cell r="B1585" t="str">
            <v>השכר הקובע-צוברת</v>
          </cell>
          <cell r="C1585">
            <v>0</v>
          </cell>
          <cell r="D1585">
            <v>349829.87</v>
          </cell>
          <cell r="E1585">
            <v>0</v>
          </cell>
          <cell r="F1585">
            <v>349829.87</v>
          </cell>
          <cell r="G1585">
            <v>-349829.87</v>
          </cell>
          <cell r="H1585">
            <v>0</v>
          </cell>
          <cell r="I1585">
            <v>0</v>
          </cell>
          <cell r="J1585">
            <v>349829.87</v>
          </cell>
        </row>
        <row r="1586">
          <cell r="A1586">
            <v>1616000122</v>
          </cell>
          <cell r="B1586" t="str">
            <v>ביגוד</v>
          </cell>
          <cell r="C1586">
            <v>0</v>
          </cell>
          <cell r="D1586">
            <v>2405</v>
          </cell>
          <cell r="E1586">
            <v>0</v>
          </cell>
          <cell r="F1586">
            <v>2405</v>
          </cell>
          <cell r="G1586">
            <v>-2405</v>
          </cell>
          <cell r="H1586">
            <v>0</v>
          </cell>
          <cell r="I1586">
            <v>0</v>
          </cell>
          <cell r="J1586">
            <v>2405</v>
          </cell>
        </row>
        <row r="1587">
          <cell r="A1587">
            <v>1616000126</v>
          </cell>
          <cell r="B1587" t="str">
            <v>דמי הבראה</v>
          </cell>
          <cell r="C1587">
            <v>0</v>
          </cell>
          <cell r="D1587">
            <v>5185.3999999999996</v>
          </cell>
          <cell r="E1587">
            <v>0</v>
          </cell>
          <cell r="F1587">
            <v>5185.3999999999996</v>
          </cell>
          <cell r="G1587">
            <v>-5185.3999999999996</v>
          </cell>
          <cell r="H1587">
            <v>0</v>
          </cell>
          <cell r="I1587">
            <v>0</v>
          </cell>
          <cell r="J1587">
            <v>5185.3999999999996</v>
          </cell>
        </row>
        <row r="1588">
          <cell r="A1588">
            <v>1616000130</v>
          </cell>
          <cell r="B1588" t="str">
            <v>שעות נוספות</v>
          </cell>
          <cell r="C1588">
            <v>0</v>
          </cell>
          <cell r="D1588">
            <v>0</v>
          </cell>
          <cell r="E1588">
            <v>0</v>
          </cell>
          <cell r="F1588">
            <v>0</v>
          </cell>
          <cell r="G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A1589">
            <v>1616000140</v>
          </cell>
          <cell r="B1589" t="str">
            <v>השתתפות באחזקת רכב</v>
          </cell>
          <cell r="C1589">
            <v>0</v>
          </cell>
          <cell r="D1589">
            <v>50117.79</v>
          </cell>
          <cell r="E1589">
            <v>0</v>
          </cell>
          <cell r="F1589">
            <v>50117.79</v>
          </cell>
          <cell r="G1589">
            <v>-50117.79</v>
          </cell>
          <cell r="H1589">
            <v>0</v>
          </cell>
          <cell r="I1589">
            <v>0</v>
          </cell>
          <cell r="J1589">
            <v>50117.79</v>
          </cell>
        </row>
        <row r="1590">
          <cell r="A1590">
            <v>1616000253</v>
          </cell>
          <cell r="B1590" t="str">
            <v>עובדי חברה</v>
          </cell>
          <cell r="C1590">
            <v>0</v>
          </cell>
          <cell r="D1590">
            <v>0</v>
          </cell>
          <cell r="E1590">
            <v>0</v>
          </cell>
          <cell r="F1590">
            <v>0</v>
          </cell>
          <cell r="G1590">
            <v>0</v>
          </cell>
          <cell r="H1590">
            <v>0</v>
          </cell>
          <cell r="I1590">
            <v>0</v>
          </cell>
          <cell r="J1590">
            <v>0</v>
          </cell>
        </row>
        <row r="1591">
          <cell r="A1591">
            <v>1616000350</v>
          </cell>
          <cell r="B1591" t="str">
            <v>ליסינג - 162-58-802</v>
          </cell>
          <cell r="C1591">
            <v>0</v>
          </cell>
          <cell r="D1591">
            <v>0</v>
          </cell>
          <cell r="E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A1592">
            <v>1616000351</v>
          </cell>
          <cell r="B1592" t="str">
            <v>הוצאות - 162-58-802</v>
          </cell>
          <cell r="C1592">
            <v>0</v>
          </cell>
          <cell r="D1592">
            <v>0</v>
          </cell>
          <cell r="E1592">
            <v>0</v>
          </cell>
          <cell r="F1592">
            <v>0</v>
          </cell>
          <cell r="G1592">
            <v>0</v>
          </cell>
          <cell r="H1592">
            <v>0</v>
          </cell>
          <cell r="I1592">
            <v>0</v>
          </cell>
          <cell r="J1592">
            <v>0</v>
          </cell>
        </row>
        <row r="1593">
          <cell r="A1593">
            <v>1616000470</v>
          </cell>
          <cell r="B1593" t="str">
            <v>אחזקת מכונות משרד</v>
          </cell>
          <cell r="C1593">
            <v>0</v>
          </cell>
          <cell r="D1593">
            <v>0</v>
          </cell>
          <cell r="E1593">
            <v>0</v>
          </cell>
          <cell r="F1593">
            <v>0</v>
          </cell>
          <cell r="G1593">
            <v>0</v>
          </cell>
          <cell r="H1593">
            <v>0</v>
          </cell>
          <cell r="I1593">
            <v>0</v>
          </cell>
          <cell r="J1593">
            <v>0</v>
          </cell>
        </row>
        <row r="1594">
          <cell r="A1594">
            <v>1616000471</v>
          </cell>
          <cell r="B1594" t="str">
            <v>מכשירי כתיבה</v>
          </cell>
          <cell r="C1594">
            <v>0</v>
          </cell>
          <cell r="D1594">
            <v>0</v>
          </cell>
          <cell r="E1594">
            <v>0</v>
          </cell>
          <cell r="F1594">
            <v>0</v>
          </cell>
          <cell r="G1594">
            <v>0</v>
          </cell>
          <cell r="H1594">
            <v>0</v>
          </cell>
          <cell r="I1594">
            <v>0</v>
          </cell>
          <cell r="J1594">
            <v>0</v>
          </cell>
        </row>
        <row r="1595">
          <cell r="A1595">
            <v>1616000511</v>
          </cell>
          <cell r="B1595" t="str">
            <v>אירוח וכיבוד</v>
          </cell>
          <cell r="C1595">
            <v>0</v>
          </cell>
          <cell r="D1595">
            <v>0</v>
          </cell>
          <cell r="E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A1596">
            <v>1616000522</v>
          </cell>
          <cell r="B1596" t="str">
            <v>ספרים ועיתונים</v>
          </cell>
          <cell r="C1596">
            <v>0</v>
          </cell>
          <cell r="D1596">
            <v>0</v>
          </cell>
          <cell r="E1596">
            <v>0</v>
          </cell>
          <cell r="F1596">
            <v>0</v>
          </cell>
          <cell r="G1596">
            <v>0</v>
          </cell>
          <cell r="H1596">
            <v>0</v>
          </cell>
          <cell r="I1596">
            <v>0</v>
          </cell>
          <cell r="J1596">
            <v>0</v>
          </cell>
        </row>
        <row r="1597">
          <cell r="A1597">
            <v>1616000561</v>
          </cell>
          <cell r="B1597" t="str">
            <v>שיכפולים</v>
          </cell>
          <cell r="C1597">
            <v>0</v>
          </cell>
          <cell r="D1597">
            <v>0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</row>
        <row r="1598">
          <cell r="A1598">
            <v>1616000571</v>
          </cell>
          <cell r="B1598" t="str">
            <v>מיכון וענ"א</v>
          </cell>
          <cell r="C1598">
            <v>0</v>
          </cell>
          <cell r="D1598">
            <v>0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</row>
        <row r="1599">
          <cell r="A1599">
            <v>1616000585</v>
          </cell>
          <cell r="B1599" t="str">
            <v>ממשקים</v>
          </cell>
          <cell r="C1599">
            <v>0</v>
          </cell>
          <cell r="D1599">
            <v>0</v>
          </cell>
          <cell r="E1599">
            <v>0</v>
          </cell>
          <cell r="F1599">
            <v>0</v>
          </cell>
          <cell r="G1599">
            <v>0</v>
          </cell>
          <cell r="H1599">
            <v>0</v>
          </cell>
          <cell r="I1599">
            <v>0</v>
          </cell>
          <cell r="J1599">
            <v>0</v>
          </cell>
        </row>
        <row r="1600">
          <cell r="A1600">
            <v>1616000780</v>
          </cell>
          <cell r="B1600" t="str">
            <v>מערך ארגון ושיטות</v>
          </cell>
          <cell r="C1600">
            <v>0</v>
          </cell>
          <cell r="D1600">
            <v>0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</row>
        <row r="1601">
          <cell r="A1601">
            <v>1616000781</v>
          </cell>
          <cell r="B1601" t="str">
            <v>השתלמות אמנת שירות</v>
          </cell>
          <cell r="C1601">
            <v>0</v>
          </cell>
          <cell r="D1601">
            <v>0</v>
          </cell>
          <cell r="E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0</v>
          </cell>
        </row>
        <row r="1602">
          <cell r="A1602">
            <v>1616000961</v>
          </cell>
          <cell r="B1602" t="str">
            <v>רז' פעולות ורכישות</v>
          </cell>
          <cell r="C1602">
            <v>0</v>
          </cell>
          <cell r="D1602">
            <v>0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A1603">
            <v>1617000110</v>
          </cell>
          <cell r="B1603" t="str">
            <v>השכר הקובע-תקציבית</v>
          </cell>
          <cell r="C1603">
            <v>0</v>
          </cell>
          <cell r="D1603">
            <v>0</v>
          </cell>
          <cell r="E1603">
            <v>0</v>
          </cell>
          <cell r="F1603">
            <v>0</v>
          </cell>
          <cell r="G1603">
            <v>0</v>
          </cell>
          <cell r="H1603">
            <v>0</v>
          </cell>
          <cell r="I1603">
            <v>0</v>
          </cell>
          <cell r="J1603">
            <v>0</v>
          </cell>
        </row>
        <row r="1604">
          <cell r="A1604">
            <v>1617000119</v>
          </cell>
          <cell r="B1604" t="str">
            <v>השכר הקובע-צוברת</v>
          </cell>
          <cell r="C1604">
            <v>5181015</v>
          </cell>
          <cell r="D1604">
            <v>5171560.74</v>
          </cell>
          <cell r="E1604">
            <v>0</v>
          </cell>
          <cell r="F1604">
            <v>5171560.74</v>
          </cell>
          <cell r="G1604">
            <v>9454.26</v>
          </cell>
          <cell r="H1604">
            <v>99.81</v>
          </cell>
          <cell r="I1604">
            <v>5453700</v>
          </cell>
          <cell r="J1604">
            <v>5171560.74</v>
          </cell>
        </row>
        <row r="1605">
          <cell r="A1605">
            <v>1617000122</v>
          </cell>
          <cell r="B1605" t="str">
            <v>ביגוד</v>
          </cell>
          <cell r="C1605">
            <v>33250</v>
          </cell>
          <cell r="D1605">
            <v>45116.95</v>
          </cell>
          <cell r="E1605">
            <v>0</v>
          </cell>
          <cell r="F1605">
            <v>45116.95</v>
          </cell>
          <cell r="G1605">
            <v>-11866.95</v>
          </cell>
          <cell r="H1605">
            <v>135.69</v>
          </cell>
          <cell r="I1605">
            <v>35000</v>
          </cell>
          <cell r="J1605">
            <v>45116.95</v>
          </cell>
        </row>
        <row r="1606">
          <cell r="A1606">
            <v>1617000126</v>
          </cell>
          <cell r="B1606" t="str">
            <v>דמי הבראה</v>
          </cell>
          <cell r="C1606">
            <v>74955</v>
          </cell>
          <cell r="D1606">
            <v>110778.24000000001</v>
          </cell>
          <cell r="E1606">
            <v>0</v>
          </cell>
          <cell r="F1606">
            <v>110778.24000000001</v>
          </cell>
          <cell r="G1606">
            <v>-35823.24</v>
          </cell>
          <cell r="H1606">
            <v>147.79</v>
          </cell>
          <cell r="I1606">
            <v>78900</v>
          </cell>
          <cell r="J1606">
            <v>110778.24000000001</v>
          </cell>
        </row>
        <row r="1607">
          <cell r="A1607">
            <v>1617000130</v>
          </cell>
          <cell r="B1607" t="str">
            <v>שעות נוספות</v>
          </cell>
          <cell r="C1607">
            <v>13110</v>
          </cell>
          <cell r="D1607">
            <v>31506.26</v>
          </cell>
          <cell r="E1607">
            <v>0</v>
          </cell>
          <cell r="F1607">
            <v>31506.26</v>
          </cell>
          <cell r="G1607">
            <v>-18396.259999999998</v>
          </cell>
          <cell r="H1607">
            <v>240.32</v>
          </cell>
          <cell r="I1607">
            <v>13800</v>
          </cell>
          <cell r="J1607">
            <v>31506.26</v>
          </cell>
        </row>
        <row r="1608">
          <cell r="A1608">
            <v>1617000140</v>
          </cell>
          <cell r="B1608" t="str">
            <v>השתתפות באחזקת רכב</v>
          </cell>
          <cell r="C1608">
            <v>220400</v>
          </cell>
          <cell r="D1608">
            <v>414977.1</v>
          </cell>
          <cell r="E1608">
            <v>0</v>
          </cell>
          <cell r="F1608">
            <v>414977.1</v>
          </cell>
          <cell r="G1608">
            <v>-194577.1</v>
          </cell>
          <cell r="H1608">
            <v>188.28</v>
          </cell>
          <cell r="I1608">
            <v>232000</v>
          </cell>
          <cell r="J1608">
            <v>414977.1</v>
          </cell>
        </row>
        <row r="1609">
          <cell r="A1609">
            <v>1617000253</v>
          </cell>
          <cell r="B1609" t="str">
            <v>עובדים חיצוניים</v>
          </cell>
          <cell r="C1609">
            <v>0</v>
          </cell>
          <cell r="D1609">
            <v>0</v>
          </cell>
          <cell r="E1609">
            <v>0</v>
          </cell>
          <cell r="F1609">
            <v>0</v>
          </cell>
          <cell r="G1609">
            <v>0</v>
          </cell>
          <cell r="H1609">
            <v>0</v>
          </cell>
          <cell r="I1609">
            <v>0</v>
          </cell>
          <cell r="J1609">
            <v>0</v>
          </cell>
        </row>
        <row r="1610">
          <cell r="A1610">
            <v>1617000350</v>
          </cell>
          <cell r="B1610" t="str">
            <v>ליסינג - 300-14-002</v>
          </cell>
          <cell r="C1610">
            <v>118750</v>
          </cell>
          <cell r="D1610">
            <v>86081.600000000006</v>
          </cell>
          <cell r="E1610">
            <v>0</v>
          </cell>
          <cell r="F1610">
            <v>86081.600000000006</v>
          </cell>
          <cell r="G1610">
            <v>32668.400000000001</v>
          </cell>
          <cell r="H1610">
            <v>72.48</v>
          </cell>
          <cell r="I1610">
            <v>125000</v>
          </cell>
          <cell r="J1610">
            <v>86081.600000000006</v>
          </cell>
        </row>
        <row r="1611">
          <cell r="A1611">
            <v>1617000351</v>
          </cell>
          <cell r="B1611" t="str">
            <v>הוצאות - 300-14-002</v>
          </cell>
          <cell r="C1611">
            <v>59850</v>
          </cell>
          <cell r="D1611">
            <v>27848.69</v>
          </cell>
          <cell r="E1611">
            <v>0</v>
          </cell>
          <cell r="F1611">
            <v>27848.69</v>
          </cell>
          <cell r="G1611">
            <v>32001.31</v>
          </cell>
          <cell r="H1611">
            <v>46.53</v>
          </cell>
          <cell r="I1611">
            <v>63000</v>
          </cell>
          <cell r="J1611">
            <v>27848.69</v>
          </cell>
        </row>
        <row r="1612">
          <cell r="A1612">
            <v>1617000470</v>
          </cell>
          <cell r="B1612" t="str">
            <v>אחזקת מכונות משרד</v>
          </cell>
          <cell r="C1612">
            <v>2090</v>
          </cell>
          <cell r="D1612">
            <v>596.14</v>
          </cell>
          <cell r="E1612">
            <v>0</v>
          </cell>
          <cell r="F1612">
            <v>596.14</v>
          </cell>
          <cell r="G1612">
            <v>1493.86</v>
          </cell>
          <cell r="H1612">
            <v>28.52</v>
          </cell>
          <cell r="I1612">
            <v>2200</v>
          </cell>
          <cell r="J1612">
            <v>596.14</v>
          </cell>
        </row>
        <row r="1613">
          <cell r="A1613">
            <v>1617000471</v>
          </cell>
          <cell r="B1613" t="str">
            <v>מכשירי כתיבה</v>
          </cell>
          <cell r="C1613">
            <v>24415</v>
          </cell>
          <cell r="D1613">
            <v>25476.44</v>
          </cell>
          <cell r="E1613">
            <v>0</v>
          </cell>
          <cell r="F1613">
            <v>25476.44</v>
          </cell>
          <cell r="G1613">
            <v>-1061.44</v>
          </cell>
          <cell r="H1613">
            <v>104.34</v>
          </cell>
          <cell r="I1613">
            <v>25700</v>
          </cell>
          <cell r="J1613">
            <v>25476.44</v>
          </cell>
        </row>
        <row r="1614">
          <cell r="A1614">
            <v>1617000511</v>
          </cell>
          <cell r="B1614" t="str">
            <v>אירוח וכיבוד</v>
          </cell>
          <cell r="C1614">
            <v>6840</v>
          </cell>
          <cell r="D1614">
            <v>5276.61</v>
          </cell>
          <cell r="E1614">
            <v>0</v>
          </cell>
          <cell r="F1614">
            <v>5276.61</v>
          </cell>
          <cell r="G1614">
            <v>1563.39</v>
          </cell>
          <cell r="H1614">
            <v>77.14</v>
          </cell>
          <cell r="I1614">
            <v>7200</v>
          </cell>
          <cell r="J1614">
            <v>5276.61</v>
          </cell>
        </row>
        <row r="1615">
          <cell r="A1615">
            <v>1617000512</v>
          </cell>
          <cell r="B1615" t="str">
            <v>נסיעות ואש"ל</v>
          </cell>
          <cell r="C1615">
            <v>3420</v>
          </cell>
          <cell r="D1615">
            <v>2620.1999999999998</v>
          </cell>
          <cell r="E1615">
            <v>0</v>
          </cell>
          <cell r="F1615">
            <v>2620.1999999999998</v>
          </cell>
          <cell r="G1615">
            <v>799.8</v>
          </cell>
          <cell r="H1615">
            <v>76.61</v>
          </cell>
          <cell r="I1615">
            <v>3600</v>
          </cell>
          <cell r="J1615">
            <v>2620.1999999999998</v>
          </cell>
        </row>
        <row r="1616">
          <cell r="A1616">
            <v>1617000522</v>
          </cell>
          <cell r="B1616" t="str">
            <v>ספרים ועיתונים</v>
          </cell>
          <cell r="C1616">
            <v>3230</v>
          </cell>
          <cell r="D1616">
            <v>3886.58</v>
          </cell>
          <cell r="E1616">
            <v>0</v>
          </cell>
          <cell r="F1616">
            <v>3886.58</v>
          </cell>
          <cell r="G1616">
            <v>-656.58</v>
          </cell>
          <cell r="H1616">
            <v>120.32</v>
          </cell>
          <cell r="I1616">
            <v>3400</v>
          </cell>
          <cell r="J1616">
            <v>3886.58</v>
          </cell>
        </row>
        <row r="1617">
          <cell r="A1617">
            <v>1617000525</v>
          </cell>
          <cell r="B1617" t="str">
            <v>רכישת תוכנות וידע</v>
          </cell>
          <cell r="C1617">
            <v>19000</v>
          </cell>
          <cell r="D1617">
            <v>18402</v>
          </cell>
          <cell r="E1617">
            <v>0</v>
          </cell>
          <cell r="F1617">
            <v>18402</v>
          </cell>
          <cell r="G1617">
            <v>598</v>
          </cell>
          <cell r="H1617">
            <v>96.85</v>
          </cell>
          <cell r="I1617">
            <v>20000</v>
          </cell>
          <cell r="J1617">
            <v>18402</v>
          </cell>
        </row>
        <row r="1618">
          <cell r="A1618">
            <v>1617000544</v>
          </cell>
          <cell r="B1618" t="str">
            <v>הוצאות דאר</v>
          </cell>
          <cell r="C1618">
            <v>4085</v>
          </cell>
          <cell r="D1618">
            <v>611.79999999999995</v>
          </cell>
          <cell r="E1618">
            <v>0</v>
          </cell>
          <cell r="F1618">
            <v>611.79999999999995</v>
          </cell>
          <cell r="G1618">
            <v>3473.2</v>
          </cell>
          <cell r="H1618">
            <v>14.97</v>
          </cell>
          <cell r="I1618">
            <v>4300</v>
          </cell>
          <cell r="J1618">
            <v>611.79999999999995</v>
          </cell>
        </row>
        <row r="1619">
          <cell r="A1619">
            <v>1617000561</v>
          </cell>
          <cell r="B1619" t="str">
            <v>שיכפולים</v>
          </cell>
          <cell r="C1619">
            <v>855</v>
          </cell>
          <cell r="D1619">
            <v>0</v>
          </cell>
          <cell r="E1619">
            <v>0</v>
          </cell>
          <cell r="F1619">
            <v>0</v>
          </cell>
          <cell r="G1619">
            <v>855</v>
          </cell>
          <cell r="H1619">
            <v>0</v>
          </cell>
          <cell r="I1619">
            <v>900</v>
          </cell>
          <cell r="J1619">
            <v>0</v>
          </cell>
        </row>
        <row r="1620">
          <cell r="A1620">
            <v>1617000571</v>
          </cell>
          <cell r="B1620" t="str">
            <v>מיכון וענ"א</v>
          </cell>
          <cell r="C1620">
            <v>149055</v>
          </cell>
          <cell r="D1620">
            <v>156900</v>
          </cell>
          <cell r="E1620">
            <v>0</v>
          </cell>
          <cell r="F1620">
            <v>156900</v>
          </cell>
          <cell r="G1620">
            <v>-7845</v>
          </cell>
          <cell r="H1620">
            <v>105.26</v>
          </cell>
          <cell r="I1620">
            <v>156900</v>
          </cell>
          <cell r="J1620">
            <v>156900</v>
          </cell>
        </row>
        <row r="1621">
          <cell r="A1621">
            <v>1617000581</v>
          </cell>
          <cell r="B1621" t="str">
            <v>ייעוץ משפטי</v>
          </cell>
          <cell r="C1621">
            <v>475000</v>
          </cell>
          <cell r="D1621">
            <v>360791.23</v>
          </cell>
          <cell r="E1621">
            <v>135178.88</v>
          </cell>
          <cell r="F1621">
            <v>495970.11</v>
          </cell>
          <cell r="G1621">
            <v>-20970.11</v>
          </cell>
          <cell r="H1621">
            <v>104.41</v>
          </cell>
          <cell r="I1621">
            <v>475000</v>
          </cell>
          <cell r="J1621">
            <v>360791.23</v>
          </cell>
        </row>
        <row r="1622">
          <cell r="A1622">
            <v>1617000582</v>
          </cell>
          <cell r="B1622" t="str">
            <v>הוצאות משפטיות</v>
          </cell>
          <cell r="C1622">
            <v>540000</v>
          </cell>
          <cell r="D1622">
            <v>532524.94999999995</v>
          </cell>
          <cell r="E1622">
            <v>0</v>
          </cell>
          <cell r="F1622">
            <v>532524.94999999995</v>
          </cell>
          <cell r="G1622">
            <v>7475.05</v>
          </cell>
          <cell r="H1622">
            <v>98.61</v>
          </cell>
          <cell r="I1622">
            <v>540000</v>
          </cell>
          <cell r="J1622">
            <v>532524.94999999995</v>
          </cell>
        </row>
        <row r="1623">
          <cell r="A1623">
            <v>1617000741</v>
          </cell>
          <cell r="B1623" t="str">
            <v>כריכת ספרים</v>
          </cell>
          <cell r="C1623">
            <v>0</v>
          </cell>
          <cell r="D1623">
            <v>0</v>
          </cell>
          <cell r="E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A1624">
            <v>1617000781</v>
          </cell>
          <cell r="B1624" t="str">
            <v>פעולות סמנכ"ל</v>
          </cell>
          <cell r="C1624">
            <v>10000</v>
          </cell>
          <cell r="D1624">
            <v>4981.51</v>
          </cell>
          <cell r="E1624">
            <v>5000</v>
          </cell>
          <cell r="F1624">
            <v>9981.51</v>
          </cell>
          <cell r="G1624">
            <v>18.489999999999998</v>
          </cell>
          <cell r="H1624">
            <v>99.81</v>
          </cell>
          <cell r="I1624">
            <v>10000</v>
          </cell>
          <cell r="J1624">
            <v>4981.51</v>
          </cell>
        </row>
        <row r="1625">
          <cell r="A1625">
            <v>1618000110</v>
          </cell>
          <cell r="B1625" t="str">
            <v>השכר הקובע-תקציבית</v>
          </cell>
          <cell r="C1625">
            <v>168150</v>
          </cell>
          <cell r="D1625">
            <v>35215.07</v>
          </cell>
          <cell r="E1625">
            <v>0</v>
          </cell>
          <cell r="F1625">
            <v>35215.07</v>
          </cell>
          <cell r="G1625">
            <v>132934.93</v>
          </cell>
          <cell r="H1625">
            <v>20.94</v>
          </cell>
          <cell r="I1625">
            <v>177000</v>
          </cell>
          <cell r="J1625">
            <v>35215.07</v>
          </cell>
        </row>
        <row r="1626">
          <cell r="A1626">
            <v>1618000119</v>
          </cell>
          <cell r="B1626" t="str">
            <v>השכר הקובע-צוברת</v>
          </cell>
          <cell r="C1626">
            <v>2156880</v>
          </cell>
          <cell r="D1626">
            <v>1481608.89</v>
          </cell>
          <cell r="E1626">
            <v>0</v>
          </cell>
          <cell r="F1626">
            <v>1481608.89</v>
          </cell>
          <cell r="G1626">
            <v>675271.11</v>
          </cell>
          <cell r="H1626">
            <v>68.69</v>
          </cell>
          <cell r="I1626">
            <v>2270400</v>
          </cell>
          <cell r="J1626">
            <v>1481608.89</v>
          </cell>
        </row>
        <row r="1627">
          <cell r="A1627">
            <v>1618000122</v>
          </cell>
          <cell r="B1627" t="str">
            <v>ביגוד</v>
          </cell>
          <cell r="C1627">
            <v>15485</v>
          </cell>
          <cell r="D1627">
            <v>19633.82</v>
          </cell>
          <cell r="E1627">
            <v>0</v>
          </cell>
          <cell r="F1627">
            <v>19633.82</v>
          </cell>
          <cell r="G1627">
            <v>-4148.82</v>
          </cell>
          <cell r="H1627">
            <v>126.79</v>
          </cell>
          <cell r="I1627">
            <v>16300</v>
          </cell>
          <cell r="J1627">
            <v>19633.82</v>
          </cell>
        </row>
        <row r="1628">
          <cell r="A1628">
            <v>1618000126</v>
          </cell>
          <cell r="B1628" t="str">
            <v>דמי הבראה</v>
          </cell>
          <cell r="C1628">
            <v>38475</v>
          </cell>
          <cell r="D1628">
            <v>40721.72</v>
          </cell>
          <cell r="E1628">
            <v>0</v>
          </cell>
          <cell r="F1628">
            <v>40721.72</v>
          </cell>
          <cell r="G1628">
            <v>-2246.7199999999998</v>
          </cell>
          <cell r="H1628">
            <v>105.83</v>
          </cell>
          <cell r="I1628">
            <v>40500</v>
          </cell>
          <cell r="J1628">
            <v>40721.72</v>
          </cell>
        </row>
        <row r="1629">
          <cell r="A1629">
            <v>1618000130</v>
          </cell>
          <cell r="B1629" t="str">
            <v>שעות נוספות</v>
          </cell>
          <cell r="C1629">
            <v>30020</v>
          </cell>
          <cell r="D1629">
            <v>0</v>
          </cell>
          <cell r="E1629">
            <v>0</v>
          </cell>
          <cell r="F1629">
            <v>0</v>
          </cell>
          <cell r="G1629">
            <v>30020</v>
          </cell>
          <cell r="H1629">
            <v>0</v>
          </cell>
          <cell r="I1629">
            <v>31600</v>
          </cell>
          <cell r="J1629">
            <v>0</v>
          </cell>
        </row>
        <row r="1630">
          <cell r="A1630">
            <v>1618000140</v>
          </cell>
          <cell r="B1630" t="str">
            <v>השתתפות באחזקת רכב</v>
          </cell>
          <cell r="C1630">
            <v>114855</v>
          </cell>
          <cell r="D1630">
            <v>189525.94</v>
          </cell>
          <cell r="E1630">
            <v>0</v>
          </cell>
          <cell r="F1630">
            <v>189525.94</v>
          </cell>
          <cell r="G1630">
            <v>-74670.94</v>
          </cell>
          <cell r="H1630">
            <v>165.01</v>
          </cell>
          <cell r="I1630">
            <v>120900</v>
          </cell>
          <cell r="J1630">
            <v>189525.94</v>
          </cell>
        </row>
        <row r="1631">
          <cell r="A1631">
            <v>1618000253</v>
          </cell>
          <cell r="B1631" t="str">
            <v>עובדים חיצוניים</v>
          </cell>
          <cell r="C1631">
            <v>0</v>
          </cell>
          <cell r="D1631">
            <v>56211.86</v>
          </cell>
          <cell r="E1631">
            <v>0</v>
          </cell>
          <cell r="F1631">
            <v>56211.86</v>
          </cell>
          <cell r="G1631">
            <v>-56211.86</v>
          </cell>
          <cell r="H1631">
            <v>0</v>
          </cell>
          <cell r="I1631">
            <v>0</v>
          </cell>
          <cell r="J1631">
            <v>56211.86</v>
          </cell>
        </row>
        <row r="1632">
          <cell r="A1632">
            <v>1618000471</v>
          </cell>
          <cell r="B1632" t="str">
            <v>מכשירי כתיבה</v>
          </cell>
          <cell r="C1632">
            <v>4800</v>
          </cell>
          <cell r="D1632">
            <v>4391.72</v>
          </cell>
          <cell r="E1632">
            <v>0</v>
          </cell>
          <cell r="F1632">
            <v>4391.72</v>
          </cell>
          <cell r="G1632">
            <v>408.28</v>
          </cell>
          <cell r="H1632">
            <v>91.49</v>
          </cell>
          <cell r="I1632">
            <v>4800</v>
          </cell>
          <cell r="J1632">
            <v>4391.72</v>
          </cell>
        </row>
        <row r="1633">
          <cell r="A1633">
            <v>1618000511</v>
          </cell>
          <cell r="B1633" t="str">
            <v>אירוח וכיבוד</v>
          </cell>
          <cell r="C1633">
            <v>1710</v>
          </cell>
          <cell r="D1633">
            <v>1146.9100000000001</v>
          </cell>
          <cell r="E1633">
            <v>0</v>
          </cell>
          <cell r="F1633">
            <v>1146.9100000000001</v>
          </cell>
          <cell r="G1633">
            <v>563.09</v>
          </cell>
          <cell r="H1633">
            <v>67.069999999999993</v>
          </cell>
          <cell r="I1633">
            <v>1800</v>
          </cell>
          <cell r="J1633">
            <v>1146.9100000000001</v>
          </cell>
        </row>
        <row r="1634">
          <cell r="A1634">
            <v>1618000522</v>
          </cell>
          <cell r="B1634" t="str">
            <v>ספרים ועיתונים</v>
          </cell>
          <cell r="C1634">
            <v>0</v>
          </cell>
          <cell r="D1634">
            <v>0</v>
          </cell>
          <cell r="E1634">
            <v>0</v>
          </cell>
          <cell r="F1634">
            <v>0</v>
          </cell>
          <cell r="G1634">
            <v>0</v>
          </cell>
          <cell r="H1634">
            <v>0</v>
          </cell>
          <cell r="I1634">
            <v>0</v>
          </cell>
          <cell r="J1634">
            <v>0</v>
          </cell>
        </row>
        <row r="1635">
          <cell r="A1635">
            <v>1618000544</v>
          </cell>
          <cell r="B1635" t="str">
            <v>הוצאות דאר</v>
          </cell>
          <cell r="C1635">
            <v>0</v>
          </cell>
          <cell r="D1635">
            <v>0</v>
          </cell>
          <cell r="E1635">
            <v>0</v>
          </cell>
          <cell r="F1635">
            <v>0</v>
          </cell>
          <cell r="G1635">
            <v>0</v>
          </cell>
          <cell r="H1635">
            <v>0</v>
          </cell>
          <cell r="I1635">
            <v>0</v>
          </cell>
          <cell r="J1635">
            <v>0</v>
          </cell>
        </row>
        <row r="1636">
          <cell r="A1636">
            <v>1618000550</v>
          </cell>
          <cell r="B1636" t="str">
            <v>פרסום הליכות ג'יין</v>
          </cell>
          <cell r="C1636">
            <v>0</v>
          </cell>
          <cell r="D1636">
            <v>0</v>
          </cell>
          <cell r="E1636">
            <v>0</v>
          </cell>
          <cell r="F1636">
            <v>0</v>
          </cell>
          <cell r="G1636">
            <v>0</v>
          </cell>
          <cell r="H1636">
            <v>0</v>
          </cell>
          <cell r="I1636">
            <v>0</v>
          </cell>
          <cell r="J1636">
            <v>0</v>
          </cell>
        </row>
        <row r="1637">
          <cell r="A1637">
            <v>1618000562</v>
          </cell>
          <cell r="B1637" t="str">
            <v>שנתון סטטיסטי</v>
          </cell>
          <cell r="C1637">
            <v>57000</v>
          </cell>
          <cell r="D1637">
            <v>0</v>
          </cell>
          <cell r="E1637">
            <v>0</v>
          </cell>
          <cell r="F1637">
            <v>0</v>
          </cell>
          <cell r="G1637">
            <v>57000</v>
          </cell>
          <cell r="H1637">
            <v>0</v>
          </cell>
          <cell r="I1637">
            <v>60000</v>
          </cell>
          <cell r="J1637">
            <v>0</v>
          </cell>
        </row>
        <row r="1638">
          <cell r="A1638">
            <v>1618000571</v>
          </cell>
          <cell r="B1638" t="str">
            <v>מיכון וענ"א</v>
          </cell>
          <cell r="C1638">
            <v>59945</v>
          </cell>
          <cell r="D1638">
            <v>63100</v>
          </cell>
          <cell r="E1638">
            <v>0</v>
          </cell>
          <cell r="F1638">
            <v>63100</v>
          </cell>
          <cell r="G1638">
            <v>-3155</v>
          </cell>
          <cell r="H1638">
            <v>105.26</v>
          </cell>
          <cell r="I1638">
            <v>63100</v>
          </cell>
          <cell r="J1638">
            <v>63100</v>
          </cell>
        </row>
        <row r="1639">
          <cell r="A1639">
            <v>1618000580</v>
          </cell>
          <cell r="B1639" t="str">
            <v>סקרים</v>
          </cell>
          <cell r="C1639">
            <v>132050</v>
          </cell>
          <cell r="D1639">
            <v>39195</v>
          </cell>
          <cell r="E1639">
            <v>10471.5</v>
          </cell>
          <cell r="F1639">
            <v>49666.5</v>
          </cell>
          <cell r="G1639">
            <v>82383.5</v>
          </cell>
          <cell r="H1639">
            <v>37.61</v>
          </cell>
          <cell r="I1639">
            <v>139000</v>
          </cell>
          <cell r="J1639">
            <v>39195</v>
          </cell>
        </row>
        <row r="1640">
          <cell r="A1640">
            <v>1618000582</v>
          </cell>
          <cell r="B1640" t="str">
            <v>ריכוז נתונים ומידע</v>
          </cell>
          <cell r="C1640">
            <v>60135</v>
          </cell>
          <cell r="D1640">
            <v>20250</v>
          </cell>
          <cell r="E1640">
            <v>0</v>
          </cell>
          <cell r="F1640">
            <v>20250</v>
          </cell>
          <cell r="G1640">
            <v>39885</v>
          </cell>
          <cell r="H1640">
            <v>33.67</v>
          </cell>
          <cell r="I1640">
            <v>63300</v>
          </cell>
          <cell r="J1640">
            <v>20250</v>
          </cell>
        </row>
        <row r="1641">
          <cell r="A1641">
            <v>1618000780</v>
          </cell>
          <cell r="B1641" t="str">
            <v>מערך ארגון ושיטות</v>
          </cell>
          <cell r="C1641">
            <v>95000</v>
          </cell>
          <cell r="D1641">
            <v>23311.83</v>
          </cell>
          <cell r="E1641">
            <v>16785.04</v>
          </cell>
          <cell r="F1641">
            <v>40096.870000000003</v>
          </cell>
          <cell r="G1641">
            <v>54903.13</v>
          </cell>
          <cell r="H1641">
            <v>42.2</v>
          </cell>
          <cell r="I1641">
            <v>95000</v>
          </cell>
          <cell r="J1641">
            <v>23311.83</v>
          </cell>
        </row>
        <row r="1642">
          <cell r="A1642">
            <v>1618000781</v>
          </cell>
          <cell r="B1642" t="str">
            <v>תוכנית עבודה</v>
          </cell>
          <cell r="C1642">
            <v>59850</v>
          </cell>
          <cell r="D1642">
            <v>0</v>
          </cell>
          <cell r="E1642">
            <v>0</v>
          </cell>
          <cell r="F1642">
            <v>0</v>
          </cell>
          <cell r="G1642">
            <v>59850</v>
          </cell>
          <cell r="H1642">
            <v>0</v>
          </cell>
          <cell r="I1642">
            <v>63000</v>
          </cell>
          <cell r="J1642">
            <v>0</v>
          </cell>
        </row>
        <row r="1643">
          <cell r="A1643">
            <v>1618000783</v>
          </cell>
          <cell r="B1643" t="str">
            <v>מפגשי מנהלים</v>
          </cell>
          <cell r="C1643">
            <v>9500</v>
          </cell>
          <cell r="D1643">
            <v>7020</v>
          </cell>
          <cell r="E1643">
            <v>0</v>
          </cell>
          <cell r="F1643">
            <v>7020</v>
          </cell>
          <cell r="G1643">
            <v>2480</v>
          </cell>
          <cell r="H1643">
            <v>73.89</v>
          </cell>
          <cell r="I1643">
            <v>10000</v>
          </cell>
          <cell r="J1643">
            <v>7020</v>
          </cell>
        </row>
        <row r="1644">
          <cell r="A1644">
            <v>1619000130</v>
          </cell>
          <cell r="B1644" t="str">
            <v>שעות נוספות</v>
          </cell>
          <cell r="C1644">
            <v>0</v>
          </cell>
          <cell r="D1644">
            <v>0</v>
          </cell>
          <cell r="E1644">
            <v>0</v>
          </cell>
          <cell r="F1644">
            <v>0</v>
          </cell>
          <cell r="G1644">
            <v>0</v>
          </cell>
          <cell r="H1644">
            <v>0</v>
          </cell>
          <cell r="I1644">
            <v>0</v>
          </cell>
          <cell r="J1644">
            <v>0</v>
          </cell>
        </row>
        <row r="1645">
          <cell r="A1645">
            <v>1619000210</v>
          </cell>
          <cell r="B1645" t="str">
            <v>השכר הקובע</v>
          </cell>
          <cell r="C1645">
            <v>0</v>
          </cell>
          <cell r="D1645">
            <v>0</v>
          </cell>
          <cell r="E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0</v>
          </cell>
        </row>
        <row r="1646">
          <cell r="A1646">
            <v>1619000980</v>
          </cell>
          <cell r="B1646" t="str">
            <v>בחירות:רשות מקומית</v>
          </cell>
          <cell r="C1646">
            <v>721503</v>
          </cell>
          <cell r="D1646">
            <v>733524.69</v>
          </cell>
          <cell r="E1646">
            <v>8988.5300000000007</v>
          </cell>
          <cell r="F1646">
            <v>742513.22</v>
          </cell>
          <cell r="G1646">
            <v>-21010.22</v>
          </cell>
          <cell r="H1646">
            <v>102.91</v>
          </cell>
          <cell r="I1646">
            <v>759477</v>
          </cell>
          <cell r="J1646">
            <v>733524.69</v>
          </cell>
        </row>
        <row r="1647">
          <cell r="A1647">
            <v>1619000981</v>
          </cell>
          <cell r="B1647" t="str">
            <v>שכר בחירות</v>
          </cell>
          <cell r="C1647">
            <v>2309081</v>
          </cell>
          <cell r="D1647">
            <v>2433455.4300000002</v>
          </cell>
          <cell r="E1647">
            <v>0</v>
          </cell>
          <cell r="F1647">
            <v>2433455.4300000002</v>
          </cell>
          <cell r="G1647">
            <v>-124374.43</v>
          </cell>
          <cell r="H1647">
            <v>105.38</v>
          </cell>
          <cell r="I1647">
            <v>2430612</v>
          </cell>
          <cell r="J1647">
            <v>2433455.4300000002</v>
          </cell>
        </row>
        <row r="1648">
          <cell r="A1648">
            <v>1621100110</v>
          </cell>
          <cell r="B1648" t="str">
            <v>השכר הקובע-תקציבית</v>
          </cell>
          <cell r="C1648">
            <v>0</v>
          </cell>
          <cell r="D1648">
            <v>0</v>
          </cell>
          <cell r="E1648">
            <v>0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</row>
        <row r="1649">
          <cell r="A1649">
            <v>1621100119</v>
          </cell>
          <cell r="B1649" t="str">
            <v>השכר הקובע-צוברת</v>
          </cell>
          <cell r="C1649">
            <v>1388615</v>
          </cell>
          <cell r="D1649">
            <v>1124730.43</v>
          </cell>
          <cell r="E1649">
            <v>0</v>
          </cell>
          <cell r="F1649">
            <v>1124730.43</v>
          </cell>
          <cell r="G1649">
            <v>263884.57</v>
          </cell>
          <cell r="H1649">
            <v>80.989999999999995</v>
          </cell>
          <cell r="I1649">
            <v>1461700</v>
          </cell>
          <cell r="J1649">
            <v>1124730.43</v>
          </cell>
        </row>
        <row r="1650">
          <cell r="A1650">
            <v>1621100122</v>
          </cell>
          <cell r="B1650" t="str">
            <v>ביגוד</v>
          </cell>
          <cell r="C1650">
            <v>9975</v>
          </cell>
          <cell r="D1650">
            <v>4981.32</v>
          </cell>
          <cell r="E1650">
            <v>0</v>
          </cell>
          <cell r="F1650">
            <v>4981.32</v>
          </cell>
          <cell r="G1650">
            <v>4993.68</v>
          </cell>
          <cell r="H1650">
            <v>49.93</v>
          </cell>
          <cell r="I1650">
            <v>10500</v>
          </cell>
          <cell r="J1650">
            <v>4981.32</v>
          </cell>
        </row>
        <row r="1651">
          <cell r="A1651">
            <v>1621100126</v>
          </cell>
          <cell r="B1651" t="str">
            <v>דמי הבראה</v>
          </cell>
          <cell r="C1651">
            <v>21090</v>
          </cell>
          <cell r="D1651">
            <v>11435</v>
          </cell>
          <cell r="E1651">
            <v>0</v>
          </cell>
          <cell r="F1651">
            <v>11435</v>
          </cell>
          <cell r="G1651">
            <v>9655</v>
          </cell>
          <cell r="H1651">
            <v>54.22</v>
          </cell>
          <cell r="I1651">
            <v>22200</v>
          </cell>
          <cell r="J1651">
            <v>11435</v>
          </cell>
        </row>
        <row r="1652">
          <cell r="A1652">
            <v>1621100130</v>
          </cell>
          <cell r="B1652" t="str">
            <v>שעות נוספות</v>
          </cell>
          <cell r="C1652">
            <v>3800</v>
          </cell>
          <cell r="D1652">
            <v>0</v>
          </cell>
          <cell r="E1652">
            <v>0</v>
          </cell>
          <cell r="F1652">
            <v>0</v>
          </cell>
          <cell r="G1652">
            <v>3800</v>
          </cell>
          <cell r="H1652">
            <v>0</v>
          </cell>
          <cell r="I1652">
            <v>4000</v>
          </cell>
          <cell r="J1652">
            <v>0</v>
          </cell>
        </row>
        <row r="1653">
          <cell r="A1653">
            <v>1621100140</v>
          </cell>
          <cell r="B1653" t="str">
            <v>השתתפות באחזקת רכב</v>
          </cell>
          <cell r="C1653">
            <v>88825</v>
          </cell>
          <cell r="D1653">
            <v>62974.31</v>
          </cell>
          <cell r="E1653">
            <v>0</v>
          </cell>
          <cell r="F1653">
            <v>62974.31</v>
          </cell>
          <cell r="G1653">
            <v>25850.69</v>
          </cell>
          <cell r="H1653">
            <v>70.89</v>
          </cell>
          <cell r="I1653">
            <v>93500</v>
          </cell>
          <cell r="J1653">
            <v>62974.31</v>
          </cell>
        </row>
        <row r="1654">
          <cell r="A1654">
            <v>1621100253</v>
          </cell>
          <cell r="B1654" t="str">
            <v>עובדים חיצוניים</v>
          </cell>
          <cell r="C1654">
            <v>0</v>
          </cell>
          <cell r="D1654">
            <v>58003.86</v>
          </cell>
          <cell r="E1654">
            <v>0</v>
          </cell>
          <cell r="F1654">
            <v>58003.86</v>
          </cell>
          <cell r="G1654">
            <v>-58003.86</v>
          </cell>
          <cell r="H1654">
            <v>0</v>
          </cell>
          <cell r="I1654">
            <v>0</v>
          </cell>
          <cell r="J1654">
            <v>58003.86</v>
          </cell>
        </row>
        <row r="1655">
          <cell r="A1655">
            <v>1621100350</v>
          </cell>
          <cell r="B1655" t="str">
            <v>ליסינג - 523-32-003</v>
          </cell>
          <cell r="C1655">
            <v>49970</v>
          </cell>
          <cell r="D1655">
            <v>53518.81</v>
          </cell>
          <cell r="E1655">
            <v>0</v>
          </cell>
          <cell r="F1655">
            <v>53518.81</v>
          </cell>
          <cell r="G1655">
            <v>-3548.81</v>
          </cell>
          <cell r="H1655">
            <v>107.1</v>
          </cell>
          <cell r="I1655">
            <v>52600</v>
          </cell>
          <cell r="J1655">
            <v>53518.81</v>
          </cell>
        </row>
        <row r="1656">
          <cell r="A1656">
            <v>1621100351</v>
          </cell>
          <cell r="B1656" t="str">
            <v>הוצאות - 523-32-003</v>
          </cell>
          <cell r="C1656">
            <v>9500</v>
          </cell>
          <cell r="D1656">
            <v>1389.89</v>
          </cell>
          <cell r="E1656">
            <v>0</v>
          </cell>
          <cell r="F1656">
            <v>1389.89</v>
          </cell>
          <cell r="G1656">
            <v>8110.11</v>
          </cell>
          <cell r="H1656">
            <v>14.63</v>
          </cell>
          <cell r="I1656">
            <v>10000</v>
          </cell>
          <cell r="J1656">
            <v>1389.89</v>
          </cell>
        </row>
        <row r="1657">
          <cell r="A1657">
            <v>1621100470</v>
          </cell>
          <cell r="B1657" t="str">
            <v>אחזקת מכונות משרד</v>
          </cell>
          <cell r="C1657">
            <v>5700</v>
          </cell>
          <cell r="D1657">
            <v>381.6</v>
          </cell>
          <cell r="E1657">
            <v>0</v>
          </cell>
          <cell r="F1657">
            <v>381.6</v>
          </cell>
          <cell r="G1657">
            <v>5318.4</v>
          </cell>
          <cell r="H1657">
            <v>6.69</v>
          </cell>
          <cell r="I1657">
            <v>6000</v>
          </cell>
          <cell r="J1657">
            <v>381.6</v>
          </cell>
        </row>
        <row r="1658">
          <cell r="A1658">
            <v>1621100471</v>
          </cell>
          <cell r="B1658" t="str">
            <v>מכשירי כתיבה</v>
          </cell>
          <cell r="C1658">
            <v>6300</v>
          </cell>
          <cell r="D1658">
            <v>1628.88</v>
          </cell>
          <cell r="E1658">
            <v>600.21</v>
          </cell>
          <cell r="F1658">
            <v>2229.09</v>
          </cell>
          <cell r="G1658">
            <v>4070.91</v>
          </cell>
          <cell r="H1658">
            <v>35.380000000000003</v>
          </cell>
          <cell r="I1658">
            <v>6300</v>
          </cell>
          <cell r="J1658">
            <v>1628.88</v>
          </cell>
        </row>
        <row r="1659">
          <cell r="A1659">
            <v>1621100492</v>
          </cell>
          <cell r="B1659" t="str">
            <v>השתתפות בעזר 092</v>
          </cell>
          <cell r="C1659">
            <v>270750</v>
          </cell>
          <cell r="D1659">
            <v>312069</v>
          </cell>
          <cell r="E1659">
            <v>0</v>
          </cell>
          <cell r="F1659">
            <v>312069</v>
          </cell>
          <cell r="G1659">
            <v>-41319</v>
          </cell>
          <cell r="H1659">
            <v>115.26</v>
          </cell>
          <cell r="I1659">
            <v>285000</v>
          </cell>
          <cell r="J1659">
            <v>312069</v>
          </cell>
        </row>
        <row r="1660">
          <cell r="A1660">
            <v>1621100511</v>
          </cell>
          <cell r="B1660" t="str">
            <v>אירוח וכיבוד</v>
          </cell>
          <cell r="C1660">
            <v>5100</v>
          </cell>
          <cell r="D1660">
            <v>5100</v>
          </cell>
          <cell r="E1660">
            <v>0</v>
          </cell>
          <cell r="F1660">
            <v>5100</v>
          </cell>
          <cell r="G1660">
            <v>0</v>
          </cell>
          <cell r="H1660">
            <v>100</v>
          </cell>
          <cell r="I1660">
            <v>5100</v>
          </cell>
          <cell r="J1660">
            <v>5100</v>
          </cell>
        </row>
        <row r="1661">
          <cell r="A1661">
            <v>1621100512</v>
          </cell>
          <cell r="B1661" t="str">
            <v>נסיעות ואש"ל</v>
          </cell>
          <cell r="C1661">
            <v>2200</v>
          </cell>
          <cell r="D1661">
            <v>2501.44</v>
          </cell>
          <cell r="E1661">
            <v>0</v>
          </cell>
          <cell r="F1661">
            <v>2501.44</v>
          </cell>
          <cell r="G1661">
            <v>-301.44</v>
          </cell>
          <cell r="H1661">
            <v>113.7</v>
          </cell>
          <cell r="I1661">
            <v>2200</v>
          </cell>
          <cell r="J1661">
            <v>2501.44</v>
          </cell>
        </row>
        <row r="1662">
          <cell r="A1662">
            <v>1621100522</v>
          </cell>
          <cell r="B1662" t="str">
            <v>ספרים ועיתונים</v>
          </cell>
          <cell r="C1662">
            <v>7315</v>
          </cell>
          <cell r="D1662">
            <v>2681.64</v>
          </cell>
          <cell r="E1662">
            <v>0</v>
          </cell>
          <cell r="F1662">
            <v>2681.64</v>
          </cell>
          <cell r="G1662">
            <v>4633.3599999999997</v>
          </cell>
          <cell r="H1662">
            <v>36.65</v>
          </cell>
          <cell r="I1662">
            <v>7700</v>
          </cell>
          <cell r="J1662">
            <v>2681.64</v>
          </cell>
        </row>
        <row r="1663">
          <cell r="A1663">
            <v>1621100544</v>
          </cell>
          <cell r="B1663" t="str">
            <v>הוצאות דאר</v>
          </cell>
          <cell r="C1663">
            <v>4275</v>
          </cell>
          <cell r="D1663">
            <v>7171.9</v>
          </cell>
          <cell r="E1663">
            <v>0</v>
          </cell>
          <cell r="F1663">
            <v>7171.9</v>
          </cell>
          <cell r="G1663">
            <v>-2896.9</v>
          </cell>
          <cell r="H1663">
            <v>167.76</v>
          </cell>
          <cell r="I1663">
            <v>4500</v>
          </cell>
          <cell r="J1663">
            <v>7171.9</v>
          </cell>
        </row>
        <row r="1664">
          <cell r="A1664">
            <v>1621100550</v>
          </cell>
          <cell r="B1664" t="str">
            <v>פרסומים</v>
          </cell>
          <cell r="C1664">
            <v>4085</v>
          </cell>
          <cell r="D1664">
            <v>0</v>
          </cell>
          <cell r="E1664">
            <v>0</v>
          </cell>
          <cell r="F1664">
            <v>0</v>
          </cell>
          <cell r="G1664">
            <v>4085</v>
          </cell>
          <cell r="H1664">
            <v>0</v>
          </cell>
          <cell r="I1664">
            <v>4300</v>
          </cell>
          <cell r="J1664">
            <v>0</v>
          </cell>
        </row>
        <row r="1665">
          <cell r="A1665">
            <v>1621100562</v>
          </cell>
          <cell r="B1665" t="str">
            <v>הדפסות</v>
          </cell>
          <cell r="C1665">
            <v>0</v>
          </cell>
          <cell r="D1665">
            <v>0</v>
          </cell>
          <cell r="E1665">
            <v>0</v>
          </cell>
          <cell r="F1665">
            <v>0</v>
          </cell>
          <cell r="G1665">
            <v>0</v>
          </cell>
          <cell r="H1665">
            <v>0</v>
          </cell>
          <cell r="I1665">
            <v>0</v>
          </cell>
          <cell r="J1665">
            <v>0</v>
          </cell>
        </row>
        <row r="1666">
          <cell r="A1666">
            <v>1621100571</v>
          </cell>
          <cell r="B1666" t="str">
            <v>מיכון וענ"א</v>
          </cell>
          <cell r="C1666">
            <v>77995</v>
          </cell>
          <cell r="D1666">
            <v>82100</v>
          </cell>
          <cell r="E1666">
            <v>0</v>
          </cell>
          <cell r="F1666">
            <v>82100</v>
          </cell>
          <cell r="G1666">
            <v>-4105</v>
          </cell>
          <cell r="H1666">
            <v>105.26</v>
          </cell>
          <cell r="I1666">
            <v>82100</v>
          </cell>
          <cell r="J1666">
            <v>82100</v>
          </cell>
        </row>
        <row r="1667">
          <cell r="A1667">
            <v>1621100580</v>
          </cell>
          <cell r="B1667" t="str">
            <v>יעוץ כלכלי</v>
          </cell>
          <cell r="C1667">
            <v>446500</v>
          </cell>
          <cell r="D1667">
            <v>124905</v>
          </cell>
          <cell r="E1667">
            <v>516.1</v>
          </cell>
          <cell r="F1667">
            <v>125421.1</v>
          </cell>
          <cell r="G1667">
            <v>321078.90000000002</v>
          </cell>
          <cell r="H1667">
            <v>28.08</v>
          </cell>
          <cell r="I1667">
            <v>470000</v>
          </cell>
          <cell r="J1667">
            <v>124905</v>
          </cell>
        </row>
        <row r="1668">
          <cell r="A1668">
            <v>1621100753</v>
          </cell>
          <cell r="B1668" t="str">
            <v>עובדים חיצוניים</v>
          </cell>
          <cell r="C1668">
            <v>0</v>
          </cell>
          <cell r="D1668">
            <v>0</v>
          </cell>
          <cell r="E1668">
            <v>0</v>
          </cell>
          <cell r="F1668">
            <v>0</v>
          </cell>
          <cell r="G1668">
            <v>0</v>
          </cell>
          <cell r="H1668">
            <v>0</v>
          </cell>
          <cell r="I1668">
            <v>0</v>
          </cell>
          <cell r="J1668">
            <v>0</v>
          </cell>
        </row>
        <row r="1669">
          <cell r="A1669">
            <v>1621100781</v>
          </cell>
          <cell r="B1669" t="str">
            <v>פעולות סמנכ"ל</v>
          </cell>
          <cell r="C1669">
            <v>30000</v>
          </cell>
          <cell r="D1669">
            <v>31508.45</v>
          </cell>
          <cell r="E1669">
            <v>450.44</v>
          </cell>
          <cell r="F1669">
            <v>31958.89</v>
          </cell>
          <cell r="G1669">
            <v>-1958.89</v>
          </cell>
          <cell r="H1669">
            <v>106.52</v>
          </cell>
          <cell r="I1669">
            <v>30000</v>
          </cell>
          <cell r="J1669">
            <v>31508.45</v>
          </cell>
        </row>
        <row r="1670">
          <cell r="A1670">
            <v>1621100794</v>
          </cell>
          <cell r="B1670" t="str">
            <v>השתתפויות בעזר 094</v>
          </cell>
          <cell r="C1670">
            <v>6175</v>
          </cell>
          <cell r="D1670">
            <v>7752</v>
          </cell>
          <cell r="E1670">
            <v>0</v>
          </cell>
          <cell r="F1670">
            <v>7752</v>
          </cell>
          <cell r="G1670">
            <v>-1577</v>
          </cell>
          <cell r="H1670">
            <v>125.53</v>
          </cell>
          <cell r="I1670">
            <v>6500</v>
          </cell>
          <cell r="J1670">
            <v>7752</v>
          </cell>
        </row>
        <row r="1671">
          <cell r="A1671">
            <v>1621100961</v>
          </cell>
          <cell r="B1671" t="str">
            <v>רז' פעולות ורכישות</v>
          </cell>
          <cell r="C1671">
            <v>500000</v>
          </cell>
          <cell r="D1671">
            <v>395948.79</v>
          </cell>
          <cell r="E1671">
            <v>0.66</v>
          </cell>
          <cell r="F1671">
            <v>395949.45</v>
          </cell>
          <cell r="G1671">
            <v>104050.55</v>
          </cell>
          <cell r="H1671">
            <v>79.180000000000007</v>
          </cell>
          <cell r="I1671">
            <v>500000</v>
          </cell>
          <cell r="J1671">
            <v>395948.79</v>
          </cell>
        </row>
        <row r="1672">
          <cell r="A1672">
            <v>1621200110</v>
          </cell>
          <cell r="B1672" t="str">
            <v>השכר הקובע-תקציבית</v>
          </cell>
          <cell r="C1672">
            <v>589000</v>
          </cell>
          <cell r="D1672">
            <v>614408.89</v>
          </cell>
          <cell r="E1672">
            <v>0</v>
          </cell>
          <cell r="F1672">
            <v>614408.89</v>
          </cell>
          <cell r="G1672">
            <v>-25408.89</v>
          </cell>
          <cell r="H1672">
            <v>104.31</v>
          </cell>
          <cell r="I1672">
            <v>620000</v>
          </cell>
          <cell r="J1672">
            <v>614408.89</v>
          </cell>
        </row>
        <row r="1673">
          <cell r="A1673">
            <v>1621200119</v>
          </cell>
          <cell r="B1673" t="str">
            <v>השכר הקובע-צוברת</v>
          </cell>
          <cell r="C1673">
            <v>4524850</v>
          </cell>
          <cell r="D1673">
            <v>4611081.82</v>
          </cell>
          <cell r="E1673">
            <v>0</v>
          </cell>
          <cell r="F1673">
            <v>4611081.82</v>
          </cell>
          <cell r="G1673">
            <v>-86231.82</v>
          </cell>
          <cell r="H1673">
            <v>101.9</v>
          </cell>
          <cell r="I1673">
            <v>4763000</v>
          </cell>
          <cell r="J1673">
            <v>4611081.82</v>
          </cell>
        </row>
        <row r="1674">
          <cell r="A1674">
            <v>1621200122</v>
          </cell>
          <cell r="B1674" t="str">
            <v>ביגוד</v>
          </cell>
          <cell r="C1674">
            <v>61085</v>
          </cell>
          <cell r="D1674">
            <v>64533.07</v>
          </cell>
          <cell r="E1674">
            <v>0</v>
          </cell>
          <cell r="F1674">
            <v>64533.07</v>
          </cell>
          <cell r="G1674">
            <v>-3448.07</v>
          </cell>
          <cell r="H1674">
            <v>105.64</v>
          </cell>
          <cell r="I1674">
            <v>64300</v>
          </cell>
          <cell r="J1674">
            <v>64533.07</v>
          </cell>
        </row>
        <row r="1675">
          <cell r="A1675">
            <v>1621200126</v>
          </cell>
          <cell r="B1675" t="str">
            <v>דמי הבראה</v>
          </cell>
          <cell r="C1675">
            <v>139080</v>
          </cell>
          <cell r="D1675">
            <v>146307.13</v>
          </cell>
          <cell r="E1675">
            <v>0</v>
          </cell>
          <cell r="F1675">
            <v>146307.13</v>
          </cell>
          <cell r="G1675">
            <v>-7227.13</v>
          </cell>
          <cell r="H1675">
            <v>105.19</v>
          </cell>
          <cell r="I1675">
            <v>146400</v>
          </cell>
          <cell r="J1675">
            <v>146307.13</v>
          </cell>
        </row>
        <row r="1676">
          <cell r="A1676">
            <v>1621200130</v>
          </cell>
          <cell r="B1676" t="str">
            <v>שעות נוספות</v>
          </cell>
          <cell r="C1676">
            <v>67640</v>
          </cell>
          <cell r="D1676">
            <v>45835.39</v>
          </cell>
          <cell r="E1676">
            <v>0</v>
          </cell>
          <cell r="F1676">
            <v>45835.39</v>
          </cell>
          <cell r="G1676">
            <v>21804.61</v>
          </cell>
          <cell r="H1676">
            <v>67.760000000000005</v>
          </cell>
          <cell r="I1676">
            <v>71200</v>
          </cell>
          <cell r="J1676">
            <v>45835.39</v>
          </cell>
        </row>
        <row r="1677">
          <cell r="A1677">
            <v>1621200140</v>
          </cell>
          <cell r="B1677" t="str">
            <v>השתתפות באחזקת רכב</v>
          </cell>
          <cell r="C1677">
            <v>613700</v>
          </cell>
          <cell r="D1677">
            <v>665950.97</v>
          </cell>
          <cell r="E1677">
            <v>0</v>
          </cell>
          <cell r="F1677">
            <v>665950.97</v>
          </cell>
          <cell r="G1677">
            <v>-52250.97</v>
          </cell>
          <cell r="H1677">
            <v>108.51</v>
          </cell>
          <cell r="I1677">
            <v>646000</v>
          </cell>
          <cell r="J1677">
            <v>665950.97</v>
          </cell>
        </row>
        <row r="1678">
          <cell r="A1678">
            <v>1621200253</v>
          </cell>
          <cell r="B1678" t="str">
            <v>עובדים חיצוניים</v>
          </cell>
          <cell r="C1678">
            <v>0</v>
          </cell>
          <cell r="D1678">
            <v>6076.56</v>
          </cell>
          <cell r="E1678">
            <v>0</v>
          </cell>
          <cell r="F1678">
            <v>6076.56</v>
          </cell>
          <cell r="G1678">
            <v>-6076.56</v>
          </cell>
          <cell r="H1678">
            <v>0</v>
          </cell>
          <cell r="I1678">
            <v>0</v>
          </cell>
          <cell r="J1678">
            <v>6076.56</v>
          </cell>
        </row>
        <row r="1679">
          <cell r="A1679">
            <v>1621200350</v>
          </cell>
          <cell r="B1679" t="str">
            <v>ליסינג</v>
          </cell>
          <cell r="C1679">
            <v>104500</v>
          </cell>
          <cell r="D1679">
            <v>131796.25</v>
          </cell>
          <cell r="E1679">
            <v>0</v>
          </cell>
          <cell r="F1679">
            <v>131796.25</v>
          </cell>
          <cell r="G1679">
            <v>-27296.25</v>
          </cell>
          <cell r="H1679">
            <v>126.12</v>
          </cell>
          <cell r="I1679">
            <v>110000</v>
          </cell>
          <cell r="J1679">
            <v>131796.25</v>
          </cell>
        </row>
        <row r="1680">
          <cell r="A1680">
            <v>1621200351</v>
          </cell>
          <cell r="B1680" t="str">
            <v>הוצאות ליסינג</v>
          </cell>
          <cell r="C1680">
            <v>60895</v>
          </cell>
          <cell r="D1680">
            <v>51524.95</v>
          </cell>
          <cell r="E1680">
            <v>0</v>
          </cell>
          <cell r="F1680">
            <v>51524.95</v>
          </cell>
          <cell r="G1680">
            <v>9370.0499999999993</v>
          </cell>
          <cell r="H1680">
            <v>84.61</v>
          </cell>
          <cell r="I1680">
            <v>64100</v>
          </cell>
          <cell r="J1680">
            <v>51524.95</v>
          </cell>
        </row>
        <row r="1681">
          <cell r="A1681">
            <v>1621200470</v>
          </cell>
          <cell r="B1681" t="str">
            <v>אחזקת מכונות משרד</v>
          </cell>
          <cell r="C1681">
            <v>950</v>
          </cell>
          <cell r="D1681">
            <v>178.14</v>
          </cell>
          <cell r="E1681">
            <v>0</v>
          </cell>
          <cell r="F1681">
            <v>178.14</v>
          </cell>
          <cell r="G1681">
            <v>771.86</v>
          </cell>
          <cell r="H1681">
            <v>18.75</v>
          </cell>
          <cell r="I1681">
            <v>1000</v>
          </cell>
          <cell r="J1681">
            <v>178.14</v>
          </cell>
        </row>
        <row r="1682">
          <cell r="A1682">
            <v>1621200471</v>
          </cell>
          <cell r="B1682" t="str">
            <v>מכשירי כתיבה</v>
          </cell>
          <cell r="C1682">
            <v>19475</v>
          </cell>
          <cell r="D1682">
            <v>20174.830000000002</v>
          </cell>
          <cell r="E1682">
            <v>117</v>
          </cell>
          <cell r="F1682">
            <v>20291.830000000002</v>
          </cell>
          <cell r="G1682">
            <v>-816.83</v>
          </cell>
          <cell r="H1682">
            <v>104.19</v>
          </cell>
          <cell r="I1682">
            <v>20500</v>
          </cell>
          <cell r="J1682">
            <v>20174.830000000002</v>
          </cell>
        </row>
        <row r="1683">
          <cell r="A1683">
            <v>1621200511</v>
          </cell>
          <cell r="B1683" t="str">
            <v>אירוח וכיבוד</v>
          </cell>
          <cell r="C1683">
            <v>1615</v>
          </cell>
          <cell r="D1683">
            <v>1451.44</v>
          </cell>
          <cell r="E1683">
            <v>7.52</v>
          </cell>
          <cell r="F1683">
            <v>1458.96</v>
          </cell>
          <cell r="G1683">
            <v>156.04</v>
          </cell>
          <cell r="H1683">
            <v>90.33</v>
          </cell>
          <cell r="I1683">
            <v>1700</v>
          </cell>
          <cell r="J1683">
            <v>1451.44</v>
          </cell>
        </row>
        <row r="1684">
          <cell r="A1684">
            <v>1621200522</v>
          </cell>
          <cell r="B1684" t="str">
            <v>ספרים ועיתונים</v>
          </cell>
          <cell r="C1684">
            <v>3895</v>
          </cell>
          <cell r="D1684">
            <v>0</v>
          </cell>
          <cell r="E1684">
            <v>0</v>
          </cell>
          <cell r="F1684">
            <v>0</v>
          </cell>
          <cell r="G1684">
            <v>3895</v>
          </cell>
          <cell r="H1684">
            <v>0</v>
          </cell>
          <cell r="I1684">
            <v>4100</v>
          </cell>
          <cell r="J1684">
            <v>0</v>
          </cell>
        </row>
        <row r="1685">
          <cell r="A1685">
            <v>1621200563</v>
          </cell>
          <cell r="B1685" t="str">
            <v>הדפסות</v>
          </cell>
          <cell r="C1685">
            <v>5600</v>
          </cell>
          <cell r="D1685">
            <v>5538.6</v>
          </cell>
          <cell r="E1685">
            <v>60.97</v>
          </cell>
          <cell r="F1685">
            <v>5599.57</v>
          </cell>
          <cell r="G1685">
            <v>0.43</v>
          </cell>
          <cell r="H1685">
            <v>99.99</v>
          </cell>
          <cell r="I1685">
            <v>5600</v>
          </cell>
          <cell r="J1685">
            <v>5538.6</v>
          </cell>
        </row>
        <row r="1686">
          <cell r="A1686">
            <v>1621200571</v>
          </cell>
          <cell r="B1686" t="str">
            <v>מיכון וענ"א</v>
          </cell>
          <cell r="C1686">
            <v>178410</v>
          </cell>
          <cell r="D1686">
            <v>187800</v>
          </cell>
          <cell r="E1686">
            <v>0</v>
          </cell>
          <cell r="F1686">
            <v>187800</v>
          </cell>
          <cell r="G1686">
            <v>-9390</v>
          </cell>
          <cell r="H1686">
            <v>105.26</v>
          </cell>
          <cell r="I1686">
            <v>187800</v>
          </cell>
          <cell r="J1686">
            <v>187800</v>
          </cell>
        </row>
        <row r="1687">
          <cell r="A1687">
            <v>1621200573</v>
          </cell>
          <cell r="B1687" t="str">
            <v>מערכת חשבונות ממוחשבת</v>
          </cell>
          <cell r="C1687">
            <v>190000</v>
          </cell>
          <cell r="D1687">
            <v>0</v>
          </cell>
          <cell r="E1687">
            <v>0</v>
          </cell>
          <cell r="F1687">
            <v>0</v>
          </cell>
          <cell r="G1687">
            <v>190000</v>
          </cell>
          <cell r="H1687">
            <v>0</v>
          </cell>
          <cell r="I1687">
            <v>200000</v>
          </cell>
          <cell r="J1687">
            <v>0</v>
          </cell>
        </row>
        <row r="1688">
          <cell r="A1688">
            <v>1621200580</v>
          </cell>
          <cell r="B1688" t="str">
            <v>יעוץ כלכלי</v>
          </cell>
          <cell r="C1688">
            <v>32490</v>
          </cell>
          <cell r="D1688">
            <v>34200</v>
          </cell>
          <cell r="E1688">
            <v>0</v>
          </cell>
          <cell r="F1688">
            <v>34200</v>
          </cell>
          <cell r="G1688">
            <v>-1710</v>
          </cell>
          <cell r="H1688">
            <v>105.26</v>
          </cell>
          <cell r="I1688">
            <v>34200</v>
          </cell>
          <cell r="J1688">
            <v>34200</v>
          </cell>
        </row>
        <row r="1689">
          <cell r="A1689">
            <v>1621300110</v>
          </cell>
          <cell r="B1689" t="str">
            <v>השכר הקובע-תקציבית</v>
          </cell>
          <cell r="C1689">
            <v>0</v>
          </cell>
          <cell r="D1689">
            <v>0</v>
          </cell>
          <cell r="E1689">
            <v>0</v>
          </cell>
          <cell r="F1689">
            <v>0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</row>
        <row r="1690">
          <cell r="A1690">
            <v>1621300119</v>
          </cell>
          <cell r="B1690" t="str">
            <v>השכר הקובע-צוברת</v>
          </cell>
          <cell r="C1690">
            <v>1617660</v>
          </cell>
          <cell r="D1690">
            <v>1469554.83</v>
          </cell>
          <cell r="E1690">
            <v>0</v>
          </cell>
          <cell r="F1690">
            <v>1469554.83</v>
          </cell>
          <cell r="G1690">
            <v>148105.17000000001</v>
          </cell>
          <cell r="H1690">
            <v>90.84</v>
          </cell>
          <cell r="I1690">
            <v>1702800</v>
          </cell>
          <cell r="J1690">
            <v>1469554.83</v>
          </cell>
        </row>
        <row r="1691">
          <cell r="A1691">
            <v>1621300122</v>
          </cell>
          <cell r="B1691" t="str">
            <v>ביגוד</v>
          </cell>
          <cell r="C1691">
            <v>15010</v>
          </cell>
          <cell r="D1691">
            <v>16423.509999999998</v>
          </cell>
          <cell r="E1691">
            <v>0</v>
          </cell>
          <cell r="F1691">
            <v>16423.509999999998</v>
          </cell>
          <cell r="G1691">
            <v>-1413.51</v>
          </cell>
          <cell r="H1691">
            <v>109.41</v>
          </cell>
          <cell r="I1691">
            <v>15800</v>
          </cell>
          <cell r="J1691">
            <v>16423.509999999998</v>
          </cell>
        </row>
        <row r="1692">
          <cell r="A1692">
            <v>1621300126</v>
          </cell>
          <cell r="B1692" t="str">
            <v>דמי הבראה</v>
          </cell>
          <cell r="C1692">
            <v>39045</v>
          </cell>
          <cell r="D1692">
            <v>37080.32</v>
          </cell>
          <cell r="E1692">
            <v>0</v>
          </cell>
          <cell r="F1692">
            <v>37080.32</v>
          </cell>
          <cell r="G1692">
            <v>1964.68</v>
          </cell>
          <cell r="H1692">
            <v>94.96</v>
          </cell>
          <cell r="I1692">
            <v>41100</v>
          </cell>
          <cell r="J1692">
            <v>37080.32</v>
          </cell>
        </row>
        <row r="1693">
          <cell r="A1693">
            <v>1621300130</v>
          </cell>
          <cell r="B1693" t="str">
            <v>שעות נוספות</v>
          </cell>
          <cell r="C1693">
            <v>29260</v>
          </cell>
          <cell r="D1693">
            <v>0</v>
          </cell>
          <cell r="E1693">
            <v>0</v>
          </cell>
          <cell r="F1693">
            <v>0</v>
          </cell>
          <cell r="G1693">
            <v>29260</v>
          </cell>
          <cell r="H1693">
            <v>0</v>
          </cell>
          <cell r="I1693">
            <v>30800</v>
          </cell>
          <cell r="J1693">
            <v>0</v>
          </cell>
        </row>
        <row r="1694">
          <cell r="A1694">
            <v>1621300140</v>
          </cell>
          <cell r="B1694" t="str">
            <v>השתתפות באחזקת רכב</v>
          </cell>
          <cell r="C1694">
            <v>161120</v>
          </cell>
          <cell r="D1694">
            <v>173289.44</v>
          </cell>
          <cell r="E1694">
            <v>0</v>
          </cell>
          <cell r="F1694">
            <v>173289.44</v>
          </cell>
          <cell r="G1694">
            <v>-12169.44</v>
          </cell>
          <cell r="H1694">
            <v>107.55</v>
          </cell>
          <cell r="I1694">
            <v>169600</v>
          </cell>
          <cell r="J1694">
            <v>173289.44</v>
          </cell>
        </row>
        <row r="1695">
          <cell r="A1695">
            <v>1621300210</v>
          </cell>
          <cell r="B1695" t="str">
            <v>השכר הקובע</v>
          </cell>
          <cell r="C1695">
            <v>0</v>
          </cell>
          <cell r="D1695">
            <v>0</v>
          </cell>
          <cell r="E1695">
            <v>0</v>
          </cell>
          <cell r="F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</row>
        <row r="1696">
          <cell r="A1696">
            <v>1621300253</v>
          </cell>
          <cell r="B1696" t="str">
            <v>עובדת חברה</v>
          </cell>
          <cell r="C1696">
            <v>0</v>
          </cell>
          <cell r="D1696">
            <v>84332.61</v>
          </cell>
          <cell r="E1696">
            <v>0</v>
          </cell>
          <cell r="F1696">
            <v>84332.61</v>
          </cell>
          <cell r="G1696">
            <v>-84332.61</v>
          </cell>
          <cell r="H1696">
            <v>0</v>
          </cell>
          <cell r="I1696">
            <v>0</v>
          </cell>
          <cell r="J1696">
            <v>84332.61</v>
          </cell>
        </row>
        <row r="1697">
          <cell r="A1697">
            <v>1621300438</v>
          </cell>
          <cell r="B1697" t="str">
            <v>תוכנת ניירות ערך</v>
          </cell>
          <cell r="C1697">
            <v>0</v>
          </cell>
          <cell r="D1697">
            <v>0</v>
          </cell>
          <cell r="E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A1698">
            <v>1621300470</v>
          </cell>
          <cell r="B1698" t="str">
            <v>אחזקת מכונות משרד</v>
          </cell>
          <cell r="C1698">
            <v>0</v>
          </cell>
          <cell r="D1698">
            <v>0</v>
          </cell>
          <cell r="E1698">
            <v>0</v>
          </cell>
          <cell r="F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</row>
        <row r="1699">
          <cell r="A1699">
            <v>1621300471</v>
          </cell>
          <cell r="B1699" t="str">
            <v>מכשירי כתיבה</v>
          </cell>
          <cell r="C1699">
            <v>11000</v>
          </cell>
          <cell r="D1699">
            <v>9742.4500000000007</v>
          </cell>
          <cell r="E1699">
            <v>355.5</v>
          </cell>
          <cell r="F1699">
            <v>10097.950000000001</v>
          </cell>
          <cell r="G1699">
            <v>902.05</v>
          </cell>
          <cell r="H1699">
            <v>91.79</v>
          </cell>
          <cell r="I1699">
            <v>11000</v>
          </cell>
          <cell r="J1699">
            <v>9742.4500000000007</v>
          </cell>
        </row>
        <row r="1700">
          <cell r="A1700">
            <v>1621300511</v>
          </cell>
          <cell r="B1700" t="str">
            <v>אירוח וכיבוד</v>
          </cell>
          <cell r="C1700">
            <v>1235</v>
          </cell>
          <cell r="D1700">
            <v>1203.29</v>
          </cell>
          <cell r="E1700">
            <v>0</v>
          </cell>
          <cell r="F1700">
            <v>1203.29</v>
          </cell>
          <cell r="G1700">
            <v>31.71</v>
          </cell>
          <cell r="H1700">
            <v>97.43</v>
          </cell>
          <cell r="I1700">
            <v>1300</v>
          </cell>
          <cell r="J1700">
            <v>1203.29</v>
          </cell>
        </row>
        <row r="1701">
          <cell r="A1701">
            <v>1621300522</v>
          </cell>
          <cell r="B1701" t="str">
            <v>ספרים ועיתונים</v>
          </cell>
          <cell r="C1701">
            <v>11115</v>
          </cell>
          <cell r="D1701">
            <v>3757.64</v>
          </cell>
          <cell r="E1701">
            <v>0</v>
          </cell>
          <cell r="F1701">
            <v>3757.64</v>
          </cell>
          <cell r="G1701">
            <v>7357.36</v>
          </cell>
          <cell r="H1701">
            <v>33.799999999999997</v>
          </cell>
          <cell r="I1701">
            <v>11700</v>
          </cell>
          <cell r="J1701">
            <v>3757.64</v>
          </cell>
        </row>
        <row r="1702">
          <cell r="A1702">
            <v>1621300561</v>
          </cell>
          <cell r="B1702" t="str">
            <v>שיכפולים</v>
          </cell>
          <cell r="C1702">
            <v>1710</v>
          </cell>
          <cell r="D1702">
            <v>121</v>
          </cell>
          <cell r="E1702">
            <v>0</v>
          </cell>
          <cell r="F1702">
            <v>121</v>
          </cell>
          <cell r="G1702">
            <v>1589</v>
          </cell>
          <cell r="H1702">
            <v>7.07</v>
          </cell>
          <cell r="I1702">
            <v>1800</v>
          </cell>
          <cell r="J1702">
            <v>121</v>
          </cell>
        </row>
        <row r="1703">
          <cell r="A1703">
            <v>1621300562</v>
          </cell>
          <cell r="B1703" t="str">
            <v>הדפסות</v>
          </cell>
          <cell r="C1703">
            <v>1710</v>
          </cell>
          <cell r="D1703">
            <v>237</v>
          </cell>
          <cell r="E1703">
            <v>0</v>
          </cell>
          <cell r="F1703">
            <v>237</v>
          </cell>
          <cell r="G1703">
            <v>1473</v>
          </cell>
          <cell r="H1703">
            <v>13.85</v>
          </cell>
          <cell r="I1703">
            <v>1800</v>
          </cell>
          <cell r="J1703">
            <v>237</v>
          </cell>
        </row>
        <row r="1704">
          <cell r="A1704">
            <v>1621300563</v>
          </cell>
          <cell r="B1704" t="str">
            <v>הדפסת דוחות</v>
          </cell>
          <cell r="C1704">
            <v>4275</v>
          </cell>
          <cell r="D1704">
            <v>3989.06</v>
          </cell>
          <cell r="E1704">
            <v>0</v>
          </cell>
          <cell r="F1704">
            <v>3989.06</v>
          </cell>
          <cell r="G1704">
            <v>285.94</v>
          </cell>
          <cell r="H1704">
            <v>93.31</v>
          </cell>
          <cell r="I1704">
            <v>4500</v>
          </cell>
          <cell r="J1704">
            <v>3989.06</v>
          </cell>
        </row>
        <row r="1705">
          <cell r="A1705">
            <v>1621300570</v>
          </cell>
          <cell r="B1705" t="str">
            <v>שידורי תנועות בנק</v>
          </cell>
          <cell r="C1705">
            <v>8170</v>
          </cell>
          <cell r="D1705">
            <v>0</v>
          </cell>
          <cell r="E1705">
            <v>0</v>
          </cell>
          <cell r="F1705">
            <v>0</v>
          </cell>
          <cell r="G1705">
            <v>8170</v>
          </cell>
          <cell r="H1705">
            <v>0</v>
          </cell>
          <cell r="I1705">
            <v>8600</v>
          </cell>
          <cell r="J1705">
            <v>0</v>
          </cell>
        </row>
        <row r="1706">
          <cell r="A1706">
            <v>1621300571</v>
          </cell>
          <cell r="B1706" t="str">
            <v>מיכון וענ"א</v>
          </cell>
          <cell r="C1706">
            <v>299440</v>
          </cell>
          <cell r="D1706">
            <v>315200</v>
          </cell>
          <cell r="E1706">
            <v>0</v>
          </cell>
          <cell r="F1706">
            <v>315200</v>
          </cell>
          <cell r="G1706">
            <v>-15760</v>
          </cell>
          <cell r="H1706">
            <v>105.26</v>
          </cell>
          <cell r="I1706">
            <v>315200</v>
          </cell>
          <cell r="J1706">
            <v>315200</v>
          </cell>
        </row>
        <row r="1707">
          <cell r="A1707">
            <v>1621300573</v>
          </cell>
          <cell r="B1707" t="str">
            <v>מיחשוב הנה"ח</v>
          </cell>
          <cell r="C1707">
            <v>933660</v>
          </cell>
          <cell r="D1707">
            <v>0</v>
          </cell>
          <cell r="E1707">
            <v>0</v>
          </cell>
          <cell r="F1707">
            <v>0</v>
          </cell>
          <cell r="G1707">
            <v>933660</v>
          </cell>
          <cell r="H1707">
            <v>0</v>
          </cell>
          <cell r="I1707">
            <v>982800</v>
          </cell>
          <cell r="J1707">
            <v>0</v>
          </cell>
        </row>
        <row r="1708">
          <cell r="A1708">
            <v>1621300580</v>
          </cell>
          <cell r="B1708" t="str">
            <v>יעוץ חיצוני</v>
          </cell>
          <cell r="C1708">
            <v>34200</v>
          </cell>
          <cell r="D1708">
            <v>5791.5</v>
          </cell>
          <cell r="E1708">
            <v>0</v>
          </cell>
          <cell r="F1708">
            <v>5791.5</v>
          </cell>
          <cell r="G1708">
            <v>28408.5</v>
          </cell>
          <cell r="H1708">
            <v>16.93</v>
          </cell>
          <cell r="I1708">
            <v>36000</v>
          </cell>
          <cell r="J1708">
            <v>5791.5</v>
          </cell>
        </row>
        <row r="1709">
          <cell r="A1709">
            <v>1621300753</v>
          </cell>
          <cell r="B1709" t="str">
            <v>עובדת חברה</v>
          </cell>
          <cell r="C1709">
            <v>0</v>
          </cell>
          <cell r="D1709">
            <v>0</v>
          </cell>
          <cell r="E1709">
            <v>0</v>
          </cell>
          <cell r="F1709">
            <v>0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</row>
        <row r="1710">
          <cell r="A1710">
            <v>1621300757</v>
          </cell>
          <cell r="B1710" t="str">
            <v>שרותי הנה"ח</v>
          </cell>
          <cell r="C1710">
            <v>42750</v>
          </cell>
          <cell r="D1710">
            <v>35102</v>
          </cell>
          <cell r="E1710">
            <v>0</v>
          </cell>
          <cell r="F1710">
            <v>35102</v>
          </cell>
          <cell r="G1710">
            <v>7648</v>
          </cell>
          <cell r="H1710">
            <v>82.1</v>
          </cell>
          <cell r="I1710">
            <v>45000</v>
          </cell>
          <cell r="J1710">
            <v>35102</v>
          </cell>
        </row>
        <row r="1711">
          <cell r="A1711">
            <v>1621500110</v>
          </cell>
          <cell r="B1711" t="str">
            <v>השכר הקובע-תקציבית</v>
          </cell>
          <cell r="C1711">
            <v>178790</v>
          </cell>
          <cell r="D1711">
            <v>198670.25</v>
          </cell>
          <cell r="E1711">
            <v>0</v>
          </cell>
          <cell r="F1711">
            <v>198670.25</v>
          </cell>
          <cell r="G1711">
            <v>-19880.25</v>
          </cell>
          <cell r="H1711">
            <v>111.11</v>
          </cell>
          <cell r="I1711">
            <v>188200</v>
          </cell>
          <cell r="J1711">
            <v>198670.25</v>
          </cell>
        </row>
        <row r="1712">
          <cell r="A1712">
            <v>1621500119</v>
          </cell>
          <cell r="B1712" t="str">
            <v>השכר הקובע-צוברת</v>
          </cell>
          <cell r="C1712">
            <v>1116250</v>
          </cell>
          <cell r="D1712">
            <v>1038172.54</v>
          </cell>
          <cell r="E1712">
            <v>0</v>
          </cell>
          <cell r="F1712">
            <v>1038172.54</v>
          </cell>
          <cell r="G1712">
            <v>78077.460000000006</v>
          </cell>
          <cell r="H1712">
            <v>93</v>
          </cell>
          <cell r="I1712">
            <v>1175000</v>
          </cell>
          <cell r="J1712">
            <v>1038172.54</v>
          </cell>
        </row>
        <row r="1713">
          <cell r="A1713">
            <v>1621500122</v>
          </cell>
          <cell r="B1713" t="str">
            <v>ביגוד</v>
          </cell>
          <cell r="C1713">
            <v>11970</v>
          </cell>
          <cell r="D1713">
            <v>15104.67</v>
          </cell>
          <cell r="E1713">
            <v>0</v>
          </cell>
          <cell r="F1713">
            <v>15104.67</v>
          </cell>
          <cell r="G1713">
            <v>-3134.67</v>
          </cell>
          <cell r="H1713">
            <v>126.18</v>
          </cell>
          <cell r="I1713">
            <v>12600</v>
          </cell>
          <cell r="J1713">
            <v>15104.67</v>
          </cell>
        </row>
        <row r="1714">
          <cell r="A1714">
            <v>1621500126</v>
          </cell>
          <cell r="B1714" t="str">
            <v>דמי הבראה</v>
          </cell>
          <cell r="C1714">
            <v>43225</v>
          </cell>
          <cell r="D1714">
            <v>36439.86</v>
          </cell>
          <cell r="E1714">
            <v>0</v>
          </cell>
          <cell r="F1714">
            <v>36439.86</v>
          </cell>
          <cell r="G1714">
            <v>6785.14</v>
          </cell>
          <cell r="H1714">
            <v>84.3</v>
          </cell>
          <cell r="I1714">
            <v>45500</v>
          </cell>
          <cell r="J1714">
            <v>36439.86</v>
          </cell>
        </row>
        <row r="1715">
          <cell r="A1715">
            <v>1621500130</v>
          </cell>
          <cell r="B1715" t="str">
            <v>שעות נוספות</v>
          </cell>
          <cell r="C1715">
            <v>50255</v>
          </cell>
          <cell r="D1715">
            <v>23402.5</v>
          </cell>
          <cell r="E1715">
            <v>0</v>
          </cell>
          <cell r="F1715">
            <v>23402.5</v>
          </cell>
          <cell r="G1715">
            <v>26852.5</v>
          </cell>
          <cell r="H1715">
            <v>46.56</v>
          </cell>
          <cell r="I1715">
            <v>52900</v>
          </cell>
          <cell r="J1715">
            <v>23402.5</v>
          </cell>
        </row>
        <row r="1716">
          <cell r="A1716">
            <v>1621500140</v>
          </cell>
          <cell r="B1716" t="str">
            <v>השתתפות באחזקת רכב</v>
          </cell>
          <cell r="C1716">
            <v>126825</v>
          </cell>
          <cell r="D1716">
            <v>148451.39000000001</v>
          </cell>
          <cell r="E1716">
            <v>0</v>
          </cell>
          <cell r="F1716">
            <v>148451.39000000001</v>
          </cell>
          <cell r="G1716">
            <v>-21626.39</v>
          </cell>
          <cell r="H1716">
            <v>117.05</v>
          </cell>
          <cell r="I1716">
            <v>133500</v>
          </cell>
          <cell r="J1716">
            <v>148451.39000000001</v>
          </cell>
        </row>
        <row r="1717">
          <cell r="A1717">
            <v>1621500253</v>
          </cell>
          <cell r="B1717" t="str">
            <v>עובדת חברה</v>
          </cell>
          <cell r="C1717">
            <v>0</v>
          </cell>
          <cell r="D1717">
            <v>0</v>
          </cell>
          <cell r="E1717">
            <v>0</v>
          </cell>
          <cell r="F1717">
            <v>0</v>
          </cell>
          <cell r="G1717">
            <v>0</v>
          </cell>
          <cell r="H1717">
            <v>0</v>
          </cell>
          <cell r="I1717">
            <v>0</v>
          </cell>
          <cell r="J1717">
            <v>0</v>
          </cell>
        </row>
        <row r="1718">
          <cell r="A1718">
            <v>1621500471</v>
          </cell>
          <cell r="B1718" t="str">
            <v>מכשירי כתיבה</v>
          </cell>
          <cell r="C1718">
            <v>6000</v>
          </cell>
          <cell r="D1718">
            <v>4564.1499999999996</v>
          </cell>
          <cell r="E1718">
            <v>1411.02</v>
          </cell>
          <cell r="F1718">
            <v>5975.17</v>
          </cell>
          <cell r="G1718">
            <v>24.83</v>
          </cell>
          <cell r="H1718">
            <v>99.58</v>
          </cell>
          <cell r="I1718">
            <v>6000</v>
          </cell>
          <cell r="J1718">
            <v>4564.1499999999996</v>
          </cell>
        </row>
        <row r="1719">
          <cell r="A1719">
            <v>1621500512</v>
          </cell>
          <cell r="B1719" t="str">
            <v>נסיעות ואש"ל</v>
          </cell>
          <cell r="C1719">
            <v>0</v>
          </cell>
          <cell r="D1719">
            <v>0</v>
          </cell>
          <cell r="E1719">
            <v>0</v>
          </cell>
          <cell r="F1719">
            <v>0</v>
          </cell>
          <cell r="G1719">
            <v>0</v>
          </cell>
          <cell r="H1719">
            <v>0</v>
          </cell>
          <cell r="I1719">
            <v>0</v>
          </cell>
          <cell r="J1719">
            <v>0</v>
          </cell>
        </row>
        <row r="1720">
          <cell r="A1720">
            <v>1621500544</v>
          </cell>
          <cell r="B1720" t="str">
            <v>הוצאות דאר</v>
          </cell>
          <cell r="C1720">
            <v>12255</v>
          </cell>
          <cell r="D1720">
            <v>3209.39</v>
          </cell>
          <cell r="E1720">
            <v>0</v>
          </cell>
          <cell r="F1720">
            <v>3209.39</v>
          </cell>
          <cell r="G1720">
            <v>9045.61</v>
          </cell>
          <cell r="H1720">
            <v>26.18</v>
          </cell>
          <cell r="I1720">
            <v>12900</v>
          </cell>
          <cell r="J1720">
            <v>3209.39</v>
          </cell>
        </row>
        <row r="1721">
          <cell r="A1721">
            <v>1621500561</v>
          </cell>
          <cell r="B1721" t="str">
            <v>שיכפולים</v>
          </cell>
          <cell r="C1721">
            <v>0</v>
          </cell>
          <cell r="D1721">
            <v>0</v>
          </cell>
          <cell r="E1721">
            <v>0</v>
          </cell>
          <cell r="F1721">
            <v>0</v>
          </cell>
          <cell r="G1721">
            <v>0</v>
          </cell>
          <cell r="H1721">
            <v>0</v>
          </cell>
          <cell r="I1721">
            <v>0</v>
          </cell>
          <cell r="J1721">
            <v>0</v>
          </cell>
        </row>
        <row r="1722">
          <cell r="A1722">
            <v>1621500565</v>
          </cell>
          <cell r="B1722" t="str">
            <v>ארכיבאות מגנטית</v>
          </cell>
          <cell r="C1722">
            <v>4275</v>
          </cell>
          <cell r="D1722">
            <v>3822</v>
          </cell>
          <cell r="E1722">
            <v>0</v>
          </cell>
          <cell r="F1722">
            <v>3822</v>
          </cell>
          <cell r="G1722">
            <v>453</v>
          </cell>
          <cell r="H1722">
            <v>89.4</v>
          </cell>
          <cell r="I1722">
            <v>4500</v>
          </cell>
          <cell r="J1722">
            <v>3822</v>
          </cell>
        </row>
        <row r="1723">
          <cell r="A1723">
            <v>1621500566</v>
          </cell>
          <cell r="B1723" t="str">
            <v>בדיקת מצבת גימלאים</v>
          </cell>
          <cell r="C1723">
            <v>855</v>
          </cell>
          <cell r="D1723">
            <v>0</v>
          </cell>
          <cell r="E1723">
            <v>0</v>
          </cell>
          <cell r="F1723">
            <v>0</v>
          </cell>
          <cell r="G1723">
            <v>855</v>
          </cell>
          <cell r="H1723">
            <v>0</v>
          </cell>
          <cell r="I1723">
            <v>900</v>
          </cell>
          <cell r="J1723">
            <v>0</v>
          </cell>
        </row>
        <row r="1724">
          <cell r="A1724">
            <v>1621500570</v>
          </cell>
          <cell r="B1724" t="str">
            <v>לשכת שירות חישוב שכר</v>
          </cell>
          <cell r="C1724">
            <v>760000</v>
          </cell>
          <cell r="D1724">
            <v>629544.44999999995</v>
          </cell>
          <cell r="E1724">
            <v>0</v>
          </cell>
          <cell r="F1724">
            <v>629544.44999999995</v>
          </cell>
          <cell r="G1724">
            <v>130455.55</v>
          </cell>
          <cell r="H1724">
            <v>82.83</v>
          </cell>
          <cell r="I1724">
            <v>800000</v>
          </cell>
          <cell r="J1724">
            <v>629544.44999999995</v>
          </cell>
        </row>
        <row r="1725">
          <cell r="A1725">
            <v>1621500571</v>
          </cell>
          <cell r="B1725" t="str">
            <v>מיכון וענ"א</v>
          </cell>
          <cell r="C1725">
            <v>159695</v>
          </cell>
          <cell r="D1725">
            <v>168100</v>
          </cell>
          <cell r="E1725">
            <v>0</v>
          </cell>
          <cell r="F1725">
            <v>168100</v>
          </cell>
          <cell r="G1725">
            <v>-8405</v>
          </cell>
          <cell r="H1725">
            <v>105.26</v>
          </cell>
          <cell r="I1725">
            <v>168100</v>
          </cell>
          <cell r="J1725">
            <v>168100</v>
          </cell>
        </row>
        <row r="1726">
          <cell r="A1726">
            <v>1621500757</v>
          </cell>
          <cell r="B1726" t="str">
            <v>שרותי חשבות שכר</v>
          </cell>
          <cell r="C1726">
            <v>0</v>
          </cell>
          <cell r="D1726">
            <v>0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  <cell r="J1726">
            <v>0</v>
          </cell>
        </row>
        <row r="1727">
          <cell r="A1727">
            <v>1621500758</v>
          </cell>
          <cell r="B1727" t="str">
            <v>שירותי סליקה פנסיונית</v>
          </cell>
          <cell r="C1727">
            <v>90000</v>
          </cell>
          <cell r="D1727">
            <v>90000</v>
          </cell>
          <cell r="E1727">
            <v>0</v>
          </cell>
          <cell r="F1727">
            <v>90000</v>
          </cell>
          <cell r="G1727">
            <v>0</v>
          </cell>
          <cell r="H1727">
            <v>100</v>
          </cell>
          <cell r="I1727">
            <v>90000</v>
          </cell>
          <cell r="J1727">
            <v>90000</v>
          </cell>
        </row>
        <row r="1728">
          <cell r="A1728">
            <v>1621800000</v>
          </cell>
          <cell r="B1728" t="str">
            <v>פרוייקטים מיוחדים</v>
          </cell>
          <cell r="C1728">
            <v>0</v>
          </cell>
          <cell r="D1728">
            <v>0</v>
          </cell>
          <cell r="E1728">
            <v>0</v>
          </cell>
          <cell r="F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</row>
        <row r="1729">
          <cell r="A1729">
            <v>1621800110</v>
          </cell>
          <cell r="B1729" t="str">
            <v>השכר הקובע-תקציבית</v>
          </cell>
          <cell r="C1729">
            <v>334685</v>
          </cell>
          <cell r="D1729">
            <v>343166.74</v>
          </cell>
          <cell r="E1729">
            <v>0</v>
          </cell>
          <cell r="F1729">
            <v>343166.74</v>
          </cell>
          <cell r="G1729">
            <v>-8481.74</v>
          </cell>
          <cell r="H1729">
            <v>102.53</v>
          </cell>
          <cell r="I1729">
            <v>352300</v>
          </cell>
          <cell r="J1729">
            <v>343166.74</v>
          </cell>
        </row>
        <row r="1730">
          <cell r="A1730">
            <v>1621800119</v>
          </cell>
          <cell r="B1730" t="str">
            <v>השכר הקובע-צוברת</v>
          </cell>
          <cell r="C1730">
            <v>1057540</v>
          </cell>
          <cell r="D1730">
            <v>935124.38</v>
          </cell>
          <cell r="E1730">
            <v>0</v>
          </cell>
          <cell r="F1730">
            <v>935124.38</v>
          </cell>
          <cell r="G1730">
            <v>122415.62</v>
          </cell>
          <cell r="H1730">
            <v>88.42</v>
          </cell>
          <cell r="I1730">
            <v>1113200</v>
          </cell>
          <cell r="J1730">
            <v>935124.38</v>
          </cell>
        </row>
        <row r="1731">
          <cell r="A1731">
            <v>1621800122</v>
          </cell>
          <cell r="B1731" t="str">
            <v>ביגוד</v>
          </cell>
          <cell r="C1731">
            <v>9120</v>
          </cell>
          <cell r="D1731">
            <v>12050.26</v>
          </cell>
          <cell r="E1731">
            <v>0</v>
          </cell>
          <cell r="F1731">
            <v>12050.26</v>
          </cell>
          <cell r="G1731">
            <v>-2930.26</v>
          </cell>
          <cell r="H1731">
            <v>132.13</v>
          </cell>
          <cell r="I1731">
            <v>9600</v>
          </cell>
          <cell r="J1731">
            <v>12050.26</v>
          </cell>
        </row>
        <row r="1732">
          <cell r="A1732">
            <v>1621800126</v>
          </cell>
          <cell r="B1732" t="str">
            <v>דמי הבראה</v>
          </cell>
          <cell r="C1732">
            <v>30400</v>
          </cell>
          <cell r="D1732">
            <v>21928.49</v>
          </cell>
          <cell r="E1732">
            <v>0</v>
          </cell>
          <cell r="F1732">
            <v>21928.49</v>
          </cell>
          <cell r="G1732">
            <v>8471.51</v>
          </cell>
          <cell r="H1732">
            <v>72.13</v>
          </cell>
          <cell r="I1732">
            <v>32000</v>
          </cell>
          <cell r="J1732">
            <v>21928.49</v>
          </cell>
        </row>
        <row r="1733">
          <cell r="A1733">
            <v>1621800130</v>
          </cell>
          <cell r="B1733" t="str">
            <v>שעות נוספות</v>
          </cell>
          <cell r="C1733">
            <v>29355</v>
          </cell>
          <cell r="D1733">
            <v>34914.69</v>
          </cell>
          <cell r="E1733">
            <v>0</v>
          </cell>
          <cell r="F1733">
            <v>34914.69</v>
          </cell>
          <cell r="G1733">
            <v>-5559.69</v>
          </cell>
          <cell r="H1733">
            <v>118.93</v>
          </cell>
          <cell r="I1733">
            <v>30900</v>
          </cell>
          <cell r="J1733">
            <v>34914.69</v>
          </cell>
        </row>
        <row r="1734">
          <cell r="A1734">
            <v>1621800140</v>
          </cell>
          <cell r="B1734" t="str">
            <v>השתתפות באחזקת רכב</v>
          </cell>
          <cell r="C1734">
            <v>157605</v>
          </cell>
          <cell r="D1734">
            <v>158199.37</v>
          </cell>
          <cell r="E1734">
            <v>0</v>
          </cell>
          <cell r="F1734">
            <v>158199.37</v>
          </cell>
          <cell r="G1734">
            <v>-594.37</v>
          </cell>
          <cell r="H1734">
            <v>100.37</v>
          </cell>
          <cell r="I1734">
            <v>165900</v>
          </cell>
          <cell r="J1734">
            <v>158199.37</v>
          </cell>
        </row>
        <row r="1735">
          <cell r="A1735">
            <v>1621800253</v>
          </cell>
          <cell r="B1735" t="str">
            <v>עובדים חיצוניים</v>
          </cell>
          <cell r="C1735">
            <v>0</v>
          </cell>
          <cell r="D1735">
            <v>29899</v>
          </cell>
          <cell r="E1735">
            <v>0</v>
          </cell>
          <cell r="F1735">
            <v>29899</v>
          </cell>
          <cell r="G1735">
            <v>-29899</v>
          </cell>
          <cell r="H1735">
            <v>0</v>
          </cell>
          <cell r="I1735">
            <v>0</v>
          </cell>
          <cell r="J1735">
            <v>29899</v>
          </cell>
        </row>
        <row r="1736">
          <cell r="A1736">
            <v>1621800471</v>
          </cell>
          <cell r="B1736" t="str">
            <v>מכשירי כתיבה</v>
          </cell>
          <cell r="C1736">
            <v>5985</v>
          </cell>
          <cell r="D1736">
            <v>3455.82</v>
          </cell>
          <cell r="E1736">
            <v>9.36</v>
          </cell>
          <cell r="F1736">
            <v>3465.18</v>
          </cell>
          <cell r="G1736">
            <v>2519.8200000000002</v>
          </cell>
          <cell r="H1736">
            <v>57.89</v>
          </cell>
          <cell r="I1736">
            <v>6300</v>
          </cell>
          <cell r="J1736">
            <v>3455.82</v>
          </cell>
        </row>
        <row r="1737">
          <cell r="A1737">
            <v>1621800511</v>
          </cell>
          <cell r="B1737" t="str">
            <v>אירוח וכיבוד</v>
          </cell>
          <cell r="C1737">
            <v>1000</v>
          </cell>
          <cell r="D1737">
            <v>1000</v>
          </cell>
          <cell r="E1737">
            <v>0</v>
          </cell>
          <cell r="F1737">
            <v>1000</v>
          </cell>
          <cell r="G1737">
            <v>0</v>
          </cell>
          <cell r="H1737">
            <v>100</v>
          </cell>
          <cell r="I1737">
            <v>1000</v>
          </cell>
          <cell r="J1737">
            <v>1000</v>
          </cell>
        </row>
        <row r="1738">
          <cell r="A1738">
            <v>1621800522</v>
          </cell>
          <cell r="B1738" t="str">
            <v>ספרים ועיתונים</v>
          </cell>
          <cell r="C1738">
            <v>3040</v>
          </cell>
          <cell r="D1738">
            <v>2996.11</v>
          </cell>
          <cell r="E1738">
            <v>0</v>
          </cell>
          <cell r="F1738">
            <v>2996.11</v>
          </cell>
          <cell r="G1738">
            <v>43.89</v>
          </cell>
          <cell r="H1738">
            <v>98.55</v>
          </cell>
          <cell r="I1738">
            <v>3200</v>
          </cell>
          <cell r="J1738">
            <v>2996.11</v>
          </cell>
        </row>
        <row r="1739">
          <cell r="A1739">
            <v>1621800550</v>
          </cell>
          <cell r="B1739" t="str">
            <v>פירסומים</v>
          </cell>
          <cell r="C1739">
            <v>8550</v>
          </cell>
          <cell r="D1739">
            <v>926</v>
          </cell>
          <cell r="E1739">
            <v>0</v>
          </cell>
          <cell r="F1739">
            <v>926</v>
          </cell>
          <cell r="G1739">
            <v>7624</v>
          </cell>
          <cell r="H1739">
            <v>10.83</v>
          </cell>
          <cell r="I1739">
            <v>9000</v>
          </cell>
          <cell r="J1739">
            <v>926</v>
          </cell>
        </row>
        <row r="1740">
          <cell r="A1740">
            <v>1621800561</v>
          </cell>
          <cell r="B1740" t="str">
            <v>שיכפולים</v>
          </cell>
          <cell r="C1740">
            <v>1615</v>
          </cell>
          <cell r="D1740">
            <v>436.8</v>
          </cell>
          <cell r="E1740">
            <v>0</v>
          </cell>
          <cell r="F1740">
            <v>436.8</v>
          </cell>
          <cell r="G1740">
            <v>1178.2</v>
          </cell>
          <cell r="H1740">
            <v>27.04</v>
          </cell>
          <cell r="I1740">
            <v>1700</v>
          </cell>
          <cell r="J1740">
            <v>436.8</v>
          </cell>
        </row>
        <row r="1741">
          <cell r="A1741">
            <v>1621800571</v>
          </cell>
          <cell r="B1741" t="str">
            <v>מיכון וענ"א</v>
          </cell>
          <cell r="C1741">
            <v>14820</v>
          </cell>
          <cell r="D1741">
            <v>15600</v>
          </cell>
          <cell r="E1741">
            <v>0</v>
          </cell>
          <cell r="F1741">
            <v>15600</v>
          </cell>
          <cell r="G1741">
            <v>-780</v>
          </cell>
          <cell r="H1741">
            <v>105.26</v>
          </cell>
          <cell r="I1741">
            <v>15600</v>
          </cell>
          <cell r="J1741">
            <v>15600</v>
          </cell>
        </row>
        <row r="1742">
          <cell r="A1742">
            <v>1621800580</v>
          </cell>
          <cell r="B1742" t="str">
            <v>יעוץ חיצוני</v>
          </cell>
          <cell r="C1742">
            <v>8550</v>
          </cell>
          <cell r="D1742">
            <v>0</v>
          </cell>
          <cell r="E1742">
            <v>0</v>
          </cell>
          <cell r="F1742">
            <v>0</v>
          </cell>
          <cell r="G1742">
            <v>8550</v>
          </cell>
          <cell r="H1742">
            <v>0</v>
          </cell>
          <cell r="I1742">
            <v>9000</v>
          </cell>
          <cell r="J1742">
            <v>0</v>
          </cell>
        </row>
        <row r="1743">
          <cell r="A1743">
            <v>1621800758</v>
          </cell>
          <cell r="B1743" t="str">
            <v>מערכת מכרזים</v>
          </cell>
          <cell r="C1743">
            <v>12540</v>
          </cell>
          <cell r="D1743">
            <v>0</v>
          </cell>
          <cell r="E1743">
            <v>13165</v>
          </cell>
          <cell r="F1743">
            <v>13165</v>
          </cell>
          <cell r="G1743">
            <v>-625</v>
          </cell>
          <cell r="H1743">
            <v>104.98</v>
          </cell>
          <cell r="I1743">
            <v>13200</v>
          </cell>
          <cell r="J1743">
            <v>0</v>
          </cell>
        </row>
        <row r="1744">
          <cell r="A1744">
            <v>1622000110</v>
          </cell>
          <cell r="B1744" t="str">
            <v>השכר הקובע-תקציבית</v>
          </cell>
          <cell r="C1744">
            <v>0</v>
          </cell>
          <cell r="D1744">
            <v>0</v>
          </cell>
          <cell r="E1744">
            <v>0</v>
          </cell>
          <cell r="F1744">
            <v>0</v>
          </cell>
          <cell r="G1744">
            <v>0</v>
          </cell>
          <cell r="H1744">
            <v>0</v>
          </cell>
          <cell r="I1744">
            <v>0</v>
          </cell>
          <cell r="J1744">
            <v>0</v>
          </cell>
        </row>
        <row r="1745">
          <cell r="A1745">
            <v>1622000119</v>
          </cell>
          <cell r="B1745" t="str">
            <v>השכר הקובע-צוברת</v>
          </cell>
          <cell r="C1745">
            <v>0</v>
          </cell>
          <cell r="D1745">
            <v>-182.21</v>
          </cell>
          <cell r="E1745">
            <v>0</v>
          </cell>
          <cell r="F1745">
            <v>-182.21</v>
          </cell>
          <cell r="G1745">
            <v>182.21</v>
          </cell>
          <cell r="H1745">
            <v>0</v>
          </cell>
          <cell r="I1745">
            <v>0</v>
          </cell>
          <cell r="J1745">
            <v>-182.21</v>
          </cell>
        </row>
        <row r="1746">
          <cell r="A1746">
            <v>1622000122</v>
          </cell>
          <cell r="B1746" t="str">
            <v>ביגוד</v>
          </cell>
          <cell r="C1746">
            <v>0</v>
          </cell>
          <cell r="D1746">
            <v>0</v>
          </cell>
          <cell r="E1746">
            <v>0</v>
          </cell>
          <cell r="F1746">
            <v>0</v>
          </cell>
          <cell r="G1746">
            <v>0</v>
          </cell>
          <cell r="H1746">
            <v>0</v>
          </cell>
          <cell r="I1746">
            <v>0</v>
          </cell>
          <cell r="J1746">
            <v>0</v>
          </cell>
        </row>
        <row r="1747">
          <cell r="A1747">
            <v>1622000126</v>
          </cell>
          <cell r="B1747" t="str">
            <v>דמי הבראה</v>
          </cell>
          <cell r="C1747">
            <v>0</v>
          </cell>
          <cell r="D1747">
            <v>0</v>
          </cell>
          <cell r="E1747">
            <v>0</v>
          </cell>
          <cell r="F1747">
            <v>0</v>
          </cell>
          <cell r="G1747">
            <v>0</v>
          </cell>
          <cell r="H1747">
            <v>0</v>
          </cell>
          <cell r="I1747">
            <v>0</v>
          </cell>
          <cell r="J1747">
            <v>0</v>
          </cell>
        </row>
        <row r="1748">
          <cell r="A1748">
            <v>1622000130</v>
          </cell>
          <cell r="B1748" t="str">
            <v>שעות נוספות</v>
          </cell>
          <cell r="C1748">
            <v>0</v>
          </cell>
          <cell r="D1748">
            <v>0</v>
          </cell>
          <cell r="E1748">
            <v>0</v>
          </cell>
          <cell r="F1748">
            <v>0</v>
          </cell>
          <cell r="G1748">
            <v>0</v>
          </cell>
          <cell r="H1748">
            <v>0</v>
          </cell>
          <cell r="I1748">
            <v>0</v>
          </cell>
          <cell r="J1748">
            <v>0</v>
          </cell>
        </row>
        <row r="1749">
          <cell r="A1749">
            <v>1622000140</v>
          </cell>
          <cell r="B1749" t="str">
            <v>השתתפות באחזקת רכב</v>
          </cell>
          <cell r="C1749">
            <v>0</v>
          </cell>
          <cell r="D1749">
            <v>0</v>
          </cell>
          <cell r="E1749">
            <v>0</v>
          </cell>
          <cell r="F1749">
            <v>0</v>
          </cell>
          <cell r="G1749">
            <v>0</v>
          </cell>
          <cell r="H1749">
            <v>0</v>
          </cell>
          <cell r="I1749">
            <v>0</v>
          </cell>
          <cell r="J1749">
            <v>0</v>
          </cell>
        </row>
        <row r="1750">
          <cell r="A1750">
            <v>1622000253</v>
          </cell>
          <cell r="B1750" t="str">
            <v>עובדים חיצוניים</v>
          </cell>
          <cell r="C1750">
            <v>0</v>
          </cell>
          <cell r="D1750">
            <v>0</v>
          </cell>
          <cell r="E1750">
            <v>0</v>
          </cell>
          <cell r="F1750">
            <v>0</v>
          </cell>
          <cell r="G1750">
            <v>0</v>
          </cell>
          <cell r="H1750">
            <v>0</v>
          </cell>
          <cell r="I1750">
            <v>0</v>
          </cell>
          <cell r="J1750">
            <v>0</v>
          </cell>
        </row>
        <row r="1751">
          <cell r="A1751">
            <v>1622000350</v>
          </cell>
          <cell r="B1751" t="str">
            <v>ליסינג 661-36-602</v>
          </cell>
          <cell r="C1751">
            <v>38950</v>
          </cell>
          <cell r="D1751">
            <v>29273.15</v>
          </cell>
          <cell r="E1751">
            <v>0</v>
          </cell>
          <cell r="F1751">
            <v>29273.15</v>
          </cell>
          <cell r="G1751">
            <v>9676.85</v>
          </cell>
          <cell r="H1751">
            <v>75.150000000000006</v>
          </cell>
          <cell r="I1751">
            <v>41000</v>
          </cell>
          <cell r="J1751">
            <v>29273.15</v>
          </cell>
        </row>
        <row r="1752">
          <cell r="A1752">
            <v>1622000351</v>
          </cell>
          <cell r="B1752" t="str">
            <v>הוצאות 661-36-602</v>
          </cell>
          <cell r="C1752">
            <v>17480</v>
          </cell>
          <cell r="D1752">
            <v>10660.9</v>
          </cell>
          <cell r="E1752">
            <v>0</v>
          </cell>
          <cell r="F1752">
            <v>10660.9</v>
          </cell>
          <cell r="G1752">
            <v>6819.1</v>
          </cell>
          <cell r="H1752">
            <v>60.98</v>
          </cell>
          <cell r="I1752">
            <v>18400</v>
          </cell>
          <cell r="J1752">
            <v>10660.9</v>
          </cell>
        </row>
        <row r="1753">
          <cell r="A1753">
            <v>1622000492</v>
          </cell>
          <cell r="B1753" t="str">
            <v>השתתפות בעזר 092</v>
          </cell>
          <cell r="C1753">
            <v>144400</v>
          </cell>
          <cell r="D1753">
            <v>166436</v>
          </cell>
          <cell r="E1753">
            <v>0</v>
          </cell>
          <cell r="F1753">
            <v>166436</v>
          </cell>
          <cell r="G1753">
            <v>-22036</v>
          </cell>
          <cell r="H1753">
            <v>115.26</v>
          </cell>
          <cell r="I1753">
            <v>152000</v>
          </cell>
          <cell r="J1753">
            <v>166436</v>
          </cell>
        </row>
        <row r="1754">
          <cell r="A1754">
            <v>1622000544</v>
          </cell>
          <cell r="B1754" t="str">
            <v>הוצאות דאר</v>
          </cell>
          <cell r="C1754">
            <v>0</v>
          </cell>
          <cell r="D1754">
            <v>0</v>
          </cell>
          <cell r="E1754">
            <v>0</v>
          </cell>
          <cell r="F1754">
            <v>0</v>
          </cell>
          <cell r="G1754">
            <v>0</v>
          </cell>
          <cell r="H1754">
            <v>0</v>
          </cell>
          <cell r="I1754">
            <v>0</v>
          </cell>
          <cell r="J1754">
            <v>0</v>
          </cell>
        </row>
        <row r="1755">
          <cell r="A1755">
            <v>1622000563</v>
          </cell>
          <cell r="B1755" t="str">
            <v>הדפסת פרטיכלים</v>
          </cell>
          <cell r="C1755">
            <v>27360</v>
          </cell>
          <cell r="D1755">
            <v>897</v>
          </cell>
          <cell r="E1755">
            <v>0</v>
          </cell>
          <cell r="F1755">
            <v>897</v>
          </cell>
          <cell r="G1755">
            <v>26463</v>
          </cell>
          <cell r="H1755">
            <v>3.27</v>
          </cell>
          <cell r="I1755">
            <v>28800</v>
          </cell>
          <cell r="J1755">
            <v>897</v>
          </cell>
        </row>
        <row r="1756">
          <cell r="A1756">
            <v>1622000571</v>
          </cell>
          <cell r="B1756" t="str">
            <v>מיכון וענ"א</v>
          </cell>
          <cell r="C1756">
            <v>370025</v>
          </cell>
          <cell r="D1756">
            <v>389500</v>
          </cell>
          <cell r="E1756">
            <v>0</v>
          </cell>
          <cell r="F1756">
            <v>389500</v>
          </cell>
          <cell r="G1756">
            <v>-19475</v>
          </cell>
          <cell r="H1756">
            <v>105.26</v>
          </cell>
          <cell r="I1756">
            <v>389500</v>
          </cell>
          <cell r="J1756">
            <v>389500</v>
          </cell>
        </row>
        <row r="1757">
          <cell r="A1757">
            <v>1622000580</v>
          </cell>
          <cell r="B1757" t="str">
            <v>סקרים</v>
          </cell>
          <cell r="C1757">
            <v>660000</v>
          </cell>
          <cell r="D1757">
            <v>729254</v>
          </cell>
          <cell r="E1757">
            <v>0</v>
          </cell>
          <cell r="F1757">
            <v>729254</v>
          </cell>
          <cell r="G1757">
            <v>-69254</v>
          </cell>
          <cell r="H1757">
            <v>110.49</v>
          </cell>
          <cell r="I1757">
            <v>660000</v>
          </cell>
          <cell r="J1757">
            <v>729254</v>
          </cell>
        </row>
        <row r="1758">
          <cell r="A1758">
            <v>1622000581</v>
          </cell>
          <cell r="B1758" t="str">
            <v>הוצ' משפטיות-ועדת ערר</v>
          </cell>
          <cell r="C1758">
            <v>1045000</v>
          </cell>
          <cell r="D1758">
            <v>915831.73</v>
          </cell>
          <cell r="E1758">
            <v>0</v>
          </cell>
          <cell r="F1758">
            <v>915831.73</v>
          </cell>
          <cell r="G1758">
            <v>129168.27</v>
          </cell>
          <cell r="H1758">
            <v>87.63</v>
          </cell>
          <cell r="I1758">
            <v>1100000</v>
          </cell>
          <cell r="J1758">
            <v>915831.73</v>
          </cell>
        </row>
        <row r="1759">
          <cell r="A1759">
            <v>1622000780</v>
          </cell>
          <cell r="B1759" t="str">
            <v>הוצ'-חברי ועדת ערר</v>
          </cell>
          <cell r="C1759">
            <v>230850</v>
          </cell>
          <cell r="D1759">
            <v>175783.35</v>
          </cell>
          <cell r="E1759">
            <v>0</v>
          </cell>
          <cell r="F1759">
            <v>175783.35</v>
          </cell>
          <cell r="G1759">
            <v>55066.65</v>
          </cell>
          <cell r="H1759">
            <v>76.14</v>
          </cell>
          <cell r="I1759">
            <v>243000</v>
          </cell>
          <cell r="J1759">
            <v>175783.35</v>
          </cell>
        </row>
        <row r="1760">
          <cell r="A1760">
            <v>1622000794</v>
          </cell>
          <cell r="B1760" t="str">
            <v>השתתפות בעזר 094</v>
          </cell>
          <cell r="C1760">
            <v>7885</v>
          </cell>
          <cell r="D1760">
            <v>9899</v>
          </cell>
          <cell r="E1760">
            <v>0</v>
          </cell>
          <cell r="F1760">
            <v>9899</v>
          </cell>
          <cell r="G1760">
            <v>-2014</v>
          </cell>
          <cell r="H1760">
            <v>125.54</v>
          </cell>
          <cell r="I1760">
            <v>8300</v>
          </cell>
          <cell r="J1760">
            <v>9899</v>
          </cell>
        </row>
        <row r="1761">
          <cell r="A1761">
            <v>1622000961</v>
          </cell>
          <cell r="B1761" t="str">
            <v>רז' פעולות ורכישות</v>
          </cell>
          <cell r="C1761">
            <v>4085</v>
          </cell>
          <cell r="D1761">
            <v>180.9</v>
          </cell>
          <cell r="E1761">
            <v>0</v>
          </cell>
          <cell r="F1761">
            <v>180.9</v>
          </cell>
          <cell r="G1761">
            <v>3904.1</v>
          </cell>
          <cell r="H1761">
            <v>4.42</v>
          </cell>
          <cell r="I1761">
            <v>4300</v>
          </cell>
          <cell r="J1761">
            <v>180.9</v>
          </cell>
        </row>
        <row r="1762">
          <cell r="A1762">
            <v>1623100110</v>
          </cell>
          <cell r="B1762" t="str">
            <v>השכר הקובע-תקציבית</v>
          </cell>
          <cell r="C1762">
            <v>411540</v>
          </cell>
          <cell r="D1762">
            <v>466308.62</v>
          </cell>
          <cell r="E1762">
            <v>0</v>
          </cell>
          <cell r="F1762">
            <v>466308.62</v>
          </cell>
          <cell r="G1762">
            <v>-54768.62</v>
          </cell>
          <cell r="H1762">
            <v>113.3</v>
          </cell>
          <cell r="I1762">
            <v>433200</v>
          </cell>
          <cell r="J1762">
            <v>466308.62</v>
          </cell>
        </row>
        <row r="1763">
          <cell r="A1763">
            <v>1623100119</v>
          </cell>
          <cell r="B1763" t="str">
            <v>השכר הקובע-צוברת</v>
          </cell>
          <cell r="C1763">
            <v>7889845</v>
          </cell>
          <cell r="D1763">
            <v>8689664.7200000007</v>
          </cell>
          <cell r="E1763">
            <v>0</v>
          </cell>
          <cell r="F1763">
            <v>8689664.7200000007</v>
          </cell>
          <cell r="G1763">
            <v>-799819.72</v>
          </cell>
          <cell r="H1763">
            <v>110.13</v>
          </cell>
          <cell r="I1763">
            <v>8305100</v>
          </cell>
          <cell r="J1763">
            <v>8689664.7200000007</v>
          </cell>
        </row>
        <row r="1764">
          <cell r="A1764">
            <v>1623100122</v>
          </cell>
          <cell r="B1764" t="str">
            <v>ביגוד</v>
          </cell>
          <cell r="C1764">
            <v>113050</v>
          </cell>
          <cell r="D1764">
            <v>133451.91</v>
          </cell>
          <cell r="E1764">
            <v>0</v>
          </cell>
          <cell r="F1764">
            <v>133451.91</v>
          </cell>
          <cell r="G1764">
            <v>-20401.91</v>
          </cell>
          <cell r="H1764">
            <v>118.04</v>
          </cell>
          <cell r="I1764">
            <v>119000</v>
          </cell>
          <cell r="J1764">
            <v>133451.91</v>
          </cell>
        </row>
        <row r="1765">
          <cell r="A1765">
            <v>1623100126</v>
          </cell>
          <cell r="B1765" t="str">
            <v>דמי הבראה</v>
          </cell>
          <cell r="C1765">
            <v>277400</v>
          </cell>
          <cell r="D1765">
            <v>311287.42</v>
          </cell>
          <cell r="E1765">
            <v>0</v>
          </cell>
          <cell r="F1765">
            <v>311287.42</v>
          </cell>
          <cell r="G1765">
            <v>-33887.42</v>
          </cell>
          <cell r="H1765">
            <v>112.21</v>
          </cell>
          <cell r="I1765">
            <v>292000</v>
          </cell>
          <cell r="J1765">
            <v>311287.42</v>
          </cell>
        </row>
        <row r="1766">
          <cell r="A1766">
            <v>1623100130</v>
          </cell>
          <cell r="B1766" t="str">
            <v>שעות נוספות</v>
          </cell>
          <cell r="C1766">
            <v>87400</v>
          </cell>
          <cell r="D1766">
            <v>37297.24</v>
          </cell>
          <cell r="E1766">
            <v>0</v>
          </cell>
          <cell r="F1766">
            <v>37297.24</v>
          </cell>
          <cell r="G1766">
            <v>50102.76</v>
          </cell>
          <cell r="H1766">
            <v>42.67</v>
          </cell>
          <cell r="I1766">
            <v>92000</v>
          </cell>
          <cell r="J1766">
            <v>37297.24</v>
          </cell>
        </row>
        <row r="1767">
          <cell r="A1767">
            <v>1623100140</v>
          </cell>
          <cell r="B1767" t="str">
            <v>השתתפות באחזקת רכב</v>
          </cell>
          <cell r="C1767">
            <v>941260</v>
          </cell>
          <cell r="D1767">
            <v>1244503.4099999999</v>
          </cell>
          <cell r="E1767">
            <v>0</v>
          </cell>
          <cell r="F1767">
            <v>1244503.4099999999</v>
          </cell>
          <cell r="G1767">
            <v>-303243.40999999997</v>
          </cell>
          <cell r="H1767">
            <v>132.21</v>
          </cell>
          <cell r="I1767">
            <v>990800</v>
          </cell>
          <cell r="J1767">
            <v>1244503.4099999999</v>
          </cell>
        </row>
        <row r="1768">
          <cell r="A1768">
            <v>1623100253</v>
          </cell>
          <cell r="B1768" t="str">
            <v>עובדים חיצוניים</v>
          </cell>
          <cell r="C1768">
            <v>266000</v>
          </cell>
          <cell r="D1768">
            <v>278675.09000000003</v>
          </cell>
          <cell r="E1768">
            <v>0</v>
          </cell>
          <cell r="F1768">
            <v>278675.09000000003</v>
          </cell>
          <cell r="G1768">
            <v>-12675.09</v>
          </cell>
          <cell r="H1768">
            <v>104.76</v>
          </cell>
          <cell r="I1768">
            <v>280000</v>
          </cell>
          <cell r="J1768">
            <v>278675.09000000003</v>
          </cell>
        </row>
        <row r="1769">
          <cell r="A1769">
            <v>1623100410</v>
          </cell>
          <cell r="B1769" t="str">
            <v>שכ"ד-אגף הכנסות</v>
          </cell>
          <cell r="C1769">
            <v>0</v>
          </cell>
          <cell r="D1769">
            <v>0</v>
          </cell>
          <cell r="E1769">
            <v>0</v>
          </cell>
          <cell r="F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</row>
        <row r="1770">
          <cell r="A1770">
            <v>1623100471</v>
          </cell>
          <cell r="B1770" t="str">
            <v>מכשירי כתיבה</v>
          </cell>
          <cell r="C1770">
            <v>121885</v>
          </cell>
          <cell r="D1770">
            <v>88510.28</v>
          </cell>
          <cell r="E1770">
            <v>95.86</v>
          </cell>
          <cell r="F1770">
            <v>88606.14</v>
          </cell>
          <cell r="G1770">
            <v>33278.86</v>
          </cell>
          <cell r="H1770">
            <v>72.69</v>
          </cell>
          <cell r="I1770">
            <v>128300</v>
          </cell>
          <cell r="J1770">
            <v>88510.28</v>
          </cell>
        </row>
        <row r="1771">
          <cell r="A1771">
            <v>1623100511</v>
          </cell>
          <cell r="B1771" t="str">
            <v>אירוח וכיבוד</v>
          </cell>
          <cell r="C1771">
            <v>4085</v>
          </cell>
          <cell r="D1771">
            <v>3547.67</v>
          </cell>
          <cell r="E1771">
            <v>0</v>
          </cell>
          <cell r="F1771">
            <v>3547.67</v>
          </cell>
          <cell r="G1771">
            <v>537.33000000000004</v>
          </cell>
          <cell r="H1771">
            <v>86.84</v>
          </cell>
          <cell r="I1771">
            <v>4300</v>
          </cell>
          <cell r="J1771">
            <v>3547.67</v>
          </cell>
        </row>
        <row r="1772">
          <cell r="A1772">
            <v>1623100541</v>
          </cell>
          <cell r="B1772" t="str">
            <v>משלוחים</v>
          </cell>
          <cell r="C1772">
            <v>570000</v>
          </cell>
          <cell r="D1772">
            <v>570480</v>
          </cell>
          <cell r="E1772">
            <v>0</v>
          </cell>
          <cell r="F1772">
            <v>570480</v>
          </cell>
          <cell r="G1772">
            <v>-480</v>
          </cell>
          <cell r="H1772">
            <v>100.08</v>
          </cell>
          <cell r="I1772">
            <v>570000</v>
          </cell>
          <cell r="J1772">
            <v>570480</v>
          </cell>
        </row>
        <row r="1773">
          <cell r="A1773">
            <v>1623100562</v>
          </cell>
          <cell r="B1773" t="str">
            <v>הדפסות</v>
          </cell>
          <cell r="C1773">
            <v>379050</v>
          </cell>
          <cell r="D1773">
            <v>190768.36</v>
          </cell>
          <cell r="E1773">
            <v>4768</v>
          </cell>
          <cell r="F1773">
            <v>195536.36</v>
          </cell>
          <cell r="G1773">
            <v>183513.64</v>
          </cell>
          <cell r="H1773">
            <v>51.58</v>
          </cell>
          <cell r="I1773">
            <v>399000</v>
          </cell>
          <cell r="J1773">
            <v>190768.36</v>
          </cell>
        </row>
        <row r="1774">
          <cell r="A1774">
            <v>1623100571</v>
          </cell>
          <cell r="B1774" t="str">
            <v>מיכון וענ"א</v>
          </cell>
          <cell r="C1774">
            <v>204060</v>
          </cell>
          <cell r="D1774">
            <v>214800</v>
          </cell>
          <cell r="E1774">
            <v>0</v>
          </cell>
          <cell r="F1774">
            <v>214800</v>
          </cell>
          <cell r="G1774">
            <v>-10740</v>
          </cell>
          <cell r="H1774">
            <v>105.26</v>
          </cell>
          <cell r="I1774">
            <v>214800</v>
          </cell>
          <cell r="J1774">
            <v>214800</v>
          </cell>
        </row>
        <row r="1775">
          <cell r="A1775">
            <v>1623100753</v>
          </cell>
          <cell r="B1775" t="str">
            <v>עובדים חיצוניים</v>
          </cell>
          <cell r="C1775">
            <v>0</v>
          </cell>
          <cell r="D1775">
            <v>0</v>
          </cell>
          <cell r="E1775">
            <v>0</v>
          </cell>
          <cell r="F1775">
            <v>0</v>
          </cell>
          <cell r="G1775">
            <v>0</v>
          </cell>
          <cell r="H1775">
            <v>0</v>
          </cell>
          <cell r="I1775">
            <v>0</v>
          </cell>
          <cell r="J1775">
            <v>0</v>
          </cell>
        </row>
        <row r="1776">
          <cell r="A1776">
            <v>1623100757</v>
          </cell>
          <cell r="B1776" t="str">
            <v>שרותי הנה"ח</v>
          </cell>
          <cell r="C1776">
            <v>0</v>
          </cell>
          <cell r="D1776">
            <v>0</v>
          </cell>
          <cell r="E1776">
            <v>0</v>
          </cell>
          <cell r="F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</row>
        <row r="1777">
          <cell r="A1777">
            <v>1623100758</v>
          </cell>
          <cell r="B1777" t="str">
            <v>דמי סליקה לווטרינריה</v>
          </cell>
          <cell r="C1777">
            <v>6460</v>
          </cell>
          <cell r="D1777">
            <v>0</v>
          </cell>
          <cell r="E1777">
            <v>0</v>
          </cell>
          <cell r="F1777">
            <v>0</v>
          </cell>
          <cell r="G1777">
            <v>6460</v>
          </cell>
          <cell r="H1777">
            <v>0</v>
          </cell>
          <cell r="I1777">
            <v>6800</v>
          </cell>
          <cell r="J1777">
            <v>0</v>
          </cell>
        </row>
        <row r="1778">
          <cell r="A1778">
            <v>1623200110</v>
          </cell>
          <cell r="B1778" t="str">
            <v>השכר הקובע-תקציבית</v>
          </cell>
          <cell r="C1778">
            <v>0</v>
          </cell>
          <cell r="D1778">
            <v>0</v>
          </cell>
          <cell r="E1778">
            <v>0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0</v>
          </cell>
        </row>
        <row r="1779">
          <cell r="A1779">
            <v>1623200119</v>
          </cell>
          <cell r="B1779" t="str">
            <v>השכר הקובע-צוברת</v>
          </cell>
          <cell r="C1779">
            <v>0</v>
          </cell>
          <cell r="D1779">
            <v>117998.41</v>
          </cell>
          <cell r="E1779">
            <v>0</v>
          </cell>
          <cell r="F1779">
            <v>117998.41</v>
          </cell>
          <cell r="G1779">
            <v>-117998.41</v>
          </cell>
          <cell r="H1779">
            <v>0</v>
          </cell>
          <cell r="I1779">
            <v>0</v>
          </cell>
          <cell r="J1779">
            <v>117998.41</v>
          </cell>
        </row>
        <row r="1780">
          <cell r="A1780">
            <v>1623200122</v>
          </cell>
          <cell r="B1780" t="str">
            <v>ביגוד</v>
          </cell>
          <cell r="C1780">
            <v>0</v>
          </cell>
          <cell r="D1780">
            <v>831.3</v>
          </cell>
          <cell r="E1780">
            <v>0</v>
          </cell>
          <cell r="F1780">
            <v>831.3</v>
          </cell>
          <cell r="G1780">
            <v>-831.3</v>
          </cell>
          <cell r="H1780">
            <v>0</v>
          </cell>
          <cell r="I1780">
            <v>0</v>
          </cell>
          <cell r="J1780">
            <v>831.3</v>
          </cell>
        </row>
        <row r="1781">
          <cell r="A1781">
            <v>1623200126</v>
          </cell>
          <cell r="B1781" t="str">
            <v>דמי הבראה</v>
          </cell>
          <cell r="C1781">
            <v>0</v>
          </cell>
          <cell r="D1781">
            <v>2045.75</v>
          </cell>
          <cell r="E1781">
            <v>0</v>
          </cell>
          <cell r="F1781">
            <v>2045.75</v>
          </cell>
          <cell r="G1781">
            <v>-2045.75</v>
          </cell>
          <cell r="H1781">
            <v>0</v>
          </cell>
          <cell r="I1781">
            <v>0</v>
          </cell>
          <cell r="J1781">
            <v>2045.75</v>
          </cell>
        </row>
        <row r="1782">
          <cell r="A1782">
            <v>1623200130</v>
          </cell>
          <cell r="B1782" t="str">
            <v>שעות נוספות</v>
          </cell>
          <cell r="C1782">
            <v>0</v>
          </cell>
          <cell r="D1782">
            <v>0</v>
          </cell>
          <cell r="E1782">
            <v>0</v>
          </cell>
          <cell r="F1782">
            <v>0</v>
          </cell>
          <cell r="G1782">
            <v>0</v>
          </cell>
          <cell r="H1782">
            <v>0</v>
          </cell>
          <cell r="I1782">
            <v>0</v>
          </cell>
          <cell r="J1782">
            <v>0</v>
          </cell>
        </row>
        <row r="1783">
          <cell r="A1783">
            <v>1623200140</v>
          </cell>
          <cell r="B1783" t="str">
            <v>השתתפות באחזקת רכב</v>
          </cell>
          <cell r="C1783">
            <v>0</v>
          </cell>
          <cell r="D1783">
            <v>0</v>
          </cell>
          <cell r="E1783">
            <v>0</v>
          </cell>
          <cell r="F1783">
            <v>0</v>
          </cell>
          <cell r="G1783">
            <v>0</v>
          </cell>
          <cell r="H1783">
            <v>0</v>
          </cell>
          <cell r="I1783">
            <v>0</v>
          </cell>
          <cell r="J1783">
            <v>0</v>
          </cell>
        </row>
        <row r="1784">
          <cell r="A1784">
            <v>1623200253</v>
          </cell>
          <cell r="B1784" t="str">
            <v>עובדים חיצוניים</v>
          </cell>
          <cell r="C1784">
            <v>0</v>
          </cell>
          <cell r="D1784">
            <v>0</v>
          </cell>
          <cell r="E1784">
            <v>0</v>
          </cell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</row>
        <row r="1785">
          <cell r="A1785">
            <v>1623200492</v>
          </cell>
          <cell r="B1785" t="str">
            <v>השתתפות בעזר 092</v>
          </cell>
          <cell r="C1785">
            <v>309415</v>
          </cell>
          <cell r="D1785">
            <v>356590</v>
          </cell>
          <cell r="E1785">
            <v>0</v>
          </cell>
          <cell r="F1785">
            <v>356590</v>
          </cell>
          <cell r="G1785">
            <v>-47175</v>
          </cell>
          <cell r="H1785">
            <v>115.24</v>
          </cell>
          <cell r="I1785">
            <v>325700</v>
          </cell>
          <cell r="J1785">
            <v>356590</v>
          </cell>
        </row>
        <row r="1786">
          <cell r="A1786">
            <v>1623200542</v>
          </cell>
          <cell r="B1786" t="str">
            <v>מענה קולי</v>
          </cell>
          <cell r="C1786">
            <v>2470000</v>
          </cell>
          <cell r="D1786">
            <v>2186971.39</v>
          </cell>
          <cell r="E1786">
            <v>0</v>
          </cell>
          <cell r="F1786">
            <v>2186971.39</v>
          </cell>
          <cell r="G1786">
            <v>283028.61</v>
          </cell>
          <cell r="H1786">
            <v>88.54</v>
          </cell>
          <cell r="I1786">
            <v>2600000</v>
          </cell>
          <cell r="J1786">
            <v>2186971.39</v>
          </cell>
        </row>
        <row r="1787">
          <cell r="A1787">
            <v>1623200544</v>
          </cell>
          <cell r="B1787" t="str">
            <v>הוצאות דאר</v>
          </cell>
          <cell r="C1787">
            <v>349315</v>
          </cell>
          <cell r="D1787">
            <v>322492.68</v>
          </cell>
          <cell r="E1787">
            <v>0</v>
          </cell>
          <cell r="F1787">
            <v>322492.68</v>
          </cell>
          <cell r="G1787">
            <v>26822.32</v>
          </cell>
          <cell r="H1787">
            <v>92.32</v>
          </cell>
          <cell r="I1787">
            <v>367700</v>
          </cell>
          <cell r="J1787">
            <v>322492.68</v>
          </cell>
        </row>
        <row r="1788">
          <cell r="A1788">
            <v>1623200550</v>
          </cell>
          <cell r="B1788" t="str">
            <v>פירסומים</v>
          </cell>
          <cell r="C1788">
            <v>24415</v>
          </cell>
          <cell r="D1788">
            <v>6063</v>
          </cell>
          <cell r="E1788">
            <v>0</v>
          </cell>
          <cell r="F1788">
            <v>6063</v>
          </cell>
          <cell r="G1788">
            <v>18352</v>
          </cell>
          <cell r="H1788">
            <v>24.83</v>
          </cell>
          <cell r="I1788">
            <v>25700</v>
          </cell>
          <cell r="J1788">
            <v>6063</v>
          </cell>
        </row>
        <row r="1789">
          <cell r="A1789">
            <v>1623200551</v>
          </cell>
          <cell r="B1789" t="str">
            <v>מודעות והדבקתן</v>
          </cell>
          <cell r="C1789">
            <v>0</v>
          </cell>
          <cell r="D1789">
            <v>0</v>
          </cell>
          <cell r="E1789">
            <v>0</v>
          </cell>
          <cell r="F1789">
            <v>0</v>
          </cell>
          <cell r="G1789">
            <v>0</v>
          </cell>
          <cell r="H1789">
            <v>0</v>
          </cell>
          <cell r="I1789">
            <v>0</v>
          </cell>
          <cell r="J1789">
            <v>0</v>
          </cell>
        </row>
        <row r="1790">
          <cell r="A1790">
            <v>1623200571</v>
          </cell>
          <cell r="B1790" t="str">
            <v>מיכון וענ"א</v>
          </cell>
          <cell r="C1790">
            <v>2240955</v>
          </cell>
          <cell r="D1790">
            <v>2358900</v>
          </cell>
          <cell r="E1790">
            <v>0</v>
          </cell>
          <cell r="F1790">
            <v>2358900</v>
          </cell>
          <cell r="G1790">
            <v>-117945</v>
          </cell>
          <cell r="H1790">
            <v>105.26</v>
          </cell>
          <cell r="I1790">
            <v>2358900</v>
          </cell>
          <cell r="J1790">
            <v>2358900</v>
          </cell>
        </row>
        <row r="1791">
          <cell r="A1791">
            <v>1623200572</v>
          </cell>
          <cell r="B1791" t="str">
            <v>אוטומציה - עיקולי רכב</v>
          </cell>
          <cell r="C1791">
            <v>0</v>
          </cell>
          <cell r="D1791">
            <v>0</v>
          </cell>
          <cell r="E1791">
            <v>0</v>
          </cell>
          <cell r="F1791">
            <v>0</v>
          </cell>
          <cell r="G1791">
            <v>0</v>
          </cell>
          <cell r="H1791">
            <v>0</v>
          </cell>
          <cell r="I1791">
            <v>0</v>
          </cell>
          <cell r="J1791">
            <v>0</v>
          </cell>
        </row>
        <row r="1792">
          <cell r="A1792">
            <v>1623200573</v>
          </cell>
          <cell r="B1792" t="str">
            <v>מיחשוב גבייה</v>
          </cell>
          <cell r="C1792">
            <v>1147125</v>
          </cell>
          <cell r="D1792">
            <v>0</v>
          </cell>
          <cell r="E1792">
            <v>0</v>
          </cell>
          <cell r="F1792">
            <v>0</v>
          </cell>
          <cell r="G1792">
            <v>1147125</v>
          </cell>
          <cell r="H1792">
            <v>0</v>
          </cell>
          <cell r="I1792">
            <v>1207500</v>
          </cell>
          <cell r="J1792">
            <v>0</v>
          </cell>
        </row>
        <row r="1793">
          <cell r="A1793">
            <v>1623200581</v>
          </cell>
          <cell r="B1793" t="str">
            <v>הוצאות משפטיות</v>
          </cell>
          <cell r="C1793">
            <v>1235000</v>
          </cell>
          <cell r="D1793">
            <v>924236.7</v>
          </cell>
          <cell r="E1793">
            <v>49726</v>
          </cell>
          <cell r="F1793">
            <v>973962.7</v>
          </cell>
          <cell r="G1793">
            <v>261037.3</v>
          </cell>
          <cell r="H1793">
            <v>78.86</v>
          </cell>
          <cell r="I1793">
            <v>1300000</v>
          </cell>
          <cell r="J1793">
            <v>924236.7</v>
          </cell>
        </row>
        <row r="1794">
          <cell r="A1794">
            <v>1623200582</v>
          </cell>
          <cell r="B1794" t="str">
            <v>אגרות משפט</v>
          </cell>
          <cell r="C1794">
            <v>300000</v>
          </cell>
          <cell r="D1794">
            <v>315394.11</v>
          </cell>
          <cell r="E1794">
            <v>0</v>
          </cell>
          <cell r="F1794">
            <v>315394.11</v>
          </cell>
          <cell r="G1794">
            <v>-15394.11</v>
          </cell>
          <cell r="H1794">
            <v>105.13</v>
          </cell>
          <cell r="I1794">
            <v>300000</v>
          </cell>
          <cell r="J1794">
            <v>315394.11</v>
          </cell>
        </row>
        <row r="1795">
          <cell r="A1795">
            <v>1623200756</v>
          </cell>
          <cell r="B1795" t="str">
            <v>שמירה בקבלנות</v>
          </cell>
          <cell r="C1795">
            <v>123500</v>
          </cell>
          <cell r="D1795">
            <v>116081.46</v>
          </cell>
          <cell r="E1795">
            <v>0</v>
          </cell>
          <cell r="F1795">
            <v>116081.46</v>
          </cell>
          <cell r="G1795">
            <v>7418.54</v>
          </cell>
          <cell r="H1795">
            <v>93.99</v>
          </cell>
          <cell r="I1795">
            <v>130000</v>
          </cell>
          <cell r="J1795">
            <v>116081.46</v>
          </cell>
        </row>
        <row r="1796">
          <cell r="A1796">
            <v>1623200757</v>
          </cell>
          <cell r="B1796" t="str">
            <v>אכיפת גביה</v>
          </cell>
          <cell r="C1796">
            <v>1092500</v>
          </cell>
          <cell r="D1796">
            <v>1095413.57</v>
          </cell>
          <cell r="E1796">
            <v>0</v>
          </cell>
          <cell r="F1796">
            <v>1095413.57</v>
          </cell>
          <cell r="G1796">
            <v>-2913.57</v>
          </cell>
          <cell r="H1796">
            <v>100.26</v>
          </cell>
          <cell r="I1796">
            <v>1150000</v>
          </cell>
          <cell r="J1796">
            <v>1095413.57</v>
          </cell>
        </row>
        <row r="1797">
          <cell r="A1797">
            <v>1623200758</v>
          </cell>
          <cell r="B1797" t="str">
            <v>אכיפת גבייה - חניה</v>
          </cell>
          <cell r="C1797">
            <v>1900000</v>
          </cell>
          <cell r="D1797">
            <v>195092.77</v>
          </cell>
          <cell r="E1797">
            <v>0</v>
          </cell>
          <cell r="F1797">
            <v>195092.77</v>
          </cell>
          <cell r="G1797">
            <v>1704907.23</v>
          </cell>
          <cell r="H1797">
            <v>10.26</v>
          </cell>
          <cell r="I1797">
            <v>2000000</v>
          </cell>
          <cell r="J1797">
            <v>195092.77</v>
          </cell>
        </row>
        <row r="1798">
          <cell r="A1798">
            <v>1623200759</v>
          </cell>
          <cell r="B1798" t="str">
            <v>אכיפת קנסות ברירת משפט</v>
          </cell>
          <cell r="C1798">
            <v>9500</v>
          </cell>
          <cell r="D1798">
            <v>5752.77</v>
          </cell>
          <cell r="E1798">
            <v>0</v>
          </cell>
          <cell r="F1798">
            <v>5752.77</v>
          </cell>
          <cell r="G1798">
            <v>3747.23</v>
          </cell>
          <cell r="H1798">
            <v>60.55</v>
          </cell>
          <cell r="I1798">
            <v>10000</v>
          </cell>
          <cell r="J1798">
            <v>5752.77</v>
          </cell>
        </row>
        <row r="1799">
          <cell r="A1799">
            <v>1623200794</v>
          </cell>
          <cell r="B1799" t="str">
            <v>השתתפות בעזר 094</v>
          </cell>
          <cell r="C1799">
            <v>7980</v>
          </cell>
          <cell r="D1799">
            <v>10019</v>
          </cell>
          <cell r="E1799">
            <v>0</v>
          </cell>
          <cell r="F1799">
            <v>10019</v>
          </cell>
          <cell r="G1799">
            <v>-2039</v>
          </cell>
          <cell r="H1799">
            <v>125.55</v>
          </cell>
          <cell r="I1799">
            <v>8400</v>
          </cell>
          <cell r="J1799">
            <v>10019</v>
          </cell>
        </row>
        <row r="1800">
          <cell r="A1800">
            <v>1623700110</v>
          </cell>
          <cell r="B1800" t="str">
            <v>השכר הקובע-תקציבית</v>
          </cell>
          <cell r="C1800">
            <v>0</v>
          </cell>
          <cell r="D1800">
            <v>0</v>
          </cell>
          <cell r="E1800">
            <v>0</v>
          </cell>
          <cell r="F1800">
            <v>0</v>
          </cell>
          <cell r="G1800">
            <v>0</v>
          </cell>
          <cell r="H1800">
            <v>0</v>
          </cell>
          <cell r="I1800">
            <v>0</v>
          </cell>
          <cell r="J1800">
            <v>0</v>
          </cell>
        </row>
        <row r="1801">
          <cell r="A1801">
            <v>1623700119</v>
          </cell>
          <cell r="B1801" t="str">
            <v>השכר הקובע-צוברת</v>
          </cell>
          <cell r="C1801">
            <v>0</v>
          </cell>
          <cell r="D1801">
            <v>0</v>
          </cell>
          <cell r="E1801">
            <v>0</v>
          </cell>
          <cell r="F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</row>
        <row r="1802">
          <cell r="A1802">
            <v>1623700122</v>
          </cell>
          <cell r="B1802" t="str">
            <v>ביגוד</v>
          </cell>
          <cell r="C1802">
            <v>0</v>
          </cell>
          <cell r="D1802">
            <v>0</v>
          </cell>
          <cell r="E1802">
            <v>0</v>
          </cell>
          <cell r="F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0</v>
          </cell>
        </row>
        <row r="1803">
          <cell r="A1803">
            <v>1623700126</v>
          </cell>
          <cell r="B1803" t="str">
            <v>דמי הבראה</v>
          </cell>
          <cell r="C1803">
            <v>0</v>
          </cell>
          <cell r="D1803">
            <v>0</v>
          </cell>
          <cell r="E1803">
            <v>0</v>
          </cell>
          <cell r="F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</row>
        <row r="1804">
          <cell r="A1804">
            <v>1623700130</v>
          </cell>
          <cell r="B1804" t="str">
            <v>שעות נוספות</v>
          </cell>
          <cell r="C1804">
            <v>0</v>
          </cell>
          <cell r="D1804">
            <v>0</v>
          </cell>
          <cell r="E1804">
            <v>0</v>
          </cell>
          <cell r="F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0</v>
          </cell>
        </row>
        <row r="1805">
          <cell r="A1805">
            <v>1623700140</v>
          </cell>
          <cell r="B1805" t="str">
            <v>השתתפות באחזקת רכב</v>
          </cell>
          <cell r="C1805">
            <v>0</v>
          </cell>
          <cell r="D1805">
            <v>0</v>
          </cell>
          <cell r="E1805">
            <v>0</v>
          </cell>
          <cell r="F1805">
            <v>0</v>
          </cell>
          <cell r="G1805">
            <v>0</v>
          </cell>
          <cell r="H1805">
            <v>0</v>
          </cell>
          <cell r="I1805">
            <v>0</v>
          </cell>
          <cell r="J1805">
            <v>0</v>
          </cell>
        </row>
        <row r="1806">
          <cell r="A1806">
            <v>1623700253</v>
          </cell>
          <cell r="B1806" t="str">
            <v>עובדת חברה</v>
          </cell>
          <cell r="C1806">
            <v>0</v>
          </cell>
          <cell r="D1806">
            <v>0</v>
          </cell>
          <cell r="E1806">
            <v>0</v>
          </cell>
          <cell r="F1806">
            <v>0</v>
          </cell>
          <cell r="G1806">
            <v>0</v>
          </cell>
          <cell r="H1806">
            <v>0</v>
          </cell>
          <cell r="I1806">
            <v>0</v>
          </cell>
          <cell r="J1806">
            <v>0</v>
          </cell>
        </row>
        <row r="1807">
          <cell r="A1807">
            <v>1623700437</v>
          </cell>
          <cell r="B1807" t="str">
            <v>אחזקת אזעקה</v>
          </cell>
          <cell r="C1807">
            <v>1235</v>
          </cell>
          <cell r="D1807">
            <v>861.17</v>
          </cell>
          <cell r="E1807">
            <v>0</v>
          </cell>
          <cell r="F1807">
            <v>861.17</v>
          </cell>
          <cell r="G1807">
            <v>373.83</v>
          </cell>
          <cell r="H1807">
            <v>69.73</v>
          </cell>
          <cell r="I1807">
            <v>1300</v>
          </cell>
          <cell r="J1807">
            <v>861.17</v>
          </cell>
        </row>
        <row r="1808">
          <cell r="A1808">
            <v>1623700441</v>
          </cell>
          <cell r="B1808" t="str">
            <v>ביטוח כספים</v>
          </cell>
          <cell r="C1808">
            <v>7790</v>
          </cell>
          <cell r="D1808">
            <v>0</v>
          </cell>
          <cell r="E1808">
            <v>0</v>
          </cell>
          <cell r="F1808">
            <v>0</v>
          </cell>
          <cell r="G1808">
            <v>7790</v>
          </cell>
          <cell r="H1808">
            <v>0</v>
          </cell>
          <cell r="I1808">
            <v>8200</v>
          </cell>
          <cell r="J1808">
            <v>0</v>
          </cell>
        </row>
        <row r="1809">
          <cell r="A1809">
            <v>1623700571</v>
          </cell>
          <cell r="B1809" t="str">
            <v>מיכון וענ"א</v>
          </cell>
          <cell r="C1809">
            <v>59945</v>
          </cell>
          <cell r="D1809">
            <v>63100</v>
          </cell>
          <cell r="E1809">
            <v>0</v>
          </cell>
          <cell r="F1809">
            <v>63100</v>
          </cell>
          <cell r="G1809">
            <v>-3155</v>
          </cell>
          <cell r="H1809">
            <v>105.26</v>
          </cell>
          <cell r="I1809">
            <v>63100</v>
          </cell>
          <cell r="J1809">
            <v>63100</v>
          </cell>
        </row>
        <row r="1810">
          <cell r="A1810">
            <v>1631000610</v>
          </cell>
          <cell r="B1810" t="str">
            <v>עמלות תשלומי דלפק</v>
          </cell>
          <cell r="C1810">
            <v>95000</v>
          </cell>
          <cell r="D1810">
            <v>93685.55</v>
          </cell>
          <cell r="E1810">
            <v>0</v>
          </cell>
          <cell r="F1810">
            <v>93685.55</v>
          </cell>
          <cell r="G1810">
            <v>1314.45</v>
          </cell>
          <cell r="H1810">
            <v>98.61</v>
          </cell>
          <cell r="I1810">
            <v>100000</v>
          </cell>
          <cell r="J1810">
            <v>93685.55</v>
          </cell>
        </row>
        <row r="1811">
          <cell r="A1811">
            <v>1631000611</v>
          </cell>
          <cell r="B1811" t="str">
            <v>עמלות כרטיסי אשראי</v>
          </cell>
          <cell r="C1811">
            <v>2402835</v>
          </cell>
          <cell r="D1811">
            <v>2730682.61</v>
          </cell>
          <cell r="E1811">
            <v>0</v>
          </cell>
          <cell r="F1811">
            <v>2730682.61</v>
          </cell>
          <cell r="G1811">
            <v>-327847.61</v>
          </cell>
          <cell r="H1811">
            <v>113.64</v>
          </cell>
          <cell r="I1811">
            <v>2529300</v>
          </cell>
          <cell r="J1811">
            <v>2730682.61</v>
          </cell>
        </row>
        <row r="1812">
          <cell r="A1812">
            <v>1631000612</v>
          </cell>
          <cell r="B1812" t="str">
            <v>עמלת תשלום חוזרים</v>
          </cell>
          <cell r="C1812">
            <v>8550</v>
          </cell>
          <cell r="D1812">
            <v>4497.78</v>
          </cell>
          <cell r="E1812">
            <v>0</v>
          </cell>
          <cell r="F1812">
            <v>4497.78</v>
          </cell>
          <cell r="G1812">
            <v>4052.22</v>
          </cell>
          <cell r="H1812">
            <v>52.6</v>
          </cell>
          <cell r="I1812">
            <v>9000</v>
          </cell>
          <cell r="J1812">
            <v>4497.78</v>
          </cell>
        </row>
        <row r="1813">
          <cell r="A1813">
            <v>1631000613</v>
          </cell>
          <cell r="B1813" t="str">
            <v>עמלות הוראות קבע</v>
          </cell>
          <cell r="C1813">
            <v>42750</v>
          </cell>
          <cell r="D1813">
            <v>9304.5499999999993</v>
          </cell>
          <cell r="E1813">
            <v>0</v>
          </cell>
          <cell r="F1813">
            <v>9304.5499999999993</v>
          </cell>
          <cell r="G1813">
            <v>33445.449999999997</v>
          </cell>
          <cell r="H1813">
            <v>21.76</v>
          </cell>
          <cell r="I1813">
            <v>45000</v>
          </cell>
          <cell r="J1813">
            <v>9304.5499999999993</v>
          </cell>
        </row>
        <row r="1814">
          <cell r="A1814">
            <v>1631000614</v>
          </cell>
          <cell r="B1814" t="str">
            <v>עמלות שקים מעותדים</v>
          </cell>
          <cell r="C1814">
            <v>0</v>
          </cell>
          <cell r="D1814">
            <v>0</v>
          </cell>
          <cell r="E1814">
            <v>0</v>
          </cell>
          <cell r="F1814">
            <v>0</v>
          </cell>
          <cell r="G1814">
            <v>0</v>
          </cell>
          <cell r="H1814">
            <v>0</v>
          </cell>
          <cell r="I1814">
            <v>0</v>
          </cell>
          <cell r="J1814">
            <v>0</v>
          </cell>
        </row>
        <row r="1815">
          <cell r="A1815">
            <v>1631000615</v>
          </cell>
          <cell r="B1815" t="str">
            <v>סרטים מגנטיים-גביה</v>
          </cell>
          <cell r="C1815">
            <v>0</v>
          </cell>
          <cell r="D1815">
            <v>0</v>
          </cell>
          <cell r="E1815">
            <v>0</v>
          </cell>
          <cell r="F1815">
            <v>0</v>
          </cell>
          <cell r="G1815">
            <v>0</v>
          </cell>
          <cell r="H1815">
            <v>0</v>
          </cell>
          <cell r="I1815">
            <v>0</v>
          </cell>
          <cell r="J1815">
            <v>0</v>
          </cell>
        </row>
        <row r="1816">
          <cell r="A1816">
            <v>1631000616</v>
          </cell>
          <cell r="B1816" t="str">
            <v>דמי ניהול חשבון</v>
          </cell>
          <cell r="C1816">
            <v>6650</v>
          </cell>
          <cell r="D1816">
            <v>5544.06</v>
          </cell>
          <cell r="E1816">
            <v>0</v>
          </cell>
          <cell r="F1816">
            <v>5544.06</v>
          </cell>
          <cell r="G1816">
            <v>1105.94</v>
          </cell>
          <cell r="H1816">
            <v>83.36</v>
          </cell>
          <cell r="I1816">
            <v>7000</v>
          </cell>
          <cell r="J1816">
            <v>5544.06</v>
          </cell>
        </row>
        <row r="1817">
          <cell r="A1817">
            <v>1631000617</v>
          </cell>
          <cell r="B1817" t="str">
            <v>העברות בין בנקים</v>
          </cell>
          <cell r="C1817">
            <v>7600</v>
          </cell>
          <cell r="D1817">
            <v>1589.73</v>
          </cell>
          <cell r="E1817">
            <v>0</v>
          </cell>
          <cell r="F1817">
            <v>1589.73</v>
          </cell>
          <cell r="G1817">
            <v>6010.27</v>
          </cell>
          <cell r="H1817">
            <v>20.91</v>
          </cell>
          <cell r="I1817">
            <v>8000</v>
          </cell>
          <cell r="J1817">
            <v>1589.73</v>
          </cell>
        </row>
        <row r="1818">
          <cell r="A1818">
            <v>1631000619</v>
          </cell>
          <cell r="B1818" t="str">
            <v>ע'אחרות+פנקסי שקים</v>
          </cell>
          <cell r="C1818">
            <v>760000</v>
          </cell>
          <cell r="D1818">
            <v>417628.39</v>
          </cell>
          <cell r="E1818">
            <v>0</v>
          </cell>
          <cell r="F1818">
            <v>417628.39</v>
          </cell>
          <cell r="G1818">
            <v>342371.61</v>
          </cell>
          <cell r="H1818">
            <v>54.95</v>
          </cell>
          <cell r="I1818">
            <v>800000</v>
          </cell>
          <cell r="J1818">
            <v>417628.39</v>
          </cell>
        </row>
        <row r="1819">
          <cell r="A1819">
            <v>1631000694</v>
          </cell>
          <cell r="B1819" t="str">
            <v>החזר הצמדת פקדונות פינוי פסולת</v>
          </cell>
          <cell r="C1819">
            <v>9500</v>
          </cell>
          <cell r="D1819">
            <v>7310</v>
          </cell>
          <cell r="E1819">
            <v>0</v>
          </cell>
          <cell r="F1819">
            <v>7310</v>
          </cell>
          <cell r="G1819">
            <v>2190</v>
          </cell>
          <cell r="H1819">
            <v>76.94</v>
          </cell>
          <cell r="I1819">
            <v>10000</v>
          </cell>
          <cell r="J1819">
            <v>7310</v>
          </cell>
        </row>
        <row r="1820">
          <cell r="A1820">
            <v>1632000620</v>
          </cell>
          <cell r="B1820" t="str">
            <v>ריבית על משיכת יתר</v>
          </cell>
          <cell r="C1820">
            <v>1900</v>
          </cell>
          <cell r="D1820">
            <v>43.83</v>
          </cell>
          <cell r="E1820">
            <v>0</v>
          </cell>
          <cell r="F1820">
            <v>43.83</v>
          </cell>
          <cell r="G1820">
            <v>1856.17</v>
          </cell>
          <cell r="H1820">
            <v>2.2999999999999998</v>
          </cell>
          <cell r="I1820">
            <v>2000</v>
          </cell>
          <cell r="J1820">
            <v>43.83</v>
          </cell>
        </row>
        <row r="1821">
          <cell r="A1821">
            <v>1632000621</v>
          </cell>
          <cell r="B1821" t="str">
            <v>שיערוכים</v>
          </cell>
          <cell r="C1821">
            <v>0</v>
          </cell>
          <cell r="D1821">
            <v>0</v>
          </cell>
          <cell r="E1821">
            <v>0</v>
          </cell>
          <cell r="F1821">
            <v>0</v>
          </cell>
          <cell r="G1821">
            <v>0</v>
          </cell>
          <cell r="H1821">
            <v>0</v>
          </cell>
          <cell r="I1821">
            <v>0</v>
          </cell>
          <cell r="J1821">
            <v>0</v>
          </cell>
        </row>
        <row r="1822">
          <cell r="A1822">
            <v>1632000622</v>
          </cell>
          <cell r="B1822" t="str">
            <v>ריב'+הצמדה לפיקדון</v>
          </cell>
          <cell r="C1822">
            <v>0</v>
          </cell>
          <cell r="D1822">
            <v>0</v>
          </cell>
          <cell r="E1822">
            <v>0</v>
          </cell>
          <cell r="F1822">
            <v>0</v>
          </cell>
          <cell r="G1822">
            <v>0</v>
          </cell>
          <cell r="H1822">
            <v>0</v>
          </cell>
          <cell r="I1822">
            <v>0</v>
          </cell>
          <cell r="J1822">
            <v>0</v>
          </cell>
        </row>
        <row r="1823">
          <cell r="A1823">
            <v>1633000860</v>
          </cell>
          <cell r="B1823" t="str">
            <v>הנחות למשלמי מראש</v>
          </cell>
          <cell r="C1823">
            <v>1483425</v>
          </cell>
          <cell r="D1823">
            <v>1595381.44</v>
          </cell>
          <cell r="E1823">
            <v>0</v>
          </cell>
          <cell r="F1823">
            <v>1595381.44</v>
          </cell>
          <cell r="G1823">
            <v>-111956.44</v>
          </cell>
          <cell r="H1823">
            <v>107.54</v>
          </cell>
          <cell r="I1823">
            <v>1561500</v>
          </cell>
          <cell r="J1823">
            <v>1595381.44</v>
          </cell>
        </row>
        <row r="1824">
          <cell r="A1824">
            <v>1633000861</v>
          </cell>
          <cell r="B1824" t="str">
            <v>הנחות למשלמ'בה'קבע</v>
          </cell>
          <cell r="C1824">
            <v>0</v>
          </cell>
          <cell r="D1824">
            <v>0</v>
          </cell>
          <cell r="E1824">
            <v>0</v>
          </cell>
          <cell r="F1824">
            <v>0</v>
          </cell>
          <cell r="G1824">
            <v>0</v>
          </cell>
          <cell r="H1824">
            <v>0</v>
          </cell>
          <cell r="I1824">
            <v>0</v>
          </cell>
          <cell r="J1824">
            <v>0</v>
          </cell>
        </row>
        <row r="1825">
          <cell r="A1825">
            <v>1648000691</v>
          </cell>
          <cell r="B1825" t="str">
            <v>תשלומים ע"ח הקרן</v>
          </cell>
          <cell r="C1825">
            <v>57755060</v>
          </cell>
          <cell r="D1825">
            <v>61036931.350000001</v>
          </cell>
          <cell r="E1825">
            <v>0</v>
          </cell>
          <cell r="F1825">
            <v>61036931.350000001</v>
          </cell>
          <cell r="G1825">
            <v>-3281871.35</v>
          </cell>
          <cell r="H1825">
            <v>105.68</v>
          </cell>
          <cell r="I1825">
            <v>60794800</v>
          </cell>
          <cell r="J1825">
            <v>61036931.350000001</v>
          </cell>
        </row>
        <row r="1826">
          <cell r="A1826">
            <v>1648000692</v>
          </cell>
          <cell r="B1826" t="str">
            <v>תשלומים ע"ח הריבית</v>
          </cell>
          <cell r="C1826">
            <v>2542675</v>
          </cell>
          <cell r="D1826">
            <v>2868722.8</v>
          </cell>
          <cell r="E1826">
            <v>0</v>
          </cell>
          <cell r="F1826">
            <v>2868722.8</v>
          </cell>
          <cell r="G1826">
            <v>-326047.8</v>
          </cell>
          <cell r="H1826">
            <v>112.82</v>
          </cell>
          <cell r="I1826">
            <v>2676500</v>
          </cell>
          <cell r="J1826">
            <v>2868722.8</v>
          </cell>
        </row>
        <row r="1827">
          <cell r="A1827">
            <v>1648000693</v>
          </cell>
          <cell r="B1827" t="str">
            <v>תש' ע"ח הצמדה וערך</v>
          </cell>
          <cell r="C1827">
            <v>1917575</v>
          </cell>
          <cell r="D1827">
            <v>1702321.88</v>
          </cell>
          <cell r="E1827">
            <v>0</v>
          </cell>
          <cell r="F1827">
            <v>1702321.88</v>
          </cell>
          <cell r="G1827">
            <v>215253.12</v>
          </cell>
          <cell r="H1827">
            <v>88.77</v>
          </cell>
          <cell r="I1827">
            <v>2018500</v>
          </cell>
          <cell r="J1827">
            <v>1702321.88</v>
          </cell>
        </row>
        <row r="1828">
          <cell r="A1828">
            <v>1648000694</v>
          </cell>
          <cell r="B1828" t="str">
            <v>תשל' ע"ח קרן-מים</v>
          </cell>
          <cell r="C1828">
            <v>0</v>
          </cell>
          <cell r="D1828">
            <v>0</v>
          </cell>
          <cell r="E1828">
            <v>0</v>
          </cell>
          <cell r="F1828">
            <v>0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</row>
        <row r="1829">
          <cell r="A1829">
            <v>1648000695</v>
          </cell>
          <cell r="B1829" t="str">
            <v>תשל' ע"ח ריבית-מים</v>
          </cell>
          <cell r="C1829">
            <v>0</v>
          </cell>
          <cell r="D1829">
            <v>0</v>
          </cell>
          <cell r="E1829">
            <v>0</v>
          </cell>
          <cell r="F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</row>
        <row r="1830">
          <cell r="A1830">
            <v>1648000696</v>
          </cell>
          <cell r="B1830" t="str">
            <v>תשל' ע"ח הצמדה-מים</v>
          </cell>
          <cell r="C1830">
            <v>0</v>
          </cell>
          <cell r="D1830">
            <v>0</v>
          </cell>
          <cell r="E1830">
            <v>0</v>
          </cell>
          <cell r="F1830">
            <v>0</v>
          </cell>
          <cell r="G1830">
            <v>0</v>
          </cell>
          <cell r="H1830">
            <v>0</v>
          </cell>
          <cell r="I1830">
            <v>0</v>
          </cell>
          <cell r="J1830">
            <v>0</v>
          </cell>
        </row>
        <row r="1831">
          <cell r="A1831">
            <v>1648000697</v>
          </cell>
          <cell r="B1831" t="str">
            <v>תשל' ע"ח קרו-ביוב</v>
          </cell>
          <cell r="C1831">
            <v>0</v>
          </cell>
          <cell r="D1831">
            <v>0</v>
          </cell>
          <cell r="E1831">
            <v>0</v>
          </cell>
          <cell r="F1831">
            <v>0</v>
          </cell>
          <cell r="G1831">
            <v>0</v>
          </cell>
          <cell r="H1831">
            <v>0</v>
          </cell>
          <cell r="I1831">
            <v>0</v>
          </cell>
          <cell r="J1831">
            <v>0</v>
          </cell>
        </row>
        <row r="1832">
          <cell r="A1832">
            <v>1648000698</v>
          </cell>
          <cell r="B1832" t="str">
            <v>תש' ע"ח ריבית-ביוב</v>
          </cell>
          <cell r="C1832">
            <v>0</v>
          </cell>
          <cell r="D1832">
            <v>0</v>
          </cell>
          <cell r="E1832">
            <v>0</v>
          </cell>
          <cell r="F1832">
            <v>0</v>
          </cell>
          <cell r="G1832">
            <v>0</v>
          </cell>
          <cell r="H1832">
            <v>0</v>
          </cell>
          <cell r="I1832">
            <v>0</v>
          </cell>
          <cell r="J1832">
            <v>0</v>
          </cell>
        </row>
        <row r="1833">
          <cell r="A1833">
            <v>1648000699</v>
          </cell>
          <cell r="B1833" t="str">
            <v>תש' ע"ח הצמדה-ביוב</v>
          </cell>
          <cell r="C1833">
            <v>0</v>
          </cell>
          <cell r="D1833">
            <v>0</v>
          </cell>
          <cell r="E1833">
            <v>0</v>
          </cell>
          <cell r="F1833">
            <v>0</v>
          </cell>
          <cell r="G1833">
            <v>0</v>
          </cell>
          <cell r="H1833">
            <v>0</v>
          </cell>
          <cell r="I1833">
            <v>0</v>
          </cell>
          <cell r="J1833">
            <v>0</v>
          </cell>
        </row>
        <row r="1834">
          <cell r="A1834">
            <v>1648000701</v>
          </cell>
          <cell r="B1834" t="str">
            <v>קרן - הלוואה לממשלה</v>
          </cell>
          <cell r="C1834">
            <v>1687390</v>
          </cell>
          <cell r="D1834">
            <v>1776200</v>
          </cell>
          <cell r="E1834">
            <v>0</v>
          </cell>
          <cell r="F1834">
            <v>1776200</v>
          </cell>
          <cell r="G1834">
            <v>-88810</v>
          </cell>
          <cell r="H1834">
            <v>105.26</v>
          </cell>
          <cell r="I1834">
            <v>1776200</v>
          </cell>
          <cell r="J1834">
            <v>1776200</v>
          </cell>
        </row>
        <row r="1835">
          <cell r="A1835">
            <v>1648000702</v>
          </cell>
          <cell r="B1835" t="str">
            <v>ריבית - הלוואה לממשלה</v>
          </cell>
          <cell r="C1835">
            <v>111150</v>
          </cell>
          <cell r="D1835">
            <v>112805</v>
          </cell>
          <cell r="E1835">
            <v>0</v>
          </cell>
          <cell r="F1835">
            <v>112805</v>
          </cell>
          <cell r="G1835">
            <v>-1655</v>
          </cell>
          <cell r="H1835">
            <v>101.48</v>
          </cell>
          <cell r="I1835">
            <v>117000</v>
          </cell>
          <cell r="J1835">
            <v>112805</v>
          </cell>
        </row>
        <row r="1836">
          <cell r="A1836">
            <v>1648000703</v>
          </cell>
          <cell r="B1836" t="str">
            <v>הצמדה - הלוואה לממשלה</v>
          </cell>
          <cell r="C1836">
            <v>0</v>
          </cell>
          <cell r="D1836">
            <v>0</v>
          </cell>
          <cell r="E1836">
            <v>0</v>
          </cell>
          <cell r="F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</row>
        <row r="1837">
          <cell r="A1837">
            <v>1711100110</v>
          </cell>
          <cell r="B1837" t="str">
            <v>השכר הקובע-תקציבית</v>
          </cell>
          <cell r="C1837">
            <v>1016500</v>
          </cell>
          <cell r="D1837">
            <v>1357729.33</v>
          </cell>
          <cell r="E1837">
            <v>0</v>
          </cell>
          <cell r="F1837">
            <v>1357729.33</v>
          </cell>
          <cell r="G1837">
            <v>-341229.33</v>
          </cell>
          <cell r="H1837">
            <v>133.56</v>
          </cell>
          <cell r="I1837">
            <v>1070000</v>
          </cell>
          <cell r="J1837">
            <v>1357729.33</v>
          </cell>
        </row>
        <row r="1838">
          <cell r="A1838">
            <v>1711100119</v>
          </cell>
          <cell r="B1838" t="str">
            <v>השכר הקובע-צוברת</v>
          </cell>
          <cell r="C1838">
            <v>3770645</v>
          </cell>
          <cell r="D1838">
            <v>4050119.5</v>
          </cell>
          <cell r="E1838">
            <v>0</v>
          </cell>
          <cell r="F1838">
            <v>4050119.5</v>
          </cell>
          <cell r="G1838">
            <v>-279474.5</v>
          </cell>
          <cell r="H1838">
            <v>107.41</v>
          </cell>
          <cell r="I1838">
            <v>3969100</v>
          </cell>
          <cell r="J1838">
            <v>4050119.5</v>
          </cell>
        </row>
        <row r="1839">
          <cell r="A1839">
            <v>1711100122</v>
          </cell>
          <cell r="B1839" t="str">
            <v>ביגוד</v>
          </cell>
          <cell r="C1839">
            <v>48450</v>
          </cell>
          <cell r="D1839">
            <v>58592.55</v>
          </cell>
          <cell r="E1839">
            <v>0</v>
          </cell>
          <cell r="F1839">
            <v>58592.55</v>
          </cell>
          <cell r="G1839">
            <v>-10142.549999999999</v>
          </cell>
          <cell r="H1839">
            <v>120.93</v>
          </cell>
          <cell r="I1839">
            <v>51000</v>
          </cell>
          <cell r="J1839">
            <v>58592.55</v>
          </cell>
        </row>
        <row r="1840">
          <cell r="A1840">
            <v>1711100126</v>
          </cell>
          <cell r="B1840" t="str">
            <v>דמי הבראה</v>
          </cell>
          <cell r="C1840">
            <v>128250</v>
          </cell>
          <cell r="D1840">
            <v>138289.04999999999</v>
          </cell>
          <cell r="E1840">
            <v>0</v>
          </cell>
          <cell r="F1840">
            <v>138289.04999999999</v>
          </cell>
          <cell r="G1840">
            <v>-10039.049999999999</v>
          </cell>
          <cell r="H1840">
            <v>107.82</v>
          </cell>
          <cell r="I1840">
            <v>135000</v>
          </cell>
          <cell r="J1840">
            <v>138289.04999999999</v>
          </cell>
        </row>
        <row r="1841">
          <cell r="A1841">
            <v>1711100130</v>
          </cell>
          <cell r="B1841" t="str">
            <v>שעות נוספות</v>
          </cell>
          <cell r="C1841">
            <v>785650</v>
          </cell>
          <cell r="D1841">
            <v>727135.65</v>
          </cell>
          <cell r="E1841">
            <v>0</v>
          </cell>
          <cell r="F1841">
            <v>727135.65</v>
          </cell>
          <cell r="G1841">
            <v>58514.35</v>
          </cell>
          <cell r="H1841">
            <v>92.55</v>
          </cell>
          <cell r="I1841">
            <v>827000</v>
          </cell>
          <cell r="J1841">
            <v>727135.65</v>
          </cell>
        </row>
        <row r="1842">
          <cell r="A1842">
            <v>1711100140</v>
          </cell>
          <cell r="B1842" t="str">
            <v>השתתפות באחזקת רכב</v>
          </cell>
          <cell r="C1842">
            <v>451725</v>
          </cell>
          <cell r="D1842">
            <v>635011.79</v>
          </cell>
          <cell r="E1842">
            <v>0</v>
          </cell>
          <cell r="F1842">
            <v>635011.79</v>
          </cell>
          <cell r="G1842">
            <v>-183286.79</v>
          </cell>
          <cell r="H1842">
            <v>140.57</v>
          </cell>
          <cell r="I1842">
            <v>475500</v>
          </cell>
          <cell r="J1842">
            <v>635011.79</v>
          </cell>
        </row>
        <row r="1843">
          <cell r="A1843">
            <v>1711100253</v>
          </cell>
          <cell r="B1843" t="str">
            <v>עובדים חיצוניים</v>
          </cell>
          <cell r="C1843">
            <v>129770</v>
          </cell>
          <cell r="D1843">
            <v>62319.99</v>
          </cell>
          <cell r="E1843">
            <v>0</v>
          </cell>
          <cell r="F1843">
            <v>62319.99</v>
          </cell>
          <cell r="G1843">
            <v>67450.009999999995</v>
          </cell>
          <cell r="H1843">
            <v>48.02</v>
          </cell>
          <cell r="I1843">
            <v>136600</v>
          </cell>
          <cell r="J1843">
            <v>62319.99</v>
          </cell>
        </row>
        <row r="1844">
          <cell r="A1844">
            <v>1711100350</v>
          </cell>
          <cell r="B1844" t="str">
            <v>ליסינג - 363-92-903</v>
          </cell>
          <cell r="C1844">
            <v>50350</v>
          </cell>
          <cell r="D1844">
            <v>48556.83</v>
          </cell>
          <cell r="E1844">
            <v>0</v>
          </cell>
          <cell r="F1844">
            <v>48556.83</v>
          </cell>
          <cell r="G1844">
            <v>1793.17</v>
          </cell>
          <cell r="H1844">
            <v>96.43</v>
          </cell>
          <cell r="I1844">
            <v>53000</v>
          </cell>
          <cell r="J1844">
            <v>48556.83</v>
          </cell>
        </row>
        <row r="1845">
          <cell r="A1845">
            <v>1711100351</v>
          </cell>
          <cell r="B1845" t="str">
            <v>הוצאות רכב 363-92-903</v>
          </cell>
          <cell r="C1845">
            <v>28975</v>
          </cell>
          <cell r="D1845">
            <v>1135.44</v>
          </cell>
          <cell r="E1845">
            <v>0</v>
          </cell>
          <cell r="F1845">
            <v>1135.44</v>
          </cell>
          <cell r="G1845">
            <v>27839.56</v>
          </cell>
          <cell r="H1845">
            <v>3.91</v>
          </cell>
          <cell r="I1845">
            <v>30500</v>
          </cell>
          <cell r="J1845">
            <v>1135.44</v>
          </cell>
        </row>
        <row r="1846">
          <cell r="A1846">
            <v>1711100470</v>
          </cell>
          <cell r="B1846" t="str">
            <v>אחזקת מכונות משרד</v>
          </cell>
          <cell r="C1846">
            <v>1995</v>
          </cell>
          <cell r="D1846">
            <v>1375.91</v>
          </cell>
          <cell r="E1846">
            <v>0</v>
          </cell>
          <cell r="F1846">
            <v>1375.91</v>
          </cell>
          <cell r="G1846">
            <v>619.09</v>
          </cell>
          <cell r="H1846">
            <v>68.959999999999994</v>
          </cell>
          <cell r="I1846">
            <v>2100</v>
          </cell>
          <cell r="J1846">
            <v>1375.91</v>
          </cell>
        </row>
        <row r="1847">
          <cell r="A1847">
            <v>1711100471</v>
          </cell>
          <cell r="B1847" t="str">
            <v>מכשירי כתיבה</v>
          </cell>
          <cell r="C1847">
            <v>17765</v>
          </cell>
          <cell r="D1847">
            <v>18016.349999999999</v>
          </cell>
          <cell r="E1847">
            <v>283.54000000000002</v>
          </cell>
          <cell r="F1847">
            <v>18299.89</v>
          </cell>
          <cell r="G1847">
            <v>-534.89</v>
          </cell>
          <cell r="H1847">
            <v>103.01</v>
          </cell>
          <cell r="I1847">
            <v>18700</v>
          </cell>
          <cell r="J1847">
            <v>18016.349999999999</v>
          </cell>
        </row>
        <row r="1848">
          <cell r="A1848">
            <v>1711100492</v>
          </cell>
          <cell r="B1848" t="str">
            <v>השתתפות בעזר 092</v>
          </cell>
          <cell r="C1848">
            <v>229900</v>
          </cell>
          <cell r="D1848">
            <v>264984</v>
          </cell>
          <cell r="E1848">
            <v>0</v>
          </cell>
          <cell r="F1848">
            <v>264984</v>
          </cell>
          <cell r="G1848">
            <v>-35084</v>
          </cell>
          <cell r="H1848">
            <v>115.26</v>
          </cell>
          <cell r="I1848">
            <v>242000</v>
          </cell>
          <cell r="J1848">
            <v>264984</v>
          </cell>
        </row>
        <row r="1849">
          <cell r="A1849">
            <v>1711100511</v>
          </cell>
          <cell r="B1849" t="str">
            <v>אירוח וכיבוד</v>
          </cell>
          <cell r="C1849">
            <v>1995</v>
          </cell>
          <cell r="D1849">
            <v>908.38</v>
          </cell>
          <cell r="E1849">
            <v>0</v>
          </cell>
          <cell r="F1849">
            <v>908.38</v>
          </cell>
          <cell r="G1849">
            <v>1086.6199999999999</v>
          </cell>
          <cell r="H1849">
            <v>45.53</v>
          </cell>
          <cell r="I1849">
            <v>2100</v>
          </cell>
          <cell r="J1849">
            <v>908.38</v>
          </cell>
        </row>
        <row r="1850">
          <cell r="A1850">
            <v>1711100512</v>
          </cell>
          <cell r="B1850" t="str">
            <v>נסיעות ואש"ל</v>
          </cell>
          <cell r="C1850">
            <v>855</v>
          </cell>
          <cell r="D1850">
            <v>85</v>
          </cell>
          <cell r="E1850">
            <v>0</v>
          </cell>
          <cell r="F1850">
            <v>85</v>
          </cell>
          <cell r="G1850">
            <v>770</v>
          </cell>
          <cell r="H1850">
            <v>9.94</v>
          </cell>
          <cell r="I1850">
            <v>900</v>
          </cell>
          <cell r="J1850">
            <v>85</v>
          </cell>
        </row>
        <row r="1851">
          <cell r="A1851">
            <v>1711100522</v>
          </cell>
          <cell r="B1851" t="str">
            <v>ספרים ועיתונים</v>
          </cell>
          <cell r="C1851">
            <v>0</v>
          </cell>
          <cell r="D1851">
            <v>0</v>
          </cell>
          <cell r="E1851">
            <v>0</v>
          </cell>
          <cell r="F1851">
            <v>0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</row>
        <row r="1852">
          <cell r="A1852">
            <v>1711100544</v>
          </cell>
          <cell r="B1852" t="str">
            <v>הוצאות דאר</v>
          </cell>
          <cell r="C1852">
            <v>1615</v>
          </cell>
          <cell r="D1852">
            <v>0</v>
          </cell>
          <cell r="E1852">
            <v>0</v>
          </cell>
          <cell r="F1852">
            <v>0</v>
          </cell>
          <cell r="G1852">
            <v>1615</v>
          </cell>
          <cell r="H1852">
            <v>0</v>
          </cell>
          <cell r="I1852">
            <v>1700</v>
          </cell>
          <cell r="J1852">
            <v>0</v>
          </cell>
        </row>
        <row r="1853">
          <cell r="A1853">
            <v>1711100550</v>
          </cell>
          <cell r="B1853" t="str">
            <v>פירסומים</v>
          </cell>
          <cell r="C1853">
            <v>0</v>
          </cell>
          <cell r="D1853">
            <v>0</v>
          </cell>
          <cell r="E1853">
            <v>0</v>
          </cell>
          <cell r="F1853">
            <v>0</v>
          </cell>
          <cell r="G1853">
            <v>0</v>
          </cell>
          <cell r="H1853">
            <v>0</v>
          </cell>
          <cell r="I1853">
            <v>0</v>
          </cell>
          <cell r="J1853">
            <v>0</v>
          </cell>
        </row>
        <row r="1854">
          <cell r="A1854">
            <v>1711100561</v>
          </cell>
          <cell r="B1854" t="str">
            <v>שיכפולים</v>
          </cell>
          <cell r="C1854">
            <v>760</v>
          </cell>
          <cell r="D1854">
            <v>634.94000000000005</v>
          </cell>
          <cell r="E1854">
            <v>0</v>
          </cell>
          <cell r="F1854">
            <v>634.94000000000005</v>
          </cell>
          <cell r="G1854">
            <v>125.06</v>
          </cell>
          <cell r="H1854">
            <v>83.54</v>
          </cell>
          <cell r="I1854">
            <v>800</v>
          </cell>
          <cell r="J1854">
            <v>634.94000000000005</v>
          </cell>
        </row>
        <row r="1855">
          <cell r="A1855">
            <v>1711100562</v>
          </cell>
          <cell r="B1855" t="str">
            <v>הדפסות</v>
          </cell>
          <cell r="C1855">
            <v>2660</v>
          </cell>
          <cell r="D1855">
            <v>0</v>
          </cell>
          <cell r="E1855">
            <v>0</v>
          </cell>
          <cell r="F1855">
            <v>0</v>
          </cell>
          <cell r="G1855">
            <v>2660</v>
          </cell>
          <cell r="H1855">
            <v>0</v>
          </cell>
          <cell r="I1855">
            <v>2800</v>
          </cell>
          <cell r="J1855">
            <v>0</v>
          </cell>
        </row>
        <row r="1856">
          <cell r="A1856">
            <v>1711100571</v>
          </cell>
          <cell r="B1856" t="str">
            <v>מיכון וענ"א</v>
          </cell>
          <cell r="C1856">
            <v>165110</v>
          </cell>
          <cell r="D1856">
            <v>173800</v>
          </cell>
          <cell r="E1856">
            <v>0</v>
          </cell>
          <cell r="F1856">
            <v>173800</v>
          </cell>
          <cell r="G1856">
            <v>-8690</v>
          </cell>
          <cell r="H1856">
            <v>105.26</v>
          </cell>
          <cell r="I1856">
            <v>173800</v>
          </cell>
          <cell r="J1856">
            <v>173800</v>
          </cell>
        </row>
        <row r="1857">
          <cell r="A1857">
            <v>1711100580</v>
          </cell>
          <cell r="B1857" t="str">
            <v>יעוץ חיצוני</v>
          </cell>
          <cell r="C1857">
            <v>29300</v>
          </cell>
          <cell r="D1857">
            <v>29500</v>
          </cell>
          <cell r="E1857">
            <v>0</v>
          </cell>
          <cell r="F1857">
            <v>29500</v>
          </cell>
          <cell r="G1857">
            <v>-200</v>
          </cell>
          <cell r="H1857">
            <v>100.68</v>
          </cell>
          <cell r="I1857">
            <v>29300</v>
          </cell>
          <cell r="J1857">
            <v>29500</v>
          </cell>
        </row>
        <row r="1858">
          <cell r="A1858">
            <v>1711100596</v>
          </cell>
          <cell r="B1858" t="str">
            <v>השתתפות בעזר 096</v>
          </cell>
          <cell r="C1858">
            <v>1116861</v>
          </cell>
          <cell r="D1858">
            <v>1005209.6</v>
          </cell>
          <cell r="E1858">
            <v>0</v>
          </cell>
          <cell r="F1858">
            <v>1005209.6</v>
          </cell>
          <cell r="G1858">
            <v>111651.4</v>
          </cell>
          <cell r="H1858">
            <v>90</v>
          </cell>
          <cell r="I1858">
            <v>1175643</v>
          </cell>
          <cell r="J1858">
            <v>1005209.6</v>
          </cell>
        </row>
        <row r="1859">
          <cell r="A1859">
            <v>1711100794</v>
          </cell>
          <cell r="B1859" t="str">
            <v>השתתפות בעזר 094</v>
          </cell>
          <cell r="C1859">
            <v>71250</v>
          </cell>
          <cell r="D1859">
            <v>89453</v>
          </cell>
          <cell r="E1859">
            <v>0</v>
          </cell>
          <cell r="F1859">
            <v>89453</v>
          </cell>
          <cell r="G1859">
            <v>-18203</v>
          </cell>
          <cell r="H1859">
            <v>125.54</v>
          </cell>
          <cell r="I1859">
            <v>75000</v>
          </cell>
          <cell r="J1859">
            <v>89453</v>
          </cell>
        </row>
        <row r="1860">
          <cell r="A1860">
            <v>1711200757</v>
          </cell>
          <cell r="B1860" t="str">
            <v>הדבקת מודעות-קבלן</v>
          </cell>
          <cell r="C1860">
            <v>0</v>
          </cell>
          <cell r="D1860">
            <v>0</v>
          </cell>
          <cell r="E1860">
            <v>0</v>
          </cell>
          <cell r="F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</row>
        <row r="1861">
          <cell r="A1861">
            <v>1712200255</v>
          </cell>
          <cell r="B1861" t="str">
            <v>ניקוי מגרשים - עובדים</v>
          </cell>
          <cell r="C1861">
            <v>0</v>
          </cell>
          <cell r="D1861">
            <v>0</v>
          </cell>
          <cell r="E1861">
            <v>0</v>
          </cell>
          <cell r="F1861">
            <v>0</v>
          </cell>
          <cell r="G1861">
            <v>0</v>
          </cell>
          <cell r="H1861">
            <v>0</v>
          </cell>
          <cell r="I1861">
            <v>0</v>
          </cell>
          <cell r="J1861">
            <v>0</v>
          </cell>
        </row>
        <row r="1862">
          <cell r="A1862">
            <v>1712200431</v>
          </cell>
          <cell r="B1862" t="str">
            <v>חשמל</v>
          </cell>
          <cell r="C1862">
            <v>6270</v>
          </cell>
          <cell r="D1862">
            <v>3875.82</v>
          </cell>
          <cell r="E1862">
            <v>0</v>
          </cell>
          <cell r="F1862">
            <v>3875.82</v>
          </cell>
          <cell r="G1862">
            <v>2394.1799999999998</v>
          </cell>
          <cell r="H1862">
            <v>61.81</v>
          </cell>
          <cell r="I1862">
            <v>6600</v>
          </cell>
          <cell r="J1862">
            <v>3875.82</v>
          </cell>
        </row>
        <row r="1863">
          <cell r="A1863">
            <v>1712200441</v>
          </cell>
          <cell r="B1863" t="str">
            <v>ביטוח מחסנים</v>
          </cell>
          <cell r="C1863">
            <v>0</v>
          </cell>
          <cell r="D1863">
            <v>0</v>
          </cell>
          <cell r="E1863">
            <v>0</v>
          </cell>
          <cell r="F1863">
            <v>0</v>
          </cell>
          <cell r="G1863">
            <v>0</v>
          </cell>
          <cell r="H1863">
            <v>0</v>
          </cell>
          <cell r="I1863">
            <v>0</v>
          </cell>
          <cell r="J1863">
            <v>0</v>
          </cell>
        </row>
        <row r="1864">
          <cell r="A1864">
            <v>1712200561</v>
          </cell>
          <cell r="B1864" t="str">
            <v>שיכפולים</v>
          </cell>
          <cell r="C1864">
            <v>3895</v>
          </cell>
          <cell r="D1864">
            <v>173.54</v>
          </cell>
          <cell r="E1864">
            <v>0</v>
          </cell>
          <cell r="F1864">
            <v>173.54</v>
          </cell>
          <cell r="G1864">
            <v>3721.46</v>
          </cell>
          <cell r="H1864">
            <v>4.45</v>
          </cell>
          <cell r="I1864">
            <v>4100</v>
          </cell>
          <cell r="J1864">
            <v>173.54</v>
          </cell>
        </row>
        <row r="1865">
          <cell r="A1865">
            <v>1712200580</v>
          </cell>
          <cell r="B1865" t="str">
            <v>יעוץ חיצוני</v>
          </cell>
          <cell r="C1865">
            <v>0</v>
          </cell>
          <cell r="D1865">
            <v>0</v>
          </cell>
          <cell r="E1865">
            <v>0</v>
          </cell>
          <cell r="F1865">
            <v>0</v>
          </cell>
          <cell r="G1865">
            <v>0</v>
          </cell>
          <cell r="H1865">
            <v>0</v>
          </cell>
          <cell r="I1865">
            <v>0</v>
          </cell>
          <cell r="J1865">
            <v>0</v>
          </cell>
        </row>
        <row r="1866">
          <cell r="A1866">
            <v>1712200596</v>
          </cell>
          <cell r="B1866" t="str">
            <v>השתתפות בעזר 096</v>
          </cell>
          <cell r="C1866">
            <v>0</v>
          </cell>
          <cell r="D1866">
            <v>0</v>
          </cell>
          <cell r="E1866">
            <v>0</v>
          </cell>
          <cell r="F1866">
            <v>0</v>
          </cell>
          <cell r="G1866">
            <v>0</v>
          </cell>
          <cell r="H1866">
            <v>0</v>
          </cell>
          <cell r="I1866">
            <v>0</v>
          </cell>
          <cell r="J1866">
            <v>0</v>
          </cell>
        </row>
        <row r="1867">
          <cell r="A1867">
            <v>1712200715</v>
          </cell>
          <cell r="B1867" t="str">
            <v>עבודות קבלניות רכב</v>
          </cell>
          <cell r="C1867">
            <v>832770</v>
          </cell>
          <cell r="D1867">
            <v>781402.87</v>
          </cell>
          <cell r="E1867">
            <v>0</v>
          </cell>
          <cell r="F1867">
            <v>781402.87</v>
          </cell>
          <cell r="G1867">
            <v>51367.13</v>
          </cell>
          <cell r="H1867">
            <v>93.83</v>
          </cell>
          <cell r="I1867">
            <v>876600</v>
          </cell>
          <cell r="J1867">
            <v>781402.87</v>
          </cell>
        </row>
        <row r="1868">
          <cell r="A1868">
            <v>1712200716</v>
          </cell>
          <cell r="B1868" t="str">
            <v>השכרת מכונת טיאוט</v>
          </cell>
          <cell r="C1868">
            <v>0</v>
          </cell>
          <cell r="D1868">
            <v>0</v>
          </cell>
          <cell r="E1868">
            <v>0</v>
          </cell>
          <cell r="F1868">
            <v>0</v>
          </cell>
          <cell r="G1868">
            <v>0</v>
          </cell>
          <cell r="H1868">
            <v>0</v>
          </cell>
          <cell r="I1868">
            <v>0</v>
          </cell>
          <cell r="J1868">
            <v>0</v>
          </cell>
        </row>
        <row r="1869">
          <cell r="A1869">
            <v>1712200722</v>
          </cell>
          <cell r="B1869" t="str">
            <v>חמרים-תחזוקה עצמית</v>
          </cell>
          <cell r="C1869">
            <v>6365</v>
          </cell>
          <cell r="D1869">
            <v>6526.98</v>
          </cell>
          <cell r="E1869">
            <v>0</v>
          </cell>
          <cell r="F1869">
            <v>6526.98</v>
          </cell>
          <cell r="G1869">
            <v>-161.97999999999999</v>
          </cell>
          <cell r="H1869">
            <v>102.54</v>
          </cell>
          <cell r="I1869">
            <v>6700</v>
          </cell>
          <cell r="J1869">
            <v>6526.98</v>
          </cell>
        </row>
        <row r="1870">
          <cell r="A1870">
            <v>1712200723</v>
          </cell>
          <cell r="B1870" t="str">
            <v>שקיות אשפה</v>
          </cell>
          <cell r="C1870">
            <v>44500</v>
          </cell>
          <cell r="D1870">
            <v>43536</v>
          </cell>
          <cell r="E1870">
            <v>0</v>
          </cell>
          <cell r="F1870">
            <v>43536</v>
          </cell>
          <cell r="G1870">
            <v>964</v>
          </cell>
          <cell r="H1870">
            <v>97.83</v>
          </cell>
          <cell r="I1870">
            <v>44500</v>
          </cell>
          <cell r="J1870">
            <v>43536</v>
          </cell>
        </row>
        <row r="1871">
          <cell r="A1871">
            <v>1712200742</v>
          </cell>
          <cell r="B1871" t="str">
            <v>כלים וציוד</v>
          </cell>
          <cell r="C1871">
            <v>0</v>
          </cell>
          <cell r="D1871">
            <v>0</v>
          </cell>
          <cell r="E1871">
            <v>0</v>
          </cell>
          <cell r="F1871">
            <v>0</v>
          </cell>
          <cell r="G1871">
            <v>0</v>
          </cell>
          <cell r="H1871">
            <v>0</v>
          </cell>
          <cell r="I1871">
            <v>0</v>
          </cell>
          <cell r="J1871">
            <v>0</v>
          </cell>
        </row>
        <row r="1872">
          <cell r="A1872">
            <v>1712200745</v>
          </cell>
          <cell r="B1872" t="str">
            <v>תיקון נזקים</v>
          </cell>
          <cell r="C1872">
            <v>8170</v>
          </cell>
          <cell r="D1872">
            <v>0</v>
          </cell>
          <cell r="E1872">
            <v>0</v>
          </cell>
          <cell r="F1872">
            <v>0</v>
          </cell>
          <cell r="G1872">
            <v>8170</v>
          </cell>
          <cell r="H1872">
            <v>0</v>
          </cell>
          <cell r="I1872">
            <v>8600</v>
          </cell>
          <cell r="J1872">
            <v>0</v>
          </cell>
        </row>
        <row r="1873">
          <cell r="A1873">
            <v>1712200752</v>
          </cell>
          <cell r="B1873" t="str">
            <v>אספקת ג'טר</v>
          </cell>
          <cell r="C1873">
            <v>0</v>
          </cell>
          <cell r="D1873">
            <v>0</v>
          </cell>
          <cell r="E1873">
            <v>0</v>
          </cell>
          <cell r="F1873">
            <v>0</v>
          </cell>
          <cell r="G1873">
            <v>0</v>
          </cell>
          <cell r="H1873">
            <v>0</v>
          </cell>
          <cell r="I1873">
            <v>0</v>
          </cell>
          <cell r="J1873">
            <v>0</v>
          </cell>
        </row>
        <row r="1874">
          <cell r="A1874">
            <v>1712200754</v>
          </cell>
          <cell r="B1874" t="str">
            <v>הסרת גרפיטי מהמרחב הציבורי</v>
          </cell>
          <cell r="C1874">
            <v>0</v>
          </cell>
          <cell r="D1874">
            <v>0</v>
          </cell>
          <cell r="E1874">
            <v>0</v>
          </cell>
          <cell r="F1874">
            <v>0</v>
          </cell>
          <cell r="G1874">
            <v>0</v>
          </cell>
          <cell r="H1874">
            <v>0</v>
          </cell>
          <cell r="I1874">
            <v>0</v>
          </cell>
          <cell r="J1874">
            <v>0</v>
          </cell>
        </row>
        <row r="1875">
          <cell r="A1875">
            <v>1712200755</v>
          </cell>
          <cell r="B1875" t="str">
            <v>אספקת פועלים</v>
          </cell>
          <cell r="C1875">
            <v>0</v>
          </cell>
          <cell r="D1875">
            <v>0</v>
          </cell>
          <cell r="E1875">
            <v>0</v>
          </cell>
          <cell r="F1875">
            <v>0</v>
          </cell>
          <cell r="G1875">
            <v>0</v>
          </cell>
          <cell r="H1875">
            <v>0</v>
          </cell>
          <cell r="I1875">
            <v>0</v>
          </cell>
          <cell r="J1875">
            <v>0</v>
          </cell>
        </row>
        <row r="1876">
          <cell r="A1876">
            <v>1712200757</v>
          </cell>
          <cell r="B1876" t="str">
            <v>תיקון מבני מנהלי רובע</v>
          </cell>
          <cell r="C1876">
            <v>0</v>
          </cell>
          <cell r="D1876">
            <v>0</v>
          </cell>
          <cell r="E1876">
            <v>0</v>
          </cell>
          <cell r="F1876">
            <v>0</v>
          </cell>
          <cell r="G1876">
            <v>0</v>
          </cell>
          <cell r="H1876">
            <v>0</v>
          </cell>
          <cell r="I1876">
            <v>0</v>
          </cell>
          <cell r="J1876">
            <v>0</v>
          </cell>
        </row>
        <row r="1877">
          <cell r="A1877">
            <v>1712200758</v>
          </cell>
          <cell r="B1877" t="str">
            <v>נקוי רח'בקבלנות</v>
          </cell>
          <cell r="C1877">
            <v>30644700</v>
          </cell>
          <cell r="D1877">
            <v>29606334.190000001</v>
          </cell>
          <cell r="E1877">
            <v>0</v>
          </cell>
          <cell r="F1877">
            <v>29606334.190000001</v>
          </cell>
          <cell r="G1877">
            <v>1038365.81</v>
          </cell>
          <cell r="H1877">
            <v>96.61</v>
          </cell>
          <cell r="I1877">
            <v>30644700</v>
          </cell>
          <cell r="J1877">
            <v>29606334.190000001</v>
          </cell>
        </row>
        <row r="1878">
          <cell r="A1878">
            <v>1712200759</v>
          </cell>
          <cell r="B1878" t="str">
            <v>פנוי גזם</v>
          </cell>
          <cell r="C1878">
            <v>7736800</v>
          </cell>
          <cell r="D1878">
            <v>7932392.2400000002</v>
          </cell>
          <cell r="E1878">
            <v>0</v>
          </cell>
          <cell r="F1878">
            <v>7932392.2400000002</v>
          </cell>
          <cell r="G1878">
            <v>-195592.24</v>
          </cell>
          <cell r="H1878">
            <v>102.52</v>
          </cell>
          <cell r="I1878">
            <v>8144000</v>
          </cell>
          <cell r="J1878">
            <v>7932392.2400000002</v>
          </cell>
        </row>
        <row r="1879">
          <cell r="A1879">
            <v>1712200794</v>
          </cell>
          <cell r="B1879" t="str">
            <v>השתתפות בעזר 094</v>
          </cell>
          <cell r="C1879">
            <v>249850</v>
          </cell>
          <cell r="D1879">
            <v>313684</v>
          </cell>
          <cell r="E1879">
            <v>0</v>
          </cell>
          <cell r="F1879">
            <v>313684</v>
          </cell>
          <cell r="G1879">
            <v>-63834</v>
          </cell>
          <cell r="H1879">
            <v>125.54</v>
          </cell>
          <cell r="I1879">
            <v>263000</v>
          </cell>
          <cell r="J1879">
            <v>313684</v>
          </cell>
        </row>
        <row r="1880">
          <cell r="A1880">
            <v>1712200934</v>
          </cell>
          <cell r="B1880" t="str">
            <v>רכישת סלי אשפה</v>
          </cell>
          <cell r="C1880">
            <v>0</v>
          </cell>
          <cell r="D1880">
            <v>0</v>
          </cell>
          <cell r="E1880">
            <v>0</v>
          </cell>
          <cell r="F1880">
            <v>0</v>
          </cell>
          <cell r="G1880">
            <v>0</v>
          </cell>
          <cell r="H1880">
            <v>0</v>
          </cell>
          <cell r="I1880">
            <v>0</v>
          </cell>
          <cell r="J1880">
            <v>0</v>
          </cell>
        </row>
        <row r="1881">
          <cell r="A1881">
            <v>1712200935</v>
          </cell>
          <cell r="B1881" t="str">
            <v>מתקני איסוף גללים</v>
          </cell>
          <cell r="C1881">
            <v>0</v>
          </cell>
          <cell r="D1881">
            <v>0</v>
          </cell>
          <cell r="E1881">
            <v>0</v>
          </cell>
          <cell r="F1881">
            <v>0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</row>
        <row r="1882">
          <cell r="A1882">
            <v>1712200960</v>
          </cell>
          <cell r="B1882" t="str">
            <v>מבצעי נקיון</v>
          </cell>
          <cell r="C1882">
            <v>0</v>
          </cell>
          <cell r="D1882">
            <v>0</v>
          </cell>
          <cell r="E1882">
            <v>0</v>
          </cell>
          <cell r="F1882">
            <v>0</v>
          </cell>
          <cell r="G1882">
            <v>0</v>
          </cell>
          <cell r="H1882">
            <v>0</v>
          </cell>
          <cell r="I1882">
            <v>0</v>
          </cell>
          <cell r="J1882">
            <v>0</v>
          </cell>
        </row>
        <row r="1883">
          <cell r="A1883">
            <v>1712200961</v>
          </cell>
          <cell r="B1883" t="str">
            <v>פעולות ורכישות</v>
          </cell>
          <cell r="C1883">
            <v>0</v>
          </cell>
          <cell r="D1883">
            <v>0</v>
          </cell>
          <cell r="E1883">
            <v>0</v>
          </cell>
          <cell r="F1883">
            <v>0</v>
          </cell>
          <cell r="G1883">
            <v>0</v>
          </cell>
          <cell r="H1883">
            <v>0</v>
          </cell>
          <cell r="I1883">
            <v>0</v>
          </cell>
          <cell r="J1883">
            <v>0</v>
          </cell>
        </row>
        <row r="1884">
          <cell r="A1884">
            <v>1712300110</v>
          </cell>
          <cell r="B1884" t="str">
            <v>השכר הקובע-תקציבית</v>
          </cell>
          <cell r="C1884">
            <v>4115590</v>
          </cell>
          <cell r="D1884">
            <v>5157801.1900000004</v>
          </cell>
          <cell r="E1884">
            <v>0</v>
          </cell>
          <cell r="F1884">
            <v>5157801.1900000004</v>
          </cell>
          <cell r="G1884">
            <v>-1042211.19</v>
          </cell>
          <cell r="H1884">
            <v>125.32</v>
          </cell>
          <cell r="I1884">
            <v>4332200</v>
          </cell>
          <cell r="J1884">
            <v>5157801.1900000004</v>
          </cell>
        </row>
        <row r="1885">
          <cell r="A1885">
            <v>1712300119</v>
          </cell>
          <cell r="B1885" t="str">
            <v>השכר הקובע-צוברת</v>
          </cell>
          <cell r="C1885">
            <v>4664500</v>
          </cell>
          <cell r="D1885">
            <v>5172621.57</v>
          </cell>
          <cell r="E1885">
            <v>0</v>
          </cell>
          <cell r="F1885">
            <v>5172621.57</v>
          </cell>
          <cell r="G1885">
            <v>-508121.57</v>
          </cell>
          <cell r="H1885">
            <v>110.89</v>
          </cell>
          <cell r="I1885">
            <v>4910000</v>
          </cell>
          <cell r="J1885">
            <v>5172621.57</v>
          </cell>
        </row>
        <row r="1886">
          <cell r="A1886">
            <v>1712300122</v>
          </cell>
          <cell r="B1886" t="str">
            <v>ביגוד</v>
          </cell>
          <cell r="C1886">
            <v>122550</v>
          </cell>
          <cell r="D1886">
            <v>121115.52</v>
          </cell>
          <cell r="E1886">
            <v>0</v>
          </cell>
          <cell r="F1886">
            <v>121115.52</v>
          </cell>
          <cell r="G1886">
            <v>1434.48</v>
          </cell>
          <cell r="H1886">
            <v>98.82</v>
          </cell>
          <cell r="I1886">
            <v>129000</v>
          </cell>
          <cell r="J1886">
            <v>121115.52</v>
          </cell>
        </row>
        <row r="1887">
          <cell r="A1887">
            <v>1712300126</v>
          </cell>
          <cell r="B1887" t="str">
            <v>דמי הבראה</v>
          </cell>
          <cell r="C1887">
            <v>353400</v>
          </cell>
          <cell r="D1887">
            <v>361055.6</v>
          </cell>
          <cell r="E1887">
            <v>0</v>
          </cell>
          <cell r="F1887">
            <v>361055.6</v>
          </cell>
          <cell r="G1887">
            <v>-7655.6</v>
          </cell>
          <cell r="H1887">
            <v>102.16</v>
          </cell>
          <cell r="I1887">
            <v>372000</v>
          </cell>
          <cell r="J1887">
            <v>361055.6</v>
          </cell>
        </row>
        <row r="1888">
          <cell r="A1888">
            <v>1712300130</v>
          </cell>
          <cell r="B1888" t="str">
            <v>שעות נוספות</v>
          </cell>
          <cell r="C1888">
            <v>4465000</v>
          </cell>
          <cell r="D1888">
            <v>4967774.5199999996</v>
          </cell>
          <cell r="E1888">
            <v>0</v>
          </cell>
          <cell r="F1888">
            <v>4967774.5199999996</v>
          </cell>
          <cell r="G1888">
            <v>-502774.52</v>
          </cell>
          <cell r="H1888">
            <v>111.26</v>
          </cell>
          <cell r="I1888">
            <v>4700000</v>
          </cell>
          <cell r="J1888">
            <v>4967774.5199999996</v>
          </cell>
        </row>
        <row r="1889">
          <cell r="A1889">
            <v>1712300140</v>
          </cell>
          <cell r="B1889" t="str">
            <v>השתתפות באחזקת רכב</v>
          </cell>
          <cell r="C1889">
            <v>289560</v>
          </cell>
          <cell r="D1889">
            <v>228162.86</v>
          </cell>
          <cell r="E1889">
            <v>0</v>
          </cell>
          <cell r="F1889">
            <v>228162.86</v>
          </cell>
          <cell r="G1889">
            <v>61397.14</v>
          </cell>
          <cell r="H1889">
            <v>78.790000000000006</v>
          </cell>
          <cell r="I1889">
            <v>304800</v>
          </cell>
          <cell r="J1889">
            <v>228162.86</v>
          </cell>
        </row>
        <row r="1890">
          <cell r="A1890">
            <v>1712300253</v>
          </cell>
          <cell r="B1890" t="str">
            <v>אספקת עובדים</v>
          </cell>
          <cell r="C1890">
            <v>1417400</v>
          </cell>
          <cell r="D1890">
            <v>1573226.65</v>
          </cell>
          <cell r="E1890">
            <v>0</v>
          </cell>
          <cell r="F1890">
            <v>1573226.65</v>
          </cell>
          <cell r="G1890">
            <v>-155826.65</v>
          </cell>
          <cell r="H1890">
            <v>110.99</v>
          </cell>
          <cell r="I1890">
            <v>1492000</v>
          </cell>
          <cell r="J1890">
            <v>1573226.65</v>
          </cell>
        </row>
        <row r="1891">
          <cell r="A1891">
            <v>1712300255</v>
          </cell>
          <cell r="B1891" t="str">
            <v>אספקת פועלים</v>
          </cell>
          <cell r="C1891">
            <v>103550</v>
          </cell>
          <cell r="D1891">
            <v>69680</v>
          </cell>
          <cell r="E1891">
            <v>0</v>
          </cell>
          <cell r="F1891">
            <v>69680</v>
          </cell>
          <cell r="G1891">
            <v>33870</v>
          </cell>
          <cell r="H1891">
            <v>67.290000000000006</v>
          </cell>
          <cell r="I1891">
            <v>109000</v>
          </cell>
          <cell r="J1891">
            <v>69680</v>
          </cell>
        </row>
        <row r="1892">
          <cell r="A1892">
            <v>1712300437</v>
          </cell>
          <cell r="B1892" t="str">
            <v>אחזקת אזעקה</v>
          </cell>
          <cell r="C1892">
            <v>1235</v>
          </cell>
          <cell r="D1892">
            <v>1221.48</v>
          </cell>
          <cell r="E1892">
            <v>0</v>
          </cell>
          <cell r="F1892">
            <v>1221.48</v>
          </cell>
          <cell r="G1892">
            <v>13.52</v>
          </cell>
          <cell r="H1892">
            <v>98.9</v>
          </cell>
          <cell r="I1892">
            <v>1300</v>
          </cell>
          <cell r="J1892">
            <v>1221.48</v>
          </cell>
        </row>
        <row r="1893">
          <cell r="A1893">
            <v>1712300511</v>
          </cell>
          <cell r="B1893" t="str">
            <v>אירוח וכיבוד</v>
          </cell>
          <cell r="C1893">
            <v>16000</v>
          </cell>
          <cell r="D1893">
            <v>15800.16</v>
          </cell>
          <cell r="E1893">
            <v>904.17</v>
          </cell>
          <cell r="F1893">
            <v>16704.330000000002</v>
          </cell>
          <cell r="G1893">
            <v>-704.33</v>
          </cell>
          <cell r="H1893">
            <v>104.4</v>
          </cell>
          <cell r="I1893">
            <v>16000</v>
          </cell>
          <cell r="J1893">
            <v>15800.16</v>
          </cell>
        </row>
        <row r="1894">
          <cell r="A1894">
            <v>1712300596</v>
          </cell>
          <cell r="B1894" t="str">
            <v>השתתפות בעזר 096</v>
          </cell>
          <cell r="C1894">
            <v>1592200</v>
          </cell>
          <cell r="D1894">
            <v>1566548.27</v>
          </cell>
          <cell r="E1894">
            <v>0</v>
          </cell>
          <cell r="F1894">
            <v>1566548.27</v>
          </cell>
          <cell r="G1894">
            <v>25651.73</v>
          </cell>
          <cell r="H1894">
            <v>98.38</v>
          </cell>
          <cell r="I1894">
            <v>1676000</v>
          </cell>
          <cell r="J1894">
            <v>1566548.27</v>
          </cell>
        </row>
        <row r="1895">
          <cell r="A1895">
            <v>1712300710</v>
          </cell>
          <cell r="B1895" t="str">
            <v>הובלות לאיסוף סוללות</v>
          </cell>
          <cell r="C1895">
            <v>0</v>
          </cell>
          <cell r="D1895">
            <v>0</v>
          </cell>
          <cell r="E1895">
            <v>0</v>
          </cell>
          <cell r="F1895">
            <v>0</v>
          </cell>
          <cell r="G1895">
            <v>0</v>
          </cell>
          <cell r="H1895">
            <v>0</v>
          </cell>
          <cell r="I1895">
            <v>0</v>
          </cell>
          <cell r="J1895">
            <v>0</v>
          </cell>
        </row>
        <row r="1896">
          <cell r="A1896">
            <v>1712300742</v>
          </cell>
          <cell r="B1896" t="str">
            <v>כלים וציוד</v>
          </cell>
          <cell r="C1896">
            <v>152200</v>
          </cell>
          <cell r="D1896">
            <v>140087.73000000001</v>
          </cell>
          <cell r="E1896">
            <v>0</v>
          </cell>
          <cell r="F1896">
            <v>140087.73000000001</v>
          </cell>
          <cell r="G1896">
            <v>12112.27</v>
          </cell>
          <cell r="H1896">
            <v>92.04</v>
          </cell>
          <cell r="I1896">
            <v>152200</v>
          </cell>
          <cell r="J1896">
            <v>140087.73000000001</v>
          </cell>
        </row>
        <row r="1897">
          <cell r="A1897">
            <v>1712300750</v>
          </cell>
          <cell r="B1897" t="str">
            <v>פסולת בנין</v>
          </cell>
          <cell r="C1897">
            <v>95000</v>
          </cell>
          <cell r="D1897">
            <v>0</v>
          </cell>
          <cell r="E1897">
            <v>0</v>
          </cell>
          <cell r="F1897">
            <v>0</v>
          </cell>
          <cell r="G1897">
            <v>95000</v>
          </cell>
          <cell r="H1897">
            <v>0</v>
          </cell>
          <cell r="I1897">
            <v>100000</v>
          </cell>
          <cell r="J1897">
            <v>0</v>
          </cell>
        </row>
        <row r="1898">
          <cell r="A1898">
            <v>1712300752</v>
          </cell>
          <cell r="B1898" t="str">
            <v>נקיון בקבלנות</v>
          </cell>
          <cell r="C1898">
            <v>4465</v>
          </cell>
          <cell r="D1898">
            <v>3313.56</v>
          </cell>
          <cell r="E1898">
            <v>0</v>
          </cell>
          <cell r="F1898">
            <v>3313.56</v>
          </cell>
          <cell r="G1898">
            <v>1151.44</v>
          </cell>
          <cell r="H1898">
            <v>74.209999999999994</v>
          </cell>
          <cell r="I1898">
            <v>4700</v>
          </cell>
          <cell r="J1898">
            <v>3313.56</v>
          </cell>
        </row>
        <row r="1899">
          <cell r="A1899">
            <v>1712300753</v>
          </cell>
          <cell r="B1899" t="str">
            <v>איסוף קרטון למיחזור</v>
          </cell>
          <cell r="C1899">
            <v>0</v>
          </cell>
          <cell r="D1899">
            <v>0</v>
          </cell>
          <cell r="E1899">
            <v>0</v>
          </cell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</row>
        <row r="1900">
          <cell r="A1900">
            <v>1712300754</v>
          </cell>
          <cell r="B1900" t="str">
            <v>פינוי אשפה - פחים</v>
          </cell>
          <cell r="C1900">
            <v>11887000</v>
          </cell>
          <cell r="D1900">
            <v>11583664.140000001</v>
          </cell>
          <cell r="E1900">
            <v>0</v>
          </cell>
          <cell r="F1900">
            <v>11583664.140000001</v>
          </cell>
          <cell r="G1900">
            <v>303335.86</v>
          </cell>
          <cell r="H1900">
            <v>97.44</v>
          </cell>
          <cell r="I1900">
            <v>11887000</v>
          </cell>
          <cell r="J1900">
            <v>11583664.140000001</v>
          </cell>
        </row>
        <row r="1901">
          <cell r="A1901">
            <v>1712300755</v>
          </cell>
          <cell r="B1901" t="str">
            <v>פינוי אריזות-כתומים הפרדת מקור</v>
          </cell>
          <cell r="C1901">
            <v>2356950</v>
          </cell>
          <cell r="D1901">
            <v>2452804.33</v>
          </cell>
          <cell r="E1901">
            <v>0</v>
          </cell>
          <cell r="F1901">
            <v>2452804.33</v>
          </cell>
          <cell r="G1901">
            <v>-95854.33</v>
          </cell>
          <cell r="H1901">
            <v>104.06</v>
          </cell>
          <cell r="I1901">
            <v>2481000</v>
          </cell>
          <cell r="J1901">
            <v>2452804.33</v>
          </cell>
        </row>
        <row r="1902">
          <cell r="A1902">
            <v>1712300757</v>
          </cell>
          <cell r="B1902" t="str">
            <v>פנוי אשפה בקבלנות</v>
          </cell>
          <cell r="C1902">
            <v>15538000</v>
          </cell>
          <cell r="D1902">
            <v>13986642.4</v>
          </cell>
          <cell r="E1902">
            <v>0</v>
          </cell>
          <cell r="F1902">
            <v>13986642.4</v>
          </cell>
          <cell r="G1902">
            <v>1551357.6</v>
          </cell>
          <cell r="H1902">
            <v>90.01</v>
          </cell>
          <cell r="I1902">
            <v>15538000</v>
          </cell>
          <cell r="J1902">
            <v>13986642.4</v>
          </cell>
        </row>
        <row r="1903">
          <cell r="A1903">
            <v>1712300758</v>
          </cell>
          <cell r="B1903" t="str">
            <v>פנוי אשפה (מהכנסה) עיסקית</v>
          </cell>
          <cell r="C1903">
            <v>4635000</v>
          </cell>
          <cell r="D1903">
            <v>3684111.27</v>
          </cell>
          <cell r="E1903">
            <v>0</v>
          </cell>
          <cell r="F1903">
            <v>3684111.27</v>
          </cell>
          <cell r="G1903">
            <v>950888.73</v>
          </cell>
          <cell r="H1903">
            <v>79.48</v>
          </cell>
          <cell r="I1903">
            <v>4635000</v>
          </cell>
          <cell r="J1903">
            <v>3684111.27</v>
          </cell>
        </row>
        <row r="1904">
          <cell r="A1904">
            <v>1712300759</v>
          </cell>
          <cell r="B1904" t="str">
            <v>שינוע אשפה</v>
          </cell>
          <cell r="C1904">
            <v>148200</v>
          </cell>
          <cell r="D1904">
            <v>140412</v>
          </cell>
          <cell r="E1904">
            <v>0</v>
          </cell>
          <cell r="F1904">
            <v>140412</v>
          </cell>
          <cell r="G1904">
            <v>7788</v>
          </cell>
          <cell r="H1904">
            <v>94.74</v>
          </cell>
          <cell r="I1904">
            <v>156000</v>
          </cell>
          <cell r="J1904">
            <v>140412</v>
          </cell>
        </row>
        <row r="1905">
          <cell r="A1905">
            <v>1712300760</v>
          </cell>
          <cell r="B1905" t="str">
            <v>איסוף נייר למיחזור</v>
          </cell>
          <cell r="C1905">
            <v>898700</v>
          </cell>
          <cell r="D1905">
            <v>747749.52</v>
          </cell>
          <cell r="E1905">
            <v>0</v>
          </cell>
          <cell r="F1905">
            <v>747749.52</v>
          </cell>
          <cell r="G1905">
            <v>150950.48000000001</v>
          </cell>
          <cell r="H1905">
            <v>83.2</v>
          </cell>
          <cell r="I1905">
            <v>946000</v>
          </cell>
          <cell r="J1905">
            <v>747749.52</v>
          </cell>
        </row>
        <row r="1906">
          <cell r="A1906">
            <v>1712300794</v>
          </cell>
          <cell r="B1906" t="str">
            <v>השתתפות בעזר 094</v>
          </cell>
          <cell r="C1906">
            <v>159600</v>
          </cell>
          <cell r="D1906">
            <v>200376</v>
          </cell>
          <cell r="E1906">
            <v>0</v>
          </cell>
          <cell r="F1906">
            <v>200376</v>
          </cell>
          <cell r="G1906">
            <v>-40776</v>
          </cell>
          <cell r="H1906">
            <v>125.54</v>
          </cell>
          <cell r="I1906">
            <v>168000</v>
          </cell>
          <cell r="J1906">
            <v>200376</v>
          </cell>
        </row>
        <row r="1907">
          <cell r="A1907">
            <v>1712300830</v>
          </cell>
          <cell r="B1907" t="str">
            <v>השתת'באיגוד תברואה</v>
          </cell>
          <cell r="C1907">
            <v>39613000</v>
          </cell>
          <cell r="D1907">
            <v>39613000</v>
          </cell>
          <cell r="E1907">
            <v>0</v>
          </cell>
          <cell r="F1907">
            <v>39613000</v>
          </cell>
          <cell r="G1907">
            <v>0</v>
          </cell>
          <cell r="H1907">
            <v>100</v>
          </cell>
          <cell r="I1907">
            <v>39613000</v>
          </cell>
          <cell r="J1907">
            <v>39613000</v>
          </cell>
        </row>
        <row r="1908">
          <cell r="A1908">
            <v>1712300931</v>
          </cell>
          <cell r="B1908" t="str">
            <v>רכישת אשפתונים</v>
          </cell>
          <cell r="C1908">
            <v>0</v>
          </cell>
          <cell r="D1908">
            <v>0</v>
          </cell>
          <cell r="E1908">
            <v>0</v>
          </cell>
          <cell r="F1908">
            <v>0</v>
          </cell>
          <cell r="G1908">
            <v>0</v>
          </cell>
          <cell r="H1908">
            <v>0</v>
          </cell>
          <cell r="I1908">
            <v>0</v>
          </cell>
          <cell r="J1908">
            <v>0</v>
          </cell>
        </row>
        <row r="1909">
          <cell r="A1909">
            <v>1712300932</v>
          </cell>
          <cell r="B1909" t="str">
            <v>התקנת מכולות שקועות</v>
          </cell>
          <cell r="C1909">
            <v>0</v>
          </cell>
          <cell r="D1909">
            <v>0</v>
          </cell>
          <cell r="E1909">
            <v>0</v>
          </cell>
          <cell r="F1909">
            <v>0</v>
          </cell>
          <cell r="G1909">
            <v>0</v>
          </cell>
          <cell r="H1909">
            <v>0</v>
          </cell>
          <cell r="I1909">
            <v>0</v>
          </cell>
          <cell r="J1909">
            <v>0</v>
          </cell>
        </row>
        <row r="1910">
          <cell r="A1910">
            <v>1712500110</v>
          </cell>
          <cell r="B1910" t="str">
            <v>השכר הקובע-תקציבית</v>
          </cell>
          <cell r="C1910">
            <v>136325</v>
          </cell>
          <cell r="D1910">
            <v>180350.6</v>
          </cell>
          <cell r="E1910">
            <v>0</v>
          </cell>
          <cell r="F1910">
            <v>180350.6</v>
          </cell>
          <cell r="G1910">
            <v>-44025.599999999999</v>
          </cell>
          <cell r="H1910">
            <v>132.29</v>
          </cell>
          <cell r="I1910">
            <v>143500</v>
          </cell>
          <cell r="J1910">
            <v>180350.6</v>
          </cell>
        </row>
        <row r="1911">
          <cell r="A1911">
            <v>1712500119</v>
          </cell>
          <cell r="B1911" t="str">
            <v>השכר הקובע-צוברת</v>
          </cell>
          <cell r="C1911">
            <v>0</v>
          </cell>
          <cell r="D1911">
            <v>0</v>
          </cell>
          <cell r="E1911">
            <v>0</v>
          </cell>
          <cell r="F1911">
            <v>0</v>
          </cell>
          <cell r="G1911">
            <v>0</v>
          </cell>
          <cell r="H1911">
            <v>0</v>
          </cell>
          <cell r="I1911">
            <v>0</v>
          </cell>
          <cell r="J1911">
            <v>0</v>
          </cell>
        </row>
        <row r="1912">
          <cell r="A1912">
            <v>1712500122</v>
          </cell>
          <cell r="B1912" t="str">
            <v>ביגוד</v>
          </cell>
          <cell r="C1912">
            <v>5985</v>
          </cell>
          <cell r="D1912">
            <v>1935.16</v>
          </cell>
          <cell r="E1912">
            <v>0</v>
          </cell>
          <cell r="F1912">
            <v>1935.16</v>
          </cell>
          <cell r="G1912">
            <v>4049.84</v>
          </cell>
          <cell r="H1912">
            <v>32.33</v>
          </cell>
          <cell r="I1912">
            <v>6300</v>
          </cell>
          <cell r="J1912">
            <v>1935.16</v>
          </cell>
        </row>
        <row r="1913">
          <cell r="A1913">
            <v>1712500126</v>
          </cell>
          <cell r="B1913" t="str">
            <v>דמי הבראה</v>
          </cell>
          <cell r="C1913">
            <v>7600</v>
          </cell>
          <cell r="D1913">
            <v>6128.2</v>
          </cell>
          <cell r="E1913">
            <v>0</v>
          </cell>
          <cell r="F1913">
            <v>6128.2</v>
          </cell>
          <cell r="G1913">
            <v>1471.8</v>
          </cell>
          <cell r="H1913">
            <v>80.63</v>
          </cell>
          <cell r="I1913">
            <v>8000</v>
          </cell>
          <cell r="J1913">
            <v>6128.2</v>
          </cell>
        </row>
        <row r="1914">
          <cell r="A1914">
            <v>1712500130</v>
          </cell>
          <cell r="B1914" t="str">
            <v>שעות נוספות</v>
          </cell>
          <cell r="C1914">
            <v>16340</v>
          </cell>
          <cell r="D1914">
            <v>83632.960000000006</v>
          </cell>
          <cell r="E1914">
            <v>0</v>
          </cell>
          <cell r="F1914">
            <v>83632.960000000006</v>
          </cell>
          <cell r="G1914">
            <v>-67292.960000000006</v>
          </cell>
          <cell r="H1914">
            <v>511.82</v>
          </cell>
          <cell r="I1914">
            <v>17200</v>
          </cell>
          <cell r="J1914">
            <v>83632.960000000006</v>
          </cell>
        </row>
        <row r="1915">
          <cell r="A1915">
            <v>1712500140</v>
          </cell>
          <cell r="B1915" t="str">
            <v>השתתפות באחזקת רכב</v>
          </cell>
          <cell r="C1915">
            <v>17385</v>
          </cell>
          <cell r="D1915">
            <v>21141.18</v>
          </cell>
          <cell r="E1915">
            <v>0</v>
          </cell>
          <cell r="F1915">
            <v>21141.18</v>
          </cell>
          <cell r="G1915">
            <v>-3756.18</v>
          </cell>
          <cell r="H1915">
            <v>121.6</v>
          </cell>
          <cell r="I1915">
            <v>18300</v>
          </cell>
          <cell r="J1915">
            <v>21141.18</v>
          </cell>
        </row>
        <row r="1916">
          <cell r="A1916">
            <v>1712500255</v>
          </cell>
          <cell r="B1916" t="str">
            <v>מסגרים חיצוניים</v>
          </cell>
          <cell r="C1916">
            <v>0</v>
          </cell>
          <cell r="D1916">
            <v>0</v>
          </cell>
          <cell r="E1916">
            <v>0</v>
          </cell>
          <cell r="F1916">
            <v>0</v>
          </cell>
          <cell r="G1916">
            <v>0</v>
          </cell>
          <cell r="H1916">
            <v>0</v>
          </cell>
          <cell r="I1916">
            <v>0</v>
          </cell>
          <cell r="J1916">
            <v>0</v>
          </cell>
        </row>
        <row r="1917">
          <cell r="A1917">
            <v>1712500432</v>
          </cell>
          <cell r="B1917" t="str">
            <v>מים</v>
          </cell>
          <cell r="C1917">
            <v>0</v>
          </cell>
          <cell r="D1917">
            <v>0</v>
          </cell>
          <cell r="E1917">
            <v>0</v>
          </cell>
          <cell r="F1917">
            <v>0</v>
          </cell>
          <cell r="G1917">
            <v>0</v>
          </cell>
          <cell r="H1917">
            <v>0</v>
          </cell>
          <cell r="I1917">
            <v>0</v>
          </cell>
          <cell r="J1917">
            <v>0</v>
          </cell>
        </row>
        <row r="1918">
          <cell r="A1918">
            <v>1712500722</v>
          </cell>
          <cell r="B1918" t="str">
            <v>חמרים-תחזוקה עצמית</v>
          </cell>
          <cell r="C1918">
            <v>24200</v>
          </cell>
          <cell r="D1918">
            <v>24200</v>
          </cell>
          <cell r="E1918">
            <v>0</v>
          </cell>
          <cell r="F1918">
            <v>24200</v>
          </cell>
          <cell r="G1918">
            <v>0</v>
          </cell>
          <cell r="H1918">
            <v>100</v>
          </cell>
          <cell r="I1918">
            <v>24200</v>
          </cell>
          <cell r="J1918">
            <v>24200</v>
          </cell>
        </row>
        <row r="1919">
          <cell r="A1919">
            <v>1712500742</v>
          </cell>
          <cell r="B1919" t="str">
            <v>כלים וציוד</v>
          </cell>
          <cell r="C1919">
            <v>16800</v>
          </cell>
          <cell r="D1919">
            <v>16800</v>
          </cell>
          <cell r="E1919">
            <v>0</v>
          </cell>
          <cell r="F1919">
            <v>16800</v>
          </cell>
          <cell r="G1919">
            <v>0</v>
          </cell>
          <cell r="H1919">
            <v>100</v>
          </cell>
          <cell r="I1919">
            <v>16800</v>
          </cell>
          <cell r="J1919">
            <v>16800</v>
          </cell>
        </row>
        <row r="1920">
          <cell r="A1920">
            <v>1712500751</v>
          </cell>
          <cell r="B1920" t="str">
            <v>עבודות קבלניות</v>
          </cell>
          <cell r="C1920">
            <v>24000</v>
          </cell>
          <cell r="D1920">
            <v>23922.2</v>
          </cell>
          <cell r="E1920">
            <v>0</v>
          </cell>
          <cell r="F1920">
            <v>23922.2</v>
          </cell>
          <cell r="G1920">
            <v>77.8</v>
          </cell>
          <cell r="H1920">
            <v>99.67</v>
          </cell>
          <cell r="I1920">
            <v>24000</v>
          </cell>
          <cell r="J1920">
            <v>23922.2</v>
          </cell>
        </row>
        <row r="1921">
          <cell r="A1921">
            <v>1712500752</v>
          </cell>
          <cell r="B1921" t="str">
            <v>נקיון שרותים צבוריים</v>
          </cell>
          <cell r="C1921">
            <v>1037400</v>
          </cell>
          <cell r="D1921">
            <v>1092248.5</v>
          </cell>
          <cell r="E1921">
            <v>0</v>
          </cell>
          <cell r="F1921">
            <v>1092248.5</v>
          </cell>
          <cell r="G1921">
            <v>-54848.5</v>
          </cell>
          <cell r="H1921">
            <v>105.28</v>
          </cell>
          <cell r="I1921">
            <v>1092000</v>
          </cell>
          <cell r="J1921">
            <v>1092248.5</v>
          </cell>
        </row>
        <row r="1922">
          <cell r="A1922">
            <v>1712500757</v>
          </cell>
          <cell r="B1922" t="str">
            <v>מסגרים חיצוניים</v>
          </cell>
          <cell r="C1922">
            <v>517000</v>
          </cell>
          <cell r="D1922">
            <v>499789.2</v>
          </cell>
          <cell r="E1922">
            <v>0</v>
          </cell>
          <cell r="F1922">
            <v>499789.2</v>
          </cell>
          <cell r="G1922">
            <v>17210.8</v>
          </cell>
          <cell r="H1922">
            <v>96.67</v>
          </cell>
          <cell r="I1922">
            <v>517000</v>
          </cell>
          <cell r="J1922">
            <v>499789.2</v>
          </cell>
        </row>
        <row r="1923">
          <cell r="A1923">
            <v>1712500794</v>
          </cell>
          <cell r="B1923" t="str">
            <v>השתתפות בעזר 094</v>
          </cell>
          <cell r="C1923">
            <v>14725</v>
          </cell>
          <cell r="D1923">
            <v>18487</v>
          </cell>
          <cell r="E1923">
            <v>0</v>
          </cell>
          <cell r="F1923">
            <v>18487</v>
          </cell>
          <cell r="G1923">
            <v>-3762</v>
          </cell>
          <cell r="H1923">
            <v>125.54</v>
          </cell>
          <cell r="I1923">
            <v>15500</v>
          </cell>
          <cell r="J1923">
            <v>18487</v>
          </cell>
        </row>
        <row r="1924">
          <cell r="A1924">
            <v>1712500931</v>
          </cell>
          <cell r="B1924" t="str">
            <v>עבודות בטיחות ח"פ</v>
          </cell>
          <cell r="C1924">
            <v>12900</v>
          </cell>
          <cell r="D1924">
            <v>13305.28</v>
          </cell>
          <cell r="E1924">
            <v>0</v>
          </cell>
          <cell r="F1924">
            <v>13305.28</v>
          </cell>
          <cell r="G1924">
            <v>-405.28</v>
          </cell>
          <cell r="H1924">
            <v>103.14</v>
          </cell>
          <cell r="I1924">
            <v>12900</v>
          </cell>
          <cell r="J1924">
            <v>13305.28</v>
          </cell>
        </row>
        <row r="1925">
          <cell r="A1925">
            <v>1712500933</v>
          </cell>
          <cell r="B1925" t="str">
            <v>רכישת תגים</v>
          </cell>
          <cell r="C1925">
            <v>0</v>
          </cell>
          <cell r="D1925">
            <v>0</v>
          </cell>
          <cell r="E1925">
            <v>0</v>
          </cell>
          <cell r="F1925">
            <v>0</v>
          </cell>
          <cell r="G1925">
            <v>0</v>
          </cell>
          <cell r="H1925">
            <v>0</v>
          </cell>
          <cell r="I1925">
            <v>0</v>
          </cell>
          <cell r="J1925">
            <v>0</v>
          </cell>
        </row>
        <row r="1926">
          <cell r="A1926">
            <v>1712500961</v>
          </cell>
          <cell r="B1926" t="str">
            <v>פעולות ורכישות</v>
          </cell>
          <cell r="C1926">
            <v>0</v>
          </cell>
          <cell r="D1926">
            <v>0</v>
          </cell>
          <cell r="E1926">
            <v>0</v>
          </cell>
          <cell r="F1926">
            <v>0</v>
          </cell>
          <cell r="G1926">
            <v>0</v>
          </cell>
          <cell r="H1926">
            <v>0</v>
          </cell>
          <cell r="I1926">
            <v>0</v>
          </cell>
          <cell r="J1926">
            <v>0</v>
          </cell>
        </row>
        <row r="1927">
          <cell r="A1927">
            <v>1712600110</v>
          </cell>
          <cell r="B1927" t="str">
            <v>השכר הקובע-תקציבית</v>
          </cell>
          <cell r="C1927">
            <v>0</v>
          </cell>
          <cell r="D1927">
            <v>0</v>
          </cell>
          <cell r="E1927">
            <v>0</v>
          </cell>
          <cell r="F1927">
            <v>0</v>
          </cell>
          <cell r="G1927">
            <v>0</v>
          </cell>
          <cell r="H1927">
            <v>0</v>
          </cell>
          <cell r="I1927">
            <v>0</v>
          </cell>
          <cell r="J1927">
            <v>0</v>
          </cell>
        </row>
        <row r="1928">
          <cell r="A1928">
            <v>1712600119</v>
          </cell>
          <cell r="B1928" t="str">
            <v>השכר הקובע-צוברת</v>
          </cell>
          <cell r="C1928">
            <v>192755</v>
          </cell>
          <cell r="D1928">
            <v>177820.02</v>
          </cell>
          <cell r="E1928">
            <v>0</v>
          </cell>
          <cell r="F1928">
            <v>177820.02</v>
          </cell>
          <cell r="G1928">
            <v>14934.98</v>
          </cell>
          <cell r="H1928">
            <v>92.25</v>
          </cell>
          <cell r="I1928">
            <v>202900</v>
          </cell>
          <cell r="J1928">
            <v>177820.02</v>
          </cell>
        </row>
        <row r="1929">
          <cell r="A1929">
            <v>1712600122</v>
          </cell>
          <cell r="B1929" t="str">
            <v>ביגוד</v>
          </cell>
          <cell r="C1929">
            <v>3135</v>
          </cell>
          <cell r="D1929">
            <v>2405</v>
          </cell>
          <cell r="E1929">
            <v>0</v>
          </cell>
          <cell r="F1929">
            <v>2405</v>
          </cell>
          <cell r="G1929">
            <v>730</v>
          </cell>
          <cell r="H1929">
            <v>76.709999999999994</v>
          </cell>
          <cell r="I1929">
            <v>3300</v>
          </cell>
          <cell r="J1929">
            <v>2405</v>
          </cell>
        </row>
        <row r="1930">
          <cell r="A1930">
            <v>1712600126</v>
          </cell>
          <cell r="B1930" t="str">
            <v>דמי הבראה</v>
          </cell>
          <cell r="C1930">
            <v>7600</v>
          </cell>
          <cell r="D1930">
            <v>6128.2</v>
          </cell>
          <cell r="E1930">
            <v>0</v>
          </cell>
          <cell r="F1930">
            <v>6128.2</v>
          </cell>
          <cell r="G1930">
            <v>1471.8</v>
          </cell>
          <cell r="H1930">
            <v>80.63</v>
          </cell>
          <cell r="I1930">
            <v>8000</v>
          </cell>
          <cell r="J1930">
            <v>6128.2</v>
          </cell>
        </row>
        <row r="1931">
          <cell r="A1931">
            <v>1712600130</v>
          </cell>
          <cell r="B1931" t="str">
            <v>שעות נוספות</v>
          </cell>
          <cell r="C1931">
            <v>45790</v>
          </cell>
          <cell r="D1931">
            <v>46977.72</v>
          </cell>
          <cell r="E1931">
            <v>0</v>
          </cell>
          <cell r="F1931">
            <v>46977.72</v>
          </cell>
          <cell r="G1931">
            <v>-1187.72</v>
          </cell>
          <cell r="H1931">
            <v>102.59</v>
          </cell>
          <cell r="I1931">
            <v>48200</v>
          </cell>
          <cell r="J1931">
            <v>46977.72</v>
          </cell>
        </row>
        <row r="1932">
          <cell r="A1932">
            <v>1712600140</v>
          </cell>
          <cell r="B1932" t="str">
            <v>השתתפות באחזקת רכב</v>
          </cell>
          <cell r="C1932">
            <v>31160</v>
          </cell>
          <cell r="D1932">
            <v>21144.45</v>
          </cell>
          <cell r="E1932">
            <v>0</v>
          </cell>
          <cell r="F1932">
            <v>21144.45</v>
          </cell>
          <cell r="G1932">
            <v>10015.549999999999</v>
          </cell>
          <cell r="H1932">
            <v>67.849999999999994</v>
          </cell>
          <cell r="I1932">
            <v>32800</v>
          </cell>
          <cell r="J1932">
            <v>21144.45</v>
          </cell>
        </row>
        <row r="1933">
          <cell r="A1933">
            <v>1712600431</v>
          </cell>
          <cell r="B1933" t="str">
            <v>חשמל</v>
          </cell>
          <cell r="C1933">
            <v>58520</v>
          </cell>
          <cell r="D1933">
            <v>67324.84</v>
          </cell>
          <cell r="E1933">
            <v>0</v>
          </cell>
          <cell r="F1933">
            <v>67324.84</v>
          </cell>
          <cell r="G1933">
            <v>-8804.84</v>
          </cell>
          <cell r="H1933">
            <v>115.04</v>
          </cell>
          <cell r="I1933">
            <v>61600</v>
          </cell>
          <cell r="J1933">
            <v>67324.84</v>
          </cell>
        </row>
        <row r="1934">
          <cell r="A1934">
            <v>1712600432</v>
          </cell>
          <cell r="B1934" t="str">
            <v>מים</v>
          </cell>
          <cell r="C1934">
            <v>53390</v>
          </cell>
          <cell r="D1934">
            <v>55980.02</v>
          </cell>
          <cell r="E1934">
            <v>0</v>
          </cell>
          <cell r="F1934">
            <v>55980.02</v>
          </cell>
          <cell r="G1934">
            <v>-2590.02</v>
          </cell>
          <cell r="H1934">
            <v>104.85</v>
          </cell>
          <cell r="I1934">
            <v>56200</v>
          </cell>
          <cell r="J1934">
            <v>55980.02</v>
          </cell>
        </row>
        <row r="1935">
          <cell r="A1935">
            <v>1712600433</v>
          </cell>
          <cell r="B1935" t="str">
            <v>חומרי חיטוי</v>
          </cell>
          <cell r="C1935">
            <v>0</v>
          </cell>
          <cell r="D1935">
            <v>0</v>
          </cell>
          <cell r="E1935">
            <v>0</v>
          </cell>
          <cell r="F1935">
            <v>0</v>
          </cell>
          <cell r="G1935">
            <v>0</v>
          </cell>
          <cell r="H1935">
            <v>0</v>
          </cell>
          <cell r="I1935">
            <v>0</v>
          </cell>
          <cell r="J1935">
            <v>0</v>
          </cell>
        </row>
        <row r="1936">
          <cell r="A1936">
            <v>1712600441</v>
          </cell>
          <cell r="B1936" t="str">
            <v>ביטוח</v>
          </cell>
          <cell r="C1936">
            <v>0</v>
          </cell>
          <cell r="D1936">
            <v>0</v>
          </cell>
          <cell r="E1936">
            <v>0</v>
          </cell>
          <cell r="F1936">
            <v>0</v>
          </cell>
          <cell r="G1936">
            <v>0</v>
          </cell>
          <cell r="H1936">
            <v>0</v>
          </cell>
          <cell r="I1936">
            <v>0</v>
          </cell>
          <cell r="J1936">
            <v>0</v>
          </cell>
        </row>
        <row r="1937">
          <cell r="A1937">
            <v>1712600476</v>
          </cell>
          <cell r="B1937" t="str">
            <v>אח.גנרטור ומשקל</v>
          </cell>
          <cell r="C1937">
            <v>8170</v>
          </cell>
          <cell r="D1937">
            <v>0</v>
          </cell>
          <cell r="E1937">
            <v>0</v>
          </cell>
          <cell r="F1937">
            <v>0</v>
          </cell>
          <cell r="G1937">
            <v>8170</v>
          </cell>
          <cell r="H1937">
            <v>0</v>
          </cell>
          <cell r="I1937">
            <v>8600</v>
          </cell>
          <cell r="J1937">
            <v>0</v>
          </cell>
        </row>
        <row r="1938">
          <cell r="A1938">
            <v>1712600511</v>
          </cell>
          <cell r="B1938" t="str">
            <v>אירוח וכיבוד</v>
          </cell>
          <cell r="C1938">
            <v>400</v>
          </cell>
          <cell r="D1938">
            <v>399.36</v>
          </cell>
          <cell r="E1938">
            <v>0</v>
          </cell>
          <cell r="F1938">
            <v>399.36</v>
          </cell>
          <cell r="G1938">
            <v>0.64</v>
          </cell>
          <cell r="H1938">
            <v>99.84</v>
          </cell>
          <cell r="I1938">
            <v>400</v>
          </cell>
          <cell r="J1938">
            <v>399.36</v>
          </cell>
        </row>
        <row r="1939">
          <cell r="A1939">
            <v>1712600540</v>
          </cell>
          <cell r="B1939" t="str">
            <v>הוצאות טלפון</v>
          </cell>
          <cell r="C1939">
            <v>2850</v>
          </cell>
          <cell r="D1939">
            <v>2018.97</v>
          </cell>
          <cell r="E1939">
            <v>0</v>
          </cell>
          <cell r="F1939">
            <v>2018.97</v>
          </cell>
          <cell r="G1939">
            <v>831.03</v>
          </cell>
          <cell r="H1939">
            <v>70.84</v>
          </cell>
          <cell r="I1939">
            <v>3000</v>
          </cell>
          <cell r="J1939">
            <v>2018.97</v>
          </cell>
        </row>
        <row r="1940">
          <cell r="A1940">
            <v>1712600571</v>
          </cell>
          <cell r="B1940" t="str">
            <v>מיכון וענ"א</v>
          </cell>
          <cell r="C1940">
            <v>59945</v>
          </cell>
          <cell r="D1940">
            <v>63100</v>
          </cell>
          <cell r="E1940">
            <v>0</v>
          </cell>
          <cell r="F1940">
            <v>63100</v>
          </cell>
          <cell r="G1940">
            <v>-3155</v>
          </cell>
          <cell r="H1940">
            <v>105.26</v>
          </cell>
          <cell r="I1940">
            <v>63100</v>
          </cell>
          <cell r="J1940">
            <v>63100</v>
          </cell>
        </row>
        <row r="1941">
          <cell r="A1941">
            <v>1712600722</v>
          </cell>
          <cell r="B1941" t="str">
            <v>חמרים-תחזוקה עצמית</v>
          </cell>
          <cell r="C1941">
            <v>900</v>
          </cell>
          <cell r="D1941">
            <v>899.57</v>
          </cell>
          <cell r="E1941">
            <v>0</v>
          </cell>
          <cell r="F1941">
            <v>899.57</v>
          </cell>
          <cell r="G1941">
            <v>0.43</v>
          </cell>
          <cell r="H1941">
            <v>99.95</v>
          </cell>
          <cell r="I1941">
            <v>900</v>
          </cell>
          <cell r="J1941">
            <v>899.57</v>
          </cell>
        </row>
        <row r="1942">
          <cell r="A1942">
            <v>1712600743</v>
          </cell>
          <cell r="B1942" t="str">
            <v>כלים וציוד</v>
          </cell>
          <cell r="C1942">
            <v>0</v>
          </cell>
          <cell r="D1942">
            <v>0</v>
          </cell>
          <cell r="E1942">
            <v>0</v>
          </cell>
          <cell r="F1942">
            <v>0</v>
          </cell>
          <cell r="G1942">
            <v>0</v>
          </cell>
          <cell r="H1942">
            <v>0</v>
          </cell>
          <cell r="I1942">
            <v>0</v>
          </cell>
          <cell r="J1942">
            <v>0</v>
          </cell>
        </row>
        <row r="1943">
          <cell r="A1943">
            <v>1712600751</v>
          </cell>
          <cell r="B1943" t="str">
            <v>עבודות קבלניות</v>
          </cell>
          <cell r="C1943">
            <v>3230</v>
          </cell>
          <cell r="D1943">
            <v>1488</v>
          </cell>
          <cell r="E1943">
            <v>0</v>
          </cell>
          <cell r="F1943">
            <v>1488</v>
          </cell>
          <cell r="G1943">
            <v>1742</v>
          </cell>
          <cell r="H1943">
            <v>46.06</v>
          </cell>
          <cell r="I1943">
            <v>3400</v>
          </cell>
          <cell r="J1943">
            <v>1488</v>
          </cell>
        </row>
        <row r="1944">
          <cell r="A1944">
            <v>1712600752</v>
          </cell>
          <cell r="B1944" t="str">
            <v>נקיון בקבלנות</v>
          </cell>
          <cell r="C1944">
            <v>32490</v>
          </cell>
          <cell r="D1944">
            <v>20101.900000000001</v>
          </cell>
          <cell r="E1944">
            <v>0</v>
          </cell>
          <cell r="F1944">
            <v>20101.900000000001</v>
          </cell>
          <cell r="G1944">
            <v>12388.1</v>
          </cell>
          <cell r="H1944">
            <v>61.87</v>
          </cell>
          <cell r="I1944">
            <v>34200</v>
          </cell>
          <cell r="J1944">
            <v>20101.900000000001</v>
          </cell>
        </row>
        <row r="1945">
          <cell r="A1945">
            <v>1712600756</v>
          </cell>
          <cell r="B1945" t="str">
            <v>שמ' תחנה+מ'גרוטאות</v>
          </cell>
          <cell r="C1945">
            <v>608000</v>
          </cell>
          <cell r="D1945">
            <v>681847.12</v>
          </cell>
          <cell r="E1945">
            <v>0</v>
          </cell>
          <cell r="F1945">
            <v>681847.12</v>
          </cell>
          <cell r="G1945">
            <v>-73847.12</v>
          </cell>
          <cell r="H1945">
            <v>112.14</v>
          </cell>
          <cell r="I1945">
            <v>640000</v>
          </cell>
          <cell r="J1945">
            <v>681847.12</v>
          </cell>
        </row>
        <row r="1946">
          <cell r="A1946">
            <v>1712600758</v>
          </cell>
          <cell r="B1946" t="str">
            <v>הפעלת תחנת המעבר</v>
          </cell>
          <cell r="C1946">
            <v>0</v>
          </cell>
          <cell r="D1946">
            <v>0</v>
          </cell>
          <cell r="E1946">
            <v>0</v>
          </cell>
          <cell r="F1946">
            <v>0</v>
          </cell>
          <cell r="G1946">
            <v>0</v>
          </cell>
          <cell r="H1946">
            <v>0</v>
          </cell>
          <cell r="I1946">
            <v>0</v>
          </cell>
          <cell r="J1946">
            <v>0</v>
          </cell>
        </row>
        <row r="1947">
          <cell r="A1947">
            <v>1713300110</v>
          </cell>
          <cell r="B1947" t="str">
            <v>השכר הקובע-תקציבית</v>
          </cell>
          <cell r="C1947">
            <v>0</v>
          </cell>
          <cell r="D1947">
            <v>0</v>
          </cell>
          <cell r="E1947">
            <v>0</v>
          </cell>
          <cell r="F1947">
            <v>0</v>
          </cell>
          <cell r="G1947">
            <v>0</v>
          </cell>
          <cell r="H1947">
            <v>0</v>
          </cell>
          <cell r="I1947">
            <v>0</v>
          </cell>
          <cell r="J1947">
            <v>0</v>
          </cell>
        </row>
        <row r="1948">
          <cell r="A1948">
            <v>1713300119</v>
          </cell>
          <cell r="B1948" t="str">
            <v>השכר הקובע-צוברת</v>
          </cell>
          <cell r="C1948">
            <v>3355495</v>
          </cell>
          <cell r="D1948">
            <v>2220565.46</v>
          </cell>
          <cell r="E1948">
            <v>0</v>
          </cell>
          <cell r="F1948">
            <v>2220565.46</v>
          </cell>
          <cell r="G1948">
            <v>1134929.54</v>
          </cell>
          <cell r="H1948">
            <v>66.17</v>
          </cell>
          <cell r="I1948">
            <v>3532100</v>
          </cell>
          <cell r="J1948">
            <v>2220565.46</v>
          </cell>
        </row>
        <row r="1949">
          <cell r="A1949">
            <v>1713300122</v>
          </cell>
          <cell r="B1949" t="str">
            <v>ביגוד</v>
          </cell>
          <cell r="C1949">
            <v>46550</v>
          </cell>
          <cell r="D1949">
            <v>28101.5</v>
          </cell>
          <cell r="E1949">
            <v>0</v>
          </cell>
          <cell r="F1949">
            <v>28101.5</v>
          </cell>
          <cell r="G1949">
            <v>18448.5</v>
          </cell>
          <cell r="H1949">
            <v>60.36</v>
          </cell>
          <cell r="I1949">
            <v>49000</v>
          </cell>
          <cell r="J1949">
            <v>28101.5</v>
          </cell>
        </row>
        <row r="1950">
          <cell r="A1950">
            <v>1713300126</v>
          </cell>
          <cell r="B1950" t="str">
            <v>דמי הבראה</v>
          </cell>
          <cell r="C1950">
            <v>116850</v>
          </cell>
          <cell r="D1950">
            <v>60801.56</v>
          </cell>
          <cell r="E1950">
            <v>0</v>
          </cell>
          <cell r="F1950">
            <v>60801.56</v>
          </cell>
          <cell r="G1950">
            <v>56048.44</v>
          </cell>
          <cell r="H1950">
            <v>52.03</v>
          </cell>
          <cell r="I1950">
            <v>123000</v>
          </cell>
          <cell r="J1950">
            <v>60801.56</v>
          </cell>
        </row>
        <row r="1951">
          <cell r="A1951">
            <v>1713300130</v>
          </cell>
          <cell r="B1951" t="str">
            <v>שעות נוספות</v>
          </cell>
          <cell r="C1951">
            <v>36290</v>
          </cell>
          <cell r="D1951">
            <v>18089.349999999999</v>
          </cell>
          <cell r="E1951">
            <v>0</v>
          </cell>
          <cell r="F1951">
            <v>18089.349999999999</v>
          </cell>
          <cell r="G1951">
            <v>18200.650000000001</v>
          </cell>
          <cell r="H1951">
            <v>49.84</v>
          </cell>
          <cell r="I1951">
            <v>38200</v>
          </cell>
          <cell r="J1951">
            <v>18089.349999999999</v>
          </cell>
        </row>
        <row r="1952">
          <cell r="A1952">
            <v>1713300140</v>
          </cell>
          <cell r="B1952" t="str">
            <v>השתתפות באחזקת רכב</v>
          </cell>
          <cell r="C1952">
            <v>412205</v>
          </cell>
          <cell r="D1952">
            <v>258638.06</v>
          </cell>
          <cell r="E1952">
            <v>0</v>
          </cell>
          <cell r="F1952">
            <v>258638.06</v>
          </cell>
          <cell r="G1952">
            <v>153566.94</v>
          </cell>
          <cell r="H1952">
            <v>62.74</v>
          </cell>
          <cell r="I1952">
            <v>433900</v>
          </cell>
          <cell r="J1952">
            <v>258638.06</v>
          </cell>
        </row>
        <row r="1953">
          <cell r="A1953">
            <v>1713300253</v>
          </cell>
          <cell r="B1953" t="str">
            <v>עובדים חיצוניים</v>
          </cell>
          <cell r="C1953">
            <v>0</v>
          </cell>
          <cell r="D1953">
            <v>40410.589999999997</v>
          </cell>
          <cell r="E1953">
            <v>0</v>
          </cell>
          <cell r="F1953">
            <v>40410.589999999997</v>
          </cell>
          <cell r="G1953">
            <v>-40410.589999999997</v>
          </cell>
          <cell r="H1953">
            <v>0</v>
          </cell>
          <cell r="I1953">
            <v>0</v>
          </cell>
          <cell r="J1953">
            <v>40410.589999999997</v>
          </cell>
        </row>
        <row r="1954">
          <cell r="A1954">
            <v>1713300470</v>
          </cell>
          <cell r="B1954" t="str">
            <v>אחזקת מכונות משרד</v>
          </cell>
          <cell r="C1954">
            <v>1197</v>
          </cell>
          <cell r="D1954">
            <v>0</v>
          </cell>
          <cell r="E1954">
            <v>0</v>
          </cell>
          <cell r="F1954">
            <v>0</v>
          </cell>
          <cell r="G1954">
            <v>1197</v>
          </cell>
          <cell r="H1954">
            <v>0</v>
          </cell>
          <cell r="I1954">
            <v>1260</v>
          </cell>
          <cell r="J1954">
            <v>0</v>
          </cell>
        </row>
        <row r="1955">
          <cell r="A1955">
            <v>1713300471</v>
          </cell>
          <cell r="B1955" t="str">
            <v>מכשירי כתיבה</v>
          </cell>
          <cell r="C1955">
            <v>35055</v>
          </cell>
          <cell r="D1955">
            <v>26397.119999999999</v>
          </cell>
          <cell r="E1955">
            <v>146.25</v>
          </cell>
          <cell r="F1955">
            <v>26543.37</v>
          </cell>
          <cell r="G1955">
            <v>8511.6299999999992</v>
          </cell>
          <cell r="H1955">
            <v>75.709999999999994</v>
          </cell>
          <cell r="I1955">
            <v>36900</v>
          </cell>
          <cell r="J1955">
            <v>26397.119999999999</v>
          </cell>
        </row>
        <row r="1956">
          <cell r="A1956">
            <v>1713300511</v>
          </cell>
          <cell r="B1956" t="str">
            <v>אירוח וכיבוד</v>
          </cell>
          <cell r="C1956">
            <v>4940</v>
          </cell>
          <cell r="D1956">
            <v>4935.0200000000004</v>
          </cell>
          <cell r="E1956">
            <v>0</v>
          </cell>
          <cell r="F1956">
            <v>4935.0200000000004</v>
          </cell>
          <cell r="G1956">
            <v>4.9800000000000004</v>
          </cell>
          <cell r="H1956">
            <v>99.89</v>
          </cell>
          <cell r="I1956">
            <v>5200</v>
          </cell>
          <cell r="J1956">
            <v>4935.0200000000004</v>
          </cell>
        </row>
        <row r="1957">
          <cell r="A1957">
            <v>1713300522</v>
          </cell>
          <cell r="B1957" t="str">
            <v>ספרים ועיתונים</v>
          </cell>
          <cell r="C1957">
            <v>1425</v>
          </cell>
          <cell r="D1957">
            <v>0</v>
          </cell>
          <cell r="E1957">
            <v>0</v>
          </cell>
          <cell r="F1957">
            <v>0</v>
          </cell>
          <cell r="G1957">
            <v>1425</v>
          </cell>
          <cell r="H1957">
            <v>0</v>
          </cell>
          <cell r="I1957">
            <v>1500</v>
          </cell>
          <cell r="J1957">
            <v>0</v>
          </cell>
        </row>
        <row r="1958">
          <cell r="A1958">
            <v>1713300544</v>
          </cell>
          <cell r="B1958" t="str">
            <v>הוצאות דאר</v>
          </cell>
          <cell r="C1958">
            <v>46360</v>
          </cell>
          <cell r="D1958">
            <v>46704.24</v>
          </cell>
          <cell r="E1958">
            <v>0</v>
          </cell>
          <cell r="F1958">
            <v>46704.24</v>
          </cell>
          <cell r="G1958">
            <v>-344.24</v>
          </cell>
          <cell r="H1958">
            <v>100.74</v>
          </cell>
          <cell r="I1958">
            <v>48800</v>
          </cell>
          <cell r="J1958">
            <v>46704.24</v>
          </cell>
        </row>
        <row r="1959">
          <cell r="A1959">
            <v>1713300550</v>
          </cell>
          <cell r="B1959" t="str">
            <v>פירסומים</v>
          </cell>
          <cell r="C1959">
            <v>15485</v>
          </cell>
          <cell r="D1959">
            <v>4856</v>
          </cell>
          <cell r="E1959">
            <v>0</v>
          </cell>
          <cell r="F1959">
            <v>4856</v>
          </cell>
          <cell r="G1959">
            <v>10629</v>
          </cell>
          <cell r="H1959">
            <v>31.35</v>
          </cell>
          <cell r="I1959">
            <v>16300</v>
          </cell>
          <cell r="J1959">
            <v>4856</v>
          </cell>
        </row>
        <row r="1960">
          <cell r="A1960">
            <v>1713300561</v>
          </cell>
          <cell r="B1960" t="str">
            <v>שיכפולים</v>
          </cell>
          <cell r="C1960">
            <v>2660</v>
          </cell>
          <cell r="D1960">
            <v>0</v>
          </cell>
          <cell r="E1960">
            <v>0</v>
          </cell>
          <cell r="F1960">
            <v>0</v>
          </cell>
          <cell r="G1960">
            <v>2660</v>
          </cell>
          <cell r="H1960">
            <v>0</v>
          </cell>
          <cell r="I1960">
            <v>2800</v>
          </cell>
          <cell r="J1960">
            <v>0</v>
          </cell>
        </row>
        <row r="1961">
          <cell r="A1961">
            <v>1713300562</v>
          </cell>
          <cell r="B1961" t="str">
            <v>הדפסות</v>
          </cell>
          <cell r="C1961">
            <v>26030</v>
          </cell>
          <cell r="D1961">
            <v>2000</v>
          </cell>
          <cell r="E1961">
            <v>4680</v>
          </cell>
          <cell r="F1961">
            <v>6680</v>
          </cell>
          <cell r="G1961">
            <v>19350</v>
          </cell>
          <cell r="H1961">
            <v>25.66</v>
          </cell>
          <cell r="I1961">
            <v>27400</v>
          </cell>
          <cell r="J1961">
            <v>2000</v>
          </cell>
        </row>
        <row r="1962">
          <cell r="A1962">
            <v>1713300565</v>
          </cell>
          <cell r="B1962" t="str">
            <v>צילום</v>
          </cell>
          <cell r="C1962">
            <v>0</v>
          </cell>
          <cell r="D1962">
            <v>0</v>
          </cell>
          <cell r="E1962">
            <v>0</v>
          </cell>
          <cell r="F1962">
            <v>0</v>
          </cell>
          <cell r="G1962">
            <v>0</v>
          </cell>
          <cell r="H1962">
            <v>0</v>
          </cell>
          <cell r="I1962">
            <v>0</v>
          </cell>
          <cell r="J1962">
            <v>0</v>
          </cell>
        </row>
        <row r="1963">
          <cell r="A1963">
            <v>1713300566</v>
          </cell>
          <cell r="B1963" t="str">
            <v>חבילת גלישה</v>
          </cell>
          <cell r="C1963">
            <v>4180</v>
          </cell>
          <cell r="D1963">
            <v>0</v>
          </cell>
          <cell r="E1963">
            <v>0</v>
          </cell>
          <cell r="F1963">
            <v>0</v>
          </cell>
          <cell r="G1963">
            <v>4180</v>
          </cell>
          <cell r="H1963">
            <v>0</v>
          </cell>
          <cell r="I1963">
            <v>4400</v>
          </cell>
          <cell r="J1963">
            <v>0</v>
          </cell>
        </row>
        <row r="1964">
          <cell r="A1964">
            <v>1713300571</v>
          </cell>
          <cell r="B1964" t="str">
            <v>מיכון וענ"א</v>
          </cell>
          <cell r="C1964">
            <v>164350</v>
          </cell>
          <cell r="D1964">
            <v>173000</v>
          </cell>
          <cell r="E1964">
            <v>0</v>
          </cell>
          <cell r="F1964">
            <v>173000</v>
          </cell>
          <cell r="G1964">
            <v>-8650</v>
          </cell>
          <cell r="H1964">
            <v>105.26</v>
          </cell>
          <cell r="I1964">
            <v>173000</v>
          </cell>
          <cell r="J1964">
            <v>173000</v>
          </cell>
        </row>
        <row r="1965">
          <cell r="A1965">
            <v>1713300573</v>
          </cell>
          <cell r="B1965" t="str">
            <v>מיחשוב רישוי עסקים</v>
          </cell>
          <cell r="C1965">
            <v>80085</v>
          </cell>
          <cell r="D1965">
            <v>639</v>
          </cell>
          <cell r="E1965">
            <v>0</v>
          </cell>
          <cell r="F1965">
            <v>639</v>
          </cell>
          <cell r="G1965">
            <v>79446</v>
          </cell>
          <cell r="H1965">
            <v>0.79</v>
          </cell>
          <cell r="I1965">
            <v>84300</v>
          </cell>
          <cell r="J1965">
            <v>639</v>
          </cell>
        </row>
        <row r="1966">
          <cell r="A1966">
            <v>1713300580</v>
          </cell>
          <cell r="B1966" t="str">
            <v>יעוץ חיצוני</v>
          </cell>
          <cell r="C1966">
            <v>16245</v>
          </cell>
          <cell r="D1966">
            <v>0</v>
          </cell>
          <cell r="E1966">
            <v>0</v>
          </cell>
          <cell r="F1966">
            <v>0</v>
          </cell>
          <cell r="G1966">
            <v>16245</v>
          </cell>
          <cell r="H1966">
            <v>0</v>
          </cell>
          <cell r="I1966">
            <v>17100</v>
          </cell>
          <cell r="J1966">
            <v>0</v>
          </cell>
        </row>
        <row r="1967">
          <cell r="A1967">
            <v>1713300581</v>
          </cell>
          <cell r="B1967" t="str">
            <v>דו"ח רשם החברות</v>
          </cell>
          <cell r="C1967">
            <v>1700</v>
          </cell>
          <cell r="D1967">
            <v>1700</v>
          </cell>
          <cell r="E1967">
            <v>0</v>
          </cell>
          <cell r="F1967">
            <v>1700</v>
          </cell>
          <cell r="G1967">
            <v>0</v>
          </cell>
          <cell r="H1967">
            <v>100</v>
          </cell>
          <cell r="I1967">
            <v>1700</v>
          </cell>
          <cell r="J1967">
            <v>1700</v>
          </cell>
        </row>
        <row r="1968">
          <cell r="A1968">
            <v>1713300582</v>
          </cell>
          <cell r="B1968" t="str">
            <v>סקר שילוט</v>
          </cell>
          <cell r="C1968">
            <v>0</v>
          </cell>
          <cell r="D1968">
            <v>0</v>
          </cell>
          <cell r="E1968">
            <v>0</v>
          </cell>
          <cell r="F1968">
            <v>0</v>
          </cell>
          <cell r="G1968">
            <v>0</v>
          </cell>
          <cell r="H1968">
            <v>0</v>
          </cell>
          <cell r="I1968">
            <v>0</v>
          </cell>
          <cell r="J1968">
            <v>0</v>
          </cell>
        </row>
        <row r="1969">
          <cell r="A1969">
            <v>1713300585</v>
          </cell>
          <cell r="B1969" t="str">
            <v>משפטי שילוט</v>
          </cell>
          <cell r="C1969">
            <v>85500</v>
          </cell>
          <cell r="D1969">
            <v>93188.95</v>
          </cell>
          <cell r="E1969">
            <v>0</v>
          </cell>
          <cell r="F1969">
            <v>93188.95</v>
          </cell>
          <cell r="G1969">
            <v>-7688.95</v>
          </cell>
          <cell r="H1969">
            <v>108.99</v>
          </cell>
          <cell r="I1969">
            <v>85500</v>
          </cell>
          <cell r="J1969">
            <v>93188.95</v>
          </cell>
        </row>
        <row r="1970">
          <cell r="A1970">
            <v>1713300743</v>
          </cell>
          <cell r="B1970" t="str">
            <v>כלים וציוד</v>
          </cell>
          <cell r="C1970">
            <v>0</v>
          </cell>
          <cell r="D1970">
            <v>0</v>
          </cell>
          <cell r="E1970">
            <v>0</v>
          </cell>
          <cell r="F1970">
            <v>0</v>
          </cell>
          <cell r="G1970">
            <v>0</v>
          </cell>
          <cell r="H1970">
            <v>0</v>
          </cell>
          <cell r="I1970">
            <v>0</v>
          </cell>
          <cell r="J1970">
            <v>0</v>
          </cell>
        </row>
        <row r="1971">
          <cell r="A1971">
            <v>1713300750</v>
          </cell>
          <cell r="B1971" t="str">
            <v>מנגנון לסגירת עסקים</v>
          </cell>
          <cell r="C1971">
            <v>40660</v>
          </cell>
          <cell r="D1971">
            <v>237</v>
          </cell>
          <cell r="E1971">
            <v>0</v>
          </cell>
          <cell r="F1971">
            <v>237</v>
          </cell>
          <cell r="G1971">
            <v>40423</v>
          </cell>
          <cell r="H1971">
            <v>0.57999999999999996</v>
          </cell>
          <cell r="I1971">
            <v>42800</v>
          </cell>
          <cell r="J1971">
            <v>237</v>
          </cell>
        </row>
        <row r="1972">
          <cell r="A1972">
            <v>1713300754</v>
          </cell>
          <cell r="B1972" t="str">
            <v>אח' והחלפת לוחות שכונתיים</v>
          </cell>
          <cell r="C1972">
            <v>119700</v>
          </cell>
          <cell r="D1972">
            <v>119700</v>
          </cell>
          <cell r="E1972">
            <v>0</v>
          </cell>
          <cell r="F1972">
            <v>119700</v>
          </cell>
          <cell r="G1972">
            <v>0</v>
          </cell>
          <cell r="H1972">
            <v>100</v>
          </cell>
          <cell r="I1972">
            <v>119700</v>
          </cell>
          <cell r="J1972">
            <v>119700</v>
          </cell>
        </row>
        <row r="1973">
          <cell r="A1973">
            <v>1713300757</v>
          </cell>
          <cell r="B1973" t="str">
            <v>מספרים לבתים חדשים</v>
          </cell>
          <cell r="C1973">
            <v>4085</v>
          </cell>
          <cell r="D1973">
            <v>0</v>
          </cell>
          <cell r="E1973">
            <v>0</v>
          </cell>
          <cell r="F1973">
            <v>0</v>
          </cell>
          <cell r="G1973">
            <v>4085</v>
          </cell>
          <cell r="H1973">
            <v>0</v>
          </cell>
          <cell r="I1973">
            <v>4300</v>
          </cell>
          <cell r="J1973">
            <v>0</v>
          </cell>
        </row>
        <row r="1974">
          <cell r="A1974">
            <v>1713300759</v>
          </cell>
          <cell r="B1974" t="str">
            <v>מפות עירוניות</v>
          </cell>
          <cell r="C1974">
            <v>2090</v>
          </cell>
          <cell r="D1974">
            <v>0</v>
          </cell>
          <cell r="E1974">
            <v>0</v>
          </cell>
          <cell r="F1974">
            <v>0</v>
          </cell>
          <cell r="G1974">
            <v>2090</v>
          </cell>
          <cell r="H1974">
            <v>0</v>
          </cell>
          <cell r="I1974">
            <v>2200</v>
          </cell>
          <cell r="J1974">
            <v>0</v>
          </cell>
        </row>
        <row r="1975">
          <cell r="A1975">
            <v>1713300761</v>
          </cell>
          <cell r="B1975" t="str">
            <v>בדיקות זיהום אוויר</v>
          </cell>
          <cell r="C1975">
            <v>0</v>
          </cell>
          <cell r="D1975">
            <v>0</v>
          </cell>
          <cell r="E1975">
            <v>0</v>
          </cell>
          <cell r="F1975">
            <v>0</v>
          </cell>
          <cell r="G1975">
            <v>0</v>
          </cell>
          <cell r="H1975">
            <v>0</v>
          </cell>
          <cell r="I1975">
            <v>0</v>
          </cell>
          <cell r="J1975">
            <v>0</v>
          </cell>
        </row>
        <row r="1976">
          <cell r="A1976">
            <v>1713300780</v>
          </cell>
          <cell r="B1976" t="str">
            <v>עיר בריאה ומקיימת</v>
          </cell>
          <cell r="C1976">
            <v>0</v>
          </cell>
          <cell r="D1976">
            <v>0</v>
          </cell>
          <cell r="E1976">
            <v>0</v>
          </cell>
          <cell r="F1976">
            <v>0</v>
          </cell>
          <cell r="G1976">
            <v>0</v>
          </cell>
          <cell r="H1976">
            <v>0</v>
          </cell>
          <cell r="I1976">
            <v>0</v>
          </cell>
          <cell r="J1976">
            <v>0</v>
          </cell>
        </row>
        <row r="1977">
          <cell r="A1977">
            <v>1713300931</v>
          </cell>
          <cell r="B1977" t="str">
            <v>רכישות</v>
          </cell>
          <cell r="C1977">
            <v>7695</v>
          </cell>
          <cell r="D1977">
            <v>0</v>
          </cell>
          <cell r="E1977">
            <v>0</v>
          </cell>
          <cell r="F1977">
            <v>0</v>
          </cell>
          <cell r="G1977">
            <v>7695</v>
          </cell>
          <cell r="H1977">
            <v>0</v>
          </cell>
          <cell r="I1977">
            <v>8100</v>
          </cell>
          <cell r="J1977">
            <v>0</v>
          </cell>
        </row>
        <row r="1978">
          <cell r="A1978">
            <v>1713300932</v>
          </cell>
          <cell r="B1978" t="str">
            <v>ציוד בטיחותי אישי</v>
          </cell>
          <cell r="C1978">
            <v>4845</v>
          </cell>
          <cell r="D1978">
            <v>2787.14</v>
          </cell>
          <cell r="E1978">
            <v>0</v>
          </cell>
          <cell r="F1978">
            <v>2787.14</v>
          </cell>
          <cell r="G1978">
            <v>2057.86</v>
          </cell>
          <cell r="H1978">
            <v>57.52</v>
          </cell>
          <cell r="I1978">
            <v>5100</v>
          </cell>
          <cell r="J1978">
            <v>2787.14</v>
          </cell>
        </row>
        <row r="1979">
          <cell r="A1979">
            <v>1713300933</v>
          </cell>
          <cell r="B1979" t="str">
            <v>התקנת ואחזקת שילוט</v>
          </cell>
          <cell r="C1979">
            <v>203110</v>
          </cell>
          <cell r="D1979">
            <v>127164.18</v>
          </cell>
          <cell r="E1979">
            <v>0</v>
          </cell>
          <cell r="F1979">
            <v>127164.18</v>
          </cell>
          <cell r="G1979">
            <v>75945.820000000007</v>
          </cell>
          <cell r="H1979">
            <v>62.6</v>
          </cell>
          <cell r="I1979">
            <v>213800</v>
          </cell>
          <cell r="J1979">
            <v>127164.18</v>
          </cell>
        </row>
        <row r="1980">
          <cell r="A1980">
            <v>1714000110</v>
          </cell>
          <cell r="B1980" t="str">
            <v>השכר הקובע-תקציבית</v>
          </cell>
          <cell r="C1980">
            <v>157700</v>
          </cell>
          <cell r="D1980">
            <v>203117.25</v>
          </cell>
          <cell r="E1980">
            <v>0</v>
          </cell>
          <cell r="F1980">
            <v>203117.25</v>
          </cell>
          <cell r="G1980">
            <v>-45417.25</v>
          </cell>
          <cell r="H1980">
            <v>128.79</v>
          </cell>
          <cell r="I1980">
            <v>166000</v>
          </cell>
          <cell r="J1980">
            <v>203117.25</v>
          </cell>
        </row>
        <row r="1981">
          <cell r="A1981">
            <v>1714000119</v>
          </cell>
          <cell r="B1981" t="str">
            <v>השכר הקובע-צוברת</v>
          </cell>
          <cell r="C1981">
            <v>2648600</v>
          </cell>
          <cell r="D1981">
            <v>2474798.91</v>
          </cell>
          <cell r="E1981">
            <v>0</v>
          </cell>
          <cell r="F1981">
            <v>2474798.91</v>
          </cell>
          <cell r="G1981">
            <v>173801.09</v>
          </cell>
          <cell r="H1981">
            <v>93.43</v>
          </cell>
          <cell r="I1981">
            <v>2788000</v>
          </cell>
          <cell r="J1981">
            <v>2474798.91</v>
          </cell>
        </row>
        <row r="1982">
          <cell r="A1982">
            <v>1714000122</v>
          </cell>
          <cell r="B1982" t="str">
            <v>ביגוד</v>
          </cell>
          <cell r="C1982">
            <v>19760</v>
          </cell>
          <cell r="D1982">
            <v>17675.27</v>
          </cell>
          <cell r="E1982">
            <v>0</v>
          </cell>
          <cell r="F1982">
            <v>17675.27</v>
          </cell>
          <cell r="G1982">
            <v>2084.73</v>
          </cell>
          <cell r="H1982">
            <v>89.44</v>
          </cell>
          <cell r="I1982">
            <v>20800</v>
          </cell>
          <cell r="J1982">
            <v>17675.27</v>
          </cell>
        </row>
        <row r="1983">
          <cell r="A1983">
            <v>1714000126</v>
          </cell>
          <cell r="B1983" t="str">
            <v>דמי הבראה</v>
          </cell>
          <cell r="C1983">
            <v>63650</v>
          </cell>
          <cell r="D1983">
            <v>44252.84</v>
          </cell>
          <cell r="E1983">
            <v>0</v>
          </cell>
          <cell r="F1983">
            <v>44252.84</v>
          </cell>
          <cell r="G1983">
            <v>19397.16</v>
          </cell>
          <cell r="H1983">
            <v>69.52</v>
          </cell>
          <cell r="I1983">
            <v>67000</v>
          </cell>
          <cell r="J1983">
            <v>44252.84</v>
          </cell>
        </row>
        <row r="1984">
          <cell r="A1984">
            <v>1714000130</v>
          </cell>
          <cell r="B1984" t="str">
            <v>שעות נוספות</v>
          </cell>
          <cell r="C1984">
            <v>63080</v>
          </cell>
          <cell r="D1984">
            <v>80239.990000000005</v>
          </cell>
          <cell r="E1984">
            <v>0</v>
          </cell>
          <cell r="F1984">
            <v>80239.990000000005</v>
          </cell>
          <cell r="G1984">
            <v>-17159.990000000002</v>
          </cell>
          <cell r="H1984">
            <v>127.2</v>
          </cell>
          <cell r="I1984">
            <v>66400</v>
          </cell>
          <cell r="J1984">
            <v>80239.990000000005</v>
          </cell>
        </row>
        <row r="1985">
          <cell r="A1985">
            <v>1714000140</v>
          </cell>
          <cell r="B1985" t="str">
            <v>השתתפות באחזקת רכב</v>
          </cell>
          <cell r="C1985">
            <v>184680</v>
          </cell>
          <cell r="D1985">
            <v>211923.34</v>
          </cell>
          <cell r="E1985">
            <v>0</v>
          </cell>
          <cell r="F1985">
            <v>211923.34</v>
          </cell>
          <cell r="G1985">
            <v>-27243.34</v>
          </cell>
          <cell r="H1985">
            <v>114.75</v>
          </cell>
          <cell r="I1985">
            <v>194400</v>
          </cell>
          <cell r="J1985">
            <v>211923.34</v>
          </cell>
        </row>
        <row r="1986">
          <cell r="A1986">
            <v>1714000253</v>
          </cell>
          <cell r="B1986" t="str">
            <v>עובדי כ"א</v>
          </cell>
          <cell r="C1986">
            <v>0</v>
          </cell>
          <cell r="D1986">
            <v>0</v>
          </cell>
          <cell r="E1986">
            <v>0</v>
          </cell>
          <cell r="F1986">
            <v>0</v>
          </cell>
          <cell r="G1986">
            <v>0</v>
          </cell>
          <cell r="H1986">
            <v>0</v>
          </cell>
          <cell r="I1986">
            <v>0</v>
          </cell>
          <cell r="J1986">
            <v>0</v>
          </cell>
        </row>
        <row r="1987">
          <cell r="A1987">
            <v>1714000433</v>
          </cell>
          <cell r="B1987" t="str">
            <v>חומרי נקיון</v>
          </cell>
          <cell r="C1987">
            <v>2200</v>
          </cell>
          <cell r="D1987">
            <v>2159</v>
          </cell>
          <cell r="E1987">
            <v>0</v>
          </cell>
          <cell r="F1987">
            <v>2159</v>
          </cell>
          <cell r="G1987">
            <v>41</v>
          </cell>
          <cell r="H1987">
            <v>98.13</v>
          </cell>
          <cell r="I1987">
            <v>2200</v>
          </cell>
          <cell r="J1987">
            <v>2159</v>
          </cell>
        </row>
        <row r="1988">
          <cell r="A1988">
            <v>1714000437</v>
          </cell>
          <cell r="B1988" t="str">
            <v>אחזקת אזעקה</v>
          </cell>
          <cell r="C1988">
            <v>1235</v>
          </cell>
          <cell r="D1988">
            <v>1221.48</v>
          </cell>
          <cell r="E1988">
            <v>0</v>
          </cell>
          <cell r="F1988">
            <v>1221.48</v>
          </cell>
          <cell r="G1988">
            <v>13.52</v>
          </cell>
          <cell r="H1988">
            <v>98.9</v>
          </cell>
          <cell r="I1988">
            <v>1300</v>
          </cell>
          <cell r="J1988">
            <v>1221.48</v>
          </cell>
        </row>
        <row r="1989">
          <cell r="A1989">
            <v>1714000441</v>
          </cell>
          <cell r="B1989" t="str">
            <v>ביטוח</v>
          </cell>
          <cell r="C1989">
            <v>0</v>
          </cell>
          <cell r="D1989">
            <v>0</v>
          </cell>
          <cell r="E1989">
            <v>0</v>
          </cell>
          <cell r="F1989">
            <v>0</v>
          </cell>
          <cell r="G1989">
            <v>0</v>
          </cell>
          <cell r="H1989">
            <v>0</v>
          </cell>
          <cell r="I1989">
            <v>0</v>
          </cell>
          <cell r="J1989">
            <v>0</v>
          </cell>
        </row>
        <row r="1990">
          <cell r="A1990">
            <v>1714000470</v>
          </cell>
          <cell r="B1990" t="str">
            <v>אחזקת מכונות משרד</v>
          </cell>
          <cell r="C1990">
            <v>950</v>
          </cell>
          <cell r="D1990">
            <v>456.71</v>
          </cell>
          <cell r="E1990">
            <v>0</v>
          </cell>
          <cell r="F1990">
            <v>456.71</v>
          </cell>
          <cell r="G1990">
            <v>493.29</v>
          </cell>
          <cell r="H1990">
            <v>48.07</v>
          </cell>
          <cell r="I1990">
            <v>1000</v>
          </cell>
          <cell r="J1990">
            <v>456.71</v>
          </cell>
        </row>
        <row r="1991">
          <cell r="A1991">
            <v>1714000471</v>
          </cell>
          <cell r="B1991" t="str">
            <v>מכשירי כתיבה</v>
          </cell>
          <cell r="C1991">
            <v>9500</v>
          </cell>
          <cell r="D1991">
            <v>8116.6</v>
          </cell>
          <cell r="E1991">
            <v>0</v>
          </cell>
          <cell r="F1991">
            <v>8116.6</v>
          </cell>
          <cell r="G1991">
            <v>1383.4</v>
          </cell>
          <cell r="H1991">
            <v>85.43</v>
          </cell>
          <cell r="I1991">
            <v>9500</v>
          </cell>
          <cell r="J1991">
            <v>8116.6</v>
          </cell>
        </row>
        <row r="1992">
          <cell r="A1992">
            <v>1714000511</v>
          </cell>
          <cell r="B1992" t="str">
            <v>אירוח וכיבוד</v>
          </cell>
          <cell r="C1992">
            <v>5100</v>
          </cell>
          <cell r="D1992">
            <v>4558.2</v>
          </cell>
          <cell r="E1992">
            <v>0</v>
          </cell>
          <cell r="F1992">
            <v>4558.2</v>
          </cell>
          <cell r="G1992">
            <v>541.79999999999995</v>
          </cell>
          <cell r="H1992">
            <v>89.37</v>
          </cell>
          <cell r="I1992">
            <v>5100</v>
          </cell>
          <cell r="J1992">
            <v>4558.2</v>
          </cell>
        </row>
        <row r="1993">
          <cell r="A1993">
            <v>1714000522</v>
          </cell>
          <cell r="B1993" t="str">
            <v>ספרים ועיתונים</v>
          </cell>
          <cell r="C1993">
            <v>855</v>
          </cell>
          <cell r="D1993">
            <v>0</v>
          </cell>
          <cell r="E1993">
            <v>0</v>
          </cell>
          <cell r="F1993">
            <v>0</v>
          </cell>
          <cell r="G1993">
            <v>855</v>
          </cell>
          <cell r="H1993">
            <v>0</v>
          </cell>
          <cell r="I1993">
            <v>900</v>
          </cell>
          <cell r="J1993">
            <v>0</v>
          </cell>
        </row>
        <row r="1994">
          <cell r="A1994">
            <v>1714000540</v>
          </cell>
          <cell r="B1994" t="str">
            <v>הוצאות טלפון</v>
          </cell>
          <cell r="C1994">
            <v>1425</v>
          </cell>
          <cell r="D1994">
            <v>2073.02</v>
          </cell>
          <cell r="E1994">
            <v>0</v>
          </cell>
          <cell r="F1994">
            <v>2073.02</v>
          </cell>
          <cell r="G1994">
            <v>-648.02</v>
          </cell>
          <cell r="H1994">
            <v>145.47</v>
          </cell>
          <cell r="I1994">
            <v>1500</v>
          </cell>
          <cell r="J1994">
            <v>2073.02</v>
          </cell>
        </row>
        <row r="1995">
          <cell r="A1995">
            <v>1714000544</v>
          </cell>
          <cell r="B1995" t="str">
            <v>הוצאות דאר</v>
          </cell>
          <cell r="C1995">
            <v>11970</v>
          </cell>
          <cell r="D1995">
            <v>2401.1999999999998</v>
          </cell>
          <cell r="E1995">
            <v>0</v>
          </cell>
          <cell r="F1995">
            <v>2401.1999999999998</v>
          </cell>
          <cell r="G1995">
            <v>9568.7999999999993</v>
          </cell>
          <cell r="H1995">
            <v>20.059999999999999</v>
          </cell>
          <cell r="I1995">
            <v>12600</v>
          </cell>
          <cell r="J1995">
            <v>2401.1999999999998</v>
          </cell>
        </row>
        <row r="1996">
          <cell r="A1996">
            <v>1714000550</v>
          </cell>
          <cell r="B1996" t="str">
            <v>פירסומים</v>
          </cell>
          <cell r="C1996">
            <v>20520</v>
          </cell>
          <cell r="D1996">
            <v>617</v>
          </cell>
          <cell r="E1996">
            <v>2106</v>
          </cell>
          <cell r="F1996">
            <v>2723</v>
          </cell>
          <cell r="G1996">
            <v>17797</v>
          </cell>
          <cell r="H1996">
            <v>13.26</v>
          </cell>
          <cell r="I1996">
            <v>21600</v>
          </cell>
          <cell r="J1996">
            <v>617</v>
          </cell>
        </row>
        <row r="1997">
          <cell r="A1997">
            <v>1714000561</v>
          </cell>
          <cell r="B1997" t="str">
            <v>שיכפולים</v>
          </cell>
          <cell r="C1997">
            <v>0</v>
          </cell>
          <cell r="D1997">
            <v>0</v>
          </cell>
          <cell r="E1997">
            <v>0</v>
          </cell>
          <cell r="F1997">
            <v>0</v>
          </cell>
          <cell r="G1997">
            <v>0</v>
          </cell>
          <cell r="H1997">
            <v>0</v>
          </cell>
          <cell r="I1997">
            <v>0</v>
          </cell>
          <cell r="J1997">
            <v>0</v>
          </cell>
        </row>
        <row r="1998">
          <cell r="A1998">
            <v>1714000562</v>
          </cell>
          <cell r="B1998" t="str">
            <v>הדפסות</v>
          </cell>
          <cell r="C1998">
            <v>17100</v>
          </cell>
          <cell r="D1998">
            <v>0</v>
          </cell>
          <cell r="E1998">
            <v>0</v>
          </cell>
          <cell r="F1998">
            <v>0</v>
          </cell>
          <cell r="G1998">
            <v>17100</v>
          </cell>
          <cell r="H1998">
            <v>0</v>
          </cell>
          <cell r="I1998">
            <v>18000</v>
          </cell>
          <cell r="J1998">
            <v>0</v>
          </cell>
        </row>
        <row r="1999">
          <cell r="A1999">
            <v>1714000571</v>
          </cell>
          <cell r="B1999" t="str">
            <v>מיכון וענ"א</v>
          </cell>
          <cell r="C1999">
            <v>44840</v>
          </cell>
          <cell r="D1999">
            <v>47200</v>
          </cell>
          <cell r="E1999">
            <v>0</v>
          </cell>
          <cell r="F1999">
            <v>47200</v>
          </cell>
          <cell r="G1999">
            <v>-2360</v>
          </cell>
          <cell r="H1999">
            <v>105.26</v>
          </cell>
          <cell r="I1999">
            <v>47200</v>
          </cell>
          <cell r="J1999">
            <v>47200</v>
          </cell>
        </row>
        <row r="2000">
          <cell r="A2000">
            <v>1714000580</v>
          </cell>
          <cell r="B2000" t="str">
            <v>יעוץ וטרינרי</v>
          </cell>
          <cell r="C2000">
            <v>0</v>
          </cell>
          <cell r="D2000">
            <v>0</v>
          </cell>
          <cell r="E2000">
            <v>0</v>
          </cell>
          <cell r="F2000">
            <v>0</v>
          </cell>
          <cell r="G2000">
            <v>0</v>
          </cell>
          <cell r="H2000">
            <v>0</v>
          </cell>
          <cell r="I2000">
            <v>0</v>
          </cell>
          <cell r="J2000">
            <v>0</v>
          </cell>
        </row>
        <row r="2001">
          <cell r="A2001">
            <v>1714000585</v>
          </cell>
          <cell r="B2001" t="str">
            <v>בדיקות בשר</v>
          </cell>
          <cell r="C2001">
            <v>1615</v>
          </cell>
          <cell r="D2001">
            <v>0</v>
          </cell>
          <cell r="E2001">
            <v>317</v>
          </cell>
          <cell r="F2001">
            <v>317</v>
          </cell>
          <cell r="G2001">
            <v>1298</v>
          </cell>
          <cell r="H2001">
            <v>19.62</v>
          </cell>
          <cell r="I2001">
            <v>1700</v>
          </cell>
          <cell r="J2001">
            <v>0</v>
          </cell>
        </row>
        <row r="2002">
          <cell r="A2002">
            <v>1714000596</v>
          </cell>
          <cell r="B2002" t="str">
            <v>השתתפות בעזר 096</v>
          </cell>
          <cell r="C2002">
            <v>102125</v>
          </cell>
          <cell r="D2002">
            <v>100480</v>
          </cell>
          <cell r="E2002">
            <v>0</v>
          </cell>
          <cell r="F2002">
            <v>100480</v>
          </cell>
          <cell r="G2002">
            <v>1645</v>
          </cell>
          <cell r="H2002">
            <v>98.38</v>
          </cell>
          <cell r="I2002">
            <v>107500</v>
          </cell>
          <cell r="J2002">
            <v>100480</v>
          </cell>
        </row>
        <row r="2003">
          <cell r="A2003">
            <v>1714000721</v>
          </cell>
          <cell r="B2003" t="str">
            <v>חמרים-תחזוקת מבנים</v>
          </cell>
          <cell r="C2003">
            <v>1330</v>
          </cell>
          <cell r="D2003">
            <v>0</v>
          </cell>
          <cell r="E2003">
            <v>0</v>
          </cell>
          <cell r="F2003">
            <v>0</v>
          </cell>
          <cell r="G2003">
            <v>1330</v>
          </cell>
          <cell r="H2003">
            <v>0</v>
          </cell>
          <cell r="I2003">
            <v>1400</v>
          </cell>
          <cell r="J2003">
            <v>0</v>
          </cell>
        </row>
        <row r="2004">
          <cell r="A2004">
            <v>1714000722</v>
          </cell>
          <cell r="B2004" t="str">
            <v>לוחיות ושבבים</v>
          </cell>
          <cell r="C2004">
            <v>0</v>
          </cell>
          <cell r="D2004">
            <v>0</v>
          </cell>
          <cell r="E2004">
            <v>0</v>
          </cell>
          <cell r="F2004">
            <v>0</v>
          </cell>
          <cell r="G2004">
            <v>0</v>
          </cell>
          <cell r="H2004">
            <v>0</v>
          </cell>
          <cell r="I2004">
            <v>0</v>
          </cell>
          <cell r="J2004">
            <v>0</v>
          </cell>
        </row>
        <row r="2005">
          <cell r="A2005">
            <v>1714000723</v>
          </cell>
          <cell r="B2005" t="str">
            <v>חומר חיסון לכלבים</v>
          </cell>
          <cell r="C2005">
            <v>229900</v>
          </cell>
          <cell r="D2005">
            <v>182077.36</v>
          </cell>
          <cell r="E2005">
            <v>0</v>
          </cell>
          <cell r="F2005">
            <v>182077.36</v>
          </cell>
          <cell r="G2005">
            <v>47822.64</v>
          </cell>
          <cell r="H2005">
            <v>79.19</v>
          </cell>
          <cell r="I2005">
            <v>242000</v>
          </cell>
          <cell r="J2005">
            <v>182077.36</v>
          </cell>
        </row>
        <row r="2006">
          <cell r="A2006">
            <v>1714000742</v>
          </cell>
          <cell r="B2006" t="str">
            <v>כלים וציוד</v>
          </cell>
          <cell r="C2006">
            <v>0</v>
          </cell>
          <cell r="D2006">
            <v>0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0</v>
          </cell>
          <cell r="J2006">
            <v>0</v>
          </cell>
        </row>
        <row r="2007">
          <cell r="A2007">
            <v>1714000751</v>
          </cell>
          <cell r="B2007" t="str">
            <v>עבודות קבלניות</v>
          </cell>
          <cell r="C2007">
            <v>3400</v>
          </cell>
          <cell r="D2007">
            <v>0</v>
          </cell>
          <cell r="E2007">
            <v>0</v>
          </cell>
          <cell r="F2007">
            <v>0</v>
          </cell>
          <cell r="G2007">
            <v>3400</v>
          </cell>
          <cell r="H2007">
            <v>0</v>
          </cell>
          <cell r="I2007">
            <v>3400</v>
          </cell>
          <cell r="J2007">
            <v>0</v>
          </cell>
        </row>
        <row r="2008">
          <cell r="A2008">
            <v>1714000752</v>
          </cell>
          <cell r="B2008" t="str">
            <v>נקיון בקבלנות</v>
          </cell>
          <cell r="C2008">
            <v>61560</v>
          </cell>
          <cell r="D2008">
            <v>60469.03</v>
          </cell>
          <cell r="E2008">
            <v>0</v>
          </cell>
          <cell r="F2008">
            <v>60469.03</v>
          </cell>
          <cell r="G2008">
            <v>1090.97</v>
          </cell>
          <cell r="H2008">
            <v>98.22</v>
          </cell>
          <cell r="I2008">
            <v>64800</v>
          </cell>
          <cell r="J2008">
            <v>60469.03</v>
          </cell>
        </row>
        <row r="2009">
          <cell r="A2009">
            <v>1714000754</v>
          </cell>
          <cell r="B2009" t="str">
            <v>מרפאות וטרינריות-חירום</v>
          </cell>
          <cell r="C2009">
            <v>50000</v>
          </cell>
          <cell r="D2009">
            <v>43493</v>
          </cell>
          <cell r="E2009">
            <v>6477</v>
          </cell>
          <cell r="F2009">
            <v>49970</v>
          </cell>
          <cell r="G2009">
            <v>30</v>
          </cell>
          <cell r="H2009">
            <v>99.94</v>
          </cell>
          <cell r="I2009">
            <v>50000</v>
          </cell>
          <cell r="J2009">
            <v>43493</v>
          </cell>
        </row>
        <row r="2010">
          <cell r="A2010">
            <v>1714000757</v>
          </cell>
          <cell r="B2010" t="str">
            <v>הסגרת כלבים</v>
          </cell>
          <cell r="C2010">
            <v>4085</v>
          </cell>
          <cell r="D2010">
            <v>1231</v>
          </cell>
          <cell r="E2010">
            <v>0</v>
          </cell>
          <cell r="F2010">
            <v>1231</v>
          </cell>
          <cell r="G2010">
            <v>2854</v>
          </cell>
          <cell r="H2010">
            <v>30.13</v>
          </cell>
          <cell r="I2010">
            <v>4300</v>
          </cell>
          <cell r="J2010">
            <v>1231</v>
          </cell>
        </row>
        <row r="2011">
          <cell r="A2011">
            <v>1714000758</v>
          </cell>
          <cell r="B2011" t="str">
            <v>הסגר-בעלי חיים</v>
          </cell>
          <cell r="C2011">
            <v>363850</v>
          </cell>
          <cell r="D2011">
            <v>232379.19</v>
          </cell>
          <cell r="E2011">
            <v>52063.45</v>
          </cell>
          <cell r="F2011">
            <v>284442.64</v>
          </cell>
          <cell r="G2011">
            <v>79407.360000000001</v>
          </cell>
          <cell r="H2011">
            <v>78.17</v>
          </cell>
          <cell r="I2011">
            <v>383000</v>
          </cell>
          <cell r="J2011">
            <v>232379.19</v>
          </cell>
        </row>
        <row r="2012">
          <cell r="A2012">
            <v>1714000759</v>
          </cell>
          <cell r="B2012" t="str">
            <v>עיקור חתולים וכלבים</v>
          </cell>
          <cell r="C2012">
            <v>456000</v>
          </cell>
          <cell r="D2012">
            <v>373520</v>
          </cell>
          <cell r="E2012">
            <v>44750</v>
          </cell>
          <cell r="F2012">
            <v>418270</v>
          </cell>
          <cell r="G2012">
            <v>37730</v>
          </cell>
          <cell r="H2012">
            <v>91.72</v>
          </cell>
          <cell r="I2012">
            <v>480000</v>
          </cell>
          <cell r="J2012">
            <v>373520</v>
          </cell>
        </row>
        <row r="2013">
          <cell r="A2013">
            <v>1714000780</v>
          </cell>
          <cell r="B2013" t="str">
            <v>מוקד ארצי לחיסונים</v>
          </cell>
          <cell r="C2013">
            <v>56000</v>
          </cell>
          <cell r="D2013">
            <v>69033.100000000006</v>
          </cell>
          <cell r="E2013">
            <v>0</v>
          </cell>
          <cell r="F2013">
            <v>69033.100000000006</v>
          </cell>
          <cell r="G2013">
            <v>-13033.1</v>
          </cell>
          <cell r="H2013">
            <v>123.27</v>
          </cell>
          <cell r="I2013">
            <v>56000</v>
          </cell>
          <cell r="J2013">
            <v>69033.100000000006</v>
          </cell>
        </row>
        <row r="2014">
          <cell r="A2014">
            <v>1714000781</v>
          </cell>
          <cell r="B2014" t="str">
            <v>מרפאה ווטרינרית</v>
          </cell>
          <cell r="C2014">
            <v>25700</v>
          </cell>
          <cell r="D2014">
            <v>25451.83</v>
          </cell>
          <cell r="E2014">
            <v>0</v>
          </cell>
          <cell r="F2014">
            <v>25451.83</v>
          </cell>
          <cell r="G2014">
            <v>248.17</v>
          </cell>
          <cell r="H2014">
            <v>99.03</v>
          </cell>
          <cell r="I2014">
            <v>25700</v>
          </cell>
          <cell r="J2014">
            <v>25451.83</v>
          </cell>
        </row>
        <row r="2015">
          <cell r="A2015">
            <v>1714000880</v>
          </cell>
          <cell r="B2015" t="str">
            <v>מוקד ארצי לחיסונים</v>
          </cell>
          <cell r="C2015">
            <v>0</v>
          </cell>
          <cell r="D2015">
            <v>0</v>
          </cell>
          <cell r="E2015">
            <v>0</v>
          </cell>
          <cell r="F2015">
            <v>0</v>
          </cell>
          <cell r="G2015">
            <v>0</v>
          </cell>
          <cell r="H2015">
            <v>0</v>
          </cell>
          <cell r="I2015">
            <v>0</v>
          </cell>
          <cell r="J2015">
            <v>0</v>
          </cell>
        </row>
        <row r="2016">
          <cell r="A2016">
            <v>1714000931</v>
          </cell>
          <cell r="B2016" t="str">
            <v>רכישות ציוד</v>
          </cell>
          <cell r="C2016">
            <v>32000</v>
          </cell>
          <cell r="D2016">
            <v>30857.200000000001</v>
          </cell>
          <cell r="E2016">
            <v>889.2</v>
          </cell>
          <cell r="F2016">
            <v>31746.400000000001</v>
          </cell>
          <cell r="G2016">
            <v>253.6</v>
          </cell>
          <cell r="H2016">
            <v>99.2</v>
          </cell>
          <cell r="I2016">
            <v>32000</v>
          </cell>
          <cell r="J2016">
            <v>30857.200000000001</v>
          </cell>
        </row>
        <row r="2017">
          <cell r="A2017">
            <v>1715300110</v>
          </cell>
          <cell r="B2017" t="str">
            <v>השכר הקובע-תקציבית</v>
          </cell>
          <cell r="C2017">
            <v>0</v>
          </cell>
          <cell r="D2017">
            <v>0</v>
          </cell>
          <cell r="E2017">
            <v>0</v>
          </cell>
          <cell r="F2017">
            <v>0</v>
          </cell>
          <cell r="G2017">
            <v>0</v>
          </cell>
          <cell r="H2017">
            <v>0</v>
          </cell>
          <cell r="I2017">
            <v>0</v>
          </cell>
          <cell r="J2017">
            <v>0</v>
          </cell>
        </row>
        <row r="2018">
          <cell r="A2018">
            <v>1715300119</v>
          </cell>
          <cell r="B2018" t="str">
            <v>השכר הקובע-צוברת</v>
          </cell>
          <cell r="C2018">
            <v>146015</v>
          </cell>
          <cell r="D2018">
            <v>0</v>
          </cell>
          <cell r="E2018">
            <v>0</v>
          </cell>
          <cell r="F2018">
            <v>0</v>
          </cell>
          <cell r="G2018">
            <v>146015</v>
          </cell>
          <cell r="H2018">
            <v>0</v>
          </cell>
          <cell r="I2018">
            <v>153700</v>
          </cell>
          <cell r="J2018">
            <v>0</v>
          </cell>
        </row>
        <row r="2019">
          <cell r="A2019">
            <v>1715300122</v>
          </cell>
          <cell r="B2019" t="str">
            <v>ביגוד</v>
          </cell>
          <cell r="C2019">
            <v>1900</v>
          </cell>
          <cell r="D2019">
            <v>0</v>
          </cell>
          <cell r="E2019">
            <v>0</v>
          </cell>
          <cell r="F2019">
            <v>0</v>
          </cell>
          <cell r="G2019">
            <v>1900</v>
          </cell>
          <cell r="H2019">
            <v>0</v>
          </cell>
          <cell r="I2019">
            <v>2000</v>
          </cell>
          <cell r="J2019">
            <v>0</v>
          </cell>
        </row>
        <row r="2020">
          <cell r="A2020">
            <v>1715300126</v>
          </cell>
          <cell r="B2020" t="str">
            <v>דמי הבראה</v>
          </cell>
          <cell r="C2020">
            <v>0</v>
          </cell>
          <cell r="D2020">
            <v>0</v>
          </cell>
          <cell r="E2020">
            <v>0</v>
          </cell>
          <cell r="F2020">
            <v>0</v>
          </cell>
          <cell r="G2020">
            <v>0</v>
          </cell>
          <cell r="H2020">
            <v>0</v>
          </cell>
          <cell r="I2020">
            <v>0</v>
          </cell>
          <cell r="J2020">
            <v>0</v>
          </cell>
        </row>
        <row r="2021">
          <cell r="A2021">
            <v>1715300130</v>
          </cell>
          <cell r="B2021" t="str">
            <v>שעות נוספות</v>
          </cell>
          <cell r="C2021">
            <v>0</v>
          </cell>
          <cell r="D2021">
            <v>0</v>
          </cell>
          <cell r="E2021">
            <v>0</v>
          </cell>
          <cell r="F2021">
            <v>0</v>
          </cell>
          <cell r="G2021">
            <v>0</v>
          </cell>
          <cell r="H2021">
            <v>0</v>
          </cell>
          <cell r="I2021">
            <v>0</v>
          </cell>
          <cell r="J2021">
            <v>0</v>
          </cell>
        </row>
        <row r="2022">
          <cell r="A2022">
            <v>1715300140</v>
          </cell>
          <cell r="B2022" t="str">
            <v>השתתפות באחזקת רכב</v>
          </cell>
          <cell r="C2022">
            <v>9500</v>
          </cell>
          <cell r="D2022">
            <v>0</v>
          </cell>
          <cell r="E2022">
            <v>0</v>
          </cell>
          <cell r="F2022">
            <v>0</v>
          </cell>
          <cell r="G2022">
            <v>9500</v>
          </cell>
          <cell r="H2022">
            <v>0</v>
          </cell>
          <cell r="I2022">
            <v>10000</v>
          </cell>
          <cell r="J2022">
            <v>0</v>
          </cell>
        </row>
        <row r="2023">
          <cell r="A2023">
            <v>1715300550</v>
          </cell>
          <cell r="B2023" t="str">
            <v>פעולות הסברה</v>
          </cell>
          <cell r="C2023">
            <v>24415</v>
          </cell>
          <cell r="D2023">
            <v>877.5</v>
          </cell>
          <cell r="E2023">
            <v>0</v>
          </cell>
          <cell r="F2023">
            <v>877.5</v>
          </cell>
          <cell r="G2023">
            <v>23537.5</v>
          </cell>
          <cell r="H2023">
            <v>3.59</v>
          </cell>
          <cell r="I2023">
            <v>25700</v>
          </cell>
          <cell r="J2023">
            <v>877.5</v>
          </cell>
        </row>
        <row r="2024">
          <cell r="A2024">
            <v>1715300561</v>
          </cell>
          <cell r="B2024" t="str">
            <v>שיכפולים</v>
          </cell>
          <cell r="C2024">
            <v>0</v>
          </cell>
          <cell r="D2024">
            <v>0</v>
          </cell>
          <cell r="E2024">
            <v>0</v>
          </cell>
          <cell r="F2024">
            <v>0</v>
          </cell>
          <cell r="G2024">
            <v>0</v>
          </cell>
          <cell r="H2024">
            <v>0</v>
          </cell>
          <cell r="I2024">
            <v>0</v>
          </cell>
          <cell r="J2024">
            <v>0</v>
          </cell>
        </row>
        <row r="2025">
          <cell r="A2025">
            <v>1715300596</v>
          </cell>
          <cell r="B2025" t="str">
            <v>השתתפות בעזר 096</v>
          </cell>
          <cell r="C2025">
            <v>194750</v>
          </cell>
          <cell r="D2025">
            <v>191613</v>
          </cell>
          <cell r="E2025">
            <v>0</v>
          </cell>
          <cell r="F2025">
            <v>191613</v>
          </cell>
          <cell r="G2025">
            <v>3137</v>
          </cell>
          <cell r="H2025">
            <v>98.38</v>
          </cell>
          <cell r="I2025">
            <v>205000</v>
          </cell>
          <cell r="J2025">
            <v>191613</v>
          </cell>
        </row>
        <row r="2026">
          <cell r="A2026">
            <v>1715300722</v>
          </cell>
          <cell r="B2026" t="str">
            <v>חומרי הדברה</v>
          </cell>
          <cell r="C2026">
            <v>0</v>
          </cell>
          <cell r="D2026">
            <v>0</v>
          </cell>
          <cell r="E2026">
            <v>0</v>
          </cell>
          <cell r="F2026">
            <v>0</v>
          </cell>
          <cell r="G2026">
            <v>0</v>
          </cell>
          <cell r="H2026">
            <v>0</v>
          </cell>
          <cell r="I2026">
            <v>0</v>
          </cell>
          <cell r="J2026">
            <v>0</v>
          </cell>
        </row>
        <row r="2027">
          <cell r="A2027">
            <v>1715300742</v>
          </cell>
          <cell r="B2027" t="str">
            <v>כלים וציוד</v>
          </cell>
          <cell r="C2027">
            <v>0</v>
          </cell>
          <cell r="D2027">
            <v>0</v>
          </cell>
          <cell r="E2027">
            <v>0</v>
          </cell>
          <cell r="F2027">
            <v>0</v>
          </cell>
          <cell r="G2027">
            <v>0</v>
          </cell>
          <cell r="H2027">
            <v>0</v>
          </cell>
          <cell r="I2027">
            <v>0</v>
          </cell>
          <cell r="J2027">
            <v>0</v>
          </cell>
        </row>
        <row r="2028">
          <cell r="A2028">
            <v>1715300757</v>
          </cell>
          <cell r="B2028" t="str">
            <v>ניטור</v>
          </cell>
          <cell r="C2028">
            <v>115300</v>
          </cell>
          <cell r="D2028">
            <v>57643</v>
          </cell>
          <cell r="E2028">
            <v>0</v>
          </cell>
          <cell r="F2028">
            <v>57643</v>
          </cell>
          <cell r="G2028">
            <v>57657</v>
          </cell>
          <cell r="H2028">
            <v>49.99</v>
          </cell>
          <cell r="I2028">
            <v>115300</v>
          </cell>
          <cell r="J2028">
            <v>57643</v>
          </cell>
        </row>
        <row r="2029">
          <cell r="A2029">
            <v>1715300758</v>
          </cell>
          <cell r="B2029" t="str">
            <v>לוכד נחשים</v>
          </cell>
          <cell r="C2029">
            <v>0</v>
          </cell>
          <cell r="D2029">
            <v>0</v>
          </cell>
          <cell r="E2029">
            <v>0</v>
          </cell>
          <cell r="F2029">
            <v>0</v>
          </cell>
          <cell r="G2029">
            <v>0</v>
          </cell>
          <cell r="H2029">
            <v>0</v>
          </cell>
          <cell r="I2029">
            <v>0</v>
          </cell>
          <cell r="J2029">
            <v>0</v>
          </cell>
        </row>
        <row r="2030">
          <cell r="A2030">
            <v>1715300759</v>
          </cell>
          <cell r="B2030" t="str">
            <v>הדברה</v>
          </cell>
          <cell r="C2030">
            <v>358000</v>
          </cell>
          <cell r="D2030">
            <v>342801.48</v>
          </cell>
          <cell r="E2030">
            <v>0</v>
          </cell>
          <cell r="F2030">
            <v>342801.48</v>
          </cell>
          <cell r="G2030">
            <v>15198.52</v>
          </cell>
          <cell r="H2030">
            <v>95.75</v>
          </cell>
          <cell r="I2030">
            <v>358000</v>
          </cell>
          <cell r="J2030">
            <v>342801.48</v>
          </cell>
        </row>
        <row r="2031">
          <cell r="A2031">
            <v>1721000110</v>
          </cell>
          <cell r="B2031" t="str">
            <v>השכר הקובע-תקציבית</v>
          </cell>
          <cell r="C2031">
            <v>344945</v>
          </cell>
          <cell r="D2031">
            <v>282768.13</v>
          </cell>
          <cell r="E2031">
            <v>0</v>
          </cell>
          <cell r="F2031">
            <v>282768.13</v>
          </cell>
          <cell r="G2031">
            <v>62176.87</v>
          </cell>
          <cell r="H2031">
            <v>81.97</v>
          </cell>
          <cell r="I2031">
            <v>363100</v>
          </cell>
          <cell r="J2031">
            <v>282768.13</v>
          </cell>
        </row>
        <row r="2032">
          <cell r="A2032">
            <v>1721000119</v>
          </cell>
          <cell r="B2032" t="str">
            <v>השכר הקובע-צוברת</v>
          </cell>
          <cell r="C2032">
            <v>1921280</v>
          </cell>
          <cell r="D2032">
            <v>1763410.6</v>
          </cell>
          <cell r="E2032">
            <v>0</v>
          </cell>
          <cell r="F2032">
            <v>1763410.6</v>
          </cell>
          <cell r="G2032">
            <v>157869.4</v>
          </cell>
          <cell r="H2032">
            <v>91.78</v>
          </cell>
          <cell r="I2032">
            <v>2022400</v>
          </cell>
          <cell r="J2032">
            <v>1763410.6</v>
          </cell>
        </row>
        <row r="2033">
          <cell r="A2033">
            <v>1721000122</v>
          </cell>
          <cell r="B2033" t="str">
            <v>ביגוד</v>
          </cell>
          <cell r="C2033">
            <v>17005</v>
          </cell>
          <cell r="D2033">
            <v>21653.97</v>
          </cell>
          <cell r="E2033">
            <v>0</v>
          </cell>
          <cell r="F2033">
            <v>21653.97</v>
          </cell>
          <cell r="G2033">
            <v>-4648.97</v>
          </cell>
          <cell r="H2033">
            <v>127.33</v>
          </cell>
          <cell r="I2033">
            <v>17900</v>
          </cell>
          <cell r="J2033">
            <v>21653.97</v>
          </cell>
        </row>
        <row r="2034">
          <cell r="A2034">
            <v>1721000126</v>
          </cell>
          <cell r="B2034" t="str">
            <v>דמי הבראה</v>
          </cell>
          <cell r="C2034">
            <v>65550</v>
          </cell>
          <cell r="D2034">
            <v>58349.1</v>
          </cell>
          <cell r="E2034">
            <v>0</v>
          </cell>
          <cell r="F2034">
            <v>58349.1</v>
          </cell>
          <cell r="G2034">
            <v>7200.9</v>
          </cell>
          <cell r="H2034">
            <v>89.01</v>
          </cell>
          <cell r="I2034">
            <v>69000</v>
          </cell>
          <cell r="J2034">
            <v>58349.1</v>
          </cell>
        </row>
        <row r="2035">
          <cell r="A2035">
            <v>1721000130</v>
          </cell>
          <cell r="B2035" t="str">
            <v>שעות נוספות</v>
          </cell>
          <cell r="C2035">
            <v>94050</v>
          </cell>
          <cell r="D2035">
            <v>119161.93</v>
          </cell>
          <cell r="E2035">
            <v>0</v>
          </cell>
          <cell r="F2035">
            <v>119161.93</v>
          </cell>
          <cell r="G2035">
            <v>-25111.93</v>
          </cell>
          <cell r="H2035">
            <v>126.7</v>
          </cell>
          <cell r="I2035">
            <v>99000</v>
          </cell>
          <cell r="J2035">
            <v>119161.93</v>
          </cell>
        </row>
        <row r="2036">
          <cell r="A2036">
            <v>1721000140</v>
          </cell>
          <cell r="B2036" t="str">
            <v>השתתפות באחזקת רכב</v>
          </cell>
          <cell r="C2036">
            <v>161500</v>
          </cell>
          <cell r="D2036">
            <v>191475.47</v>
          </cell>
          <cell r="E2036">
            <v>0</v>
          </cell>
          <cell r="F2036">
            <v>191475.47</v>
          </cell>
          <cell r="G2036">
            <v>-29975.47</v>
          </cell>
          <cell r="H2036">
            <v>118.56</v>
          </cell>
          <cell r="I2036">
            <v>170000</v>
          </cell>
          <cell r="J2036">
            <v>191475.47</v>
          </cell>
        </row>
        <row r="2037">
          <cell r="A2037">
            <v>1721000253</v>
          </cell>
          <cell r="B2037" t="str">
            <v>עובד חיצוני</v>
          </cell>
          <cell r="C2037">
            <v>10450</v>
          </cell>
          <cell r="D2037">
            <v>31563.040000000001</v>
          </cell>
          <cell r="E2037">
            <v>0</v>
          </cell>
          <cell r="F2037">
            <v>31563.040000000001</v>
          </cell>
          <cell r="G2037">
            <v>-21113.040000000001</v>
          </cell>
          <cell r="H2037">
            <v>302.02999999999997</v>
          </cell>
          <cell r="I2037">
            <v>11000</v>
          </cell>
          <cell r="J2037">
            <v>31563.040000000001</v>
          </cell>
        </row>
        <row r="2038">
          <cell r="A2038">
            <v>1721000350</v>
          </cell>
          <cell r="B2038" t="str">
            <v>ליסינג - 508-02-003</v>
          </cell>
          <cell r="C2038">
            <v>43700</v>
          </cell>
          <cell r="D2038">
            <v>67014.2</v>
          </cell>
          <cell r="E2038">
            <v>0</v>
          </cell>
          <cell r="F2038">
            <v>67014.2</v>
          </cell>
          <cell r="G2038">
            <v>-23314.2</v>
          </cell>
          <cell r="H2038">
            <v>153.35</v>
          </cell>
          <cell r="I2038">
            <v>46000</v>
          </cell>
          <cell r="J2038">
            <v>67014.2</v>
          </cell>
        </row>
        <row r="2039">
          <cell r="A2039">
            <v>1721000351</v>
          </cell>
          <cell r="B2039" t="str">
            <v>הוצאות - 508-02-003</v>
          </cell>
          <cell r="C2039">
            <v>34580</v>
          </cell>
          <cell r="D2039">
            <v>41897.129999999997</v>
          </cell>
          <cell r="E2039">
            <v>0</v>
          </cell>
          <cell r="F2039">
            <v>41897.129999999997</v>
          </cell>
          <cell r="G2039">
            <v>-7317.13</v>
          </cell>
          <cell r="H2039">
            <v>121.16</v>
          </cell>
          <cell r="I2039">
            <v>36400</v>
          </cell>
          <cell r="J2039">
            <v>41897.129999999997</v>
          </cell>
        </row>
        <row r="2040">
          <cell r="A2040">
            <v>1721000412</v>
          </cell>
          <cell r="B2040" t="str">
            <v>נסיעות ואש"ל</v>
          </cell>
          <cell r="C2040">
            <v>0</v>
          </cell>
          <cell r="D2040">
            <v>0</v>
          </cell>
          <cell r="E2040">
            <v>0</v>
          </cell>
          <cell r="F2040">
            <v>0</v>
          </cell>
          <cell r="G2040">
            <v>0</v>
          </cell>
          <cell r="H2040">
            <v>0</v>
          </cell>
          <cell r="I2040">
            <v>0</v>
          </cell>
          <cell r="J2040">
            <v>0</v>
          </cell>
        </row>
        <row r="2041">
          <cell r="A2041">
            <v>1721000437</v>
          </cell>
          <cell r="B2041" t="str">
            <v>לחצני מצוקה ומערכות טכנולוגיות</v>
          </cell>
          <cell r="C2041">
            <v>135000</v>
          </cell>
          <cell r="D2041">
            <v>116066.76</v>
          </cell>
          <cell r="E2041">
            <v>19327.13</v>
          </cell>
          <cell r="F2041">
            <v>135393.89000000001</v>
          </cell>
          <cell r="G2041">
            <v>-393.89</v>
          </cell>
          <cell r="H2041">
            <v>100.29</v>
          </cell>
          <cell r="I2041">
            <v>135000</v>
          </cell>
          <cell r="J2041">
            <v>116066.76</v>
          </cell>
        </row>
        <row r="2042">
          <cell r="A2042">
            <v>1721000438</v>
          </cell>
          <cell r="B2042" t="str">
            <v>אגרת רישוי מכשירי קשר</v>
          </cell>
          <cell r="C2042">
            <v>28215</v>
          </cell>
          <cell r="D2042">
            <v>29660</v>
          </cell>
          <cell r="E2042">
            <v>0</v>
          </cell>
          <cell r="F2042">
            <v>29660</v>
          </cell>
          <cell r="G2042">
            <v>-1445</v>
          </cell>
          <cell r="H2042">
            <v>105.12</v>
          </cell>
          <cell r="I2042">
            <v>29700</v>
          </cell>
          <cell r="J2042">
            <v>29660</v>
          </cell>
        </row>
        <row r="2043">
          <cell r="A2043">
            <v>1721000439</v>
          </cell>
          <cell r="B2043" t="str">
            <v>אגרת רישיון נשק</v>
          </cell>
          <cell r="C2043">
            <v>7315</v>
          </cell>
          <cell r="D2043">
            <v>0</v>
          </cell>
          <cell r="E2043">
            <v>0</v>
          </cell>
          <cell r="F2043">
            <v>0</v>
          </cell>
          <cell r="G2043">
            <v>7315</v>
          </cell>
          <cell r="H2043">
            <v>0</v>
          </cell>
          <cell r="I2043">
            <v>7700</v>
          </cell>
          <cell r="J2043">
            <v>0</v>
          </cell>
        </row>
        <row r="2044">
          <cell r="A2044">
            <v>1721000450</v>
          </cell>
          <cell r="B2044" t="str">
            <v>אחזקת תמי 4</v>
          </cell>
          <cell r="C2044">
            <v>950</v>
          </cell>
          <cell r="D2044">
            <v>0</v>
          </cell>
          <cell r="E2044">
            <v>0</v>
          </cell>
          <cell r="F2044">
            <v>0</v>
          </cell>
          <cell r="G2044">
            <v>950</v>
          </cell>
          <cell r="H2044">
            <v>0</v>
          </cell>
          <cell r="I2044">
            <v>1000</v>
          </cell>
          <cell r="J2044">
            <v>0</v>
          </cell>
        </row>
        <row r="2045">
          <cell r="A2045">
            <v>1721000470</v>
          </cell>
          <cell r="B2045" t="str">
            <v>אחזקת מכונות משרד</v>
          </cell>
          <cell r="C2045">
            <v>3895</v>
          </cell>
          <cell r="D2045">
            <v>1831.28</v>
          </cell>
          <cell r="E2045">
            <v>0</v>
          </cell>
          <cell r="F2045">
            <v>1831.28</v>
          </cell>
          <cell r="G2045">
            <v>2063.7199999999998</v>
          </cell>
          <cell r="H2045">
            <v>47.01</v>
          </cell>
          <cell r="I2045">
            <v>4100</v>
          </cell>
          <cell r="J2045">
            <v>1831.28</v>
          </cell>
        </row>
        <row r="2046">
          <cell r="A2046">
            <v>1721000471</v>
          </cell>
          <cell r="B2046" t="str">
            <v>מכשירי כתיבה</v>
          </cell>
          <cell r="C2046">
            <v>10600</v>
          </cell>
          <cell r="D2046">
            <v>10959.65</v>
          </cell>
          <cell r="E2046">
            <v>0</v>
          </cell>
          <cell r="F2046">
            <v>10959.65</v>
          </cell>
          <cell r="G2046">
            <v>-359.65</v>
          </cell>
          <cell r="H2046">
            <v>103.39</v>
          </cell>
          <cell r="I2046">
            <v>10600</v>
          </cell>
          <cell r="J2046">
            <v>10959.65</v>
          </cell>
        </row>
        <row r="2047">
          <cell r="A2047">
            <v>1721000511</v>
          </cell>
          <cell r="B2047" t="str">
            <v>אירוח וכיבוד</v>
          </cell>
          <cell r="C2047">
            <v>16245</v>
          </cell>
          <cell r="D2047">
            <v>17042.509999999998</v>
          </cell>
          <cell r="E2047">
            <v>29.9</v>
          </cell>
          <cell r="F2047">
            <v>17072.41</v>
          </cell>
          <cell r="G2047">
            <v>-827.41</v>
          </cell>
          <cell r="H2047">
            <v>105.09</v>
          </cell>
          <cell r="I2047">
            <v>17100</v>
          </cell>
          <cell r="J2047">
            <v>17042.509999999998</v>
          </cell>
        </row>
        <row r="2048">
          <cell r="A2048">
            <v>1721000512</v>
          </cell>
          <cell r="B2048" t="str">
            <v>נסיעות ואש"ל</v>
          </cell>
          <cell r="C2048">
            <v>380</v>
          </cell>
          <cell r="D2048">
            <v>0</v>
          </cell>
          <cell r="E2048">
            <v>0</v>
          </cell>
          <cell r="F2048">
            <v>0</v>
          </cell>
          <cell r="G2048">
            <v>380</v>
          </cell>
          <cell r="H2048">
            <v>0</v>
          </cell>
          <cell r="I2048">
            <v>400</v>
          </cell>
          <cell r="J2048">
            <v>0</v>
          </cell>
        </row>
        <row r="2049">
          <cell r="A2049">
            <v>1721000522</v>
          </cell>
          <cell r="B2049" t="str">
            <v>ספרים ועיתונים</v>
          </cell>
          <cell r="C2049">
            <v>285</v>
          </cell>
          <cell r="D2049">
            <v>0</v>
          </cell>
          <cell r="E2049">
            <v>0</v>
          </cell>
          <cell r="F2049">
            <v>0</v>
          </cell>
          <cell r="G2049">
            <v>285</v>
          </cell>
          <cell r="H2049">
            <v>0</v>
          </cell>
          <cell r="I2049">
            <v>300</v>
          </cell>
          <cell r="J2049">
            <v>0</v>
          </cell>
        </row>
        <row r="2050">
          <cell r="A2050">
            <v>1721000550</v>
          </cell>
          <cell r="B2050" t="str">
            <v>פירסומים</v>
          </cell>
          <cell r="C2050">
            <v>1700</v>
          </cell>
          <cell r="D2050">
            <v>1700</v>
          </cell>
          <cell r="E2050">
            <v>0</v>
          </cell>
          <cell r="F2050">
            <v>1700</v>
          </cell>
          <cell r="G2050">
            <v>0</v>
          </cell>
          <cell r="H2050">
            <v>100</v>
          </cell>
          <cell r="I2050">
            <v>1700</v>
          </cell>
          <cell r="J2050">
            <v>1700</v>
          </cell>
        </row>
        <row r="2051">
          <cell r="A2051">
            <v>1721000561</v>
          </cell>
          <cell r="B2051" t="str">
            <v>שיכפולים</v>
          </cell>
          <cell r="C2051">
            <v>9000</v>
          </cell>
          <cell r="D2051">
            <v>5613.66</v>
          </cell>
          <cell r="E2051">
            <v>0</v>
          </cell>
          <cell r="F2051">
            <v>5613.66</v>
          </cell>
          <cell r="G2051">
            <v>3386.34</v>
          </cell>
          <cell r="H2051">
            <v>62.37</v>
          </cell>
          <cell r="I2051">
            <v>9000</v>
          </cell>
          <cell r="J2051">
            <v>5613.66</v>
          </cell>
        </row>
        <row r="2052">
          <cell r="A2052">
            <v>1721000562</v>
          </cell>
          <cell r="B2052" t="str">
            <v>הדפסות</v>
          </cell>
          <cell r="C2052">
            <v>665</v>
          </cell>
          <cell r="D2052">
            <v>457</v>
          </cell>
          <cell r="E2052">
            <v>0</v>
          </cell>
          <cell r="F2052">
            <v>457</v>
          </cell>
          <cell r="G2052">
            <v>208</v>
          </cell>
          <cell r="H2052">
            <v>68.72</v>
          </cell>
          <cell r="I2052">
            <v>700</v>
          </cell>
          <cell r="J2052">
            <v>457</v>
          </cell>
        </row>
        <row r="2053">
          <cell r="A2053">
            <v>1721000571</v>
          </cell>
          <cell r="B2053" t="str">
            <v>מיכון וענ"א</v>
          </cell>
          <cell r="C2053">
            <v>75145</v>
          </cell>
          <cell r="D2053">
            <v>79100</v>
          </cell>
          <cell r="E2053">
            <v>0</v>
          </cell>
          <cell r="F2053">
            <v>79100</v>
          </cell>
          <cell r="G2053">
            <v>-3955</v>
          </cell>
          <cell r="H2053">
            <v>105.26</v>
          </cell>
          <cell r="I2053">
            <v>79100</v>
          </cell>
          <cell r="J2053">
            <v>79100</v>
          </cell>
        </row>
        <row r="2054">
          <cell r="A2054">
            <v>1721000596</v>
          </cell>
          <cell r="B2054" t="str">
            <v>השתתפות בעזר 096</v>
          </cell>
          <cell r="C2054">
            <v>97850</v>
          </cell>
          <cell r="D2054">
            <v>96274</v>
          </cell>
          <cell r="E2054">
            <v>0</v>
          </cell>
          <cell r="F2054">
            <v>96274</v>
          </cell>
          <cell r="G2054">
            <v>1576</v>
          </cell>
          <cell r="H2054">
            <v>98.38</v>
          </cell>
          <cell r="I2054">
            <v>103000</v>
          </cell>
          <cell r="J2054">
            <v>96274</v>
          </cell>
        </row>
        <row r="2055">
          <cell r="A2055">
            <v>1721000710</v>
          </cell>
          <cell r="B2055" t="str">
            <v>הובלות והסעות</v>
          </cell>
          <cell r="C2055">
            <v>1615</v>
          </cell>
          <cell r="D2055">
            <v>606.07000000000005</v>
          </cell>
          <cell r="E2055">
            <v>0</v>
          </cell>
          <cell r="F2055">
            <v>606.07000000000005</v>
          </cell>
          <cell r="G2055">
            <v>1008.93</v>
          </cell>
          <cell r="H2055">
            <v>37.520000000000003</v>
          </cell>
          <cell r="I2055">
            <v>1700</v>
          </cell>
          <cell r="J2055">
            <v>606.07000000000005</v>
          </cell>
        </row>
        <row r="2056">
          <cell r="A2056">
            <v>1721000722</v>
          </cell>
          <cell r="B2056" t="str">
            <v>חמרים-תחזוקה עצמית</v>
          </cell>
          <cell r="C2056">
            <v>6300</v>
          </cell>
          <cell r="D2056">
            <v>6123.37</v>
          </cell>
          <cell r="E2056">
            <v>0</v>
          </cell>
          <cell r="F2056">
            <v>6123.37</v>
          </cell>
          <cell r="G2056">
            <v>176.63</v>
          </cell>
          <cell r="H2056">
            <v>97.19</v>
          </cell>
          <cell r="I2056">
            <v>6300</v>
          </cell>
          <cell r="J2056">
            <v>6123.37</v>
          </cell>
        </row>
        <row r="2057">
          <cell r="A2057">
            <v>1721000740</v>
          </cell>
          <cell r="B2057" t="str">
            <v>ציוד חרום</v>
          </cell>
          <cell r="C2057">
            <v>5985</v>
          </cell>
          <cell r="D2057">
            <v>3072.9</v>
          </cell>
          <cell r="E2057">
            <v>1000</v>
          </cell>
          <cell r="F2057">
            <v>4072.9</v>
          </cell>
          <cell r="G2057">
            <v>1912.1</v>
          </cell>
          <cell r="H2057">
            <v>68.05</v>
          </cell>
          <cell r="I2057">
            <v>6300</v>
          </cell>
          <cell r="J2057">
            <v>3072.9</v>
          </cell>
        </row>
        <row r="2058">
          <cell r="A2058">
            <v>1721000742</v>
          </cell>
          <cell r="B2058" t="str">
            <v>כלים וציוד</v>
          </cell>
          <cell r="C2058">
            <v>13500</v>
          </cell>
          <cell r="D2058">
            <v>13926.47</v>
          </cell>
          <cell r="E2058">
            <v>0</v>
          </cell>
          <cell r="F2058">
            <v>13926.47</v>
          </cell>
          <cell r="G2058">
            <v>-426.47</v>
          </cell>
          <cell r="H2058">
            <v>103.15</v>
          </cell>
          <cell r="I2058">
            <v>13500</v>
          </cell>
          <cell r="J2058">
            <v>13926.47</v>
          </cell>
        </row>
        <row r="2059">
          <cell r="A2059">
            <v>1721000743</v>
          </cell>
          <cell r="B2059" t="str">
            <v>מערכות מיגון אב"כ</v>
          </cell>
          <cell r="C2059">
            <v>71250</v>
          </cell>
          <cell r="D2059">
            <v>72240.44</v>
          </cell>
          <cell r="E2059">
            <v>0</v>
          </cell>
          <cell r="F2059">
            <v>72240.44</v>
          </cell>
          <cell r="G2059">
            <v>-990.44</v>
          </cell>
          <cell r="H2059">
            <v>101.39</v>
          </cell>
          <cell r="I2059">
            <v>75000</v>
          </cell>
          <cell r="J2059">
            <v>72240.44</v>
          </cell>
        </row>
        <row r="2060">
          <cell r="A2060">
            <v>1721000759</v>
          </cell>
          <cell r="B2060" t="str">
            <v>עבודות אחזקה</v>
          </cell>
          <cell r="C2060">
            <v>0</v>
          </cell>
          <cell r="D2060">
            <v>0</v>
          </cell>
          <cell r="E2060">
            <v>0</v>
          </cell>
          <cell r="F2060">
            <v>0</v>
          </cell>
          <cell r="G2060">
            <v>0</v>
          </cell>
          <cell r="H2060">
            <v>0</v>
          </cell>
          <cell r="I2060">
            <v>0</v>
          </cell>
          <cell r="J2060">
            <v>0</v>
          </cell>
        </row>
        <row r="2061">
          <cell r="A2061">
            <v>1721000780</v>
          </cell>
          <cell r="B2061" t="str">
            <v>סדרי ביטחון+הדרכה</v>
          </cell>
          <cell r="C2061">
            <v>35900</v>
          </cell>
          <cell r="D2061">
            <v>35839.800000000003</v>
          </cell>
          <cell r="E2061">
            <v>0</v>
          </cell>
          <cell r="F2061">
            <v>35839.800000000003</v>
          </cell>
          <cell r="G2061">
            <v>60.2</v>
          </cell>
          <cell r="H2061">
            <v>99.83</v>
          </cell>
          <cell r="I2061">
            <v>35900</v>
          </cell>
          <cell r="J2061">
            <v>35839.800000000003</v>
          </cell>
        </row>
        <row r="2062">
          <cell r="A2062">
            <v>1721000781</v>
          </cell>
          <cell r="B2062" t="str">
            <v>מטווחים</v>
          </cell>
          <cell r="C2062">
            <v>15300</v>
          </cell>
          <cell r="D2062">
            <v>15299.09</v>
          </cell>
          <cell r="E2062">
            <v>0</v>
          </cell>
          <cell r="F2062">
            <v>15299.09</v>
          </cell>
          <cell r="G2062">
            <v>0.91</v>
          </cell>
          <cell r="H2062">
            <v>99.99</v>
          </cell>
          <cell r="I2062">
            <v>15300</v>
          </cell>
          <cell r="J2062">
            <v>15299.09</v>
          </cell>
        </row>
        <row r="2063">
          <cell r="A2063">
            <v>1721000782</v>
          </cell>
          <cell r="B2063" t="str">
            <v>ארועים  עירוניים</v>
          </cell>
          <cell r="C2063">
            <v>1795500</v>
          </cell>
          <cell r="D2063">
            <v>1554348.95</v>
          </cell>
          <cell r="E2063">
            <v>52050.98</v>
          </cell>
          <cell r="F2063">
            <v>1606399.93</v>
          </cell>
          <cell r="G2063">
            <v>189100.07</v>
          </cell>
          <cell r="H2063">
            <v>89.46</v>
          </cell>
          <cell r="I2063">
            <v>1795500</v>
          </cell>
          <cell r="J2063">
            <v>1554348.95</v>
          </cell>
        </row>
        <row r="2064">
          <cell r="A2064">
            <v>1721000784</v>
          </cell>
          <cell r="B2064" t="str">
            <v>מתנדבים</v>
          </cell>
          <cell r="C2064">
            <v>23655</v>
          </cell>
          <cell r="D2064">
            <v>23858.74</v>
          </cell>
          <cell r="E2064">
            <v>0</v>
          </cell>
          <cell r="F2064">
            <v>23858.74</v>
          </cell>
          <cell r="G2064">
            <v>-203.74</v>
          </cell>
          <cell r="H2064">
            <v>100.86</v>
          </cell>
          <cell r="I2064">
            <v>24900</v>
          </cell>
          <cell r="J2064">
            <v>23858.74</v>
          </cell>
        </row>
        <row r="2065">
          <cell r="A2065">
            <v>1721000931</v>
          </cell>
          <cell r="B2065" t="str">
            <v>תיקון ליקויים</v>
          </cell>
          <cell r="C2065">
            <v>45000</v>
          </cell>
          <cell r="D2065">
            <v>36891.81</v>
          </cell>
          <cell r="E2065">
            <v>0</v>
          </cell>
          <cell r="F2065">
            <v>36891.81</v>
          </cell>
          <cell r="G2065">
            <v>8108.19</v>
          </cell>
          <cell r="H2065">
            <v>81.98</v>
          </cell>
          <cell r="I2065">
            <v>45000</v>
          </cell>
          <cell r="J2065">
            <v>36891.81</v>
          </cell>
        </row>
        <row r="2066">
          <cell r="A2066">
            <v>1721000932</v>
          </cell>
          <cell r="B2066" t="str">
            <v>רזרבה-מערכות אזעקה</v>
          </cell>
          <cell r="C2066">
            <v>32490</v>
          </cell>
          <cell r="D2066">
            <v>34200</v>
          </cell>
          <cell r="E2066">
            <v>0</v>
          </cell>
          <cell r="F2066">
            <v>34200</v>
          </cell>
          <cell r="G2066">
            <v>-1710</v>
          </cell>
          <cell r="H2066">
            <v>105.26</v>
          </cell>
          <cell r="I2066">
            <v>34200</v>
          </cell>
          <cell r="J2066">
            <v>34200</v>
          </cell>
        </row>
        <row r="2067">
          <cell r="A2067">
            <v>1721000933</v>
          </cell>
          <cell r="B2067" t="str">
            <v>אגרה ותחזוקת נשק</v>
          </cell>
          <cell r="C2067">
            <v>9000</v>
          </cell>
          <cell r="D2067">
            <v>8925</v>
          </cell>
          <cell r="E2067">
            <v>8925.01</v>
          </cell>
          <cell r="F2067">
            <v>17850.009999999998</v>
          </cell>
          <cell r="G2067">
            <v>-8850.01</v>
          </cell>
          <cell r="H2067">
            <v>198.33</v>
          </cell>
          <cell r="I2067">
            <v>9000</v>
          </cell>
          <cell r="J2067">
            <v>8925</v>
          </cell>
        </row>
        <row r="2068">
          <cell r="A2068">
            <v>1721100119</v>
          </cell>
          <cell r="B2068" t="str">
            <v>השכר הקובע-צוברת</v>
          </cell>
          <cell r="C2068">
            <v>0</v>
          </cell>
          <cell r="D2068">
            <v>0</v>
          </cell>
          <cell r="E2068">
            <v>0</v>
          </cell>
          <cell r="F2068">
            <v>0</v>
          </cell>
          <cell r="G2068">
            <v>0</v>
          </cell>
          <cell r="H2068">
            <v>0</v>
          </cell>
          <cell r="I2068">
            <v>0</v>
          </cell>
          <cell r="J2068">
            <v>0</v>
          </cell>
        </row>
        <row r="2069">
          <cell r="A2069">
            <v>1721100253</v>
          </cell>
          <cell r="B2069" t="str">
            <v>עובדים חיצוניים</v>
          </cell>
          <cell r="C2069">
            <v>0</v>
          </cell>
          <cell r="D2069">
            <v>0</v>
          </cell>
          <cell r="E2069">
            <v>0</v>
          </cell>
          <cell r="F2069">
            <v>0</v>
          </cell>
          <cell r="G2069">
            <v>0</v>
          </cell>
          <cell r="H2069">
            <v>0</v>
          </cell>
          <cell r="I2069">
            <v>0</v>
          </cell>
          <cell r="J2069">
            <v>0</v>
          </cell>
        </row>
        <row r="2070">
          <cell r="A2070">
            <v>1721100580</v>
          </cell>
          <cell r="B2070" t="str">
            <v>השתלמויות והדרכות</v>
          </cell>
          <cell r="C2070">
            <v>66700</v>
          </cell>
          <cell r="D2070">
            <v>45268.76</v>
          </cell>
          <cell r="E2070">
            <v>14536.75</v>
          </cell>
          <cell r="F2070">
            <v>59805.51</v>
          </cell>
          <cell r="G2070">
            <v>6894.49</v>
          </cell>
          <cell r="H2070">
            <v>89.66</v>
          </cell>
          <cell r="I2070">
            <v>66700</v>
          </cell>
          <cell r="J2070">
            <v>45268.76</v>
          </cell>
        </row>
        <row r="2071">
          <cell r="A2071">
            <v>1721100581</v>
          </cell>
          <cell r="B2071" t="str">
            <v>ייעוץ בטיחות</v>
          </cell>
          <cell r="C2071">
            <v>550000</v>
          </cell>
          <cell r="D2071">
            <v>532045.81999999995</v>
          </cell>
          <cell r="E2071">
            <v>0</v>
          </cell>
          <cell r="F2071">
            <v>532045.81999999995</v>
          </cell>
          <cell r="G2071">
            <v>17954.18</v>
          </cell>
          <cell r="H2071">
            <v>96.73</v>
          </cell>
          <cell r="I2071">
            <v>550000</v>
          </cell>
          <cell r="J2071">
            <v>532045.81999999995</v>
          </cell>
        </row>
        <row r="2072">
          <cell r="A2072">
            <v>1721100751</v>
          </cell>
          <cell r="B2072" t="str">
            <v>עבודות בטיחות</v>
          </cell>
          <cell r="C2072">
            <v>0</v>
          </cell>
          <cell r="D2072">
            <v>0</v>
          </cell>
          <cell r="E2072">
            <v>0</v>
          </cell>
          <cell r="F2072">
            <v>0</v>
          </cell>
          <cell r="G2072">
            <v>0</v>
          </cell>
          <cell r="H2072">
            <v>0</v>
          </cell>
          <cell r="I2072">
            <v>0</v>
          </cell>
          <cell r="J2072">
            <v>0</v>
          </cell>
        </row>
        <row r="2073">
          <cell r="A2073">
            <v>1721100780</v>
          </cell>
          <cell r="B2073" t="str">
            <v>פעילות שוטפת</v>
          </cell>
          <cell r="C2073">
            <v>6800</v>
          </cell>
          <cell r="D2073">
            <v>6783.15</v>
          </cell>
          <cell r="E2073">
            <v>94</v>
          </cell>
          <cell r="F2073">
            <v>6877.15</v>
          </cell>
          <cell r="G2073">
            <v>-77.150000000000006</v>
          </cell>
          <cell r="H2073">
            <v>101.13</v>
          </cell>
          <cell r="I2073">
            <v>6800</v>
          </cell>
          <cell r="J2073">
            <v>6783.15</v>
          </cell>
        </row>
        <row r="2074">
          <cell r="A2074">
            <v>1721100961</v>
          </cell>
          <cell r="B2074" t="str">
            <v>רז'פעולות רכישות</v>
          </cell>
          <cell r="C2074">
            <v>0</v>
          </cell>
          <cell r="D2074">
            <v>0</v>
          </cell>
          <cell r="E2074">
            <v>0</v>
          </cell>
          <cell r="F2074">
            <v>0</v>
          </cell>
          <cell r="G2074">
            <v>0</v>
          </cell>
          <cell r="H2074">
            <v>0</v>
          </cell>
          <cell r="I2074">
            <v>0</v>
          </cell>
          <cell r="J2074">
            <v>0</v>
          </cell>
        </row>
        <row r="2075">
          <cell r="A2075">
            <v>1722100110</v>
          </cell>
          <cell r="B2075" t="str">
            <v>השכר הקובע-תקציבית</v>
          </cell>
          <cell r="C2075">
            <v>0</v>
          </cell>
          <cell r="D2075">
            <v>0</v>
          </cell>
          <cell r="E2075">
            <v>0</v>
          </cell>
          <cell r="F2075">
            <v>0</v>
          </cell>
          <cell r="G2075">
            <v>0</v>
          </cell>
          <cell r="H2075">
            <v>0</v>
          </cell>
          <cell r="I2075">
            <v>0</v>
          </cell>
          <cell r="J2075">
            <v>0</v>
          </cell>
        </row>
        <row r="2076">
          <cell r="A2076">
            <v>1722100119</v>
          </cell>
          <cell r="B2076" t="str">
            <v>השכר הקובע-צוברת</v>
          </cell>
          <cell r="C2076">
            <v>0</v>
          </cell>
          <cell r="D2076">
            <v>0</v>
          </cell>
          <cell r="E2076">
            <v>0</v>
          </cell>
          <cell r="F2076">
            <v>0</v>
          </cell>
          <cell r="G2076">
            <v>0</v>
          </cell>
          <cell r="H2076">
            <v>0</v>
          </cell>
          <cell r="I2076">
            <v>0</v>
          </cell>
          <cell r="J2076">
            <v>0</v>
          </cell>
        </row>
        <row r="2077">
          <cell r="A2077">
            <v>1722100122</v>
          </cell>
          <cell r="B2077" t="str">
            <v>ביגוד</v>
          </cell>
          <cell r="C2077">
            <v>0</v>
          </cell>
          <cell r="D2077">
            <v>0</v>
          </cell>
          <cell r="E2077">
            <v>0</v>
          </cell>
          <cell r="F2077">
            <v>0</v>
          </cell>
          <cell r="G2077">
            <v>0</v>
          </cell>
          <cell r="H2077">
            <v>0</v>
          </cell>
          <cell r="I2077">
            <v>0</v>
          </cell>
          <cell r="J2077">
            <v>0</v>
          </cell>
        </row>
        <row r="2078">
          <cell r="A2078">
            <v>1722100126</v>
          </cell>
          <cell r="B2078" t="str">
            <v>דמי הבראה</v>
          </cell>
          <cell r="C2078">
            <v>0</v>
          </cell>
          <cell r="D2078">
            <v>0</v>
          </cell>
          <cell r="E2078">
            <v>0</v>
          </cell>
          <cell r="F2078">
            <v>0</v>
          </cell>
          <cell r="G2078">
            <v>0</v>
          </cell>
          <cell r="H2078">
            <v>0</v>
          </cell>
          <cell r="I2078">
            <v>0</v>
          </cell>
          <cell r="J2078">
            <v>0</v>
          </cell>
        </row>
        <row r="2079">
          <cell r="A2079">
            <v>1722100410</v>
          </cell>
          <cell r="B2079" t="str">
            <v>ועד בית</v>
          </cell>
          <cell r="C2079">
            <v>0</v>
          </cell>
          <cell r="D2079">
            <v>0</v>
          </cell>
          <cell r="E2079">
            <v>0</v>
          </cell>
          <cell r="F2079">
            <v>0</v>
          </cell>
          <cell r="G2079">
            <v>0</v>
          </cell>
          <cell r="H2079">
            <v>0</v>
          </cell>
          <cell r="I2079">
            <v>0</v>
          </cell>
          <cell r="J2079">
            <v>0</v>
          </cell>
        </row>
        <row r="2080">
          <cell r="A2080">
            <v>1722100412</v>
          </cell>
          <cell r="B2080" t="str">
            <v>ארנונה בסיסי משא"ז</v>
          </cell>
          <cell r="C2080">
            <v>95000</v>
          </cell>
          <cell r="D2080">
            <v>23307.22</v>
          </cell>
          <cell r="E2080">
            <v>0</v>
          </cell>
          <cell r="F2080">
            <v>23307.22</v>
          </cell>
          <cell r="G2080">
            <v>71692.78</v>
          </cell>
          <cell r="H2080">
            <v>24.53</v>
          </cell>
          <cell r="I2080">
            <v>100000</v>
          </cell>
          <cell r="J2080">
            <v>23307.22</v>
          </cell>
        </row>
        <row r="2081">
          <cell r="A2081">
            <v>1722100420</v>
          </cell>
          <cell r="B2081" t="str">
            <v>כיבוי אש</v>
          </cell>
          <cell r="C2081">
            <v>0</v>
          </cell>
          <cell r="D2081">
            <v>0</v>
          </cell>
          <cell r="E2081">
            <v>0</v>
          </cell>
          <cell r="F2081">
            <v>0</v>
          </cell>
          <cell r="G2081">
            <v>0</v>
          </cell>
          <cell r="H2081">
            <v>0</v>
          </cell>
          <cell r="I2081">
            <v>0</v>
          </cell>
          <cell r="J2081">
            <v>0</v>
          </cell>
        </row>
        <row r="2082">
          <cell r="A2082">
            <v>1722100431</v>
          </cell>
          <cell r="B2082" t="str">
            <v>חשמל</v>
          </cell>
          <cell r="C2082">
            <v>14820</v>
          </cell>
          <cell r="D2082">
            <v>17752.330000000002</v>
          </cell>
          <cell r="E2082">
            <v>0</v>
          </cell>
          <cell r="F2082">
            <v>17752.330000000002</v>
          </cell>
          <cell r="G2082">
            <v>-2932.33</v>
          </cell>
          <cell r="H2082">
            <v>119.78</v>
          </cell>
          <cell r="I2082">
            <v>15600</v>
          </cell>
          <cell r="J2082">
            <v>17752.330000000002</v>
          </cell>
        </row>
        <row r="2083">
          <cell r="A2083">
            <v>1722100432</v>
          </cell>
          <cell r="B2083" t="str">
            <v>מים</v>
          </cell>
          <cell r="C2083">
            <v>0</v>
          </cell>
          <cell r="D2083">
            <v>0</v>
          </cell>
          <cell r="E2083">
            <v>0</v>
          </cell>
          <cell r="F2083">
            <v>0</v>
          </cell>
          <cell r="G2083">
            <v>0</v>
          </cell>
          <cell r="H2083">
            <v>0</v>
          </cell>
          <cell r="I2083">
            <v>0</v>
          </cell>
          <cell r="J2083">
            <v>0</v>
          </cell>
        </row>
        <row r="2084">
          <cell r="A2084">
            <v>1722100433</v>
          </cell>
          <cell r="B2084" t="str">
            <v>חומרי נקיון</v>
          </cell>
          <cell r="C2084">
            <v>1140</v>
          </cell>
          <cell r="D2084">
            <v>1192.77</v>
          </cell>
          <cell r="E2084">
            <v>0</v>
          </cell>
          <cell r="F2084">
            <v>1192.77</v>
          </cell>
          <cell r="G2084">
            <v>-52.77</v>
          </cell>
          <cell r="H2084">
            <v>104.62</v>
          </cell>
          <cell r="I2084">
            <v>1200</v>
          </cell>
          <cell r="J2084">
            <v>1192.77</v>
          </cell>
        </row>
        <row r="2085">
          <cell r="A2085">
            <v>1722100441</v>
          </cell>
          <cell r="B2085" t="str">
            <v>ביטוח</v>
          </cell>
          <cell r="C2085">
            <v>0</v>
          </cell>
          <cell r="D2085">
            <v>0</v>
          </cell>
          <cell r="E2085">
            <v>0</v>
          </cell>
          <cell r="F2085">
            <v>0</v>
          </cell>
          <cell r="G2085">
            <v>0</v>
          </cell>
          <cell r="H2085">
            <v>0</v>
          </cell>
          <cell r="I2085">
            <v>0</v>
          </cell>
          <cell r="J2085">
            <v>0</v>
          </cell>
        </row>
        <row r="2086">
          <cell r="A2086">
            <v>1722100450</v>
          </cell>
          <cell r="B2086" t="str">
            <v>ריהוט ואחזקתו</v>
          </cell>
          <cell r="C2086">
            <v>0</v>
          </cell>
          <cell r="D2086">
            <v>0</v>
          </cell>
          <cell r="E2086">
            <v>0</v>
          </cell>
          <cell r="F2086">
            <v>0</v>
          </cell>
          <cell r="G2086">
            <v>0</v>
          </cell>
          <cell r="H2086">
            <v>0</v>
          </cell>
          <cell r="I2086">
            <v>0</v>
          </cell>
          <cell r="J2086">
            <v>0</v>
          </cell>
        </row>
        <row r="2087">
          <cell r="A2087">
            <v>1722100470</v>
          </cell>
          <cell r="B2087" t="str">
            <v>אחזקת מכונות משרד</v>
          </cell>
          <cell r="C2087">
            <v>1615</v>
          </cell>
          <cell r="D2087">
            <v>0</v>
          </cell>
          <cell r="E2087">
            <v>0</v>
          </cell>
          <cell r="F2087">
            <v>0</v>
          </cell>
          <cell r="G2087">
            <v>1615</v>
          </cell>
          <cell r="H2087">
            <v>0</v>
          </cell>
          <cell r="I2087">
            <v>1700</v>
          </cell>
          <cell r="J2087">
            <v>0</v>
          </cell>
        </row>
        <row r="2088">
          <cell r="A2088">
            <v>1722100471</v>
          </cell>
          <cell r="B2088" t="str">
            <v>מכשירי כתיבה</v>
          </cell>
          <cell r="C2088">
            <v>2850</v>
          </cell>
          <cell r="D2088">
            <v>574</v>
          </cell>
          <cell r="E2088">
            <v>0</v>
          </cell>
          <cell r="F2088">
            <v>574</v>
          </cell>
          <cell r="G2088">
            <v>2276</v>
          </cell>
          <cell r="H2088">
            <v>20.14</v>
          </cell>
          <cell r="I2088">
            <v>3000</v>
          </cell>
          <cell r="J2088">
            <v>574</v>
          </cell>
        </row>
        <row r="2089">
          <cell r="A2089">
            <v>1722100511</v>
          </cell>
          <cell r="B2089" t="str">
            <v>אירוח וכיבוד</v>
          </cell>
          <cell r="C2089">
            <v>5985</v>
          </cell>
          <cell r="D2089">
            <v>6462.36</v>
          </cell>
          <cell r="E2089">
            <v>0</v>
          </cell>
          <cell r="F2089">
            <v>6462.36</v>
          </cell>
          <cell r="G2089">
            <v>-477.36</v>
          </cell>
          <cell r="H2089">
            <v>107.97</v>
          </cell>
          <cell r="I2089">
            <v>6300</v>
          </cell>
          <cell r="J2089">
            <v>6462.36</v>
          </cell>
        </row>
        <row r="2090">
          <cell r="A2090">
            <v>1722100550</v>
          </cell>
          <cell r="B2090" t="str">
            <v>פירסומים</v>
          </cell>
          <cell r="C2090">
            <v>0</v>
          </cell>
          <cell r="D2090">
            <v>0</v>
          </cell>
          <cell r="E2090">
            <v>0</v>
          </cell>
          <cell r="F2090">
            <v>0</v>
          </cell>
          <cell r="G2090">
            <v>0</v>
          </cell>
          <cell r="H2090">
            <v>0</v>
          </cell>
          <cell r="I2090">
            <v>0</v>
          </cell>
          <cell r="J2090">
            <v>0</v>
          </cell>
        </row>
        <row r="2091">
          <cell r="A2091">
            <v>1722100561</v>
          </cell>
          <cell r="B2091" t="str">
            <v>שיכפולים</v>
          </cell>
          <cell r="C2091">
            <v>475</v>
          </cell>
          <cell r="D2091">
            <v>0</v>
          </cell>
          <cell r="E2091">
            <v>0</v>
          </cell>
          <cell r="F2091">
            <v>0</v>
          </cell>
          <cell r="G2091">
            <v>475</v>
          </cell>
          <cell r="H2091">
            <v>0</v>
          </cell>
          <cell r="I2091">
            <v>500</v>
          </cell>
          <cell r="J2091">
            <v>0</v>
          </cell>
        </row>
        <row r="2092">
          <cell r="A2092">
            <v>1722100722</v>
          </cell>
          <cell r="B2092" t="str">
            <v>חמרים-תחזוקה עצמית</v>
          </cell>
          <cell r="C2092">
            <v>0</v>
          </cell>
          <cell r="D2092">
            <v>0</v>
          </cell>
          <cell r="E2092">
            <v>0</v>
          </cell>
          <cell r="F2092">
            <v>0</v>
          </cell>
          <cell r="G2092">
            <v>0</v>
          </cell>
          <cell r="H2092">
            <v>0</v>
          </cell>
          <cell r="I2092">
            <v>0</v>
          </cell>
          <cell r="J2092">
            <v>0</v>
          </cell>
        </row>
        <row r="2093">
          <cell r="A2093">
            <v>1722100742</v>
          </cell>
          <cell r="B2093" t="str">
            <v>תיקון ליקויים</v>
          </cell>
          <cell r="C2093">
            <v>4370</v>
          </cell>
          <cell r="D2093">
            <v>4600</v>
          </cell>
          <cell r="E2093">
            <v>0</v>
          </cell>
          <cell r="F2093">
            <v>4600</v>
          </cell>
          <cell r="G2093">
            <v>-230</v>
          </cell>
          <cell r="H2093">
            <v>105.26</v>
          </cell>
          <cell r="I2093">
            <v>4600</v>
          </cell>
          <cell r="J2093">
            <v>4600</v>
          </cell>
        </row>
        <row r="2094">
          <cell r="A2094">
            <v>1722100751</v>
          </cell>
          <cell r="B2094" t="str">
            <v>עבודות קבלניות</v>
          </cell>
          <cell r="C2094">
            <v>4275</v>
          </cell>
          <cell r="D2094">
            <v>4500</v>
          </cell>
          <cell r="E2094">
            <v>0</v>
          </cell>
          <cell r="F2094">
            <v>4500</v>
          </cell>
          <cell r="G2094">
            <v>-225</v>
          </cell>
          <cell r="H2094">
            <v>105.26</v>
          </cell>
          <cell r="I2094">
            <v>4500</v>
          </cell>
          <cell r="J2094">
            <v>4500</v>
          </cell>
        </row>
        <row r="2095">
          <cell r="A2095">
            <v>1722100780</v>
          </cell>
          <cell r="B2095" t="str">
            <v>מטווחים</v>
          </cell>
          <cell r="C2095">
            <v>9785</v>
          </cell>
          <cell r="D2095">
            <v>0</v>
          </cell>
          <cell r="E2095">
            <v>0</v>
          </cell>
          <cell r="F2095">
            <v>0</v>
          </cell>
          <cell r="G2095">
            <v>9785</v>
          </cell>
          <cell r="H2095">
            <v>0</v>
          </cell>
          <cell r="I2095">
            <v>10300</v>
          </cell>
          <cell r="J2095">
            <v>0</v>
          </cell>
        </row>
        <row r="2096">
          <cell r="A2096">
            <v>1722100781</v>
          </cell>
          <cell r="B2096" t="str">
            <v>בסיסים חדשים</v>
          </cell>
          <cell r="C2096">
            <v>0</v>
          </cell>
          <cell r="D2096">
            <v>0</v>
          </cell>
          <cell r="E2096">
            <v>0</v>
          </cell>
          <cell r="F2096">
            <v>0</v>
          </cell>
          <cell r="G2096">
            <v>0</v>
          </cell>
          <cell r="H2096">
            <v>0</v>
          </cell>
          <cell r="I2096">
            <v>0</v>
          </cell>
          <cell r="J2096">
            <v>0</v>
          </cell>
        </row>
        <row r="2097">
          <cell r="A2097">
            <v>1722100782</v>
          </cell>
          <cell r="B2097" t="str">
            <v>ארועים והסברה</v>
          </cell>
          <cell r="C2097">
            <v>6270</v>
          </cell>
          <cell r="D2097">
            <v>6619.91</v>
          </cell>
          <cell r="E2097">
            <v>0</v>
          </cell>
          <cell r="F2097">
            <v>6619.91</v>
          </cell>
          <cell r="G2097">
            <v>-349.91</v>
          </cell>
          <cell r="H2097">
            <v>105.58</v>
          </cell>
          <cell r="I2097">
            <v>6600</v>
          </cell>
          <cell r="J2097">
            <v>6619.91</v>
          </cell>
        </row>
        <row r="2098">
          <cell r="A2098">
            <v>1722100783</v>
          </cell>
          <cell r="B2098" t="str">
            <v>תחזוקת משקי"ם</v>
          </cell>
          <cell r="C2098">
            <v>5700</v>
          </cell>
          <cell r="D2098">
            <v>6129.25</v>
          </cell>
          <cell r="E2098">
            <v>0</v>
          </cell>
          <cell r="F2098">
            <v>6129.25</v>
          </cell>
          <cell r="G2098">
            <v>-429.25</v>
          </cell>
          <cell r="H2098">
            <v>107.53</v>
          </cell>
          <cell r="I2098">
            <v>6000</v>
          </cell>
          <cell r="J2098">
            <v>6129.25</v>
          </cell>
        </row>
        <row r="2099">
          <cell r="A2099">
            <v>1722100784</v>
          </cell>
          <cell r="B2099" t="str">
            <v>מתנדבי השירות הלאומי</v>
          </cell>
          <cell r="C2099">
            <v>23655</v>
          </cell>
          <cell r="D2099">
            <v>24498.880000000001</v>
          </cell>
          <cell r="E2099">
            <v>401.13</v>
          </cell>
          <cell r="F2099">
            <v>24900.01</v>
          </cell>
          <cell r="G2099">
            <v>-1245.01</v>
          </cell>
          <cell r="H2099">
            <v>105.26</v>
          </cell>
          <cell r="I2099">
            <v>24900</v>
          </cell>
          <cell r="J2099">
            <v>24498.880000000001</v>
          </cell>
        </row>
        <row r="2100">
          <cell r="A2100">
            <v>1722100794</v>
          </cell>
          <cell r="B2100" t="str">
            <v>השתתפות בעזר 094</v>
          </cell>
          <cell r="C2100">
            <v>4845</v>
          </cell>
          <cell r="D2100">
            <v>6083</v>
          </cell>
          <cell r="E2100">
            <v>0</v>
          </cell>
          <cell r="F2100">
            <v>6083</v>
          </cell>
          <cell r="G2100">
            <v>-1238</v>
          </cell>
          <cell r="H2100">
            <v>125.55</v>
          </cell>
          <cell r="I2100">
            <v>5100</v>
          </cell>
          <cell r="J2100">
            <v>6083</v>
          </cell>
        </row>
        <row r="2101">
          <cell r="A2101">
            <v>1722100932</v>
          </cell>
          <cell r="B2101" t="str">
            <v>כיתת כוננות</v>
          </cell>
          <cell r="C2101">
            <v>0</v>
          </cell>
          <cell r="D2101">
            <v>0</v>
          </cell>
          <cell r="E2101">
            <v>0</v>
          </cell>
          <cell r="F2101">
            <v>0</v>
          </cell>
          <cell r="G2101">
            <v>0</v>
          </cell>
          <cell r="H2101">
            <v>0</v>
          </cell>
          <cell r="I2101">
            <v>0</v>
          </cell>
          <cell r="J2101">
            <v>0</v>
          </cell>
        </row>
        <row r="2102">
          <cell r="A2102">
            <v>1722200253</v>
          </cell>
          <cell r="B2102" t="str">
            <v>עובדים חיצוניים</v>
          </cell>
          <cell r="C2102">
            <v>0</v>
          </cell>
          <cell r="D2102">
            <v>0</v>
          </cell>
          <cell r="E2102">
            <v>0</v>
          </cell>
          <cell r="F2102">
            <v>0</v>
          </cell>
          <cell r="G2102">
            <v>0</v>
          </cell>
          <cell r="H2102">
            <v>0</v>
          </cell>
          <cell r="I2102">
            <v>0</v>
          </cell>
          <cell r="J2102">
            <v>0</v>
          </cell>
        </row>
        <row r="2103">
          <cell r="A2103">
            <v>1722200470</v>
          </cell>
          <cell r="B2103" t="str">
            <v>אחזקת מכונות משרד</v>
          </cell>
          <cell r="C2103">
            <v>0</v>
          </cell>
          <cell r="D2103">
            <v>0</v>
          </cell>
          <cell r="E2103">
            <v>0</v>
          </cell>
          <cell r="F2103">
            <v>0</v>
          </cell>
          <cell r="G2103">
            <v>0</v>
          </cell>
          <cell r="H2103">
            <v>0</v>
          </cell>
          <cell r="I2103">
            <v>0</v>
          </cell>
          <cell r="J2103">
            <v>0</v>
          </cell>
        </row>
        <row r="2104">
          <cell r="A2104">
            <v>1722200471</v>
          </cell>
          <cell r="B2104" t="str">
            <v>מכשירי כתיבה</v>
          </cell>
          <cell r="C2104">
            <v>0</v>
          </cell>
          <cell r="D2104">
            <v>0</v>
          </cell>
          <cell r="E2104">
            <v>0</v>
          </cell>
          <cell r="F2104">
            <v>0</v>
          </cell>
          <cell r="G2104">
            <v>0</v>
          </cell>
          <cell r="H2104">
            <v>0</v>
          </cell>
          <cell r="I2104">
            <v>0</v>
          </cell>
          <cell r="J2104">
            <v>0</v>
          </cell>
        </row>
        <row r="2105">
          <cell r="A2105">
            <v>1722200734</v>
          </cell>
          <cell r="B2105" t="str">
            <v>סולר</v>
          </cell>
          <cell r="C2105">
            <v>0</v>
          </cell>
          <cell r="D2105">
            <v>0</v>
          </cell>
          <cell r="E2105">
            <v>0</v>
          </cell>
          <cell r="F2105">
            <v>0</v>
          </cell>
          <cell r="G2105">
            <v>0</v>
          </cell>
          <cell r="H2105">
            <v>0</v>
          </cell>
          <cell r="I2105">
            <v>0</v>
          </cell>
          <cell r="J2105">
            <v>0</v>
          </cell>
        </row>
        <row r="2106">
          <cell r="A2106">
            <v>1722200742</v>
          </cell>
          <cell r="B2106" t="str">
            <v>אחזקת סיירת - שוטף</v>
          </cell>
          <cell r="C2106">
            <v>0</v>
          </cell>
          <cell r="D2106">
            <v>0</v>
          </cell>
          <cell r="E2106">
            <v>0</v>
          </cell>
          <cell r="F2106">
            <v>0</v>
          </cell>
          <cell r="G2106">
            <v>0</v>
          </cell>
          <cell r="H2106">
            <v>0</v>
          </cell>
          <cell r="I2106">
            <v>0</v>
          </cell>
          <cell r="J2106">
            <v>0</v>
          </cell>
        </row>
        <row r="2107">
          <cell r="A2107">
            <v>1722200752</v>
          </cell>
          <cell r="B2107" t="str">
            <v>נקיון בקבלנות</v>
          </cell>
          <cell r="C2107">
            <v>0</v>
          </cell>
          <cell r="D2107">
            <v>0</v>
          </cell>
          <cell r="E2107">
            <v>0</v>
          </cell>
          <cell r="F2107">
            <v>0</v>
          </cell>
          <cell r="G2107">
            <v>0</v>
          </cell>
          <cell r="H2107">
            <v>0</v>
          </cell>
          <cell r="I2107">
            <v>0</v>
          </cell>
          <cell r="J2107">
            <v>0</v>
          </cell>
        </row>
        <row r="2108">
          <cell r="A2108">
            <v>1722200780</v>
          </cell>
          <cell r="B2108" t="str">
            <v>הפעלת הסיירת</v>
          </cell>
          <cell r="C2108">
            <v>0</v>
          </cell>
          <cell r="D2108">
            <v>0</v>
          </cell>
          <cell r="E2108">
            <v>0</v>
          </cell>
          <cell r="F2108">
            <v>0</v>
          </cell>
          <cell r="G2108">
            <v>0</v>
          </cell>
          <cell r="H2108">
            <v>0</v>
          </cell>
          <cell r="I2108">
            <v>0</v>
          </cell>
          <cell r="J2108">
            <v>0</v>
          </cell>
        </row>
        <row r="2109">
          <cell r="A2109">
            <v>1722200782</v>
          </cell>
          <cell r="B2109" t="str">
            <v>ארועים והסברה</v>
          </cell>
          <cell r="C2109">
            <v>0</v>
          </cell>
          <cell r="D2109">
            <v>0</v>
          </cell>
          <cell r="E2109">
            <v>0</v>
          </cell>
          <cell r="F2109">
            <v>0</v>
          </cell>
          <cell r="G2109">
            <v>0</v>
          </cell>
          <cell r="H2109">
            <v>0</v>
          </cell>
          <cell r="I2109">
            <v>0</v>
          </cell>
          <cell r="J2109">
            <v>0</v>
          </cell>
        </row>
        <row r="2110">
          <cell r="A2110">
            <v>1722200910</v>
          </cell>
          <cell r="B2110" t="str">
            <v>העברה לתב"ר</v>
          </cell>
          <cell r="C2110">
            <v>0</v>
          </cell>
          <cell r="D2110">
            <v>0</v>
          </cell>
          <cell r="E2110">
            <v>0</v>
          </cell>
          <cell r="F2110">
            <v>0</v>
          </cell>
          <cell r="G2110">
            <v>0</v>
          </cell>
          <cell r="H2110">
            <v>0</v>
          </cell>
          <cell r="I2110">
            <v>0</v>
          </cell>
          <cell r="J2110">
            <v>0</v>
          </cell>
        </row>
        <row r="2111">
          <cell r="A2111">
            <v>1722200989</v>
          </cell>
          <cell r="B2111" t="str">
            <v>תקורות</v>
          </cell>
          <cell r="C2111">
            <v>0</v>
          </cell>
          <cell r="D2111">
            <v>0</v>
          </cell>
          <cell r="E2111">
            <v>0</v>
          </cell>
          <cell r="F2111">
            <v>0</v>
          </cell>
          <cell r="G2111">
            <v>0</v>
          </cell>
          <cell r="H2111">
            <v>0</v>
          </cell>
          <cell r="I2111">
            <v>0</v>
          </cell>
          <cell r="J2111">
            <v>0</v>
          </cell>
        </row>
        <row r="2112">
          <cell r="A2112">
            <v>1723000110</v>
          </cell>
          <cell r="B2112" t="str">
            <v>השכר הקובע-תקציבית</v>
          </cell>
          <cell r="C2112">
            <v>171950</v>
          </cell>
          <cell r="D2112">
            <v>214097.13</v>
          </cell>
          <cell r="E2112">
            <v>0</v>
          </cell>
          <cell r="F2112">
            <v>214097.13</v>
          </cell>
          <cell r="G2112">
            <v>-42147.13</v>
          </cell>
          <cell r="H2112">
            <v>124.51</v>
          </cell>
          <cell r="I2112">
            <v>181000</v>
          </cell>
          <cell r="J2112">
            <v>214097.13</v>
          </cell>
        </row>
        <row r="2113">
          <cell r="A2113">
            <v>1723000119</v>
          </cell>
          <cell r="B2113" t="str">
            <v>השכר הקובע-צוברת</v>
          </cell>
          <cell r="C2113">
            <v>575035</v>
          </cell>
          <cell r="D2113">
            <v>658589.9</v>
          </cell>
          <cell r="E2113">
            <v>0</v>
          </cell>
          <cell r="F2113">
            <v>658589.9</v>
          </cell>
          <cell r="G2113">
            <v>-83554.899999999994</v>
          </cell>
          <cell r="H2113">
            <v>114.53</v>
          </cell>
          <cell r="I2113">
            <v>605300</v>
          </cell>
          <cell r="J2113">
            <v>658589.9</v>
          </cell>
        </row>
        <row r="2114">
          <cell r="A2114">
            <v>1723000122</v>
          </cell>
          <cell r="B2114" t="str">
            <v>ביגוד</v>
          </cell>
          <cell r="C2114">
            <v>11590</v>
          </cell>
          <cell r="D2114">
            <v>11125.36</v>
          </cell>
          <cell r="E2114">
            <v>0</v>
          </cell>
          <cell r="F2114">
            <v>11125.36</v>
          </cell>
          <cell r="G2114">
            <v>464.64</v>
          </cell>
          <cell r="H2114">
            <v>95.99</v>
          </cell>
          <cell r="I2114">
            <v>12200</v>
          </cell>
          <cell r="J2114">
            <v>11125.36</v>
          </cell>
        </row>
        <row r="2115">
          <cell r="A2115">
            <v>1723000126</v>
          </cell>
          <cell r="B2115" t="str">
            <v>דמי הבראה</v>
          </cell>
          <cell r="C2115">
            <v>30400</v>
          </cell>
          <cell r="D2115">
            <v>27529.759999999998</v>
          </cell>
          <cell r="E2115">
            <v>0</v>
          </cell>
          <cell r="F2115">
            <v>27529.759999999998</v>
          </cell>
          <cell r="G2115">
            <v>2870.24</v>
          </cell>
          <cell r="H2115">
            <v>90.55</v>
          </cell>
          <cell r="I2115">
            <v>32000</v>
          </cell>
          <cell r="J2115">
            <v>27529.759999999998</v>
          </cell>
        </row>
        <row r="2116">
          <cell r="A2116">
            <v>1723000130</v>
          </cell>
          <cell r="B2116" t="str">
            <v>שעות נוספות</v>
          </cell>
          <cell r="C2116">
            <v>67070</v>
          </cell>
          <cell r="D2116">
            <v>98321.18</v>
          </cell>
          <cell r="E2116">
            <v>0</v>
          </cell>
          <cell r="F2116">
            <v>98321.18</v>
          </cell>
          <cell r="G2116">
            <v>-31251.18</v>
          </cell>
          <cell r="H2116">
            <v>146.59</v>
          </cell>
          <cell r="I2116">
            <v>70600</v>
          </cell>
          <cell r="J2116">
            <v>98321.18</v>
          </cell>
        </row>
        <row r="2117">
          <cell r="A2117">
            <v>1723000140</v>
          </cell>
          <cell r="B2117" t="str">
            <v>השתתפות באחזקת רכב</v>
          </cell>
          <cell r="C2117">
            <v>78850</v>
          </cell>
          <cell r="D2117">
            <v>101602.85</v>
          </cell>
          <cell r="E2117">
            <v>0</v>
          </cell>
          <cell r="F2117">
            <v>101602.85</v>
          </cell>
          <cell r="G2117">
            <v>-22752.85</v>
          </cell>
          <cell r="H2117">
            <v>128.85</v>
          </cell>
          <cell r="I2117">
            <v>83000</v>
          </cell>
          <cell r="J2117">
            <v>101602.85</v>
          </cell>
        </row>
        <row r="2118">
          <cell r="A2118">
            <v>1723000253</v>
          </cell>
          <cell r="B2118" t="str">
            <v>עובדים חיצוניים</v>
          </cell>
          <cell r="C2118">
            <v>0</v>
          </cell>
          <cell r="D2118">
            <v>0</v>
          </cell>
          <cell r="E2118">
            <v>0</v>
          </cell>
          <cell r="F2118">
            <v>0</v>
          </cell>
          <cell r="G2118">
            <v>0</v>
          </cell>
          <cell r="H2118">
            <v>0</v>
          </cell>
          <cell r="I2118">
            <v>0</v>
          </cell>
          <cell r="J2118">
            <v>0</v>
          </cell>
        </row>
        <row r="2119">
          <cell r="A2119">
            <v>1723000410</v>
          </cell>
          <cell r="B2119" t="str">
            <v>השתתפות בועד בית</v>
          </cell>
          <cell r="C2119">
            <v>0</v>
          </cell>
          <cell r="D2119">
            <v>0</v>
          </cell>
          <cell r="E2119">
            <v>0</v>
          </cell>
          <cell r="F2119">
            <v>0</v>
          </cell>
          <cell r="G2119">
            <v>0</v>
          </cell>
          <cell r="H2119">
            <v>0</v>
          </cell>
          <cell r="I2119">
            <v>0</v>
          </cell>
          <cell r="J2119">
            <v>0</v>
          </cell>
        </row>
        <row r="2120">
          <cell r="A2120">
            <v>1723000412</v>
          </cell>
          <cell r="B2120" t="str">
            <v>ארנונה מחסני ערכות מגן</v>
          </cell>
          <cell r="C2120">
            <v>95000</v>
          </cell>
          <cell r="D2120">
            <v>100000</v>
          </cell>
          <cell r="E2120">
            <v>0</v>
          </cell>
          <cell r="F2120">
            <v>100000</v>
          </cell>
          <cell r="G2120">
            <v>-5000</v>
          </cell>
          <cell r="H2120">
            <v>105.26</v>
          </cell>
          <cell r="I2120">
            <v>100000</v>
          </cell>
          <cell r="J2120">
            <v>100000</v>
          </cell>
        </row>
        <row r="2121">
          <cell r="A2121">
            <v>1723000423</v>
          </cell>
          <cell r="B2121" t="str">
            <v>תחזוקת מבנה</v>
          </cell>
          <cell r="C2121">
            <v>5605</v>
          </cell>
          <cell r="D2121">
            <v>5900</v>
          </cell>
          <cell r="E2121">
            <v>0</v>
          </cell>
          <cell r="F2121">
            <v>5900</v>
          </cell>
          <cell r="G2121">
            <v>-295</v>
          </cell>
          <cell r="H2121">
            <v>105.26</v>
          </cell>
          <cell r="I2121">
            <v>5900</v>
          </cell>
          <cell r="J2121">
            <v>5900</v>
          </cell>
        </row>
        <row r="2122">
          <cell r="A2122">
            <v>1723000431</v>
          </cell>
          <cell r="B2122" t="str">
            <v>חשמל</v>
          </cell>
          <cell r="C2122">
            <v>29260</v>
          </cell>
          <cell r="D2122">
            <v>85047.24</v>
          </cell>
          <cell r="E2122">
            <v>0</v>
          </cell>
          <cell r="F2122">
            <v>85047.24</v>
          </cell>
          <cell r="G2122">
            <v>-55787.24</v>
          </cell>
          <cell r="H2122">
            <v>290.66000000000003</v>
          </cell>
          <cell r="I2122">
            <v>30800</v>
          </cell>
          <cell r="J2122">
            <v>85047.24</v>
          </cell>
        </row>
        <row r="2123">
          <cell r="A2123">
            <v>1723000432</v>
          </cell>
          <cell r="B2123" t="str">
            <v>מים</v>
          </cell>
          <cell r="C2123">
            <v>9500</v>
          </cell>
          <cell r="D2123">
            <v>0</v>
          </cell>
          <cell r="E2123">
            <v>0</v>
          </cell>
          <cell r="F2123">
            <v>0</v>
          </cell>
          <cell r="G2123">
            <v>9500</v>
          </cell>
          <cell r="H2123">
            <v>0</v>
          </cell>
          <cell r="I2123">
            <v>10000</v>
          </cell>
          <cell r="J2123">
            <v>0</v>
          </cell>
        </row>
        <row r="2124">
          <cell r="A2124">
            <v>1723000433</v>
          </cell>
          <cell r="B2124" t="str">
            <v>חומרי נקיון</v>
          </cell>
          <cell r="C2124">
            <v>0</v>
          </cell>
          <cell r="D2124">
            <v>0</v>
          </cell>
          <cell r="E2124">
            <v>0</v>
          </cell>
          <cell r="F2124">
            <v>0</v>
          </cell>
          <cell r="G2124">
            <v>0</v>
          </cell>
          <cell r="H2124">
            <v>0</v>
          </cell>
          <cell r="I2124">
            <v>0</v>
          </cell>
          <cell r="J2124">
            <v>0</v>
          </cell>
        </row>
        <row r="2125">
          <cell r="A2125">
            <v>1723000437</v>
          </cell>
          <cell r="B2125" t="str">
            <v>מערכת אזעקה</v>
          </cell>
          <cell r="C2125">
            <v>2660</v>
          </cell>
          <cell r="D2125">
            <v>3035.3</v>
          </cell>
          <cell r="E2125">
            <v>0</v>
          </cell>
          <cell r="F2125">
            <v>3035.3</v>
          </cell>
          <cell r="G2125">
            <v>-375.3</v>
          </cell>
          <cell r="H2125">
            <v>114.1</v>
          </cell>
          <cell r="I2125">
            <v>2800</v>
          </cell>
          <cell r="J2125">
            <v>3035.3</v>
          </cell>
        </row>
        <row r="2126">
          <cell r="A2126">
            <v>1723000441</v>
          </cell>
          <cell r="B2126" t="str">
            <v>ביטוח מחסן</v>
          </cell>
          <cell r="C2126">
            <v>0</v>
          </cell>
          <cell r="D2126">
            <v>0</v>
          </cell>
          <cell r="E2126">
            <v>0</v>
          </cell>
          <cell r="F2126">
            <v>0</v>
          </cell>
          <cell r="G2126">
            <v>0</v>
          </cell>
          <cell r="H2126">
            <v>0</v>
          </cell>
          <cell r="I2126">
            <v>0</v>
          </cell>
          <cell r="J2126">
            <v>0</v>
          </cell>
        </row>
        <row r="2127">
          <cell r="A2127">
            <v>1723000450</v>
          </cell>
          <cell r="B2127" t="str">
            <v>ריהוט ואחזקתו</v>
          </cell>
          <cell r="C2127">
            <v>0</v>
          </cell>
          <cell r="D2127">
            <v>0</v>
          </cell>
          <cell r="E2127">
            <v>0</v>
          </cell>
          <cell r="F2127">
            <v>0</v>
          </cell>
          <cell r="G2127">
            <v>0</v>
          </cell>
          <cell r="H2127">
            <v>0</v>
          </cell>
          <cell r="I2127">
            <v>0</v>
          </cell>
          <cell r="J2127">
            <v>0</v>
          </cell>
        </row>
        <row r="2128">
          <cell r="A2128">
            <v>1723000471</v>
          </cell>
          <cell r="B2128" t="str">
            <v>מכשירי כתיבה</v>
          </cell>
          <cell r="C2128">
            <v>1235</v>
          </cell>
          <cell r="D2128">
            <v>0</v>
          </cell>
          <cell r="E2128">
            <v>0</v>
          </cell>
          <cell r="F2128">
            <v>0</v>
          </cell>
          <cell r="G2128">
            <v>1235</v>
          </cell>
          <cell r="H2128">
            <v>0</v>
          </cell>
          <cell r="I2128">
            <v>1300</v>
          </cell>
          <cell r="J2128">
            <v>0</v>
          </cell>
        </row>
        <row r="2129">
          <cell r="A2129">
            <v>1723000477</v>
          </cell>
          <cell r="B2129" t="str">
            <v>אחז'מקלטים צבוריים</v>
          </cell>
          <cell r="C2129">
            <v>315000</v>
          </cell>
          <cell r="D2129">
            <v>314903.05</v>
          </cell>
          <cell r="E2129">
            <v>0</v>
          </cell>
          <cell r="F2129">
            <v>314903.05</v>
          </cell>
          <cell r="G2129">
            <v>96.95</v>
          </cell>
          <cell r="H2129">
            <v>99.96</v>
          </cell>
          <cell r="I2129">
            <v>315000</v>
          </cell>
          <cell r="J2129">
            <v>314903.05</v>
          </cell>
        </row>
        <row r="2130">
          <cell r="A2130">
            <v>1723000522</v>
          </cell>
          <cell r="B2130" t="str">
            <v>ספרים ועיתונים</v>
          </cell>
          <cell r="C2130">
            <v>0</v>
          </cell>
          <cell r="D2130">
            <v>0</v>
          </cell>
          <cell r="E2130">
            <v>0</v>
          </cell>
          <cell r="F2130">
            <v>0</v>
          </cell>
          <cell r="G2130">
            <v>0</v>
          </cell>
          <cell r="H2130">
            <v>0</v>
          </cell>
          <cell r="I2130">
            <v>0</v>
          </cell>
          <cell r="J2130">
            <v>0</v>
          </cell>
        </row>
        <row r="2131">
          <cell r="A2131">
            <v>1723000550</v>
          </cell>
          <cell r="B2131" t="str">
            <v>פירסומים</v>
          </cell>
          <cell r="C2131">
            <v>0</v>
          </cell>
          <cell r="D2131">
            <v>0</v>
          </cell>
          <cell r="E2131">
            <v>0</v>
          </cell>
          <cell r="F2131">
            <v>0</v>
          </cell>
          <cell r="G2131">
            <v>0</v>
          </cell>
          <cell r="H2131">
            <v>0</v>
          </cell>
          <cell r="I2131">
            <v>0</v>
          </cell>
          <cell r="J2131">
            <v>0</v>
          </cell>
        </row>
        <row r="2132">
          <cell r="A2132">
            <v>1723000571</v>
          </cell>
          <cell r="B2132" t="str">
            <v>מיכון וענ"א</v>
          </cell>
          <cell r="C2132">
            <v>14820</v>
          </cell>
          <cell r="D2132">
            <v>15600</v>
          </cell>
          <cell r="E2132">
            <v>0</v>
          </cell>
          <cell r="F2132">
            <v>15600</v>
          </cell>
          <cell r="G2132">
            <v>-780</v>
          </cell>
          <cell r="H2132">
            <v>105.26</v>
          </cell>
          <cell r="I2132">
            <v>15600</v>
          </cell>
          <cell r="J2132">
            <v>15600</v>
          </cell>
        </row>
        <row r="2133">
          <cell r="A2133">
            <v>1723000710</v>
          </cell>
          <cell r="B2133" t="str">
            <v>הובלות</v>
          </cell>
          <cell r="C2133">
            <v>4500</v>
          </cell>
          <cell r="D2133">
            <v>697</v>
          </cell>
          <cell r="E2133">
            <v>2831</v>
          </cell>
          <cell r="F2133">
            <v>3528</v>
          </cell>
          <cell r="G2133">
            <v>972</v>
          </cell>
          <cell r="H2133">
            <v>78.400000000000006</v>
          </cell>
          <cell r="I2133">
            <v>4500</v>
          </cell>
          <cell r="J2133">
            <v>697</v>
          </cell>
        </row>
        <row r="2134">
          <cell r="A2134">
            <v>1723000721</v>
          </cell>
          <cell r="B2134" t="str">
            <v>חמרים-תחזוקת מבנים</v>
          </cell>
          <cell r="C2134">
            <v>2565</v>
          </cell>
          <cell r="D2134">
            <v>1671.6</v>
          </cell>
          <cell r="E2134">
            <v>0</v>
          </cell>
          <cell r="F2134">
            <v>1671.6</v>
          </cell>
          <cell r="G2134">
            <v>893.4</v>
          </cell>
          <cell r="H2134">
            <v>65.16</v>
          </cell>
          <cell r="I2134">
            <v>2700</v>
          </cell>
          <cell r="J2134">
            <v>1671.6</v>
          </cell>
        </row>
        <row r="2135">
          <cell r="A2135">
            <v>1723000722</v>
          </cell>
          <cell r="B2135" t="str">
            <v>חמרים-תחזוקה עצמית</v>
          </cell>
          <cell r="C2135">
            <v>855</v>
          </cell>
          <cell r="D2135">
            <v>0</v>
          </cell>
          <cell r="E2135">
            <v>0</v>
          </cell>
          <cell r="F2135">
            <v>0</v>
          </cell>
          <cell r="G2135">
            <v>855</v>
          </cell>
          <cell r="H2135">
            <v>0</v>
          </cell>
          <cell r="I2135">
            <v>900</v>
          </cell>
          <cell r="J2135">
            <v>0</v>
          </cell>
        </row>
        <row r="2136">
          <cell r="A2136">
            <v>1723000742</v>
          </cell>
          <cell r="B2136" t="str">
            <v>כלים וציוד</v>
          </cell>
          <cell r="C2136">
            <v>0</v>
          </cell>
          <cell r="D2136">
            <v>0</v>
          </cell>
          <cell r="E2136">
            <v>0</v>
          </cell>
          <cell r="F2136">
            <v>0</v>
          </cell>
          <cell r="G2136">
            <v>0</v>
          </cell>
          <cell r="H2136">
            <v>0</v>
          </cell>
          <cell r="I2136">
            <v>0</v>
          </cell>
          <cell r="J2136">
            <v>0</v>
          </cell>
        </row>
        <row r="2137">
          <cell r="A2137">
            <v>1723000743</v>
          </cell>
          <cell r="B2137" t="str">
            <v>תחזוקת ציוד הג"א</v>
          </cell>
          <cell r="C2137">
            <v>0</v>
          </cell>
          <cell r="D2137">
            <v>0</v>
          </cell>
          <cell r="E2137">
            <v>0</v>
          </cell>
          <cell r="F2137">
            <v>0</v>
          </cell>
          <cell r="G2137">
            <v>0</v>
          </cell>
          <cell r="H2137">
            <v>0</v>
          </cell>
          <cell r="I2137">
            <v>0</v>
          </cell>
          <cell r="J2137">
            <v>0</v>
          </cell>
        </row>
        <row r="2138">
          <cell r="A2138">
            <v>1723000744</v>
          </cell>
          <cell r="B2138" t="str">
            <v>אחזקת ציוד</v>
          </cell>
          <cell r="C2138">
            <v>8550</v>
          </cell>
          <cell r="D2138">
            <v>5697.83</v>
          </cell>
          <cell r="E2138">
            <v>0</v>
          </cell>
          <cell r="F2138">
            <v>5697.83</v>
          </cell>
          <cell r="G2138">
            <v>2852.17</v>
          </cell>
          <cell r="H2138">
            <v>66.64</v>
          </cell>
          <cell r="I2138">
            <v>9000</v>
          </cell>
          <cell r="J2138">
            <v>5697.83</v>
          </cell>
        </row>
        <row r="2139">
          <cell r="A2139">
            <v>1723000745</v>
          </cell>
          <cell r="B2139" t="str">
            <v>דמי פריצה - תכולה</v>
          </cell>
          <cell r="C2139">
            <v>0</v>
          </cell>
          <cell r="D2139">
            <v>0</v>
          </cell>
          <cell r="E2139">
            <v>0</v>
          </cell>
          <cell r="F2139">
            <v>0</v>
          </cell>
          <cell r="G2139">
            <v>0</v>
          </cell>
          <cell r="H2139">
            <v>0</v>
          </cell>
          <cell r="I2139">
            <v>0</v>
          </cell>
          <cell r="J2139">
            <v>0</v>
          </cell>
        </row>
        <row r="2140">
          <cell r="A2140">
            <v>1723000751</v>
          </cell>
          <cell r="B2140" t="str">
            <v>עבודות קבלניות</v>
          </cell>
          <cell r="C2140">
            <v>12825</v>
          </cell>
          <cell r="D2140">
            <v>10640</v>
          </cell>
          <cell r="E2140">
            <v>0</v>
          </cell>
          <cell r="F2140">
            <v>10640</v>
          </cell>
          <cell r="G2140">
            <v>2185</v>
          </cell>
          <cell r="H2140">
            <v>82.96</v>
          </cell>
          <cell r="I2140">
            <v>13500</v>
          </cell>
          <cell r="J2140">
            <v>10640</v>
          </cell>
        </row>
        <row r="2141">
          <cell r="A2141">
            <v>1723000780</v>
          </cell>
          <cell r="B2141" t="str">
            <v>תרגילי הג"א</v>
          </cell>
          <cell r="C2141">
            <v>0</v>
          </cell>
          <cell r="D2141">
            <v>0</v>
          </cell>
          <cell r="E2141">
            <v>0</v>
          </cell>
          <cell r="F2141">
            <v>0</v>
          </cell>
          <cell r="G2141">
            <v>0</v>
          </cell>
          <cell r="H2141">
            <v>0</v>
          </cell>
          <cell r="I2141">
            <v>0</v>
          </cell>
          <cell r="J2141">
            <v>0</v>
          </cell>
        </row>
        <row r="2142">
          <cell r="A2142">
            <v>1723000781</v>
          </cell>
          <cell r="B2142" t="str">
            <v>הסברה וארועים</v>
          </cell>
          <cell r="C2142">
            <v>4100</v>
          </cell>
          <cell r="D2142">
            <v>4098.8100000000004</v>
          </cell>
          <cell r="E2142">
            <v>0</v>
          </cell>
          <cell r="F2142">
            <v>4098.8100000000004</v>
          </cell>
          <cell r="G2142">
            <v>1.19</v>
          </cell>
          <cell r="H2142">
            <v>99.97</v>
          </cell>
          <cell r="I2142">
            <v>4100</v>
          </cell>
          <cell r="J2142">
            <v>4098.8100000000004</v>
          </cell>
        </row>
        <row r="2143">
          <cell r="A2143">
            <v>1723000783</v>
          </cell>
          <cell r="B2143" t="str">
            <v>תרגילים וארועים</v>
          </cell>
          <cell r="C2143">
            <v>2000</v>
          </cell>
          <cell r="D2143">
            <v>2000</v>
          </cell>
          <cell r="E2143">
            <v>0</v>
          </cell>
          <cell r="F2143">
            <v>2000</v>
          </cell>
          <cell r="G2143">
            <v>0</v>
          </cell>
          <cell r="H2143">
            <v>100</v>
          </cell>
          <cell r="I2143">
            <v>2000</v>
          </cell>
          <cell r="J2143">
            <v>2000</v>
          </cell>
        </row>
        <row r="2144">
          <cell r="A2144">
            <v>1723000794</v>
          </cell>
          <cell r="B2144" t="str">
            <v>השתתפות בעזר 094</v>
          </cell>
          <cell r="C2144">
            <v>69635</v>
          </cell>
          <cell r="D2144">
            <v>87426</v>
          </cell>
          <cell r="E2144">
            <v>0</v>
          </cell>
          <cell r="F2144">
            <v>87426</v>
          </cell>
          <cell r="G2144">
            <v>-17791</v>
          </cell>
          <cell r="H2144">
            <v>125.54</v>
          </cell>
          <cell r="I2144">
            <v>73300</v>
          </cell>
          <cell r="J2144">
            <v>87426</v>
          </cell>
        </row>
        <row r="2145">
          <cell r="A2145">
            <v>1723000812</v>
          </cell>
          <cell r="B2145" t="str">
            <v>השתת'בתקציב הג"א</v>
          </cell>
          <cell r="C2145">
            <v>1235000</v>
          </cell>
          <cell r="D2145">
            <v>1089136</v>
          </cell>
          <cell r="E2145">
            <v>0</v>
          </cell>
          <cell r="F2145">
            <v>1089136</v>
          </cell>
          <cell r="G2145">
            <v>145864</v>
          </cell>
          <cell r="H2145">
            <v>88.18</v>
          </cell>
          <cell r="I2145">
            <v>1300000</v>
          </cell>
          <cell r="J2145">
            <v>1089136</v>
          </cell>
        </row>
        <row r="2146">
          <cell r="A2146">
            <v>1723000813</v>
          </cell>
          <cell r="B2146" t="str">
            <v>השתתפות בתרגילים</v>
          </cell>
          <cell r="C2146">
            <v>0</v>
          </cell>
          <cell r="D2146">
            <v>0</v>
          </cell>
          <cell r="E2146">
            <v>0</v>
          </cell>
          <cell r="F2146">
            <v>0</v>
          </cell>
          <cell r="G2146">
            <v>0</v>
          </cell>
          <cell r="H2146">
            <v>0</v>
          </cell>
          <cell r="I2146">
            <v>0</v>
          </cell>
          <cell r="J2146">
            <v>0</v>
          </cell>
        </row>
        <row r="2147">
          <cell r="A2147">
            <v>1723000931</v>
          </cell>
          <cell r="B2147" t="str">
            <v>התחשבנות הג"א מקומי</v>
          </cell>
          <cell r="C2147">
            <v>0</v>
          </cell>
          <cell r="D2147">
            <v>0</v>
          </cell>
          <cell r="E2147">
            <v>0</v>
          </cell>
          <cell r="F2147">
            <v>0</v>
          </cell>
          <cell r="G2147">
            <v>0</v>
          </cell>
          <cell r="H2147">
            <v>0</v>
          </cell>
          <cell r="I2147">
            <v>0</v>
          </cell>
          <cell r="J2147">
            <v>0</v>
          </cell>
        </row>
        <row r="2148">
          <cell r="A2148">
            <v>1723000933</v>
          </cell>
          <cell r="B2148" t="str">
            <v>הוצאות חד-פעמיות</v>
          </cell>
          <cell r="C2148">
            <v>3420</v>
          </cell>
          <cell r="D2148">
            <v>2548.27</v>
          </cell>
          <cell r="E2148">
            <v>845.56</v>
          </cell>
          <cell r="F2148">
            <v>3393.83</v>
          </cell>
          <cell r="G2148">
            <v>26.17</v>
          </cell>
          <cell r="H2148">
            <v>99.23</v>
          </cell>
          <cell r="I2148">
            <v>3600</v>
          </cell>
          <cell r="J2148">
            <v>2548.27</v>
          </cell>
        </row>
        <row r="2149">
          <cell r="A2149">
            <v>1724000421</v>
          </cell>
          <cell r="B2149" t="str">
            <v>אגרת כיבוי אש</v>
          </cell>
          <cell r="C2149">
            <v>128250</v>
          </cell>
          <cell r="D2149">
            <v>24169.13</v>
          </cell>
          <cell r="E2149">
            <v>1361.88</v>
          </cell>
          <cell r="F2149">
            <v>25531.01</v>
          </cell>
          <cell r="G2149">
            <v>102718.99</v>
          </cell>
          <cell r="H2149">
            <v>19.899999999999999</v>
          </cell>
          <cell r="I2149">
            <v>135000</v>
          </cell>
          <cell r="J2149">
            <v>24169.13</v>
          </cell>
        </row>
        <row r="2150">
          <cell r="A2150">
            <v>1724000432</v>
          </cell>
          <cell r="B2150" t="str">
            <v>מים</v>
          </cell>
          <cell r="C2150">
            <v>0</v>
          </cell>
          <cell r="D2150">
            <v>0</v>
          </cell>
          <cell r="E2150">
            <v>0</v>
          </cell>
          <cell r="F2150">
            <v>0</v>
          </cell>
          <cell r="G2150">
            <v>0</v>
          </cell>
          <cell r="H2150">
            <v>0</v>
          </cell>
          <cell r="I2150">
            <v>0</v>
          </cell>
          <cell r="J2150">
            <v>0</v>
          </cell>
        </row>
        <row r="2151">
          <cell r="A2151">
            <v>1724000830</v>
          </cell>
          <cell r="B2151" t="str">
            <v>הש'-איגוד כיבוי אש</v>
          </cell>
          <cell r="C2151">
            <v>0</v>
          </cell>
          <cell r="D2151">
            <v>0</v>
          </cell>
          <cell r="E2151">
            <v>0</v>
          </cell>
          <cell r="F2151">
            <v>0</v>
          </cell>
          <cell r="G2151">
            <v>0</v>
          </cell>
          <cell r="H2151">
            <v>0</v>
          </cell>
          <cell r="I2151">
            <v>0</v>
          </cell>
          <cell r="J2151">
            <v>0</v>
          </cell>
        </row>
        <row r="2152">
          <cell r="A2152">
            <v>1724000832</v>
          </cell>
          <cell r="B2152" t="str">
            <v>מים</v>
          </cell>
          <cell r="C2152">
            <v>0</v>
          </cell>
          <cell r="D2152">
            <v>0</v>
          </cell>
          <cell r="E2152">
            <v>0</v>
          </cell>
          <cell r="F2152">
            <v>0</v>
          </cell>
          <cell r="G2152">
            <v>0</v>
          </cell>
          <cell r="H2152">
            <v>0</v>
          </cell>
          <cell r="I2152">
            <v>0</v>
          </cell>
          <cell r="J2152">
            <v>0</v>
          </cell>
        </row>
        <row r="2153">
          <cell r="A2153">
            <v>1726100119</v>
          </cell>
          <cell r="B2153" t="str">
            <v>השכר הקובע-צוברת</v>
          </cell>
          <cell r="C2153">
            <v>294025</v>
          </cell>
          <cell r="D2153">
            <v>192948.06</v>
          </cell>
          <cell r="E2153">
            <v>0</v>
          </cell>
          <cell r="F2153">
            <v>192948.06</v>
          </cell>
          <cell r="G2153">
            <v>101076.94</v>
          </cell>
          <cell r="H2153">
            <v>65.62</v>
          </cell>
          <cell r="I2153">
            <v>309500</v>
          </cell>
          <cell r="J2153">
            <v>192948.06</v>
          </cell>
        </row>
        <row r="2154">
          <cell r="A2154">
            <v>1726100122</v>
          </cell>
          <cell r="B2154" t="str">
            <v>ביגוד</v>
          </cell>
          <cell r="C2154">
            <v>3800</v>
          </cell>
          <cell r="D2154">
            <v>5281.12</v>
          </cell>
          <cell r="E2154">
            <v>0</v>
          </cell>
          <cell r="F2154">
            <v>5281.12</v>
          </cell>
          <cell r="G2154">
            <v>-1481.12</v>
          </cell>
          <cell r="H2154">
            <v>138.97</v>
          </cell>
          <cell r="I2154">
            <v>4000</v>
          </cell>
          <cell r="J2154">
            <v>5281.12</v>
          </cell>
        </row>
        <row r="2155">
          <cell r="A2155">
            <v>1726100126</v>
          </cell>
          <cell r="B2155" t="str">
            <v>דמי הבראה</v>
          </cell>
          <cell r="C2155">
            <v>11400</v>
          </cell>
          <cell r="D2155">
            <v>11058.53</v>
          </cell>
          <cell r="E2155">
            <v>0</v>
          </cell>
          <cell r="F2155">
            <v>11058.53</v>
          </cell>
          <cell r="G2155">
            <v>341.47</v>
          </cell>
          <cell r="H2155">
            <v>97</v>
          </cell>
          <cell r="I2155">
            <v>12000</v>
          </cell>
          <cell r="J2155">
            <v>11058.53</v>
          </cell>
        </row>
        <row r="2156">
          <cell r="A2156">
            <v>1726100130</v>
          </cell>
          <cell r="B2156" t="str">
            <v>שעות נוספות</v>
          </cell>
          <cell r="C2156">
            <v>21470</v>
          </cell>
          <cell r="D2156">
            <v>12879.02</v>
          </cell>
          <cell r="E2156">
            <v>0</v>
          </cell>
          <cell r="F2156">
            <v>12879.02</v>
          </cell>
          <cell r="G2156">
            <v>8590.98</v>
          </cell>
          <cell r="H2156">
            <v>59.98</v>
          </cell>
          <cell r="I2156">
            <v>22600</v>
          </cell>
          <cell r="J2156">
            <v>12879.02</v>
          </cell>
        </row>
        <row r="2157">
          <cell r="A2157">
            <v>1726100140</v>
          </cell>
          <cell r="B2157" t="str">
            <v>השתתפות באחזקת רכב</v>
          </cell>
          <cell r="C2157">
            <v>31540</v>
          </cell>
          <cell r="D2157">
            <v>16947.080000000002</v>
          </cell>
          <cell r="E2157">
            <v>0</v>
          </cell>
          <cell r="F2157">
            <v>16947.080000000002</v>
          </cell>
          <cell r="G2157">
            <v>14592.92</v>
          </cell>
          <cell r="H2157">
            <v>53.73</v>
          </cell>
          <cell r="I2157">
            <v>33200</v>
          </cell>
          <cell r="J2157">
            <v>16947.080000000002</v>
          </cell>
        </row>
        <row r="2158">
          <cell r="A2158">
            <v>1726100253</v>
          </cell>
          <cell r="B2158" t="str">
            <v>עובדים חיצוניים</v>
          </cell>
          <cell r="C2158">
            <v>0</v>
          </cell>
          <cell r="D2158">
            <v>1728.18</v>
          </cell>
          <cell r="E2158">
            <v>0</v>
          </cell>
          <cell r="F2158">
            <v>1728.18</v>
          </cell>
          <cell r="G2158">
            <v>-1728.18</v>
          </cell>
          <cell r="H2158">
            <v>0</v>
          </cell>
          <cell r="I2158">
            <v>0</v>
          </cell>
          <cell r="J2158">
            <v>1728.18</v>
          </cell>
        </row>
        <row r="2159">
          <cell r="A2159">
            <v>1726100423</v>
          </cell>
          <cell r="B2159" t="str">
            <v>תחזוקת מבנה</v>
          </cell>
          <cell r="C2159">
            <v>0</v>
          </cell>
          <cell r="D2159">
            <v>0</v>
          </cell>
          <cell r="E2159">
            <v>0</v>
          </cell>
          <cell r="F2159">
            <v>0</v>
          </cell>
          <cell r="G2159">
            <v>0</v>
          </cell>
          <cell r="H2159">
            <v>0</v>
          </cell>
          <cell r="I2159">
            <v>0</v>
          </cell>
          <cell r="J2159">
            <v>0</v>
          </cell>
        </row>
        <row r="2160">
          <cell r="A2160">
            <v>1726100437</v>
          </cell>
          <cell r="B2160" t="str">
            <v>מערכת אזעקה</v>
          </cell>
          <cell r="C2160">
            <v>6650</v>
          </cell>
          <cell r="D2160">
            <v>6107.4</v>
          </cell>
          <cell r="E2160">
            <v>0</v>
          </cell>
          <cell r="F2160">
            <v>6107.4</v>
          </cell>
          <cell r="G2160">
            <v>542.6</v>
          </cell>
          <cell r="H2160">
            <v>91.84</v>
          </cell>
          <cell r="I2160">
            <v>7000</v>
          </cell>
          <cell r="J2160">
            <v>6107.4</v>
          </cell>
        </row>
        <row r="2161">
          <cell r="A2161">
            <v>1726100441</v>
          </cell>
          <cell r="B2161" t="str">
            <v>ביטוח ציוד חירום</v>
          </cell>
          <cell r="C2161">
            <v>0</v>
          </cell>
          <cell r="D2161">
            <v>0</v>
          </cell>
          <cell r="E2161">
            <v>0</v>
          </cell>
          <cell r="F2161">
            <v>0</v>
          </cell>
          <cell r="G2161">
            <v>0</v>
          </cell>
          <cell r="H2161">
            <v>0</v>
          </cell>
          <cell r="I2161">
            <v>0</v>
          </cell>
          <cell r="J2161">
            <v>0</v>
          </cell>
        </row>
        <row r="2162">
          <cell r="A2162">
            <v>1726100470</v>
          </cell>
          <cell r="B2162" t="str">
            <v>אחזקת מכונות משרד</v>
          </cell>
          <cell r="C2162">
            <v>475</v>
          </cell>
          <cell r="D2162">
            <v>0</v>
          </cell>
          <cell r="E2162">
            <v>0</v>
          </cell>
          <cell r="F2162">
            <v>0</v>
          </cell>
          <cell r="G2162">
            <v>475</v>
          </cell>
          <cell r="H2162">
            <v>0</v>
          </cell>
          <cell r="I2162">
            <v>500</v>
          </cell>
          <cell r="J2162">
            <v>0</v>
          </cell>
        </row>
        <row r="2163">
          <cell r="A2163">
            <v>1726100471</v>
          </cell>
          <cell r="B2163" t="str">
            <v>מכשירי כתיבה</v>
          </cell>
          <cell r="C2163">
            <v>2800</v>
          </cell>
          <cell r="D2163">
            <v>0</v>
          </cell>
          <cell r="E2163">
            <v>473.85</v>
          </cell>
          <cell r="F2163">
            <v>473.85</v>
          </cell>
          <cell r="G2163">
            <v>2326.15</v>
          </cell>
          <cell r="H2163">
            <v>16.920000000000002</v>
          </cell>
          <cell r="I2163">
            <v>2800</v>
          </cell>
          <cell r="J2163">
            <v>0</v>
          </cell>
        </row>
        <row r="2164">
          <cell r="A2164">
            <v>1726100492</v>
          </cell>
          <cell r="B2164" t="str">
            <v>השתתפות בעזר 092</v>
          </cell>
          <cell r="C2164">
            <v>110010</v>
          </cell>
          <cell r="D2164">
            <v>126799</v>
          </cell>
          <cell r="E2164">
            <v>0</v>
          </cell>
          <cell r="F2164">
            <v>126799</v>
          </cell>
          <cell r="G2164">
            <v>-16789</v>
          </cell>
          <cell r="H2164">
            <v>115.26</v>
          </cell>
          <cell r="I2164">
            <v>115800</v>
          </cell>
          <cell r="J2164">
            <v>126799</v>
          </cell>
        </row>
        <row r="2165">
          <cell r="A2165">
            <v>1726100511</v>
          </cell>
          <cell r="B2165" t="str">
            <v>אירוח וכיבוד</v>
          </cell>
          <cell r="C2165">
            <v>0</v>
          </cell>
          <cell r="D2165">
            <v>0</v>
          </cell>
          <cell r="E2165">
            <v>0</v>
          </cell>
          <cell r="F2165">
            <v>0</v>
          </cell>
          <cell r="G2165">
            <v>0</v>
          </cell>
          <cell r="H2165">
            <v>0</v>
          </cell>
          <cell r="I2165">
            <v>0</v>
          </cell>
          <cell r="J2165">
            <v>0</v>
          </cell>
        </row>
        <row r="2166">
          <cell r="A2166">
            <v>1726100521</v>
          </cell>
          <cell r="B2166" t="str">
            <v>השתלמויות לפס"ח</v>
          </cell>
          <cell r="C2166">
            <v>27000</v>
          </cell>
          <cell r="D2166">
            <v>26628.98</v>
          </cell>
          <cell r="E2166">
            <v>0</v>
          </cell>
          <cell r="F2166">
            <v>26628.98</v>
          </cell>
          <cell r="G2166">
            <v>371.02</v>
          </cell>
          <cell r="H2166">
            <v>98.62</v>
          </cell>
          <cell r="I2166">
            <v>27000</v>
          </cell>
          <cell r="J2166">
            <v>26628.98</v>
          </cell>
        </row>
        <row r="2167">
          <cell r="A2167">
            <v>1726100540</v>
          </cell>
          <cell r="B2167" t="str">
            <v>הוצאות טלפון</v>
          </cell>
          <cell r="C2167">
            <v>950</v>
          </cell>
          <cell r="D2167">
            <v>910</v>
          </cell>
          <cell r="E2167">
            <v>0</v>
          </cell>
          <cell r="F2167">
            <v>910</v>
          </cell>
          <cell r="G2167">
            <v>40</v>
          </cell>
          <cell r="H2167">
            <v>95.78</v>
          </cell>
          <cell r="I2167">
            <v>1000</v>
          </cell>
          <cell r="J2167">
            <v>910</v>
          </cell>
        </row>
        <row r="2168">
          <cell r="A2168">
            <v>1726100544</v>
          </cell>
          <cell r="B2168" t="str">
            <v>הוצאות דאר</v>
          </cell>
          <cell r="C2168">
            <v>0</v>
          </cell>
          <cell r="D2168">
            <v>0</v>
          </cell>
          <cell r="E2168">
            <v>0</v>
          </cell>
          <cell r="F2168">
            <v>0</v>
          </cell>
          <cell r="G2168">
            <v>0</v>
          </cell>
          <cell r="H2168">
            <v>0</v>
          </cell>
          <cell r="I2168">
            <v>0</v>
          </cell>
          <cell r="J2168">
            <v>0</v>
          </cell>
        </row>
        <row r="2169">
          <cell r="A2169">
            <v>1726100550</v>
          </cell>
          <cell r="B2169" t="str">
            <v>פירסומים</v>
          </cell>
          <cell r="C2169">
            <v>0</v>
          </cell>
          <cell r="D2169">
            <v>0</v>
          </cell>
          <cell r="E2169">
            <v>0</v>
          </cell>
          <cell r="F2169">
            <v>0</v>
          </cell>
          <cell r="G2169">
            <v>0</v>
          </cell>
          <cell r="H2169">
            <v>0</v>
          </cell>
          <cell r="I2169">
            <v>0</v>
          </cell>
          <cell r="J2169">
            <v>0</v>
          </cell>
        </row>
        <row r="2170">
          <cell r="A2170">
            <v>1726100561</v>
          </cell>
          <cell r="B2170" t="str">
            <v>שיכפולים</v>
          </cell>
          <cell r="C2170">
            <v>0</v>
          </cell>
          <cell r="D2170">
            <v>0</v>
          </cell>
          <cell r="E2170">
            <v>0</v>
          </cell>
          <cell r="F2170">
            <v>0</v>
          </cell>
          <cell r="G2170">
            <v>0</v>
          </cell>
          <cell r="H2170">
            <v>0</v>
          </cell>
          <cell r="I2170">
            <v>0</v>
          </cell>
          <cell r="J2170">
            <v>0</v>
          </cell>
        </row>
        <row r="2171">
          <cell r="A2171">
            <v>1726100571</v>
          </cell>
          <cell r="B2171" t="str">
            <v>מיכון וענ"א</v>
          </cell>
          <cell r="C2171">
            <v>30020</v>
          </cell>
          <cell r="D2171">
            <v>31600</v>
          </cell>
          <cell r="E2171">
            <v>0</v>
          </cell>
          <cell r="F2171">
            <v>31600</v>
          </cell>
          <cell r="G2171">
            <v>-1580</v>
          </cell>
          <cell r="H2171">
            <v>105.26</v>
          </cell>
          <cell r="I2171">
            <v>31600</v>
          </cell>
          <cell r="J2171">
            <v>31600</v>
          </cell>
        </row>
        <row r="2172">
          <cell r="A2172">
            <v>1726100722</v>
          </cell>
          <cell r="B2172" t="str">
            <v>חמרים-תחזוקה עצמית</v>
          </cell>
          <cell r="C2172">
            <v>4500</v>
          </cell>
          <cell r="D2172">
            <v>2412.54</v>
          </cell>
          <cell r="E2172">
            <v>80.73</v>
          </cell>
          <cell r="F2172">
            <v>2493.27</v>
          </cell>
          <cell r="G2172">
            <v>2006.73</v>
          </cell>
          <cell r="H2172">
            <v>55.4</v>
          </cell>
          <cell r="I2172">
            <v>4500</v>
          </cell>
          <cell r="J2172">
            <v>2412.54</v>
          </cell>
        </row>
        <row r="2173">
          <cell r="A2173">
            <v>1726100743</v>
          </cell>
          <cell r="B2173" t="str">
            <v>אחזקת ציוד לש'חרום</v>
          </cell>
          <cell r="C2173">
            <v>36000</v>
          </cell>
          <cell r="D2173">
            <v>35750.01</v>
          </cell>
          <cell r="E2173">
            <v>0</v>
          </cell>
          <cell r="F2173">
            <v>35750.01</v>
          </cell>
          <cell r="G2173">
            <v>249.99</v>
          </cell>
          <cell r="H2173">
            <v>99.3</v>
          </cell>
          <cell r="I2173">
            <v>36000</v>
          </cell>
          <cell r="J2173">
            <v>35750.01</v>
          </cell>
        </row>
        <row r="2174">
          <cell r="A2174">
            <v>1726100781</v>
          </cell>
          <cell r="B2174" t="str">
            <v>תרגילים וארועים</v>
          </cell>
          <cell r="C2174">
            <v>3895</v>
          </cell>
          <cell r="D2174">
            <v>3013.95</v>
          </cell>
          <cell r="E2174">
            <v>220</v>
          </cell>
          <cell r="F2174">
            <v>3233.95</v>
          </cell>
          <cell r="G2174">
            <v>661.05</v>
          </cell>
          <cell r="H2174">
            <v>83.02</v>
          </cell>
          <cell r="I2174">
            <v>4100</v>
          </cell>
          <cell r="J2174">
            <v>3013.95</v>
          </cell>
        </row>
        <row r="2175">
          <cell r="A2175">
            <v>1726100794</v>
          </cell>
          <cell r="B2175" t="str">
            <v>השתתפות בעזר 094</v>
          </cell>
          <cell r="C2175">
            <v>8645</v>
          </cell>
          <cell r="D2175">
            <v>10853</v>
          </cell>
          <cell r="E2175">
            <v>0</v>
          </cell>
          <cell r="F2175">
            <v>10853</v>
          </cell>
          <cell r="G2175">
            <v>-2208</v>
          </cell>
          <cell r="H2175">
            <v>125.54</v>
          </cell>
          <cell r="I2175">
            <v>9100</v>
          </cell>
          <cell r="J2175">
            <v>10853</v>
          </cell>
        </row>
        <row r="2176">
          <cell r="A2176">
            <v>1726100900</v>
          </cell>
          <cell r="B2176" t="str">
            <v>הוצאות לשעת חרום</v>
          </cell>
          <cell r="C2176">
            <v>0</v>
          </cell>
          <cell r="D2176">
            <v>0</v>
          </cell>
          <cell r="E2176">
            <v>0</v>
          </cell>
          <cell r="F2176">
            <v>0</v>
          </cell>
          <cell r="G2176">
            <v>0</v>
          </cell>
          <cell r="H2176">
            <v>0</v>
          </cell>
          <cell r="I2176">
            <v>0</v>
          </cell>
          <cell r="J2176">
            <v>0</v>
          </cell>
        </row>
        <row r="2177">
          <cell r="A2177">
            <v>1726100931</v>
          </cell>
          <cell r="B2177" t="str">
            <v>רכישת ציוד לשע"ח</v>
          </cell>
          <cell r="C2177">
            <v>27000</v>
          </cell>
          <cell r="D2177">
            <v>8190</v>
          </cell>
          <cell r="E2177">
            <v>18810</v>
          </cell>
          <cell r="F2177">
            <v>27000</v>
          </cell>
          <cell r="G2177">
            <v>0</v>
          </cell>
          <cell r="H2177">
            <v>100</v>
          </cell>
          <cell r="I2177">
            <v>27000</v>
          </cell>
          <cell r="J2177">
            <v>8190</v>
          </cell>
        </row>
        <row r="2178">
          <cell r="A2178">
            <v>1726100932</v>
          </cell>
          <cell r="B2178" t="str">
            <v>הצטיידות חרום</v>
          </cell>
          <cell r="C2178">
            <v>0</v>
          </cell>
          <cell r="D2178">
            <v>0</v>
          </cell>
          <cell r="E2178">
            <v>0</v>
          </cell>
          <cell r="F2178">
            <v>0</v>
          </cell>
          <cell r="G2178">
            <v>0</v>
          </cell>
          <cell r="H2178">
            <v>0</v>
          </cell>
          <cell r="I2178">
            <v>0</v>
          </cell>
          <cell r="J2178">
            <v>0</v>
          </cell>
        </row>
        <row r="2179">
          <cell r="A2179">
            <v>1729999932</v>
          </cell>
          <cell r="B2179" t="str">
            <v>ציוד מיגון והצטיידות</v>
          </cell>
          <cell r="C2179">
            <v>0</v>
          </cell>
          <cell r="D2179">
            <v>0</v>
          </cell>
          <cell r="E2179">
            <v>0</v>
          </cell>
          <cell r="F2179">
            <v>0</v>
          </cell>
          <cell r="G2179">
            <v>0</v>
          </cell>
          <cell r="H2179">
            <v>0</v>
          </cell>
          <cell r="I2179">
            <v>0</v>
          </cell>
          <cell r="J2179">
            <v>0</v>
          </cell>
        </row>
        <row r="2180">
          <cell r="A2180">
            <v>1729999989</v>
          </cell>
          <cell r="B2180" t="str">
            <v>לא פעיל</v>
          </cell>
          <cell r="C2180">
            <v>0</v>
          </cell>
          <cell r="D2180">
            <v>0</v>
          </cell>
          <cell r="E2180">
            <v>0</v>
          </cell>
          <cell r="F2180">
            <v>0</v>
          </cell>
          <cell r="G2180">
            <v>0</v>
          </cell>
          <cell r="H2180">
            <v>0</v>
          </cell>
          <cell r="I2180">
            <v>0</v>
          </cell>
          <cell r="J2180">
            <v>0</v>
          </cell>
        </row>
        <row r="2181">
          <cell r="A2181">
            <v>1731000110</v>
          </cell>
          <cell r="B2181" t="str">
            <v>השכר הקובע-תקציבית</v>
          </cell>
          <cell r="C2181">
            <v>159505</v>
          </cell>
          <cell r="D2181">
            <v>168723.42</v>
          </cell>
          <cell r="E2181">
            <v>0</v>
          </cell>
          <cell r="F2181">
            <v>168723.42</v>
          </cell>
          <cell r="G2181">
            <v>-9218.42</v>
          </cell>
          <cell r="H2181">
            <v>105.77</v>
          </cell>
          <cell r="I2181">
            <v>167900</v>
          </cell>
          <cell r="J2181">
            <v>168723.42</v>
          </cell>
        </row>
        <row r="2182">
          <cell r="A2182">
            <v>1731000119</v>
          </cell>
          <cell r="B2182" t="str">
            <v>השכר הקובע-צוברת</v>
          </cell>
          <cell r="C2182">
            <v>2712060</v>
          </cell>
          <cell r="D2182">
            <v>1351131.19</v>
          </cell>
          <cell r="E2182">
            <v>9043.42</v>
          </cell>
          <cell r="F2182">
            <v>1360174.61</v>
          </cell>
          <cell r="G2182">
            <v>1351885.39</v>
          </cell>
          <cell r="H2182">
            <v>50.15</v>
          </cell>
          <cell r="I2182">
            <v>2854800</v>
          </cell>
          <cell r="J2182">
            <v>1351131.19</v>
          </cell>
        </row>
        <row r="2183">
          <cell r="A2183">
            <v>1731000122</v>
          </cell>
          <cell r="B2183" t="str">
            <v>ביגוד</v>
          </cell>
          <cell r="C2183">
            <v>19475</v>
          </cell>
          <cell r="D2183">
            <v>19096.689999999999</v>
          </cell>
          <cell r="E2183">
            <v>0</v>
          </cell>
          <cell r="F2183">
            <v>19096.689999999999</v>
          </cell>
          <cell r="G2183">
            <v>378.31</v>
          </cell>
          <cell r="H2183">
            <v>98.05</v>
          </cell>
          <cell r="I2183">
            <v>20500</v>
          </cell>
          <cell r="J2183">
            <v>19096.689999999999</v>
          </cell>
        </row>
        <row r="2184">
          <cell r="A2184">
            <v>1731000126</v>
          </cell>
          <cell r="B2184" t="str">
            <v>דמי הבראה</v>
          </cell>
          <cell r="C2184">
            <v>63650</v>
          </cell>
          <cell r="D2184">
            <v>42837.02</v>
          </cell>
          <cell r="E2184">
            <v>0</v>
          </cell>
          <cell r="F2184">
            <v>42837.02</v>
          </cell>
          <cell r="G2184">
            <v>20812.98</v>
          </cell>
          <cell r="H2184">
            <v>67.3</v>
          </cell>
          <cell r="I2184">
            <v>67000</v>
          </cell>
          <cell r="J2184">
            <v>42837.02</v>
          </cell>
        </row>
        <row r="2185">
          <cell r="A2185">
            <v>1731000130</v>
          </cell>
          <cell r="B2185" t="str">
            <v>שעות נוספות</v>
          </cell>
          <cell r="C2185">
            <v>26695</v>
          </cell>
          <cell r="D2185">
            <v>0</v>
          </cell>
          <cell r="E2185">
            <v>0</v>
          </cell>
          <cell r="F2185">
            <v>0</v>
          </cell>
          <cell r="G2185">
            <v>26695</v>
          </cell>
          <cell r="H2185">
            <v>0</v>
          </cell>
          <cell r="I2185">
            <v>28100</v>
          </cell>
          <cell r="J2185">
            <v>0</v>
          </cell>
        </row>
        <row r="2186">
          <cell r="A2186">
            <v>1731000140</v>
          </cell>
          <cell r="B2186" t="str">
            <v>השתתפות באחזקת רכב</v>
          </cell>
          <cell r="C2186">
            <v>186960</v>
          </cell>
          <cell r="D2186">
            <v>116285.12</v>
          </cell>
          <cell r="E2186">
            <v>0</v>
          </cell>
          <cell r="F2186">
            <v>116285.12</v>
          </cell>
          <cell r="G2186">
            <v>70674.880000000005</v>
          </cell>
          <cell r="H2186">
            <v>62.19</v>
          </cell>
          <cell r="I2186">
            <v>196800</v>
          </cell>
          <cell r="J2186">
            <v>116285.12</v>
          </cell>
        </row>
        <row r="2187">
          <cell r="A2187">
            <v>1731000253</v>
          </cell>
          <cell r="B2187" t="str">
            <v>עובדים חיצוניים</v>
          </cell>
          <cell r="C2187">
            <v>64507</v>
          </cell>
          <cell r="D2187">
            <v>64507.35</v>
          </cell>
          <cell r="E2187">
            <v>0</v>
          </cell>
          <cell r="F2187">
            <v>64507.35</v>
          </cell>
          <cell r="G2187">
            <v>-0.35</v>
          </cell>
          <cell r="H2187">
            <v>100</v>
          </cell>
          <cell r="I2187">
            <v>64507</v>
          </cell>
          <cell r="J2187">
            <v>64507.35</v>
          </cell>
        </row>
        <row r="2188">
          <cell r="A2188">
            <v>1731000350</v>
          </cell>
          <cell r="B2188" t="str">
            <v>ליסינג - 639-86-802</v>
          </cell>
          <cell r="C2188">
            <v>61750</v>
          </cell>
          <cell r="D2188">
            <v>63446.66</v>
          </cell>
          <cell r="E2188">
            <v>0</v>
          </cell>
          <cell r="F2188">
            <v>63446.66</v>
          </cell>
          <cell r="G2188">
            <v>-1696.66</v>
          </cell>
          <cell r="H2188">
            <v>102.74</v>
          </cell>
          <cell r="I2188">
            <v>65000</v>
          </cell>
          <cell r="J2188">
            <v>63446.66</v>
          </cell>
        </row>
        <row r="2189">
          <cell r="A2189">
            <v>1731000351</v>
          </cell>
          <cell r="B2189" t="str">
            <v>הוצאות - 639-86-802</v>
          </cell>
          <cell r="C2189">
            <v>28880</v>
          </cell>
          <cell r="D2189">
            <v>25051.71</v>
          </cell>
          <cell r="E2189">
            <v>0</v>
          </cell>
          <cell r="F2189">
            <v>25051.71</v>
          </cell>
          <cell r="G2189">
            <v>3828.29</v>
          </cell>
          <cell r="H2189">
            <v>86.74</v>
          </cell>
          <cell r="I2189">
            <v>30400</v>
          </cell>
          <cell r="J2189">
            <v>25051.71</v>
          </cell>
        </row>
        <row r="2190">
          <cell r="A2190">
            <v>1731000433</v>
          </cell>
          <cell r="B2190" t="str">
            <v>חומרי נקיון</v>
          </cell>
          <cell r="C2190">
            <v>1425</v>
          </cell>
          <cell r="D2190">
            <v>709.17</v>
          </cell>
          <cell r="E2190">
            <v>0</v>
          </cell>
          <cell r="F2190">
            <v>709.17</v>
          </cell>
          <cell r="G2190">
            <v>715.83</v>
          </cell>
          <cell r="H2190">
            <v>49.76</v>
          </cell>
          <cell r="I2190">
            <v>1500</v>
          </cell>
          <cell r="J2190">
            <v>709.17</v>
          </cell>
        </row>
        <row r="2191">
          <cell r="A2191">
            <v>1731000441</v>
          </cell>
          <cell r="B2191" t="str">
            <v>בטוח אחריות מקצועי</v>
          </cell>
          <cell r="C2191">
            <v>61180</v>
          </cell>
          <cell r="D2191">
            <v>0</v>
          </cell>
          <cell r="E2191">
            <v>0</v>
          </cell>
          <cell r="F2191">
            <v>0</v>
          </cell>
          <cell r="G2191">
            <v>61180</v>
          </cell>
          <cell r="H2191">
            <v>0</v>
          </cell>
          <cell r="I2191">
            <v>64400</v>
          </cell>
          <cell r="J2191">
            <v>0</v>
          </cell>
        </row>
        <row r="2192">
          <cell r="A2192">
            <v>1731000470</v>
          </cell>
          <cell r="B2192" t="str">
            <v>אחזקת מכונות משרד</v>
          </cell>
          <cell r="C2192">
            <v>13015</v>
          </cell>
          <cell r="D2192">
            <v>1849.05</v>
          </cell>
          <cell r="E2192">
            <v>0</v>
          </cell>
          <cell r="F2192">
            <v>1849.05</v>
          </cell>
          <cell r="G2192">
            <v>11165.95</v>
          </cell>
          <cell r="H2192">
            <v>14.2</v>
          </cell>
          <cell r="I2192">
            <v>13700</v>
          </cell>
          <cell r="J2192">
            <v>1849.05</v>
          </cell>
        </row>
        <row r="2193">
          <cell r="A2193">
            <v>1731000471</v>
          </cell>
          <cell r="B2193" t="str">
            <v>מכשירי כתיבה</v>
          </cell>
          <cell r="C2193">
            <v>28215</v>
          </cell>
          <cell r="D2193">
            <v>23899.09</v>
          </cell>
          <cell r="E2193">
            <v>2876.88</v>
          </cell>
          <cell r="F2193">
            <v>26775.97</v>
          </cell>
          <cell r="G2193">
            <v>1439.03</v>
          </cell>
          <cell r="H2193">
            <v>94.89</v>
          </cell>
          <cell r="I2193">
            <v>29700</v>
          </cell>
          <cell r="J2193">
            <v>23899.09</v>
          </cell>
        </row>
        <row r="2194">
          <cell r="A2194">
            <v>1731000492</v>
          </cell>
          <cell r="B2194" t="str">
            <v>השתתפות בעזר 092</v>
          </cell>
          <cell r="C2194">
            <v>686565</v>
          </cell>
          <cell r="D2194">
            <v>791340</v>
          </cell>
          <cell r="E2194">
            <v>0</v>
          </cell>
          <cell r="F2194">
            <v>791340</v>
          </cell>
          <cell r="G2194">
            <v>-104775</v>
          </cell>
          <cell r="H2194">
            <v>115.26</v>
          </cell>
          <cell r="I2194">
            <v>722700</v>
          </cell>
          <cell r="J2194">
            <v>791340</v>
          </cell>
        </row>
        <row r="2195">
          <cell r="A2195">
            <v>1731000511</v>
          </cell>
          <cell r="B2195" t="str">
            <v>אירוח וכיבוד</v>
          </cell>
          <cell r="C2195">
            <v>5795</v>
          </cell>
          <cell r="D2195">
            <v>2294.88</v>
          </cell>
          <cell r="E2195">
            <v>0</v>
          </cell>
          <cell r="F2195">
            <v>2294.88</v>
          </cell>
          <cell r="G2195">
            <v>3500.12</v>
          </cell>
          <cell r="H2195">
            <v>39.6</v>
          </cell>
          <cell r="I2195">
            <v>6100</v>
          </cell>
          <cell r="J2195">
            <v>2294.88</v>
          </cell>
        </row>
        <row r="2196">
          <cell r="A2196">
            <v>1731000512</v>
          </cell>
          <cell r="B2196" t="str">
            <v>נסיעות ואש"ל</v>
          </cell>
          <cell r="C2196">
            <v>4085</v>
          </cell>
          <cell r="D2196">
            <v>3070.7</v>
          </cell>
          <cell r="E2196">
            <v>0</v>
          </cell>
          <cell r="F2196">
            <v>3070.7</v>
          </cell>
          <cell r="G2196">
            <v>1014.3</v>
          </cell>
          <cell r="H2196">
            <v>75.17</v>
          </cell>
          <cell r="I2196">
            <v>4300</v>
          </cell>
          <cell r="J2196">
            <v>3070.7</v>
          </cell>
        </row>
        <row r="2197">
          <cell r="A2197">
            <v>1731000522</v>
          </cell>
          <cell r="B2197" t="str">
            <v>ספרים ועיתונים</v>
          </cell>
          <cell r="C2197">
            <v>4370</v>
          </cell>
          <cell r="D2197">
            <v>3898</v>
          </cell>
          <cell r="E2197">
            <v>355.2</v>
          </cell>
          <cell r="F2197">
            <v>4253.2</v>
          </cell>
          <cell r="G2197">
            <v>116.8</v>
          </cell>
          <cell r="H2197">
            <v>97.32</v>
          </cell>
          <cell r="I2197">
            <v>4600</v>
          </cell>
          <cell r="J2197">
            <v>3898</v>
          </cell>
        </row>
        <row r="2198">
          <cell r="A2198">
            <v>1731000544</v>
          </cell>
          <cell r="B2198" t="str">
            <v>הוצאות דאר</v>
          </cell>
          <cell r="C2198">
            <v>85500</v>
          </cell>
          <cell r="D2198">
            <v>40678.68</v>
          </cell>
          <cell r="E2198">
            <v>0</v>
          </cell>
          <cell r="F2198">
            <v>40678.68</v>
          </cell>
          <cell r="G2198">
            <v>44821.32</v>
          </cell>
          <cell r="H2198">
            <v>47.57</v>
          </cell>
          <cell r="I2198">
            <v>90000</v>
          </cell>
          <cell r="J2198">
            <v>40678.68</v>
          </cell>
        </row>
        <row r="2199">
          <cell r="A2199">
            <v>1731000550</v>
          </cell>
          <cell r="B2199" t="str">
            <v>פירסומים</v>
          </cell>
          <cell r="C2199">
            <v>13870</v>
          </cell>
          <cell r="D2199">
            <v>6655</v>
          </cell>
          <cell r="E2199">
            <v>0.46</v>
          </cell>
          <cell r="F2199">
            <v>6655.46</v>
          </cell>
          <cell r="G2199">
            <v>7214.54</v>
          </cell>
          <cell r="H2199">
            <v>47.98</v>
          </cell>
          <cell r="I2199">
            <v>14600</v>
          </cell>
          <cell r="J2199">
            <v>6655</v>
          </cell>
        </row>
        <row r="2200">
          <cell r="A2200">
            <v>1731000562</v>
          </cell>
          <cell r="B2200" t="str">
            <v>הדפסות</v>
          </cell>
          <cell r="C2200">
            <v>380</v>
          </cell>
          <cell r="D2200">
            <v>582.4</v>
          </cell>
          <cell r="E2200">
            <v>0</v>
          </cell>
          <cell r="F2200">
            <v>582.4</v>
          </cell>
          <cell r="G2200">
            <v>-202.4</v>
          </cell>
          <cell r="H2200">
            <v>153.26</v>
          </cell>
          <cell r="I2200">
            <v>400</v>
          </cell>
          <cell r="J2200">
            <v>582.4</v>
          </cell>
        </row>
        <row r="2201">
          <cell r="A2201">
            <v>1731000563</v>
          </cell>
          <cell r="B2201" t="str">
            <v>הקלטה ותמלול ועדות הקצאה</v>
          </cell>
          <cell r="C2201">
            <v>11400</v>
          </cell>
          <cell r="D2201">
            <v>6985.52</v>
          </cell>
          <cell r="E2201">
            <v>2067.9299999999998</v>
          </cell>
          <cell r="F2201">
            <v>9053.4500000000007</v>
          </cell>
          <cell r="G2201">
            <v>2346.5500000000002</v>
          </cell>
          <cell r="H2201">
            <v>79.41</v>
          </cell>
          <cell r="I2201">
            <v>12000</v>
          </cell>
          <cell r="J2201">
            <v>6985.52</v>
          </cell>
        </row>
        <row r="2202">
          <cell r="A2202">
            <v>1731000564</v>
          </cell>
          <cell r="B2202" t="str">
            <v>אתר הועדה המקומית לתכנון ובניה</v>
          </cell>
          <cell r="C2202">
            <v>31350</v>
          </cell>
          <cell r="D2202">
            <v>0</v>
          </cell>
          <cell r="E2202">
            <v>0</v>
          </cell>
          <cell r="F2202">
            <v>0</v>
          </cell>
          <cell r="G2202">
            <v>31350</v>
          </cell>
          <cell r="H2202">
            <v>0</v>
          </cell>
          <cell r="I2202">
            <v>33000</v>
          </cell>
          <cell r="J2202">
            <v>0</v>
          </cell>
        </row>
        <row r="2203">
          <cell r="A2203">
            <v>1731000565</v>
          </cell>
          <cell r="B2203" t="str">
            <v>צילום מפות</v>
          </cell>
          <cell r="C2203">
            <v>855</v>
          </cell>
          <cell r="D2203">
            <v>0</v>
          </cell>
          <cell r="E2203">
            <v>0</v>
          </cell>
          <cell r="F2203">
            <v>0</v>
          </cell>
          <cell r="G2203">
            <v>855</v>
          </cell>
          <cell r="H2203">
            <v>0</v>
          </cell>
          <cell r="I2203">
            <v>900</v>
          </cell>
          <cell r="J2203">
            <v>0</v>
          </cell>
        </row>
        <row r="2204">
          <cell r="A2204">
            <v>1731000570</v>
          </cell>
          <cell r="B2204" t="str">
            <v>מערכות ממוחשבות</v>
          </cell>
          <cell r="C2204">
            <v>807500</v>
          </cell>
          <cell r="D2204">
            <v>151593.22</v>
          </cell>
          <cell r="E2204">
            <v>0</v>
          </cell>
          <cell r="F2204">
            <v>151593.22</v>
          </cell>
          <cell r="G2204">
            <v>655906.78</v>
          </cell>
          <cell r="H2204">
            <v>18.77</v>
          </cell>
          <cell r="I2204">
            <v>850000</v>
          </cell>
          <cell r="J2204">
            <v>151593.22</v>
          </cell>
        </row>
        <row r="2205">
          <cell r="A2205">
            <v>1731000571</v>
          </cell>
          <cell r="B2205" t="str">
            <v>מיכון וענ"א</v>
          </cell>
          <cell r="C2205">
            <v>222110</v>
          </cell>
          <cell r="D2205">
            <v>233800</v>
          </cell>
          <cell r="E2205">
            <v>0</v>
          </cell>
          <cell r="F2205">
            <v>233800</v>
          </cell>
          <cell r="G2205">
            <v>-11690</v>
          </cell>
          <cell r="H2205">
            <v>105.26</v>
          </cell>
          <cell r="I2205">
            <v>233800</v>
          </cell>
          <cell r="J2205">
            <v>233800</v>
          </cell>
        </row>
        <row r="2206">
          <cell r="A2206">
            <v>1731000580</v>
          </cell>
          <cell r="B2206" t="str">
            <v>נסחים והערות אזהרה</v>
          </cell>
          <cell r="C2206">
            <v>40660</v>
          </cell>
          <cell r="D2206">
            <v>38617</v>
          </cell>
          <cell r="E2206">
            <v>2557</v>
          </cell>
          <cell r="F2206">
            <v>41174</v>
          </cell>
          <cell r="G2206">
            <v>-514</v>
          </cell>
          <cell r="H2206">
            <v>101.26</v>
          </cell>
          <cell r="I2206">
            <v>42800</v>
          </cell>
          <cell r="J2206">
            <v>38617</v>
          </cell>
        </row>
        <row r="2207">
          <cell r="A2207">
            <v>1731000581</v>
          </cell>
          <cell r="B2207" t="str">
            <v>יעוץ תח' השבחה-ממ"י</v>
          </cell>
          <cell r="C2207">
            <v>0</v>
          </cell>
          <cell r="D2207">
            <v>0</v>
          </cell>
          <cell r="E2207">
            <v>0</v>
          </cell>
          <cell r="F2207">
            <v>0</v>
          </cell>
          <cell r="G2207">
            <v>0</v>
          </cell>
          <cell r="H2207">
            <v>0</v>
          </cell>
          <cell r="I2207">
            <v>0</v>
          </cell>
          <cell r="J2207">
            <v>0</v>
          </cell>
        </row>
        <row r="2208">
          <cell r="A2208">
            <v>1731000582</v>
          </cell>
          <cell r="B2208" t="str">
            <v>הוצאות משפטיות</v>
          </cell>
          <cell r="C2208">
            <v>1945000</v>
          </cell>
          <cell r="D2208">
            <v>1739104.43</v>
          </cell>
          <cell r="E2208">
            <v>260078.53</v>
          </cell>
          <cell r="F2208">
            <v>1999182.96</v>
          </cell>
          <cell r="G2208">
            <v>-54182.96</v>
          </cell>
          <cell r="H2208">
            <v>102.78</v>
          </cell>
          <cell r="I2208">
            <v>1945000</v>
          </cell>
          <cell r="J2208">
            <v>1739104.43</v>
          </cell>
        </row>
        <row r="2209">
          <cell r="A2209">
            <v>1731000583</v>
          </cell>
          <cell r="B2209" t="str">
            <v>נציג בעל דעה מייעצת</v>
          </cell>
          <cell r="C2209">
            <v>22705</v>
          </cell>
          <cell r="D2209">
            <v>0</v>
          </cell>
          <cell r="E2209">
            <v>0</v>
          </cell>
          <cell r="F2209">
            <v>0</v>
          </cell>
          <cell r="G2209">
            <v>22705</v>
          </cell>
          <cell r="H2209">
            <v>0</v>
          </cell>
          <cell r="I2209">
            <v>23900</v>
          </cell>
          <cell r="J2209">
            <v>0</v>
          </cell>
        </row>
        <row r="2210">
          <cell r="A2210">
            <v>1731000584</v>
          </cell>
          <cell r="B2210" t="str">
            <v>הזנת נתונים למחשב</v>
          </cell>
          <cell r="C2210">
            <v>150923</v>
          </cell>
          <cell r="D2210">
            <v>53903</v>
          </cell>
          <cell r="E2210">
            <v>0</v>
          </cell>
          <cell r="F2210">
            <v>53903</v>
          </cell>
          <cell r="G2210">
            <v>97020</v>
          </cell>
          <cell r="H2210">
            <v>35.71</v>
          </cell>
          <cell r="I2210">
            <v>158866</v>
          </cell>
          <cell r="J2210">
            <v>53903</v>
          </cell>
        </row>
        <row r="2211">
          <cell r="A2211">
            <v>1731000596</v>
          </cell>
          <cell r="B2211" t="str">
            <v>השתתפות בעזר 096</v>
          </cell>
          <cell r="C2211">
            <v>30305</v>
          </cell>
          <cell r="D2211">
            <v>29817</v>
          </cell>
          <cell r="E2211">
            <v>0</v>
          </cell>
          <cell r="F2211">
            <v>29817</v>
          </cell>
          <cell r="G2211">
            <v>488</v>
          </cell>
          <cell r="H2211">
            <v>98.38</v>
          </cell>
          <cell r="I2211">
            <v>31900</v>
          </cell>
          <cell r="J2211">
            <v>29817</v>
          </cell>
        </row>
        <row r="2212">
          <cell r="A2212">
            <v>1731000700</v>
          </cell>
          <cell r="B2212" t="str">
            <v>הוצאות לפעולות</v>
          </cell>
          <cell r="C2212">
            <v>0</v>
          </cell>
          <cell r="D2212">
            <v>0</v>
          </cell>
          <cell r="E2212">
            <v>0</v>
          </cell>
          <cell r="F2212">
            <v>0</v>
          </cell>
          <cell r="G2212">
            <v>0</v>
          </cell>
          <cell r="H2212">
            <v>0</v>
          </cell>
          <cell r="I2212">
            <v>0</v>
          </cell>
          <cell r="J2212">
            <v>0</v>
          </cell>
        </row>
        <row r="2213">
          <cell r="A2213">
            <v>1731000781</v>
          </cell>
          <cell r="B2213" t="str">
            <v>פעולות סמנכ"ל</v>
          </cell>
          <cell r="C2213">
            <v>20000</v>
          </cell>
          <cell r="D2213">
            <v>19048.79</v>
          </cell>
          <cell r="E2213">
            <v>1014</v>
          </cell>
          <cell r="F2213">
            <v>20062.79</v>
          </cell>
          <cell r="G2213">
            <v>-62.79</v>
          </cell>
          <cell r="H2213">
            <v>100.31</v>
          </cell>
          <cell r="I2213">
            <v>20000</v>
          </cell>
          <cell r="J2213">
            <v>19048.79</v>
          </cell>
        </row>
        <row r="2214">
          <cell r="A2214">
            <v>1731000782</v>
          </cell>
          <cell r="B2214" t="str">
            <v>אירוח לכנסים ויזמות</v>
          </cell>
          <cell r="C2214">
            <v>332500</v>
          </cell>
          <cell r="D2214">
            <v>0</v>
          </cell>
          <cell r="E2214">
            <v>0</v>
          </cell>
          <cell r="F2214">
            <v>0</v>
          </cell>
          <cell r="G2214">
            <v>332500</v>
          </cell>
          <cell r="H2214">
            <v>0</v>
          </cell>
          <cell r="I2214">
            <v>350000</v>
          </cell>
          <cell r="J2214">
            <v>0</v>
          </cell>
        </row>
        <row r="2215">
          <cell r="A2215">
            <v>1731000794</v>
          </cell>
          <cell r="B2215" t="str">
            <v>השתתפות בעזר 094</v>
          </cell>
          <cell r="C2215">
            <v>56050</v>
          </cell>
          <cell r="D2215">
            <v>70370</v>
          </cell>
          <cell r="E2215">
            <v>0</v>
          </cell>
          <cell r="F2215">
            <v>70370</v>
          </cell>
          <cell r="G2215">
            <v>-14320</v>
          </cell>
          <cell r="H2215">
            <v>125.54</v>
          </cell>
          <cell r="I2215">
            <v>59000</v>
          </cell>
          <cell r="J2215">
            <v>70370</v>
          </cell>
        </row>
        <row r="2216">
          <cell r="A2216">
            <v>1732000110</v>
          </cell>
          <cell r="B2216" t="str">
            <v>השכר הקובע-תקציבית</v>
          </cell>
          <cell r="C2216">
            <v>0</v>
          </cell>
          <cell r="D2216">
            <v>0</v>
          </cell>
          <cell r="E2216">
            <v>0</v>
          </cell>
          <cell r="F2216">
            <v>0</v>
          </cell>
          <cell r="G2216">
            <v>0</v>
          </cell>
          <cell r="H2216">
            <v>0</v>
          </cell>
          <cell r="I2216">
            <v>0</v>
          </cell>
          <cell r="J2216">
            <v>0</v>
          </cell>
        </row>
        <row r="2217">
          <cell r="A2217">
            <v>1732000119</v>
          </cell>
          <cell r="B2217" t="str">
            <v>השכר הקובע-צוברת</v>
          </cell>
          <cell r="C2217">
            <v>5335010</v>
          </cell>
          <cell r="D2217">
            <v>5080245.2699999996</v>
          </cell>
          <cell r="E2217">
            <v>0</v>
          </cell>
          <cell r="F2217">
            <v>5080245.2699999996</v>
          </cell>
          <cell r="G2217">
            <v>254764.73</v>
          </cell>
          <cell r="H2217">
            <v>95.22</v>
          </cell>
          <cell r="I2217">
            <v>5615800</v>
          </cell>
          <cell r="J2217">
            <v>5080245.2699999996</v>
          </cell>
        </row>
        <row r="2218">
          <cell r="A2218">
            <v>1732000122</v>
          </cell>
          <cell r="B2218" t="str">
            <v>ביגוד</v>
          </cell>
          <cell r="C2218">
            <v>32300</v>
          </cell>
          <cell r="D2218">
            <v>44775.15</v>
          </cell>
          <cell r="E2218">
            <v>0</v>
          </cell>
          <cell r="F2218">
            <v>44775.15</v>
          </cell>
          <cell r="G2218">
            <v>-12475.15</v>
          </cell>
          <cell r="H2218">
            <v>138.62</v>
          </cell>
          <cell r="I2218">
            <v>34000</v>
          </cell>
          <cell r="J2218">
            <v>44775.15</v>
          </cell>
        </row>
        <row r="2219">
          <cell r="A2219">
            <v>1732000126</v>
          </cell>
          <cell r="B2219" t="str">
            <v>דמי הבראה</v>
          </cell>
          <cell r="C2219">
            <v>71250</v>
          </cell>
          <cell r="D2219">
            <v>84374.27</v>
          </cell>
          <cell r="E2219">
            <v>0</v>
          </cell>
          <cell r="F2219">
            <v>84374.27</v>
          </cell>
          <cell r="G2219">
            <v>-13124.27</v>
          </cell>
          <cell r="H2219">
            <v>118.42</v>
          </cell>
          <cell r="I2219">
            <v>75000</v>
          </cell>
          <cell r="J2219">
            <v>84374.27</v>
          </cell>
        </row>
        <row r="2220">
          <cell r="A2220">
            <v>1732000130</v>
          </cell>
          <cell r="B2220" t="str">
            <v>שעות נוספות</v>
          </cell>
          <cell r="C2220">
            <v>18905</v>
          </cell>
          <cell r="D2220">
            <v>423.22</v>
          </cell>
          <cell r="E2220">
            <v>0</v>
          </cell>
          <cell r="F2220">
            <v>423.22</v>
          </cell>
          <cell r="G2220">
            <v>18481.78</v>
          </cell>
          <cell r="H2220">
            <v>2.23</v>
          </cell>
          <cell r="I2220">
            <v>19900</v>
          </cell>
          <cell r="J2220">
            <v>423.22</v>
          </cell>
        </row>
        <row r="2221">
          <cell r="A2221">
            <v>1732000140</v>
          </cell>
          <cell r="B2221" t="str">
            <v>השתתפות באחזקת רכב</v>
          </cell>
          <cell r="C2221">
            <v>367650</v>
          </cell>
          <cell r="D2221">
            <v>559366.05000000005</v>
          </cell>
          <cell r="E2221">
            <v>0</v>
          </cell>
          <cell r="F2221">
            <v>559366.05000000005</v>
          </cell>
          <cell r="G2221">
            <v>-191716.05</v>
          </cell>
          <cell r="H2221">
            <v>152.13999999999999</v>
          </cell>
          <cell r="I2221">
            <v>387000</v>
          </cell>
          <cell r="J2221">
            <v>559366.05000000005</v>
          </cell>
        </row>
        <row r="2222">
          <cell r="A2222">
            <v>1732000253</v>
          </cell>
          <cell r="B2222" t="str">
            <v>עובדים חיצוניים</v>
          </cell>
          <cell r="C2222">
            <v>0</v>
          </cell>
          <cell r="D2222">
            <v>22915.81</v>
          </cell>
          <cell r="E2222">
            <v>0</v>
          </cell>
          <cell r="F2222">
            <v>22915.81</v>
          </cell>
          <cell r="G2222">
            <v>-22915.81</v>
          </cell>
          <cell r="H2222">
            <v>0</v>
          </cell>
          <cell r="I2222">
            <v>0</v>
          </cell>
          <cell r="J2222">
            <v>22915.81</v>
          </cell>
        </row>
        <row r="2223">
          <cell r="A2223">
            <v>1732000471</v>
          </cell>
          <cell r="B2223" t="str">
            <v>מכשירי כתיבה</v>
          </cell>
          <cell r="C2223">
            <v>12255</v>
          </cell>
          <cell r="D2223">
            <v>10916.62</v>
          </cell>
          <cell r="E2223">
            <v>17.55</v>
          </cell>
          <cell r="F2223">
            <v>10934.17</v>
          </cell>
          <cell r="G2223">
            <v>1320.83</v>
          </cell>
          <cell r="H2223">
            <v>89.22</v>
          </cell>
          <cell r="I2223">
            <v>12900</v>
          </cell>
          <cell r="J2223">
            <v>10916.62</v>
          </cell>
        </row>
        <row r="2224">
          <cell r="A2224">
            <v>1732000511</v>
          </cell>
          <cell r="B2224" t="str">
            <v>אירוח וכיבוד</v>
          </cell>
          <cell r="C2224">
            <v>3515</v>
          </cell>
          <cell r="D2224">
            <v>132.99</v>
          </cell>
          <cell r="E2224">
            <v>0</v>
          </cell>
          <cell r="F2224">
            <v>132.99</v>
          </cell>
          <cell r="G2224">
            <v>3382.01</v>
          </cell>
          <cell r="H2224">
            <v>3.78</v>
          </cell>
          <cell r="I2224">
            <v>3700</v>
          </cell>
          <cell r="J2224">
            <v>132.99</v>
          </cell>
        </row>
        <row r="2225">
          <cell r="A2225">
            <v>1732000550</v>
          </cell>
          <cell r="B2225" t="str">
            <v>פירסומים</v>
          </cell>
          <cell r="C2225">
            <v>87685</v>
          </cell>
          <cell r="D2225">
            <v>53843</v>
          </cell>
          <cell r="E2225">
            <v>0.28000000000000003</v>
          </cell>
          <cell r="F2225">
            <v>53843.28</v>
          </cell>
          <cell r="G2225">
            <v>33841.72</v>
          </cell>
          <cell r="H2225">
            <v>61.4</v>
          </cell>
          <cell r="I2225">
            <v>92300</v>
          </cell>
          <cell r="J2225">
            <v>53843</v>
          </cell>
        </row>
        <row r="2226">
          <cell r="A2226">
            <v>1732000562</v>
          </cell>
          <cell r="B2226" t="str">
            <v>הדפסות</v>
          </cell>
          <cell r="C2226">
            <v>0</v>
          </cell>
          <cell r="D2226">
            <v>0</v>
          </cell>
          <cell r="E2226">
            <v>0</v>
          </cell>
          <cell r="F2226">
            <v>0</v>
          </cell>
          <cell r="G2226">
            <v>0</v>
          </cell>
          <cell r="H2226">
            <v>0</v>
          </cell>
          <cell r="I2226">
            <v>0</v>
          </cell>
          <cell r="J2226">
            <v>0</v>
          </cell>
        </row>
        <row r="2227">
          <cell r="A2227">
            <v>1732000571</v>
          </cell>
          <cell r="B2227" t="str">
            <v>מיכון וענ"א</v>
          </cell>
          <cell r="C2227">
            <v>97185</v>
          </cell>
          <cell r="D2227">
            <v>102300</v>
          </cell>
          <cell r="E2227">
            <v>0</v>
          </cell>
          <cell r="F2227">
            <v>102300</v>
          </cell>
          <cell r="G2227">
            <v>-5115</v>
          </cell>
          <cell r="H2227">
            <v>105.26</v>
          </cell>
          <cell r="I2227">
            <v>102300</v>
          </cell>
          <cell r="J2227">
            <v>102300</v>
          </cell>
        </row>
        <row r="2228">
          <cell r="A2228">
            <v>1732000580</v>
          </cell>
          <cell r="B2228" t="str">
            <v>יעוץ תנועה</v>
          </cell>
          <cell r="C2228">
            <v>0</v>
          </cell>
          <cell r="D2228">
            <v>0</v>
          </cell>
          <cell r="E2228">
            <v>0</v>
          </cell>
          <cell r="F2228">
            <v>0</v>
          </cell>
          <cell r="G2228">
            <v>0</v>
          </cell>
          <cell r="H2228">
            <v>0</v>
          </cell>
          <cell r="I2228">
            <v>0</v>
          </cell>
          <cell r="J2228">
            <v>0</v>
          </cell>
        </row>
        <row r="2229">
          <cell r="A2229">
            <v>1732000780</v>
          </cell>
          <cell r="B2229" t="str">
            <v>עיר בריאה ומקיימת</v>
          </cell>
          <cell r="C2229">
            <v>0</v>
          </cell>
          <cell r="D2229">
            <v>0</v>
          </cell>
          <cell r="E2229">
            <v>0</v>
          </cell>
          <cell r="F2229">
            <v>0</v>
          </cell>
          <cell r="G2229">
            <v>0</v>
          </cell>
          <cell r="H2229">
            <v>0</v>
          </cell>
          <cell r="I2229">
            <v>0</v>
          </cell>
          <cell r="J2229">
            <v>0</v>
          </cell>
        </row>
        <row r="2230">
          <cell r="A2230">
            <v>1732000936</v>
          </cell>
          <cell r="B2230" t="str">
            <v>פעולות בטיחות בדרכים</v>
          </cell>
          <cell r="C2230">
            <v>0</v>
          </cell>
          <cell r="D2230">
            <v>0</v>
          </cell>
          <cell r="E2230">
            <v>0</v>
          </cell>
          <cell r="F2230">
            <v>0</v>
          </cell>
          <cell r="G2230">
            <v>0</v>
          </cell>
          <cell r="H2230">
            <v>0</v>
          </cell>
          <cell r="I2230">
            <v>0</v>
          </cell>
          <cell r="J2230">
            <v>0</v>
          </cell>
        </row>
        <row r="2231">
          <cell r="A2231">
            <v>1732000952</v>
          </cell>
          <cell r="B2231" t="str">
            <v>תכניות</v>
          </cell>
          <cell r="C2231">
            <v>28500</v>
          </cell>
          <cell r="D2231">
            <v>252</v>
          </cell>
          <cell r="E2231">
            <v>0</v>
          </cell>
          <cell r="F2231">
            <v>252</v>
          </cell>
          <cell r="G2231">
            <v>28248</v>
          </cell>
          <cell r="H2231">
            <v>0.88</v>
          </cell>
          <cell r="I2231">
            <v>30000</v>
          </cell>
          <cell r="J2231">
            <v>252</v>
          </cell>
        </row>
        <row r="2232">
          <cell r="A2232">
            <v>1732200110</v>
          </cell>
          <cell r="B2232" t="str">
            <v>השכר הקובע-תקציבית</v>
          </cell>
          <cell r="C2232">
            <v>0</v>
          </cell>
          <cell r="D2232">
            <v>0</v>
          </cell>
          <cell r="E2232">
            <v>0</v>
          </cell>
          <cell r="F2232">
            <v>0</v>
          </cell>
          <cell r="G2232">
            <v>0</v>
          </cell>
          <cell r="H2232">
            <v>0</v>
          </cell>
          <cell r="I2232">
            <v>0</v>
          </cell>
          <cell r="J2232">
            <v>0</v>
          </cell>
        </row>
        <row r="2233">
          <cell r="A2233">
            <v>1732200119</v>
          </cell>
          <cell r="B2233" t="str">
            <v>השכר הקובע-צוברת</v>
          </cell>
          <cell r="C2233">
            <v>0</v>
          </cell>
          <cell r="D2233">
            <v>1131767.8500000001</v>
          </cell>
          <cell r="E2233">
            <v>0</v>
          </cell>
          <cell r="F2233">
            <v>1131767.8500000001</v>
          </cell>
          <cell r="G2233">
            <v>-1131767.8500000001</v>
          </cell>
          <cell r="H2233">
            <v>0</v>
          </cell>
          <cell r="I2233">
            <v>0</v>
          </cell>
          <cell r="J2233">
            <v>1131767.8500000001</v>
          </cell>
        </row>
        <row r="2234">
          <cell r="A2234">
            <v>1732200122</v>
          </cell>
          <cell r="B2234" t="str">
            <v>ביגוד</v>
          </cell>
          <cell r="C2234">
            <v>0</v>
          </cell>
          <cell r="D2234">
            <v>12749.13</v>
          </cell>
          <cell r="E2234">
            <v>0</v>
          </cell>
          <cell r="F2234">
            <v>12749.13</v>
          </cell>
          <cell r="G2234">
            <v>-12749.13</v>
          </cell>
          <cell r="H2234">
            <v>0</v>
          </cell>
          <cell r="I2234">
            <v>0</v>
          </cell>
          <cell r="J2234">
            <v>12749.13</v>
          </cell>
        </row>
        <row r="2235">
          <cell r="A2235">
            <v>1732200126</v>
          </cell>
          <cell r="B2235" t="str">
            <v>דמי הבראה</v>
          </cell>
          <cell r="C2235">
            <v>0</v>
          </cell>
          <cell r="D2235">
            <v>27534.28</v>
          </cell>
          <cell r="E2235">
            <v>0</v>
          </cell>
          <cell r="F2235">
            <v>27534.28</v>
          </cell>
          <cell r="G2235">
            <v>-27534.28</v>
          </cell>
          <cell r="H2235">
            <v>0</v>
          </cell>
          <cell r="I2235">
            <v>0</v>
          </cell>
          <cell r="J2235">
            <v>27534.28</v>
          </cell>
        </row>
        <row r="2236">
          <cell r="A2236">
            <v>1732200130</v>
          </cell>
          <cell r="B2236" t="str">
            <v>שעות נוספות</v>
          </cell>
          <cell r="C2236">
            <v>0</v>
          </cell>
          <cell r="D2236">
            <v>26758.28</v>
          </cell>
          <cell r="E2236">
            <v>0</v>
          </cell>
          <cell r="F2236">
            <v>26758.28</v>
          </cell>
          <cell r="G2236">
            <v>-26758.28</v>
          </cell>
          <cell r="H2236">
            <v>0</v>
          </cell>
          <cell r="I2236">
            <v>0</v>
          </cell>
          <cell r="J2236">
            <v>26758.28</v>
          </cell>
        </row>
        <row r="2237">
          <cell r="A2237">
            <v>1732200140</v>
          </cell>
          <cell r="B2237" t="str">
            <v>השתתפות באחזקת רכב</v>
          </cell>
          <cell r="C2237">
            <v>0</v>
          </cell>
          <cell r="D2237">
            <v>161949.47</v>
          </cell>
          <cell r="E2237">
            <v>0</v>
          </cell>
          <cell r="F2237">
            <v>161949.47</v>
          </cell>
          <cell r="G2237">
            <v>-161949.47</v>
          </cell>
          <cell r="H2237">
            <v>0</v>
          </cell>
          <cell r="I2237">
            <v>0</v>
          </cell>
          <cell r="J2237">
            <v>161949.47</v>
          </cell>
        </row>
        <row r="2238">
          <cell r="A2238">
            <v>1732200253</v>
          </cell>
          <cell r="B2238" t="str">
            <v>עובדים חיצוניים</v>
          </cell>
          <cell r="C2238">
            <v>11392</v>
          </cell>
          <cell r="D2238">
            <v>617.29999999999995</v>
          </cell>
          <cell r="E2238">
            <v>0</v>
          </cell>
          <cell r="F2238">
            <v>617.29999999999995</v>
          </cell>
          <cell r="G2238">
            <v>10774.7</v>
          </cell>
          <cell r="H2238">
            <v>5.41</v>
          </cell>
          <cell r="I2238">
            <v>11392</v>
          </cell>
          <cell r="J2238">
            <v>617.29999999999995</v>
          </cell>
        </row>
        <row r="2239">
          <cell r="A2239">
            <v>1732200350</v>
          </cell>
          <cell r="B2239" t="str">
            <v>ליסינג - 512-27-101</v>
          </cell>
          <cell r="C2239">
            <v>0</v>
          </cell>
          <cell r="D2239">
            <v>0</v>
          </cell>
          <cell r="E2239">
            <v>0</v>
          </cell>
          <cell r="F2239">
            <v>0</v>
          </cell>
          <cell r="G2239">
            <v>0</v>
          </cell>
          <cell r="H2239">
            <v>0</v>
          </cell>
          <cell r="I2239">
            <v>0</v>
          </cell>
          <cell r="J2239">
            <v>0</v>
          </cell>
        </row>
        <row r="2240">
          <cell r="A2240">
            <v>1732200351</v>
          </cell>
          <cell r="B2240" t="str">
            <v>הוצאות - 512-27-101</v>
          </cell>
          <cell r="C2240">
            <v>0</v>
          </cell>
          <cell r="D2240">
            <v>0</v>
          </cell>
          <cell r="E2240">
            <v>0</v>
          </cell>
          <cell r="F2240">
            <v>0</v>
          </cell>
          <cell r="G2240">
            <v>0</v>
          </cell>
          <cell r="H2240">
            <v>0</v>
          </cell>
          <cell r="I2240">
            <v>0</v>
          </cell>
          <cell r="J2240">
            <v>0</v>
          </cell>
        </row>
        <row r="2241">
          <cell r="A2241">
            <v>1732200471</v>
          </cell>
          <cell r="B2241" t="str">
            <v>מכשירי כתיבה</v>
          </cell>
          <cell r="C2241">
            <v>0</v>
          </cell>
          <cell r="D2241">
            <v>1473.65</v>
          </cell>
          <cell r="E2241">
            <v>0</v>
          </cell>
          <cell r="F2241">
            <v>1473.65</v>
          </cell>
          <cell r="G2241">
            <v>-1473.65</v>
          </cell>
          <cell r="H2241">
            <v>0</v>
          </cell>
          <cell r="I2241">
            <v>0</v>
          </cell>
          <cell r="J2241">
            <v>1473.65</v>
          </cell>
        </row>
        <row r="2242">
          <cell r="A2242">
            <v>1732200550</v>
          </cell>
          <cell r="B2242" t="str">
            <v>פירסומים</v>
          </cell>
          <cell r="C2242">
            <v>0</v>
          </cell>
          <cell r="D2242">
            <v>617</v>
          </cell>
          <cell r="E2242">
            <v>0</v>
          </cell>
          <cell r="F2242">
            <v>617</v>
          </cell>
          <cell r="G2242">
            <v>-617</v>
          </cell>
          <cell r="H2242">
            <v>0</v>
          </cell>
          <cell r="I2242">
            <v>0</v>
          </cell>
          <cell r="J2242">
            <v>617</v>
          </cell>
        </row>
        <row r="2243">
          <cell r="A2243">
            <v>1732200561</v>
          </cell>
          <cell r="B2243" t="str">
            <v>שיכפולים</v>
          </cell>
          <cell r="C2243">
            <v>0</v>
          </cell>
          <cell r="D2243">
            <v>0</v>
          </cell>
          <cell r="E2243">
            <v>0</v>
          </cell>
          <cell r="F2243">
            <v>0</v>
          </cell>
          <cell r="G2243">
            <v>0</v>
          </cell>
          <cell r="H2243">
            <v>0</v>
          </cell>
          <cell r="I2243">
            <v>0</v>
          </cell>
          <cell r="J2243">
            <v>0</v>
          </cell>
        </row>
        <row r="2244">
          <cell r="A2244">
            <v>1732200562</v>
          </cell>
          <cell r="B2244" t="str">
            <v>הדפסות</v>
          </cell>
          <cell r="C2244">
            <v>0</v>
          </cell>
          <cell r="D2244">
            <v>4680</v>
          </cell>
          <cell r="E2244">
            <v>0</v>
          </cell>
          <cell r="F2244">
            <v>4680</v>
          </cell>
          <cell r="G2244">
            <v>-4680</v>
          </cell>
          <cell r="H2244">
            <v>0</v>
          </cell>
          <cell r="I2244">
            <v>0</v>
          </cell>
          <cell r="J2244">
            <v>4680</v>
          </cell>
        </row>
        <row r="2245">
          <cell r="A2245">
            <v>1732200580</v>
          </cell>
          <cell r="B2245" t="str">
            <v>יעוץ חיצוני</v>
          </cell>
          <cell r="C2245">
            <v>0</v>
          </cell>
          <cell r="D2245">
            <v>0</v>
          </cell>
          <cell r="E2245">
            <v>0</v>
          </cell>
          <cell r="F2245">
            <v>0</v>
          </cell>
          <cell r="G2245">
            <v>0</v>
          </cell>
          <cell r="H2245">
            <v>0</v>
          </cell>
          <cell r="I2245">
            <v>0</v>
          </cell>
          <cell r="J2245">
            <v>0</v>
          </cell>
        </row>
        <row r="2246">
          <cell r="A2246">
            <v>1732200581</v>
          </cell>
          <cell r="B2246" t="str">
            <v>פיקוח ואחזקת סככות אוטובוס</v>
          </cell>
          <cell r="C2246">
            <v>0</v>
          </cell>
          <cell r="D2246">
            <v>0</v>
          </cell>
          <cell r="E2246">
            <v>0</v>
          </cell>
          <cell r="F2246">
            <v>0</v>
          </cell>
          <cell r="G2246">
            <v>0</v>
          </cell>
          <cell r="H2246">
            <v>0</v>
          </cell>
          <cell r="I2246">
            <v>0</v>
          </cell>
          <cell r="J2246">
            <v>0</v>
          </cell>
        </row>
        <row r="2247">
          <cell r="A2247">
            <v>1732200585</v>
          </cell>
          <cell r="B2247" t="str">
            <v>משפטי שילוט</v>
          </cell>
          <cell r="C2247">
            <v>0</v>
          </cell>
          <cell r="D2247">
            <v>81801.22</v>
          </cell>
          <cell r="E2247">
            <v>2781.78</v>
          </cell>
          <cell r="F2247">
            <v>84583</v>
          </cell>
          <cell r="G2247">
            <v>-84583</v>
          </cell>
          <cell r="H2247">
            <v>0</v>
          </cell>
          <cell r="I2247">
            <v>0</v>
          </cell>
          <cell r="J2247">
            <v>81801.22</v>
          </cell>
        </row>
        <row r="2248">
          <cell r="A2248">
            <v>1732200754</v>
          </cell>
          <cell r="B2248" t="str">
            <v>אחז' והחלפת לוחות שכונתיים</v>
          </cell>
          <cell r="C2248">
            <v>0</v>
          </cell>
          <cell r="D2248">
            <v>55364.4</v>
          </cell>
          <cell r="E2248">
            <v>0</v>
          </cell>
          <cell r="F2248">
            <v>55364.4</v>
          </cell>
          <cell r="G2248">
            <v>-55364.4</v>
          </cell>
          <cell r="H2248">
            <v>0</v>
          </cell>
          <cell r="I2248">
            <v>0</v>
          </cell>
          <cell r="J2248">
            <v>55364.4</v>
          </cell>
        </row>
        <row r="2249">
          <cell r="A2249">
            <v>1732200755</v>
          </cell>
          <cell r="B2249" t="str">
            <v>אחז' מספרים לבתים</v>
          </cell>
          <cell r="C2249">
            <v>0</v>
          </cell>
          <cell r="D2249">
            <v>0</v>
          </cell>
          <cell r="E2249">
            <v>0</v>
          </cell>
          <cell r="F2249">
            <v>0</v>
          </cell>
          <cell r="G2249">
            <v>0</v>
          </cell>
          <cell r="H2249">
            <v>0</v>
          </cell>
          <cell r="I2249">
            <v>0</v>
          </cell>
          <cell r="J2249">
            <v>0</v>
          </cell>
        </row>
        <row r="2250">
          <cell r="A2250">
            <v>1732200757</v>
          </cell>
          <cell r="B2250" t="str">
            <v>מספרים לבתים חדשים</v>
          </cell>
          <cell r="C2250">
            <v>0</v>
          </cell>
          <cell r="D2250">
            <v>0</v>
          </cell>
          <cell r="E2250">
            <v>0</v>
          </cell>
          <cell r="F2250">
            <v>0</v>
          </cell>
          <cell r="G2250">
            <v>0</v>
          </cell>
          <cell r="H2250">
            <v>0</v>
          </cell>
          <cell r="I2250">
            <v>0</v>
          </cell>
          <cell r="J2250">
            <v>0</v>
          </cell>
        </row>
        <row r="2251">
          <cell r="A2251">
            <v>1732200758</v>
          </cell>
          <cell r="B2251" t="str">
            <v>החלפת לוחות מודעות</v>
          </cell>
          <cell r="C2251">
            <v>0</v>
          </cell>
          <cell r="D2251">
            <v>0</v>
          </cell>
          <cell r="E2251">
            <v>0</v>
          </cell>
          <cell r="F2251">
            <v>0</v>
          </cell>
          <cell r="G2251">
            <v>0</v>
          </cell>
          <cell r="H2251">
            <v>0</v>
          </cell>
          <cell r="I2251">
            <v>0</v>
          </cell>
          <cell r="J2251">
            <v>0</v>
          </cell>
        </row>
        <row r="2252">
          <cell r="A2252">
            <v>1732200759</v>
          </cell>
          <cell r="B2252" t="str">
            <v>מפות עירוניות</v>
          </cell>
          <cell r="C2252">
            <v>0</v>
          </cell>
          <cell r="D2252">
            <v>0</v>
          </cell>
          <cell r="E2252">
            <v>0</v>
          </cell>
          <cell r="F2252">
            <v>0</v>
          </cell>
          <cell r="G2252">
            <v>0</v>
          </cell>
          <cell r="H2252">
            <v>0</v>
          </cell>
          <cell r="I2252">
            <v>0</v>
          </cell>
          <cell r="J2252">
            <v>0</v>
          </cell>
        </row>
        <row r="2253">
          <cell r="A2253">
            <v>1732200760</v>
          </cell>
          <cell r="B2253" t="str">
            <v>הצבת סככות אוטובוס</v>
          </cell>
          <cell r="C2253">
            <v>0</v>
          </cell>
          <cell r="D2253">
            <v>0</v>
          </cell>
          <cell r="E2253">
            <v>0</v>
          </cell>
          <cell r="F2253">
            <v>0</v>
          </cell>
          <cell r="G2253">
            <v>0</v>
          </cell>
          <cell r="H2253">
            <v>0</v>
          </cell>
          <cell r="I2253">
            <v>0</v>
          </cell>
          <cell r="J2253">
            <v>0</v>
          </cell>
        </row>
        <row r="2254">
          <cell r="A2254">
            <v>1732200780</v>
          </cell>
          <cell r="B2254" t="str">
            <v>אחזקת ינשולים</v>
          </cell>
          <cell r="C2254">
            <v>0</v>
          </cell>
          <cell r="D2254">
            <v>0</v>
          </cell>
          <cell r="E2254">
            <v>0</v>
          </cell>
          <cell r="F2254">
            <v>0</v>
          </cell>
          <cell r="G2254">
            <v>0</v>
          </cell>
          <cell r="H2254">
            <v>0</v>
          </cell>
          <cell r="I2254">
            <v>0</v>
          </cell>
          <cell r="J2254">
            <v>0</v>
          </cell>
        </row>
        <row r="2255">
          <cell r="A2255">
            <v>1732200850</v>
          </cell>
          <cell r="B2255" t="str">
            <v>שרות לאומי</v>
          </cell>
          <cell r="C2255">
            <v>0</v>
          </cell>
          <cell r="D2255">
            <v>0</v>
          </cell>
          <cell r="E2255">
            <v>0</v>
          </cell>
          <cell r="F2255">
            <v>0</v>
          </cell>
          <cell r="G2255">
            <v>0</v>
          </cell>
          <cell r="H2255">
            <v>0</v>
          </cell>
          <cell r="I2255">
            <v>0</v>
          </cell>
          <cell r="J2255">
            <v>0</v>
          </cell>
        </row>
        <row r="2256">
          <cell r="A2256">
            <v>1732200931</v>
          </cell>
          <cell r="B2256" t="str">
            <v>התקנת מתקנים</v>
          </cell>
          <cell r="C2256">
            <v>0</v>
          </cell>
          <cell r="D2256">
            <v>0</v>
          </cell>
          <cell r="E2256">
            <v>0</v>
          </cell>
          <cell r="F2256">
            <v>0</v>
          </cell>
          <cell r="G2256">
            <v>0</v>
          </cell>
          <cell r="H2256">
            <v>0</v>
          </cell>
          <cell r="I2256">
            <v>0</v>
          </cell>
          <cell r="J2256">
            <v>0</v>
          </cell>
        </row>
        <row r="2257">
          <cell r="A2257">
            <v>1732200932</v>
          </cell>
          <cell r="B2257" t="str">
            <v>התקנת ואחזקת שילוט</v>
          </cell>
          <cell r="C2257">
            <v>0</v>
          </cell>
          <cell r="D2257">
            <v>7123</v>
          </cell>
          <cell r="E2257">
            <v>0</v>
          </cell>
          <cell r="F2257">
            <v>7123</v>
          </cell>
          <cell r="G2257">
            <v>-7123</v>
          </cell>
          <cell r="H2257">
            <v>0</v>
          </cell>
          <cell r="I2257">
            <v>0</v>
          </cell>
          <cell r="J2257">
            <v>7123</v>
          </cell>
        </row>
        <row r="2258">
          <cell r="A2258">
            <v>1732200933</v>
          </cell>
          <cell r="B2258" t="str">
            <v>ציוד בטיחותי אישי</v>
          </cell>
          <cell r="C2258">
            <v>0</v>
          </cell>
          <cell r="D2258">
            <v>0</v>
          </cell>
          <cell r="E2258">
            <v>0</v>
          </cell>
          <cell r="F2258">
            <v>0</v>
          </cell>
          <cell r="G2258">
            <v>0</v>
          </cell>
          <cell r="H2258">
            <v>0</v>
          </cell>
          <cell r="I2258">
            <v>0</v>
          </cell>
          <cell r="J2258">
            <v>0</v>
          </cell>
        </row>
        <row r="2259">
          <cell r="A2259">
            <v>1732200961</v>
          </cell>
          <cell r="B2259" t="str">
            <v>רז'פעולות ורכישות</v>
          </cell>
          <cell r="C2259">
            <v>0</v>
          </cell>
          <cell r="D2259">
            <v>0</v>
          </cell>
          <cell r="E2259">
            <v>0</v>
          </cell>
          <cell r="F2259">
            <v>0</v>
          </cell>
          <cell r="G2259">
            <v>0</v>
          </cell>
          <cell r="H2259">
            <v>0</v>
          </cell>
          <cell r="I2259">
            <v>0</v>
          </cell>
          <cell r="J2259">
            <v>0</v>
          </cell>
        </row>
        <row r="2260">
          <cell r="A2260">
            <v>1732300757</v>
          </cell>
          <cell r="B2260" t="str">
            <v>הדבקת מודעות - קבלן</v>
          </cell>
          <cell r="C2260">
            <v>32490</v>
          </cell>
          <cell r="D2260">
            <v>11093</v>
          </cell>
          <cell r="E2260">
            <v>10505.2</v>
          </cell>
          <cell r="F2260">
            <v>21598.2</v>
          </cell>
          <cell r="G2260">
            <v>10891.8</v>
          </cell>
          <cell r="H2260">
            <v>66.47</v>
          </cell>
          <cell r="I2260">
            <v>34200</v>
          </cell>
          <cell r="J2260">
            <v>11093</v>
          </cell>
        </row>
        <row r="2261">
          <cell r="A2261">
            <v>1732400000</v>
          </cell>
          <cell r="B2261" t="str">
            <v>אגף תנועה</v>
          </cell>
          <cell r="C2261">
            <v>0</v>
          </cell>
          <cell r="D2261">
            <v>0</v>
          </cell>
          <cell r="E2261">
            <v>0</v>
          </cell>
          <cell r="F2261">
            <v>0</v>
          </cell>
          <cell r="G2261">
            <v>0</v>
          </cell>
          <cell r="H2261">
            <v>0</v>
          </cell>
          <cell r="I2261">
            <v>0</v>
          </cell>
          <cell r="J2261">
            <v>0</v>
          </cell>
        </row>
        <row r="2262">
          <cell r="A2262">
            <v>1732400110</v>
          </cell>
          <cell r="B2262" t="str">
            <v>השכר הקובע-תקציבית</v>
          </cell>
          <cell r="C2262">
            <v>220020</v>
          </cell>
          <cell r="D2262">
            <v>233247.73</v>
          </cell>
          <cell r="E2262">
            <v>0</v>
          </cell>
          <cell r="F2262">
            <v>233247.73</v>
          </cell>
          <cell r="G2262">
            <v>-13227.73</v>
          </cell>
          <cell r="H2262">
            <v>106.01</v>
          </cell>
          <cell r="I2262">
            <v>231600</v>
          </cell>
          <cell r="J2262">
            <v>233247.73</v>
          </cell>
        </row>
        <row r="2263">
          <cell r="A2263">
            <v>1732400119</v>
          </cell>
          <cell r="B2263" t="str">
            <v>השכר הקובע-צוברת</v>
          </cell>
          <cell r="C2263">
            <v>2062165</v>
          </cell>
          <cell r="D2263">
            <v>2201754.46</v>
          </cell>
          <cell r="E2263">
            <v>0</v>
          </cell>
          <cell r="F2263">
            <v>2201754.46</v>
          </cell>
          <cell r="G2263">
            <v>-139589.46</v>
          </cell>
          <cell r="H2263">
            <v>106.76</v>
          </cell>
          <cell r="I2263">
            <v>2170700</v>
          </cell>
          <cell r="J2263">
            <v>2201754.46</v>
          </cell>
        </row>
        <row r="2264">
          <cell r="A2264">
            <v>1732400122</v>
          </cell>
          <cell r="B2264" t="str">
            <v>ביגוד</v>
          </cell>
          <cell r="C2264">
            <v>16910</v>
          </cell>
          <cell r="D2264">
            <v>17498.07</v>
          </cell>
          <cell r="E2264">
            <v>0</v>
          </cell>
          <cell r="F2264">
            <v>17498.07</v>
          </cell>
          <cell r="G2264">
            <v>-588.07000000000005</v>
          </cell>
          <cell r="H2264">
            <v>103.47</v>
          </cell>
          <cell r="I2264">
            <v>17800</v>
          </cell>
          <cell r="J2264">
            <v>17498.07</v>
          </cell>
        </row>
        <row r="2265">
          <cell r="A2265">
            <v>1732400126</v>
          </cell>
          <cell r="B2265" t="str">
            <v>דמי הבראה</v>
          </cell>
          <cell r="C2265">
            <v>47500</v>
          </cell>
          <cell r="D2265">
            <v>42019.18</v>
          </cell>
          <cell r="E2265">
            <v>0</v>
          </cell>
          <cell r="F2265">
            <v>42019.18</v>
          </cell>
          <cell r="G2265">
            <v>5480.82</v>
          </cell>
          <cell r="H2265">
            <v>88.46</v>
          </cell>
          <cell r="I2265">
            <v>50000</v>
          </cell>
          <cell r="J2265">
            <v>42019.18</v>
          </cell>
        </row>
        <row r="2266">
          <cell r="A2266">
            <v>1732400130</v>
          </cell>
          <cell r="B2266" t="str">
            <v>שעות נוספות</v>
          </cell>
          <cell r="C2266">
            <v>28500</v>
          </cell>
          <cell r="D2266">
            <v>29320.18</v>
          </cell>
          <cell r="E2266">
            <v>0</v>
          </cell>
          <cell r="F2266">
            <v>29320.18</v>
          </cell>
          <cell r="G2266">
            <v>-820.18</v>
          </cell>
          <cell r="H2266">
            <v>102.87</v>
          </cell>
          <cell r="I2266">
            <v>30000</v>
          </cell>
          <cell r="J2266">
            <v>29320.18</v>
          </cell>
        </row>
        <row r="2267">
          <cell r="A2267">
            <v>1732400140</v>
          </cell>
          <cell r="B2267" t="str">
            <v>השתתפות באחזקת רכב</v>
          </cell>
          <cell r="C2267">
            <v>160645</v>
          </cell>
          <cell r="D2267">
            <v>200619.92</v>
          </cell>
          <cell r="E2267">
            <v>0</v>
          </cell>
          <cell r="F2267">
            <v>200619.92</v>
          </cell>
          <cell r="G2267">
            <v>-39974.92</v>
          </cell>
          <cell r="H2267">
            <v>124.88</v>
          </cell>
          <cell r="I2267">
            <v>169100</v>
          </cell>
          <cell r="J2267">
            <v>200619.92</v>
          </cell>
        </row>
        <row r="2268">
          <cell r="A2268">
            <v>1732400253</v>
          </cell>
          <cell r="B2268" t="str">
            <v>עובדים חיצוניים</v>
          </cell>
          <cell r="C2268">
            <v>12235</v>
          </cell>
          <cell r="D2268">
            <v>12234.81</v>
          </cell>
          <cell r="E2268">
            <v>0</v>
          </cell>
          <cell r="F2268">
            <v>12234.81</v>
          </cell>
          <cell r="G2268">
            <v>0.19</v>
          </cell>
          <cell r="H2268">
            <v>99.99</v>
          </cell>
          <cell r="I2268">
            <v>12235</v>
          </cell>
          <cell r="J2268">
            <v>12234.81</v>
          </cell>
        </row>
        <row r="2269">
          <cell r="A2269">
            <v>1732400350</v>
          </cell>
          <cell r="B2269" t="str">
            <v>ליסינג לשני רכבים</v>
          </cell>
          <cell r="C2269">
            <v>85500</v>
          </cell>
          <cell r="D2269">
            <v>95882.55</v>
          </cell>
          <cell r="E2269">
            <v>0</v>
          </cell>
          <cell r="F2269">
            <v>95882.55</v>
          </cell>
          <cell r="G2269">
            <v>-10382.549999999999</v>
          </cell>
          <cell r="H2269">
            <v>112.14</v>
          </cell>
          <cell r="I2269">
            <v>90000</v>
          </cell>
          <cell r="J2269">
            <v>95882.55</v>
          </cell>
        </row>
        <row r="2270">
          <cell r="A2270">
            <v>1732400351</v>
          </cell>
          <cell r="B2270" t="str">
            <v>הוצאות לשני רכבים</v>
          </cell>
          <cell r="C2270">
            <v>20995</v>
          </cell>
          <cell r="D2270">
            <v>21023.35</v>
          </cell>
          <cell r="E2270">
            <v>0</v>
          </cell>
          <cell r="F2270">
            <v>21023.35</v>
          </cell>
          <cell r="G2270">
            <v>-28.35</v>
          </cell>
          <cell r="H2270">
            <v>100.13</v>
          </cell>
          <cell r="I2270">
            <v>22100</v>
          </cell>
          <cell r="J2270">
            <v>21023.35</v>
          </cell>
        </row>
        <row r="2271">
          <cell r="A2271">
            <v>1732400470</v>
          </cell>
          <cell r="B2271" t="str">
            <v>אחזקת מכונות משרד</v>
          </cell>
          <cell r="C2271">
            <v>1235</v>
          </cell>
          <cell r="D2271">
            <v>0</v>
          </cell>
          <cell r="E2271">
            <v>0</v>
          </cell>
          <cell r="F2271">
            <v>0</v>
          </cell>
          <cell r="G2271">
            <v>1235</v>
          </cell>
          <cell r="H2271">
            <v>0</v>
          </cell>
          <cell r="I2271">
            <v>1300</v>
          </cell>
          <cell r="J2271">
            <v>0</v>
          </cell>
        </row>
        <row r="2272">
          <cell r="A2272">
            <v>1732400471</v>
          </cell>
          <cell r="B2272" t="str">
            <v>מכשירי כתיבה</v>
          </cell>
          <cell r="C2272">
            <v>8550</v>
          </cell>
          <cell r="D2272">
            <v>8522.94</v>
          </cell>
          <cell r="E2272">
            <v>473.59</v>
          </cell>
          <cell r="F2272">
            <v>8996.5300000000007</v>
          </cell>
          <cell r="G2272">
            <v>-446.53</v>
          </cell>
          <cell r="H2272">
            <v>105.22</v>
          </cell>
          <cell r="I2272">
            <v>9000</v>
          </cell>
          <cell r="J2272">
            <v>8522.94</v>
          </cell>
        </row>
        <row r="2273">
          <cell r="A2273">
            <v>1732400511</v>
          </cell>
          <cell r="B2273" t="str">
            <v>אירוח וכיבוד</v>
          </cell>
          <cell r="C2273">
            <v>1235</v>
          </cell>
          <cell r="D2273">
            <v>1174.23</v>
          </cell>
          <cell r="E2273">
            <v>0</v>
          </cell>
          <cell r="F2273">
            <v>1174.23</v>
          </cell>
          <cell r="G2273">
            <v>60.77</v>
          </cell>
          <cell r="H2273">
            <v>95.07</v>
          </cell>
          <cell r="I2273">
            <v>1300</v>
          </cell>
          <cell r="J2273">
            <v>1174.23</v>
          </cell>
        </row>
        <row r="2274">
          <cell r="A2274">
            <v>1732400512</v>
          </cell>
          <cell r="B2274" t="str">
            <v>נסיעות ואש"ל</v>
          </cell>
          <cell r="C2274">
            <v>855</v>
          </cell>
          <cell r="D2274">
            <v>1307.8499999999999</v>
          </cell>
          <cell r="E2274">
            <v>0</v>
          </cell>
          <cell r="F2274">
            <v>1307.8499999999999</v>
          </cell>
          <cell r="G2274">
            <v>-452.85</v>
          </cell>
          <cell r="H2274">
            <v>152.96</v>
          </cell>
          <cell r="I2274">
            <v>900</v>
          </cell>
          <cell r="J2274">
            <v>1307.8499999999999</v>
          </cell>
        </row>
        <row r="2275">
          <cell r="A2275">
            <v>1732400561</v>
          </cell>
          <cell r="B2275" t="str">
            <v>שיכפולים</v>
          </cell>
          <cell r="C2275">
            <v>855</v>
          </cell>
          <cell r="D2275">
            <v>0</v>
          </cell>
          <cell r="E2275">
            <v>0</v>
          </cell>
          <cell r="F2275">
            <v>0</v>
          </cell>
          <cell r="G2275">
            <v>855</v>
          </cell>
          <cell r="H2275">
            <v>0</v>
          </cell>
          <cell r="I2275">
            <v>900</v>
          </cell>
          <cell r="J2275">
            <v>0</v>
          </cell>
        </row>
        <row r="2276">
          <cell r="A2276">
            <v>1732400580</v>
          </cell>
          <cell r="B2276" t="str">
            <v>יעוץ חיצוני</v>
          </cell>
          <cell r="C2276">
            <v>554700</v>
          </cell>
          <cell r="D2276">
            <v>552555.65</v>
          </cell>
          <cell r="E2276">
            <v>0</v>
          </cell>
          <cell r="F2276">
            <v>552555.65</v>
          </cell>
          <cell r="G2276">
            <v>2144.35</v>
          </cell>
          <cell r="H2276">
            <v>99.61</v>
          </cell>
          <cell r="I2276">
            <v>554700</v>
          </cell>
          <cell r="J2276">
            <v>552555.65</v>
          </cell>
        </row>
        <row r="2277">
          <cell r="A2277">
            <v>1732400581</v>
          </cell>
          <cell r="B2277" t="str">
            <v>ועדות תנועה</v>
          </cell>
          <cell r="C2277">
            <v>20330</v>
          </cell>
          <cell r="D2277">
            <v>15512.13</v>
          </cell>
          <cell r="E2277">
            <v>2559.15</v>
          </cell>
          <cell r="F2277">
            <v>18071.28</v>
          </cell>
          <cell r="G2277">
            <v>2258.7199999999998</v>
          </cell>
          <cell r="H2277">
            <v>88.88</v>
          </cell>
          <cell r="I2277">
            <v>21400</v>
          </cell>
          <cell r="J2277">
            <v>15512.13</v>
          </cell>
        </row>
        <row r="2278">
          <cell r="A2278">
            <v>1732400582</v>
          </cell>
          <cell r="B2278" t="str">
            <v>בדיקת רופא-חנית נכים</v>
          </cell>
          <cell r="C2278">
            <v>60990</v>
          </cell>
          <cell r="D2278">
            <v>37263.5</v>
          </cell>
          <cell r="E2278">
            <v>12490.75</v>
          </cell>
          <cell r="F2278">
            <v>49754.25</v>
          </cell>
          <cell r="G2278">
            <v>11235.75</v>
          </cell>
          <cell r="H2278">
            <v>81.569999999999993</v>
          </cell>
          <cell r="I2278">
            <v>64200</v>
          </cell>
          <cell r="J2278">
            <v>37263.5</v>
          </cell>
        </row>
        <row r="2279">
          <cell r="A2279">
            <v>1732400583</v>
          </cell>
          <cell r="B2279" t="str">
            <v>יעוץ-סככות אוטובוס</v>
          </cell>
          <cell r="C2279">
            <v>0</v>
          </cell>
          <cell r="D2279">
            <v>0</v>
          </cell>
          <cell r="E2279">
            <v>0</v>
          </cell>
          <cell r="F2279">
            <v>0</v>
          </cell>
          <cell r="G2279">
            <v>0</v>
          </cell>
          <cell r="H2279">
            <v>0</v>
          </cell>
          <cell r="I2279">
            <v>0</v>
          </cell>
          <cell r="J2279">
            <v>0</v>
          </cell>
        </row>
        <row r="2280">
          <cell r="A2280">
            <v>1732400584</v>
          </cell>
          <cell r="B2280" t="str">
            <v>הזנת נתונים למחשב</v>
          </cell>
          <cell r="C2280">
            <v>154850</v>
          </cell>
          <cell r="D2280">
            <v>156513.59</v>
          </cell>
          <cell r="E2280">
            <v>6153.85</v>
          </cell>
          <cell r="F2280">
            <v>162667.44</v>
          </cell>
          <cell r="G2280">
            <v>-7817.44</v>
          </cell>
          <cell r="H2280">
            <v>105.04</v>
          </cell>
          <cell r="I2280">
            <v>163000</v>
          </cell>
          <cell r="J2280">
            <v>156513.59</v>
          </cell>
        </row>
        <row r="2281">
          <cell r="A2281">
            <v>1732400744</v>
          </cell>
          <cell r="B2281" t="str">
            <v>מדים וציוד</v>
          </cell>
          <cell r="C2281">
            <v>2660</v>
          </cell>
          <cell r="D2281">
            <v>0</v>
          </cell>
          <cell r="E2281">
            <v>0</v>
          </cell>
          <cell r="F2281">
            <v>0</v>
          </cell>
          <cell r="G2281">
            <v>2660</v>
          </cell>
          <cell r="H2281">
            <v>0</v>
          </cell>
          <cell r="I2281">
            <v>2800</v>
          </cell>
          <cell r="J2281">
            <v>0</v>
          </cell>
        </row>
        <row r="2282">
          <cell r="A2282">
            <v>1732400757</v>
          </cell>
          <cell r="B2282" t="str">
            <v>אחזקת רמזורים</v>
          </cell>
          <cell r="C2282">
            <v>912000</v>
          </cell>
          <cell r="D2282">
            <v>537882.73</v>
          </cell>
          <cell r="E2282">
            <v>0.3</v>
          </cell>
          <cell r="F2282">
            <v>537883.03</v>
          </cell>
          <cell r="G2282">
            <v>374116.97</v>
          </cell>
          <cell r="H2282">
            <v>58.97</v>
          </cell>
          <cell r="I2282">
            <v>960000</v>
          </cell>
          <cell r="J2282">
            <v>537882.73</v>
          </cell>
        </row>
        <row r="2283">
          <cell r="A2283">
            <v>1732400758</v>
          </cell>
          <cell r="B2283" t="str">
            <v>תכנון תנועה+רמזורים</v>
          </cell>
          <cell r="C2283">
            <v>158650</v>
          </cell>
          <cell r="D2283">
            <v>0</v>
          </cell>
          <cell r="E2283">
            <v>0</v>
          </cell>
          <cell r="F2283">
            <v>0</v>
          </cell>
          <cell r="G2283">
            <v>158650</v>
          </cell>
          <cell r="H2283">
            <v>0</v>
          </cell>
          <cell r="I2283">
            <v>167000</v>
          </cell>
          <cell r="J2283">
            <v>0</v>
          </cell>
        </row>
        <row r="2284">
          <cell r="A2284">
            <v>1732400759</v>
          </cell>
          <cell r="B2284" t="str">
            <v>אח' תמרור:ג-7 ה-8</v>
          </cell>
          <cell r="C2284">
            <v>356250</v>
          </cell>
          <cell r="D2284">
            <v>232273.35</v>
          </cell>
          <cell r="E2284">
            <v>37076.65</v>
          </cell>
          <cell r="F2284">
            <v>269350</v>
          </cell>
          <cell r="G2284">
            <v>86900</v>
          </cell>
          <cell r="H2284">
            <v>75.599999999999994</v>
          </cell>
          <cell r="I2284">
            <v>375000</v>
          </cell>
          <cell r="J2284">
            <v>232273.35</v>
          </cell>
        </row>
        <row r="2285">
          <cell r="A2285">
            <v>1732400936</v>
          </cell>
          <cell r="B2285" t="str">
            <v>פעולות לבטיחות בדרכים</v>
          </cell>
          <cell r="C2285">
            <v>0</v>
          </cell>
          <cell r="D2285">
            <v>0</v>
          </cell>
          <cell r="E2285">
            <v>0</v>
          </cell>
          <cell r="F2285">
            <v>0</v>
          </cell>
          <cell r="G2285">
            <v>0</v>
          </cell>
          <cell r="H2285">
            <v>0</v>
          </cell>
          <cell r="I2285">
            <v>0</v>
          </cell>
          <cell r="J2285">
            <v>0</v>
          </cell>
        </row>
        <row r="2286">
          <cell r="A2286">
            <v>1733000110</v>
          </cell>
          <cell r="B2286" t="str">
            <v>השכר הקובע-תקציבית</v>
          </cell>
          <cell r="C2286">
            <v>0</v>
          </cell>
          <cell r="D2286">
            <v>0</v>
          </cell>
          <cell r="E2286">
            <v>0</v>
          </cell>
          <cell r="F2286">
            <v>0</v>
          </cell>
          <cell r="G2286">
            <v>0</v>
          </cell>
          <cell r="H2286">
            <v>0</v>
          </cell>
          <cell r="I2286">
            <v>0</v>
          </cell>
          <cell r="J2286">
            <v>0</v>
          </cell>
        </row>
        <row r="2287">
          <cell r="A2287">
            <v>1733000119</v>
          </cell>
          <cell r="B2287" t="str">
            <v>השכר הקובע-צוברת</v>
          </cell>
          <cell r="C2287">
            <v>4934965</v>
          </cell>
          <cell r="D2287">
            <v>4925596.5199999996</v>
          </cell>
          <cell r="E2287">
            <v>0</v>
          </cell>
          <cell r="F2287">
            <v>4925596.5199999996</v>
          </cell>
          <cell r="G2287">
            <v>9368.48</v>
          </cell>
          <cell r="H2287">
            <v>99.81</v>
          </cell>
          <cell r="I2287">
            <v>5194700</v>
          </cell>
          <cell r="J2287">
            <v>4925596.5199999996</v>
          </cell>
        </row>
        <row r="2288">
          <cell r="A2288">
            <v>1733000122</v>
          </cell>
          <cell r="B2288" t="str">
            <v>ביגוד</v>
          </cell>
          <cell r="C2288">
            <v>52250</v>
          </cell>
          <cell r="D2288">
            <v>51985.9</v>
          </cell>
          <cell r="E2288">
            <v>0</v>
          </cell>
          <cell r="F2288">
            <v>51985.9</v>
          </cell>
          <cell r="G2288">
            <v>264.10000000000002</v>
          </cell>
          <cell r="H2288">
            <v>99.49</v>
          </cell>
          <cell r="I2288">
            <v>55000</v>
          </cell>
          <cell r="J2288">
            <v>51985.9</v>
          </cell>
        </row>
        <row r="2289">
          <cell r="A2289">
            <v>1733000126</v>
          </cell>
          <cell r="B2289" t="str">
            <v>דמי הבראה</v>
          </cell>
          <cell r="C2289">
            <v>116850</v>
          </cell>
          <cell r="D2289">
            <v>112274.45</v>
          </cell>
          <cell r="E2289">
            <v>0</v>
          </cell>
          <cell r="F2289">
            <v>112274.45</v>
          </cell>
          <cell r="G2289">
            <v>4575.55</v>
          </cell>
          <cell r="H2289">
            <v>96.08</v>
          </cell>
          <cell r="I2289">
            <v>123000</v>
          </cell>
          <cell r="J2289">
            <v>112274.45</v>
          </cell>
        </row>
        <row r="2290">
          <cell r="A2290">
            <v>1733000130</v>
          </cell>
          <cell r="B2290" t="str">
            <v>שעות נוספות</v>
          </cell>
          <cell r="C2290">
            <v>51680</v>
          </cell>
          <cell r="D2290">
            <v>19811.36</v>
          </cell>
          <cell r="E2290">
            <v>0</v>
          </cell>
          <cell r="F2290">
            <v>19811.36</v>
          </cell>
          <cell r="G2290">
            <v>31868.639999999999</v>
          </cell>
          <cell r="H2290">
            <v>38.33</v>
          </cell>
          <cell r="I2290">
            <v>54400</v>
          </cell>
          <cell r="J2290">
            <v>19811.36</v>
          </cell>
        </row>
        <row r="2291">
          <cell r="A2291">
            <v>1733000140</v>
          </cell>
          <cell r="B2291" t="str">
            <v>השתתפות באחזקת רכב</v>
          </cell>
          <cell r="C2291">
            <v>451820</v>
          </cell>
          <cell r="D2291">
            <v>518213.52</v>
          </cell>
          <cell r="E2291">
            <v>0</v>
          </cell>
          <cell r="F2291">
            <v>518213.52</v>
          </cell>
          <cell r="G2291">
            <v>-66393.52</v>
          </cell>
          <cell r="H2291">
            <v>114.69</v>
          </cell>
          <cell r="I2291">
            <v>475600</v>
          </cell>
          <cell r="J2291">
            <v>518213.52</v>
          </cell>
        </row>
        <row r="2292">
          <cell r="A2292">
            <v>1733000253</v>
          </cell>
          <cell r="B2292" t="str">
            <v>עובדים חיצוניים</v>
          </cell>
          <cell r="C2292">
            <v>76000</v>
          </cell>
          <cell r="D2292">
            <v>96267.21</v>
          </cell>
          <cell r="E2292">
            <v>0</v>
          </cell>
          <cell r="F2292">
            <v>96267.21</v>
          </cell>
          <cell r="G2292">
            <v>-20267.21</v>
          </cell>
          <cell r="H2292">
            <v>126.66</v>
          </cell>
          <cell r="I2292">
            <v>80000</v>
          </cell>
          <cell r="J2292">
            <v>96267.21</v>
          </cell>
        </row>
        <row r="2293">
          <cell r="A2293">
            <v>1733000471</v>
          </cell>
          <cell r="B2293" t="str">
            <v>מכשירי כתיבה</v>
          </cell>
          <cell r="C2293">
            <v>24415</v>
          </cell>
          <cell r="D2293">
            <v>25442.89</v>
          </cell>
          <cell r="E2293">
            <v>14.04</v>
          </cell>
          <cell r="F2293">
            <v>25456.93</v>
          </cell>
          <cell r="G2293">
            <v>-1041.93</v>
          </cell>
          <cell r="H2293">
            <v>104.26</v>
          </cell>
          <cell r="I2293">
            <v>25700</v>
          </cell>
          <cell r="J2293">
            <v>25442.89</v>
          </cell>
        </row>
        <row r="2294">
          <cell r="A2294">
            <v>1733000511</v>
          </cell>
          <cell r="B2294" t="str">
            <v>אירוח וכיבוד</v>
          </cell>
          <cell r="C2294">
            <v>2185</v>
          </cell>
          <cell r="D2294">
            <v>1493.01</v>
          </cell>
          <cell r="E2294">
            <v>0</v>
          </cell>
          <cell r="F2294">
            <v>1493.01</v>
          </cell>
          <cell r="G2294">
            <v>691.99</v>
          </cell>
          <cell r="H2294">
            <v>68.319999999999993</v>
          </cell>
          <cell r="I2294">
            <v>2300</v>
          </cell>
          <cell r="J2294">
            <v>1493.01</v>
          </cell>
        </row>
        <row r="2295">
          <cell r="A2295">
            <v>1733000550</v>
          </cell>
          <cell r="B2295" t="str">
            <v>פירסומים ושילוט</v>
          </cell>
          <cell r="C2295">
            <v>6460</v>
          </cell>
          <cell r="D2295">
            <v>0</v>
          </cell>
          <cell r="E2295">
            <v>0</v>
          </cell>
          <cell r="F2295">
            <v>0</v>
          </cell>
          <cell r="G2295">
            <v>6460</v>
          </cell>
          <cell r="H2295">
            <v>0</v>
          </cell>
          <cell r="I2295">
            <v>6800</v>
          </cell>
          <cell r="J2295">
            <v>0</v>
          </cell>
        </row>
        <row r="2296">
          <cell r="A2296">
            <v>1733000561</v>
          </cell>
          <cell r="B2296" t="str">
            <v>שיכפולים</v>
          </cell>
          <cell r="C2296">
            <v>855</v>
          </cell>
          <cell r="D2296">
            <v>378</v>
          </cell>
          <cell r="E2296">
            <v>0</v>
          </cell>
          <cell r="F2296">
            <v>378</v>
          </cell>
          <cell r="G2296">
            <v>477</v>
          </cell>
          <cell r="H2296">
            <v>44.21</v>
          </cell>
          <cell r="I2296">
            <v>900</v>
          </cell>
          <cell r="J2296">
            <v>378</v>
          </cell>
        </row>
        <row r="2297">
          <cell r="A2297">
            <v>1733000562</v>
          </cell>
          <cell r="B2297" t="str">
            <v>הדפסות</v>
          </cell>
          <cell r="C2297">
            <v>0</v>
          </cell>
          <cell r="D2297">
            <v>0</v>
          </cell>
          <cell r="E2297">
            <v>0</v>
          </cell>
          <cell r="F2297">
            <v>0</v>
          </cell>
          <cell r="G2297">
            <v>0</v>
          </cell>
          <cell r="H2297">
            <v>0</v>
          </cell>
          <cell r="I2297">
            <v>0</v>
          </cell>
          <cell r="J2297">
            <v>0</v>
          </cell>
        </row>
        <row r="2298">
          <cell r="A2298">
            <v>1733000563</v>
          </cell>
          <cell r="B2298" t="str">
            <v>תיקי רישוי</v>
          </cell>
          <cell r="C2298">
            <v>0</v>
          </cell>
          <cell r="D2298">
            <v>0</v>
          </cell>
          <cell r="E2298">
            <v>0</v>
          </cell>
          <cell r="F2298">
            <v>0</v>
          </cell>
          <cell r="G2298">
            <v>0</v>
          </cell>
          <cell r="H2298">
            <v>0</v>
          </cell>
          <cell r="I2298">
            <v>0</v>
          </cell>
          <cell r="J2298">
            <v>0</v>
          </cell>
        </row>
        <row r="2299">
          <cell r="A2299">
            <v>1733000564</v>
          </cell>
          <cell r="B2299" t="str">
            <v>פרטיכל - משנה</v>
          </cell>
          <cell r="C2299">
            <v>12900</v>
          </cell>
          <cell r="D2299">
            <v>12866.48</v>
          </cell>
          <cell r="E2299">
            <v>0</v>
          </cell>
          <cell r="F2299">
            <v>12866.48</v>
          </cell>
          <cell r="G2299">
            <v>33.520000000000003</v>
          </cell>
          <cell r="H2299">
            <v>99.74</v>
          </cell>
          <cell r="I2299">
            <v>12900</v>
          </cell>
          <cell r="J2299">
            <v>12866.48</v>
          </cell>
        </row>
        <row r="2300">
          <cell r="A2300">
            <v>1733000565</v>
          </cell>
          <cell r="B2300" t="str">
            <v>כיבוד לוועדות משנה</v>
          </cell>
          <cell r="C2300">
            <v>0</v>
          </cell>
          <cell r="D2300">
            <v>0</v>
          </cell>
          <cell r="E2300">
            <v>0</v>
          </cell>
          <cell r="F2300">
            <v>0</v>
          </cell>
          <cell r="G2300">
            <v>0</v>
          </cell>
          <cell r="H2300">
            <v>0</v>
          </cell>
          <cell r="I2300">
            <v>0</v>
          </cell>
          <cell r="J2300">
            <v>0</v>
          </cell>
        </row>
        <row r="2301">
          <cell r="A2301">
            <v>1733000570</v>
          </cell>
          <cell r="B2301" t="str">
            <v>מיחשוב רישוי+הטלים</v>
          </cell>
          <cell r="C2301">
            <v>0</v>
          </cell>
          <cell r="D2301">
            <v>0</v>
          </cell>
          <cell r="E2301">
            <v>0</v>
          </cell>
          <cell r="F2301">
            <v>0</v>
          </cell>
          <cell r="G2301">
            <v>0</v>
          </cell>
          <cell r="H2301">
            <v>0</v>
          </cell>
          <cell r="I2301">
            <v>0</v>
          </cell>
          <cell r="J2301">
            <v>0</v>
          </cell>
        </row>
        <row r="2302">
          <cell r="A2302">
            <v>1733000571</v>
          </cell>
          <cell r="B2302" t="str">
            <v>מיכון וענ"א</v>
          </cell>
          <cell r="C2302">
            <v>303715</v>
          </cell>
          <cell r="D2302">
            <v>319700</v>
          </cell>
          <cell r="E2302">
            <v>0</v>
          </cell>
          <cell r="F2302">
            <v>319700</v>
          </cell>
          <cell r="G2302">
            <v>-15985</v>
          </cell>
          <cell r="H2302">
            <v>105.26</v>
          </cell>
          <cell r="I2302">
            <v>319700</v>
          </cell>
          <cell r="J2302">
            <v>319700</v>
          </cell>
        </row>
        <row r="2303">
          <cell r="A2303">
            <v>1733000580</v>
          </cell>
          <cell r="B2303" t="str">
            <v>שכ"ט שמאים</v>
          </cell>
          <cell r="C2303">
            <v>2145500</v>
          </cell>
          <cell r="D2303">
            <v>2417578.61</v>
          </cell>
          <cell r="E2303">
            <v>0</v>
          </cell>
          <cell r="F2303">
            <v>2417578.61</v>
          </cell>
          <cell r="G2303">
            <v>-272078.61</v>
          </cell>
          <cell r="H2303">
            <v>112.68</v>
          </cell>
          <cell r="I2303">
            <v>2145500</v>
          </cell>
          <cell r="J2303">
            <v>2417578.61</v>
          </cell>
        </row>
        <row r="2304">
          <cell r="A2304">
            <v>1733000581</v>
          </cell>
          <cell r="B2304" t="str">
            <v>שכ"ט שמאים מכריעים</v>
          </cell>
          <cell r="C2304">
            <v>684000</v>
          </cell>
          <cell r="D2304">
            <v>750624.68</v>
          </cell>
          <cell r="E2304">
            <v>0</v>
          </cell>
          <cell r="F2304">
            <v>750624.68</v>
          </cell>
          <cell r="G2304">
            <v>-66624.679999999993</v>
          </cell>
          <cell r="H2304">
            <v>109.74</v>
          </cell>
          <cell r="I2304">
            <v>684000</v>
          </cell>
          <cell r="J2304">
            <v>750624.68</v>
          </cell>
        </row>
        <row r="2305">
          <cell r="A2305">
            <v>1733000758</v>
          </cell>
          <cell r="B2305" t="str">
            <v>מבנים מסוכנים</v>
          </cell>
          <cell r="C2305">
            <v>0</v>
          </cell>
          <cell r="D2305">
            <v>0</v>
          </cell>
          <cell r="E2305">
            <v>0</v>
          </cell>
          <cell r="F2305">
            <v>0</v>
          </cell>
          <cell r="G2305">
            <v>0</v>
          </cell>
          <cell r="H2305">
            <v>0</v>
          </cell>
          <cell r="I2305">
            <v>0</v>
          </cell>
          <cell r="J2305">
            <v>0</v>
          </cell>
        </row>
        <row r="2306">
          <cell r="A2306">
            <v>1733000931</v>
          </cell>
          <cell r="B2306" t="str">
            <v>חוברת מידע למתכנן</v>
          </cell>
          <cell r="C2306">
            <v>0</v>
          </cell>
          <cell r="D2306">
            <v>0</v>
          </cell>
          <cell r="E2306">
            <v>0</v>
          </cell>
          <cell r="F2306">
            <v>0</v>
          </cell>
          <cell r="G2306">
            <v>0</v>
          </cell>
          <cell r="H2306">
            <v>0</v>
          </cell>
          <cell r="I2306">
            <v>0</v>
          </cell>
          <cell r="J2306">
            <v>0</v>
          </cell>
        </row>
        <row r="2307">
          <cell r="A2307">
            <v>1733300110</v>
          </cell>
          <cell r="B2307" t="str">
            <v>השכר הקובע-תקציבית</v>
          </cell>
          <cell r="C2307">
            <v>0</v>
          </cell>
          <cell r="D2307">
            <v>0</v>
          </cell>
          <cell r="E2307">
            <v>0</v>
          </cell>
          <cell r="F2307">
            <v>0</v>
          </cell>
          <cell r="G2307">
            <v>0</v>
          </cell>
          <cell r="H2307">
            <v>0</v>
          </cell>
          <cell r="I2307">
            <v>0</v>
          </cell>
          <cell r="J2307">
            <v>0</v>
          </cell>
        </row>
        <row r="2308">
          <cell r="A2308">
            <v>1733300119</v>
          </cell>
          <cell r="B2308" t="str">
            <v>השכר הקובע-צוברת</v>
          </cell>
          <cell r="C2308">
            <v>3238455</v>
          </cell>
          <cell r="D2308">
            <v>3550618.64</v>
          </cell>
          <cell r="E2308">
            <v>0</v>
          </cell>
          <cell r="F2308">
            <v>3550618.64</v>
          </cell>
          <cell r="G2308">
            <v>-312163.64</v>
          </cell>
          <cell r="H2308">
            <v>109.63</v>
          </cell>
          <cell r="I2308">
            <v>3408900</v>
          </cell>
          <cell r="J2308">
            <v>3550618.64</v>
          </cell>
        </row>
        <row r="2309">
          <cell r="A2309">
            <v>1733300122</v>
          </cell>
          <cell r="B2309" t="str">
            <v>ביגוד</v>
          </cell>
          <cell r="C2309">
            <v>22800</v>
          </cell>
          <cell r="D2309">
            <v>32658.29</v>
          </cell>
          <cell r="E2309">
            <v>0</v>
          </cell>
          <cell r="F2309">
            <v>32658.29</v>
          </cell>
          <cell r="G2309">
            <v>-9858.2900000000009</v>
          </cell>
          <cell r="H2309">
            <v>143.22999999999999</v>
          </cell>
          <cell r="I2309">
            <v>24000</v>
          </cell>
          <cell r="J2309">
            <v>32658.29</v>
          </cell>
        </row>
        <row r="2310">
          <cell r="A2310">
            <v>1733300126</v>
          </cell>
          <cell r="B2310" t="str">
            <v>דמי הבראה</v>
          </cell>
          <cell r="C2310">
            <v>79325</v>
          </cell>
          <cell r="D2310">
            <v>77616.58</v>
          </cell>
          <cell r="E2310">
            <v>0</v>
          </cell>
          <cell r="F2310">
            <v>77616.58</v>
          </cell>
          <cell r="G2310">
            <v>1708.42</v>
          </cell>
          <cell r="H2310">
            <v>97.84</v>
          </cell>
          <cell r="I2310">
            <v>83500</v>
          </cell>
          <cell r="J2310">
            <v>77616.58</v>
          </cell>
        </row>
        <row r="2311">
          <cell r="A2311">
            <v>1733300130</v>
          </cell>
          <cell r="B2311" t="str">
            <v>שעות נוספות</v>
          </cell>
          <cell r="C2311">
            <v>124165</v>
          </cell>
          <cell r="D2311">
            <v>228695.33</v>
          </cell>
          <cell r="E2311">
            <v>0</v>
          </cell>
          <cell r="F2311">
            <v>228695.33</v>
          </cell>
          <cell r="G2311">
            <v>-104530.33</v>
          </cell>
          <cell r="H2311">
            <v>184.18</v>
          </cell>
          <cell r="I2311">
            <v>130700</v>
          </cell>
          <cell r="J2311">
            <v>228695.33</v>
          </cell>
        </row>
        <row r="2312">
          <cell r="A2312">
            <v>1733300140</v>
          </cell>
          <cell r="B2312" t="str">
            <v>השתתפות באחזקת רכב</v>
          </cell>
          <cell r="C2312">
            <v>315400</v>
          </cell>
          <cell r="D2312">
            <v>440540.38</v>
          </cell>
          <cell r="E2312">
            <v>0</v>
          </cell>
          <cell r="F2312">
            <v>440540.38</v>
          </cell>
          <cell r="G2312">
            <v>-125140.38</v>
          </cell>
          <cell r="H2312">
            <v>139.66999999999999</v>
          </cell>
          <cell r="I2312">
            <v>332000</v>
          </cell>
          <cell r="J2312">
            <v>440540.38</v>
          </cell>
        </row>
        <row r="2313">
          <cell r="A2313">
            <v>1733300253</v>
          </cell>
          <cell r="B2313" t="str">
            <v>עובדים חיצוניים</v>
          </cell>
          <cell r="C2313">
            <v>320000</v>
          </cell>
          <cell r="D2313">
            <v>290976.48</v>
          </cell>
          <cell r="E2313">
            <v>0</v>
          </cell>
          <cell r="F2313">
            <v>290976.48</v>
          </cell>
          <cell r="G2313">
            <v>29023.52</v>
          </cell>
          <cell r="H2313">
            <v>90.93</v>
          </cell>
          <cell r="I2313">
            <v>320000</v>
          </cell>
          <cell r="J2313">
            <v>290976.48</v>
          </cell>
        </row>
        <row r="2314">
          <cell r="A2314">
            <v>1733300471</v>
          </cell>
          <cell r="B2314" t="str">
            <v>מכשירי כתיבה</v>
          </cell>
          <cell r="C2314">
            <v>34100</v>
          </cell>
          <cell r="D2314">
            <v>30295.32</v>
          </cell>
          <cell r="E2314">
            <v>19.55</v>
          </cell>
          <cell r="F2314">
            <v>30314.87</v>
          </cell>
          <cell r="G2314">
            <v>3785.13</v>
          </cell>
          <cell r="H2314">
            <v>88.89</v>
          </cell>
          <cell r="I2314">
            <v>34100</v>
          </cell>
          <cell r="J2314">
            <v>30295.32</v>
          </cell>
        </row>
        <row r="2315">
          <cell r="A2315">
            <v>1733300511</v>
          </cell>
          <cell r="B2315" t="str">
            <v>אירוח וכיבוד</v>
          </cell>
          <cell r="C2315">
            <v>1330</v>
          </cell>
          <cell r="D2315">
            <v>0</v>
          </cell>
          <cell r="E2315">
            <v>0</v>
          </cell>
          <cell r="F2315">
            <v>0</v>
          </cell>
          <cell r="G2315">
            <v>1330</v>
          </cell>
          <cell r="H2315">
            <v>0</v>
          </cell>
          <cell r="I2315">
            <v>1400</v>
          </cell>
          <cell r="J2315">
            <v>0</v>
          </cell>
        </row>
        <row r="2316">
          <cell r="A2316">
            <v>1733300540</v>
          </cell>
          <cell r="B2316" t="str">
            <v>לא פעיל</v>
          </cell>
          <cell r="C2316">
            <v>0</v>
          </cell>
          <cell r="D2316">
            <v>0</v>
          </cell>
          <cell r="E2316">
            <v>0</v>
          </cell>
          <cell r="F2316">
            <v>0</v>
          </cell>
          <cell r="G2316">
            <v>0</v>
          </cell>
          <cell r="H2316">
            <v>0</v>
          </cell>
          <cell r="I2316">
            <v>0</v>
          </cell>
          <cell r="J2316">
            <v>0</v>
          </cell>
        </row>
        <row r="2317">
          <cell r="A2317">
            <v>1733300544</v>
          </cell>
          <cell r="B2317" t="str">
            <v>הוצאות דאר</v>
          </cell>
          <cell r="C2317">
            <v>0</v>
          </cell>
          <cell r="D2317">
            <v>0</v>
          </cell>
          <cell r="E2317">
            <v>0</v>
          </cell>
          <cell r="F2317">
            <v>0</v>
          </cell>
          <cell r="G2317">
            <v>0</v>
          </cell>
          <cell r="H2317">
            <v>0</v>
          </cell>
          <cell r="I2317">
            <v>0</v>
          </cell>
          <cell r="J2317">
            <v>0</v>
          </cell>
        </row>
        <row r="2318">
          <cell r="A2318">
            <v>1733300562</v>
          </cell>
          <cell r="B2318" t="str">
            <v>הדפסות</v>
          </cell>
          <cell r="C2318">
            <v>3230</v>
          </cell>
          <cell r="D2318">
            <v>351</v>
          </cell>
          <cell r="E2318">
            <v>210.6</v>
          </cell>
          <cell r="F2318">
            <v>561.6</v>
          </cell>
          <cell r="G2318">
            <v>2668.4</v>
          </cell>
          <cell r="H2318">
            <v>17.38</v>
          </cell>
          <cell r="I2318">
            <v>3400</v>
          </cell>
          <cell r="J2318">
            <v>351</v>
          </cell>
        </row>
        <row r="2319">
          <cell r="A2319">
            <v>1733300570</v>
          </cell>
          <cell r="B2319" t="str">
            <v>תוכנת רישוי בניה</v>
          </cell>
          <cell r="C2319">
            <v>0</v>
          </cell>
          <cell r="D2319">
            <v>0</v>
          </cell>
          <cell r="E2319">
            <v>0</v>
          </cell>
          <cell r="F2319">
            <v>0</v>
          </cell>
          <cell r="G2319">
            <v>0</v>
          </cell>
          <cell r="H2319">
            <v>0</v>
          </cell>
          <cell r="I2319">
            <v>0</v>
          </cell>
          <cell r="J2319">
            <v>0</v>
          </cell>
        </row>
        <row r="2320">
          <cell r="A2320">
            <v>1733300571</v>
          </cell>
          <cell r="B2320" t="str">
            <v>מיכון וענ"א</v>
          </cell>
          <cell r="C2320">
            <v>83410</v>
          </cell>
          <cell r="D2320">
            <v>87800</v>
          </cell>
          <cell r="E2320">
            <v>0</v>
          </cell>
          <cell r="F2320">
            <v>87800</v>
          </cell>
          <cell r="G2320">
            <v>-4390</v>
          </cell>
          <cell r="H2320">
            <v>105.26</v>
          </cell>
          <cell r="I2320">
            <v>87800</v>
          </cell>
          <cell r="J2320">
            <v>87800</v>
          </cell>
        </row>
        <row r="2321">
          <cell r="A2321">
            <v>1733300572</v>
          </cell>
          <cell r="B2321" t="str">
            <v>מעקב תב"ע</v>
          </cell>
          <cell r="C2321">
            <v>0</v>
          </cell>
          <cell r="D2321">
            <v>0</v>
          </cell>
          <cell r="E2321">
            <v>0</v>
          </cell>
          <cell r="F2321">
            <v>0</v>
          </cell>
          <cell r="G2321">
            <v>0</v>
          </cell>
          <cell r="H2321">
            <v>0</v>
          </cell>
          <cell r="I2321">
            <v>0</v>
          </cell>
          <cell r="J2321">
            <v>0</v>
          </cell>
        </row>
        <row r="2322">
          <cell r="A2322">
            <v>1733300744</v>
          </cell>
          <cell r="B2322" t="str">
            <v>מדים וציוד</v>
          </cell>
          <cell r="C2322">
            <v>0</v>
          </cell>
          <cell r="D2322">
            <v>0</v>
          </cell>
          <cell r="E2322">
            <v>0</v>
          </cell>
          <cell r="F2322">
            <v>0</v>
          </cell>
          <cell r="G2322">
            <v>0</v>
          </cell>
          <cell r="H2322">
            <v>0</v>
          </cell>
          <cell r="I2322">
            <v>0</v>
          </cell>
          <cell r="J2322">
            <v>0</v>
          </cell>
        </row>
        <row r="2323">
          <cell r="A2323">
            <v>1733300753</v>
          </cell>
          <cell r="B2323" t="str">
            <v>שרות מנעולן</v>
          </cell>
          <cell r="C2323">
            <v>20330</v>
          </cell>
          <cell r="D2323">
            <v>21032.7</v>
          </cell>
          <cell r="E2323">
            <v>367.3</v>
          </cell>
          <cell r="F2323">
            <v>21400</v>
          </cell>
          <cell r="G2323">
            <v>-1070</v>
          </cell>
          <cell r="H2323">
            <v>105.26</v>
          </cell>
          <cell r="I2323">
            <v>21400</v>
          </cell>
          <cell r="J2323">
            <v>21032.7</v>
          </cell>
        </row>
        <row r="2324">
          <cell r="A2324">
            <v>1733300756</v>
          </cell>
          <cell r="B2324" t="str">
            <v>שמירה בקבלנות</v>
          </cell>
          <cell r="C2324">
            <v>11400</v>
          </cell>
          <cell r="D2324">
            <v>804.17</v>
          </cell>
          <cell r="E2324">
            <v>0</v>
          </cell>
          <cell r="F2324">
            <v>804.17</v>
          </cell>
          <cell r="G2324">
            <v>10595.83</v>
          </cell>
          <cell r="H2324">
            <v>7.05</v>
          </cell>
          <cell r="I2324">
            <v>12000</v>
          </cell>
          <cell r="J2324">
            <v>804.17</v>
          </cell>
        </row>
        <row r="2325">
          <cell r="A2325">
            <v>1733300757</v>
          </cell>
          <cell r="B2325" t="str">
            <v>צילומי אויר</v>
          </cell>
          <cell r="C2325">
            <v>106685</v>
          </cell>
          <cell r="D2325">
            <v>0</v>
          </cell>
          <cell r="E2325">
            <v>0</v>
          </cell>
          <cell r="F2325">
            <v>0</v>
          </cell>
          <cell r="G2325">
            <v>106685</v>
          </cell>
          <cell r="H2325">
            <v>0</v>
          </cell>
          <cell r="I2325">
            <v>112300</v>
          </cell>
          <cell r="J2325">
            <v>0</v>
          </cell>
        </row>
        <row r="2326">
          <cell r="A2326">
            <v>1733300758</v>
          </cell>
          <cell r="B2326" t="str">
            <v>מב' מסוכנים-ציבורי</v>
          </cell>
          <cell r="C2326">
            <v>0</v>
          </cell>
          <cell r="D2326">
            <v>0</v>
          </cell>
          <cell r="E2326">
            <v>0</v>
          </cell>
          <cell r="F2326">
            <v>0</v>
          </cell>
          <cell r="G2326">
            <v>0</v>
          </cell>
          <cell r="H2326">
            <v>0</v>
          </cell>
          <cell r="I2326">
            <v>0</v>
          </cell>
          <cell r="J2326">
            <v>0</v>
          </cell>
        </row>
        <row r="2327">
          <cell r="A2327">
            <v>1733300759</v>
          </cell>
          <cell r="B2327" t="str">
            <v>הריסת מבנים</v>
          </cell>
          <cell r="C2327">
            <v>406125</v>
          </cell>
          <cell r="D2327">
            <v>197339.44</v>
          </cell>
          <cell r="E2327">
            <v>17351.13</v>
          </cell>
          <cell r="F2327">
            <v>214690.57</v>
          </cell>
          <cell r="G2327">
            <v>191434.43</v>
          </cell>
          <cell r="H2327">
            <v>52.86</v>
          </cell>
          <cell r="I2327">
            <v>427500</v>
          </cell>
          <cell r="J2327">
            <v>197339.44</v>
          </cell>
        </row>
        <row r="2328">
          <cell r="A2328">
            <v>1733300933</v>
          </cell>
          <cell r="B2328" t="str">
            <v>ציוד בטיחותי אישי</v>
          </cell>
          <cell r="C2328">
            <v>12668</v>
          </cell>
          <cell r="D2328">
            <v>7085.1</v>
          </cell>
          <cell r="E2328">
            <v>1313.4</v>
          </cell>
          <cell r="F2328">
            <v>8398.5</v>
          </cell>
          <cell r="G2328">
            <v>4269.5</v>
          </cell>
          <cell r="H2328">
            <v>66.290000000000006</v>
          </cell>
          <cell r="I2328">
            <v>13335</v>
          </cell>
          <cell r="J2328">
            <v>7085.1</v>
          </cell>
        </row>
        <row r="2329">
          <cell r="A2329">
            <v>1733300961</v>
          </cell>
          <cell r="B2329" t="str">
            <v>רז' פעולות ורכישות</v>
          </cell>
          <cell r="C2329">
            <v>43857</v>
          </cell>
          <cell r="D2329">
            <v>4491.58</v>
          </cell>
          <cell r="E2329">
            <v>5922.49</v>
          </cell>
          <cell r="F2329">
            <v>10414.07</v>
          </cell>
          <cell r="G2329">
            <v>33442.93</v>
          </cell>
          <cell r="H2329">
            <v>23.74</v>
          </cell>
          <cell r="I2329">
            <v>46165</v>
          </cell>
          <cell r="J2329">
            <v>4491.58</v>
          </cell>
        </row>
        <row r="2330">
          <cell r="A2330">
            <v>1734000570</v>
          </cell>
          <cell r="B2330" t="str">
            <v>חב' לאוטומציה</v>
          </cell>
          <cell r="C2330">
            <v>0</v>
          </cell>
          <cell r="D2330">
            <v>0</v>
          </cell>
          <cell r="E2330">
            <v>0</v>
          </cell>
          <cell r="F2330">
            <v>0</v>
          </cell>
          <cell r="G2330">
            <v>0</v>
          </cell>
          <cell r="H2330">
            <v>0</v>
          </cell>
          <cell r="I2330">
            <v>0</v>
          </cell>
          <cell r="J2330">
            <v>0</v>
          </cell>
        </row>
        <row r="2331">
          <cell r="A2331">
            <v>1734000572</v>
          </cell>
          <cell r="B2331" t="str">
            <v>מעקב תב"ע</v>
          </cell>
          <cell r="C2331">
            <v>0</v>
          </cell>
          <cell r="D2331">
            <v>0</v>
          </cell>
          <cell r="E2331">
            <v>0</v>
          </cell>
          <cell r="F2331">
            <v>0</v>
          </cell>
          <cell r="G2331">
            <v>0</v>
          </cell>
          <cell r="H2331">
            <v>0</v>
          </cell>
          <cell r="I2331">
            <v>0</v>
          </cell>
          <cell r="J2331">
            <v>0</v>
          </cell>
        </row>
        <row r="2332">
          <cell r="A2332">
            <v>1735000110</v>
          </cell>
          <cell r="B2332" t="str">
            <v>השכר הקובע-תקציבית</v>
          </cell>
          <cell r="C2332">
            <v>142500</v>
          </cell>
          <cell r="D2332">
            <v>162394.15</v>
          </cell>
          <cell r="E2332">
            <v>0</v>
          </cell>
          <cell r="F2332">
            <v>162394.15</v>
          </cell>
          <cell r="G2332">
            <v>-19894.150000000001</v>
          </cell>
          <cell r="H2332">
            <v>113.96</v>
          </cell>
          <cell r="I2332">
            <v>150000</v>
          </cell>
          <cell r="J2332">
            <v>162394.15</v>
          </cell>
        </row>
        <row r="2333">
          <cell r="A2333">
            <v>1735000119</v>
          </cell>
          <cell r="B2333" t="str">
            <v>השכר הקובע-צוברת</v>
          </cell>
          <cell r="C2333">
            <v>1599610</v>
          </cell>
          <cell r="D2333">
            <v>2429461.81</v>
          </cell>
          <cell r="E2333">
            <v>0</v>
          </cell>
          <cell r="F2333">
            <v>2429461.81</v>
          </cell>
          <cell r="G2333">
            <v>-829851.81</v>
          </cell>
          <cell r="H2333">
            <v>151.87</v>
          </cell>
          <cell r="I2333">
            <v>1683800</v>
          </cell>
          <cell r="J2333">
            <v>2429461.81</v>
          </cell>
        </row>
        <row r="2334">
          <cell r="A2334">
            <v>1735000122</v>
          </cell>
          <cell r="B2334" t="str">
            <v>ביגוד</v>
          </cell>
          <cell r="C2334">
            <v>10925</v>
          </cell>
          <cell r="D2334">
            <v>22405.15</v>
          </cell>
          <cell r="E2334">
            <v>0</v>
          </cell>
          <cell r="F2334">
            <v>22405.15</v>
          </cell>
          <cell r="G2334">
            <v>-11480.15</v>
          </cell>
          <cell r="H2334">
            <v>205.08</v>
          </cell>
          <cell r="I2334">
            <v>11500</v>
          </cell>
          <cell r="J2334">
            <v>22405.15</v>
          </cell>
        </row>
        <row r="2335">
          <cell r="A2335">
            <v>1735000126</v>
          </cell>
          <cell r="B2335" t="str">
            <v>דמי הבראה</v>
          </cell>
          <cell r="C2335">
            <v>41800</v>
          </cell>
          <cell r="D2335">
            <v>49528.86</v>
          </cell>
          <cell r="E2335">
            <v>0</v>
          </cell>
          <cell r="F2335">
            <v>49528.86</v>
          </cell>
          <cell r="G2335">
            <v>-7728.86</v>
          </cell>
          <cell r="H2335">
            <v>118.49</v>
          </cell>
          <cell r="I2335">
            <v>44000</v>
          </cell>
          <cell r="J2335">
            <v>49528.86</v>
          </cell>
        </row>
        <row r="2336">
          <cell r="A2336">
            <v>1735000130</v>
          </cell>
          <cell r="B2336" t="str">
            <v>שעות נוספות</v>
          </cell>
          <cell r="C2336">
            <v>28595</v>
          </cell>
          <cell r="D2336">
            <v>8652.1</v>
          </cell>
          <cell r="E2336">
            <v>0</v>
          </cell>
          <cell r="F2336">
            <v>8652.1</v>
          </cell>
          <cell r="G2336">
            <v>19942.900000000001</v>
          </cell>
          <cell r="H2336">
            <v>30.25</v>
          </cell>
          <cell r="I2336">
            <v>30100</v>
          </cell>
          <cell r="J2336">
            <v>8652.1</v>
          </cell>
        </row>
        <row r="2337">
          <cell r="A2337">
            <v>1735000140</v>
          </cell>
          <cell r="B2337" t="str">
            <v>השתתפות באחזקת רכב</v>
          </cell>
          <cell r="C2337">
            <v>166345</v>
          </cell>
          <cell r="D2337">
            <v>270019.42</v>
          </cell>
          <cell r="E2337">
            <v>0</v>
          </cell>
          <cell r="F2337">
            <v>270019.42</v>
          </cell>
          <cell r="G2337">
            <v>-103674.42</v>
          </cell>
          <cell r="H2337">
            <v>162.32</v>
          </cell>
          <cell r="I2337">
            <v>175100</v>
          </cell>
          <cell r="J2337">
            <v>270019.42</v>
          </cell>
        </row>
        <row r="2338">
          <cell r="A2338">
            <v>1735000253</v>
          </cell>
          <cell r="B2338" t="str">
            <v>עובדים חיצוניים</v>
          </cell>
          <cell r="C2338">
            <v>0</v>
          </cell>
          <cell r="D2338">
            <v>5505.58</v>
          </cell>
          <cell r="E2338">
            <v>0</v>
          </cell>
          <cell r="F2338">
            <v>5505.58</v>
          </cell>
          <cell r="G2338">
            <v>-5505.58</v>
          </cell>
          <cell r="H2338">
            <v>0</v>
          </cell>
          <cell r="I2338">
            <v>0</v>
          </cell>
          <cell r="J2338">
            <v>5505.58</v>
          </cell>
        </row>
        <row r="2339">
          <cell r="A2339">
            <v>1735000350</v>
          </cell>
          <cell r="B2339" t="str">
            <v>לא פעיל</v>
          </cell>
          <cell r="C2339">
            <v>0</v>
          </cell>
          <cell r="D2339">
            <v>0</v>
          </cell>
          <cell r="E2339">
            <v>0</v>
          </cell>
          <cell r="F2339">
            <v>0</v>
          </cell>
          <cell r="G2339">
            <v>0</v>
          </cell>
          <cell r="H2339">
            <v>0</v>
          </cell>
          <cell r="I2339">
            <v>0</v>
          </cell>
          <cell r="J2339">
            <v>0</v>
          </cell>
        </row>
        <row r="2340">
          <cell r="A2340">
            <v>1735000351</v>
          </cell>
          <cell r="B2340" t="str">
            <v>לא פעיל</v>
          </cell>
          <cell r="C2340">
            <v>0</v>
          </cell>
          <cell r="D2340">
            <v>0</v>
          </cell>
          <cell r="E2340">
            <v>0</v>
          </cell>
          <cell r="F2340">
            <v>0</v>
          </cell>
          <cell r="G2340">
            <v>0</v>
          </cell>
          <cell r="H2340">
            <v>0</v>
          </cell>
          <cell r="I2340">
            <v>0</v>
          </cell>
          <cell r="J2340">
            <v>0</v>
          </cell>
        </row>
        <row r="2341">
          <cell r="A2341">
            <v>1735000420</v>
          </cell>
          <cell r="B2341" t="str">
            <v>כיבוי אש</v>
          </cell>
          <cell r="C2341">
            <v>0</v>
          </cell>
          <cell r="D2341">
            <v>0</v>
          </cell>
          <cell r="E2341">
            <v>0</v>
          </cell>
          <cell r="F2341">
            <v>0</v>
          </cell>
          <cell r="G2341">
            <v>0</v>
          </cell>
          <cell r="H2341">
            <v>0</v>
          </cell>
          <cell r="I2341">
            <v>0</v>
          </cell>
          <cell r="J2341">
            <v>0</v>
          </cell>
        </row>
        <row r="2342">
          <cell r="A2342">
            <v>1735000433</v>
          </cell>
          <cell r="B2342" t="str">
            <v>חומרי נקיון</v>
          </cell>
          <cell r="C2342">
            <v>1710</v>
          </cell>
          <cell r="D2342">
            <v>955.7</v>
          </cell>
          <cell r="E2342">
            <v>229.76</v>
          </cell>
          <cell r="F2342">
            <v>1185.46</v>
          </cell>
          <cell r="G2342">
            <v>524.54</v>
          </cell>
          <cell r="H2342">
            <v>69.319999999999993</v>
          </cell>
          <cell r="I2342">
            <v>1800</v>
          </cell>
          <cell r="J2342">
            <v>955.7</v>
          </cell>
        </row>
        <row r="2343">
          <cell r="A2343">
            <v>1735000437</v>
          </cell>
          <cell r="B2343" t="str">
            <v>מערכת אזעקה.</v>
          </cell>
          <cell r="C2343">
            <v>2660</v>
          </cell>
          <cell r="D2343">
            <v>0</v>
          </cell>
          <cell r="E2343">
            <v>0</v>
          </cell>
          <cell r="F2343">
            <v>0</v>
          </cell>
          <cell r="G2343">
            <v>2660</v>
          </cell>
          <cell r="H2343">
            <v>0</v>
          </cell>
          <cell r="I2343">
            <v>2800</v>
          </cell>
          <cell r="J2343">
            <v>0</v>
          </cell>
        </row>
        <row r="2344">
          <cell r="A2344">
            <v>1735000470</v>
          </cell>
          <cell r="B2344" t="str">
            <v>אחזקת מכונות משרד</v>
          </cell>
          <cell r="C2344">
            <v>2565</v>
          </cell>
          <cell r="D2344">
            <v>765.4</v>
          </cell>
          <cell r="E2344">
            <v>0</v>
          </cell>
          <cell r="F2344">
            <v>765.4</v>
          </cell>
          <cell r="G2344">
            <v>1799.6</v>
          </cell>
          <cell r="H2344">
            <v>29.84</v>
          </cell>
          <cell r="I2344">
            <v>2700</v>
          </cell>
          <cell r="J2344">
            <v>765.4</v>
          </cell>
        </row>
        <row r="2345">
          <cell r="A2345">
            <v>1735000471</v>
          </cell>
          <cell r="B2345" t="str">
            <v>מכשירי כתיבה</v>
          </cell>
          <cell r="C2345">
            <v>30780</v>
          </cell>
          <cell r="D2345">
            <v>24989.94</v>
          </cell>
          <cell r="E2345">
            <v>769.36</v>
          </cell>
          <cell r="F2345">
            <v>25759.3</v>
          </cell>
          <cell r="G2345">
            <v>5020.7</v>
          </cell>
          <cell r="H2345">
            <v>83.68</v>
          </cell>
          <cell r="I2345">
            <v>32400</v>
          </cell>
          <cell r="J2345">
            <v>24989.94</v>
          </cell>
        </row>
        <row r="2346">
          <cell r="A2346">
            <v>1735000511</v>
          </cell>
          <cell r="B2346" t="str">
            <v>אירוח וכיבוד</v>
          </cell>
          <cell r="C2346">
            <v>8170</v>
          </cell>
          <cell r="D2346">
            <v>7958.09</v>
          </cell>
          <cell r="E2346">
            <v>0</v>
          </cell>
          <cell r="F2346">
            <v>7958.09</v>
          </cell>
          <cell r="G2346">
            <v>211.91</v>
          </cell>
          <cell r="H2346">
            <v>97.4</v>
          </cell>
          <cell r="I2346">
            <v>8600</v>
          </cell>
          <cell r="J2346">
            <v>7958.09</v>
          </cell>
        </row>
        <row r="2347">
          <cell r="A2347">
            <v>1735000522</v>
          </cell>
          <cell r="B2347" t="str">
            <v>ספרים ועיתונים</v>
          </cell>
          <cell r="C2347">
            <v>8170</v>
          </cell>
          <cell r="D2347">
            <v>0</v>
          </cell>
          <cell r="E2347">
            <v>0</v>
          </cell>
          <cell r="F2347">
            <v>0</v>
          </cell>
          <cell r="G2347">
            <v>8170</v>
          </cell>
          <cell r="H2347">
            <v>0</v>
          </cell>
          <cell r="I2347">
            <v>8600</v>
          </cell>
          <cell r="J2347">
            <v>0</v>
          </cell>
        </row>
        <row r="2348">
          <cell r="A2348">
            <v>1735000562</v>
          </cell>
          <cell r="B2348" t="str">
            <v>הדפסות</v>
          </cell>
          <cell r="C2348">
            <v>1710</v>
          </cell>
          <cell r="D2348">
            <v>0</v>
          </cell>
          <cell r="E2348">
            <v>0</v>
          </cell>
          <cell r="F2348">
            <v>0</v>
          </cell>
          <cell r="G2348">
            <v>1710</v>
          </cell>
          <cell r="H2348">
            <v>0</v>
          </cell>
          <cell r="I2348">
            <v>1800</v>
          </cell>
          <cell r="J2348">
            <v>0</v>
          </cell>
        </row>
        <row r="2349">
          <cell r="A2349">
            <v>1735000571</v>
          </cell>
          <cell r="B2349" t="str">
            <v>מיכון וענ"א</v>
          </cell>
          <cell r="C2349">
            <v>176890</v>
          </cell>
          <cell r="D2349">
            <v>186200</v>
          </cell>
          <cell r="E2349">
            <v>0</v>
          </cell>
          <cell r="F2349">
            <v>186200</v>
          </cell>
          <cell r="G2349">
            <v>-9310</v>
          </cell>
          <cell r="H2349">
            <v>105.26</v>
          </cell>
          <cell r="I2349">
            <v>186200</v>
          </cell>
          <cell r="J2349">
            <v>186200</v>
          </cell>
        </row>
        <row r="2350">
          <cell r="A2350">
            <v>1735000752</v>
          </cell>
          <cell r="B2350" t="str">
            <v>נקיון בקבלנות</v>
          </cell>
          <cell r="C2350">
            <v>51300</v>
          </cell>
          <cell r="D2350">
            <v>48160.99</v>
          </cell>
          <cell r="E2350">
            <v>0</v>
          </cell>
          <cell r="F2350">
            <v>48160.99</v>
          </cell>
          <cell r="G2350">
            <v>3139.01</v>
          </cell>
          <cell r="H2350">
            <v>93.88</v>
          </cell>
          <cell r="I2350">
            <v>54000</v>
          </cell>
          <cell r="J2350">
            <v>48160.99</v>
          </cell>
        </row>
        <row r="2351">
          <cell r="A2351">
            <v>1735000754</v>
          </cell>
          <cell r="B2351" t="str">
            <v>הסרת גרפיטי</v>
          </cell>
          <cell r="C2351">
            <v>0</v>
          </cell>
          <cell r="D2351">
            <v>0</v>
          </cell>
          <cell r="E2351">
            <v>0</v>
          </cell>
          <cell r="F2351">
            <v>0</v>
          </cell>
          <cell r="G2351">
            <v>0</v>
          </cell>
          <cell r="H2351">
            <v>0</v>
          </cell>
          <cell r="I2351">
            <v>0</v>
          </cell>
          <cell r="J2351">
            <v>0</v>
          </cell>
        </row>
        <row r="2352">
          <cell r="A2352">
            <v>1735000931</v>
          </cell>
          <cell r="B2352" t="str">
            <v>הכנת מכרז</v>
          </cell>
          <cell r="C2352">
            <v>0</v>
          </cell>
          <cell r="D2352">
            <v>0</v>
          </cell>
          <cell r="E2352">
            <v>0</v>
          </cell>
          <cell r="F2352">
            <v>0</v>
          </cell>
          <cell r="G2352">
            <v>0</v>
          </cell>
          <cell r="H2352">
            <v>0</v>
          </cell>
          <cell r="I2352">
            <v>0</v>
          </cell>
          <cell r="J2352">
            <v>0</v>
          </cell>
        </row>
        <row r="2353">
          <cell r="A2353">
            <v>1736000110</v>
          </cell>
          <cell r="B2353" t="str">
            <v>השכר הקובע-תקציבית</v>
          </cell>
          <cell r="C2353">
            <v>0</v>
          </cell>
          <cell r="D2353">
            <v>0</v>
          </cell>
          <cell r="E2353">
            <v>0</v>
          </cell>
          <cell r="F2353">
            <v>0</v>
          </cell>
          <cell r="G2353">
            <v>0</v>
          </cell>
          <cell r="H2353">
            <v>0</v>
          </cell>
          <cell r="I2353">
            <v>0</v>
          </cell>
          <cell r="J2353">
            <v>0</v>
          </cell>
        </row>
        <row r="2354">
          <cell r="A2354">
            <v>1736000119</v>
          </cell>
          <cell r="B2354" t="str">
            <v>השכר הקובע-צוברת</v>
          </cell>
          <cell r="C2354">
            <v>411730</v>
          </cell>
          <cell r="D2354">
            <v>426557.45</v>
          </cell>
          <cell r="E2354">
            <v>0</v>
          </cell>
          <cell r="F2354">
            <v>426557.45</v>
          </cell>
          <cell r="G2354">
            <v>-14827.45</v>
          </cell>
          <cell r="H2354">
            <v>103.6</v>
          </cell>
          <cell r="I2354">
            <v>433400</v>
          </cell>
          <cell r="J2354">
            <v>426557.45</v>
          </cell>
        </row>
        <row r="2355">
          <cell r="A2355">
            <v>1736000122</v>
          </cell>
          <cell r="B2355" t="str">
            <v>ביגוד</v>
          </cell>
          <cell r="C2355">
            <v>5320</v>
          </cell>
          <cell r="D2355">
            <v>4893.13</v>
          </cell>
          <cell r="E2355">
            <v>0</v>
          </cell>
          <cell r="F2355">
            <v>4893.13</v>
          </cell>
          <cell r="G2355">
            <v>426.87</v>
          </cell>
          <cell r="H2355">
            <v>91.97</v>
          </cell>
          <cell r="I2355">
            <v>5600</v>
          </cell>
          <cell r="J2355">
            <v>4893.13</v>
          </cell>
        </row>
        <row r="2356">
          <cell r="A2356">
            <v>1736000126</v>
          </cell>
          <cell r="B2356" t="str">
            <v>דמי הבראה</v>
          </cell>
          <cell r="C2356">
            <v>20900</v>
          </cell>
          <cell r="D2356">
            <v>9220.07</v>
          </cell>
          <cell r="E2356">
            <v>0</v>
          </cell>
          <cell r="F2356">
            <v>9220.07</v>
          </cell>
          <cell r="G2356">
            <v>11679.93</v>
          </cell>
          <cell r="H2356">
            <v>44.11</v>
          </cell>
          <cell r="I2356">
            <v>22000</v>
          </cell>
          <cell r="J2356">
            <v>9220.07</v>
          </cell>
        </row>
        <row r="2357">
          <cell r="A2357">
            <v>1736000130</v>
          </cell>
          <cell r="B2357" t="str">
            <v>שעות נוספות</v>
          </cell>
          <cell r="C2357">
            <v>62795</v>
          </cell>
          <cell r="D2357">
            <v>18489.12</v>
          </cell>
          <cell r="E2357">
            <v>0</v>
          </cell>
          <cell r="F2357">
            <v>18489.12</v>
          </cell>
          <cell r="G2357">
            <v>44305.88</v>
          </cell>
          <cell r="H2357">
            <v>29.44</v>
          </cell>
          <cell r="I2357">
            <v>66100</v>
          </cell>
          <cell r="J2357">
            <v>18489.12</v>
          </cell>
        </row>
        <row r="2358">
          <cell r="A2358">
            <v>1736000140</v>
          </cell>
          <cell r="B2358" t="str">
            <v>השתתפות באחזקת רכב</v>
          </cell>
          <cell r="C2358">
            <v>65455</v>
          </cell>
          <cell r="D2358">
            <v>61802.55</v>
          </cell>
          <cell r="E2358">
            <v>0</v>
          </cell>
          <cell r="F2358">
            <v>61802.55</v>
          </cell>
          <cell r="G2358">
            <v>3652.45</v>
          </cell>
          <cell r="H2358">
            <v>94.41</v>
          </cell>
          <cell r="I2358">
            <v>68900</v>
          </cell>
          <cell r="J2358">
            <v>61802.55</v>
          </cell>
        </row>
        <row r="2359">
          <cell r="A2359">
            <v>1736000253</v>
          </cell>
          <cell r="B2359" t="str">
            <v>עובדים חיצוניים</v>
          </cell>
          <cell r="C2359">
            <v>0</v>
          </cell>
          <cell r="D2359">
            <v>0</v>
          </cell>
          <cell r="E2359">
            <v>0</v>
          </cell>
          <cell r="F2359">
            <v>0</v>
          </cell>
          <cell r="G2359">
            <v>0</v>
          </cell>
          <cell r="H2359">
            <v>0</v>
          </cell>
          <cell r="I2359">
            <v>0</v>
          </cell>
          <cell r="J2359">
            <v>0</v>
          </cell>
        </row>
        <row r="2360">
          <cell r="A2360">
            <v>1736000450</v>
          </cell>
          <cell r="B2360" t="str">
            <v>אחזקת תמי 4</v>
          </cell>
          <cell r="C2360">
            <v>950</v>
          </cell>
          <cell r="D2360">
            <v>0</v>
          </cell>
          <cell r="E2360">
            <v>0</v>
          </cell>
          <cell r="F2360">
            <v>0</v>
          </cell>
          <cell r="G2360">
            <v>950</v>
          </cell>
          <cell r="H2360">
            <v>0</v>
          </cell>
          <cell r="I2360">
            <v>1000</v>
          </cell>
          <cell r="J2360">
            <v>0</v>
          </cell>
        </row>
        <row r="2361">
          <cell r="A2361">
            <v>1736000492</v>
          </cell>
          <cell r="B2361" t="str">
            <v>השתתפות בעזר 092</v>
          </cell>
          <cell r="C2361">
            <v>175750</v>
          </cell>
          <cell r="D2361">
            <v>202571</v>
          </cell>
          <cell r="E2361">
            <v>0</v>
          </cell>
          <cell r="F2361">
            <v>202571</v>
          </cell>
          <cell r="G2361">
            <v>-26821</v>
          </cell>
          <cell r="H2361">
            <v>115.26</v>
          </cell>
          <cell r="I2361">
            <v>185000</v>
          </cell>
          <cell r="J2361">
            <v>202571</v>
          </cell>
        </row>
        <row r="2362">
          <cell r="A2362">
            <v>1736000530</v>
          </cell>
          <cell r="B2362" t="str">
            <v>אופניים לעובדים</v>
          </cell>
          <cell r="C2362">
            <v>0</v>
          </cell>
          <cell r="D2362">
            <v>0</v>
          </cell>
          <cell r="E2362">
            <v>0</v>
          </cell>
          <cell r="F2362">
            <v>0</v>
          </cell>
          <cell r="G2362">
            <v>0</v>
          </cell>
          <cell r="H2362">
            <v>0</v>
          </cell>
          <cell r="I2362">
            <v>0</v>
          </cell>
          <cell r="J2362">
            <v>0</v>
          </cell>
        </row>
        <row r="2363">
          <cell r="A2363">
            <v>1736000580</v>
          </cell>
          <cell r="B2363" t="str">
            <v>ייעוץ חשמל</v>
          </cell>
          <cell r="C2363">
            <v>0</v>
          </cell>
          <cell r="D2363">
            <v>0</v>
          </cell>
          <cell r="E2363">
            <v>0</v>
          </cell>
          <cell r="F2363">
            <v>0</v>
          </cell>
          <cell r="G2363">
            <v>0</v>
          </cell>
          <cell r="H2363">
            <v>0</v>
          </cell>
          <cell r="I2363">
            <v>0</v>
          </cell>
          <cell r="J2363">
            <v>0</v>
          </cell>
        </row>
        <row r="2364">
          <cell r="A2364">
            <v>1736000596</v>
          </cell>
          <cell r="B2364" t="str">
            <v>השתתפות בעזר 096</v>
          </cell>
          <cell r="C2364">
            <v>457900</v>
          </cell>
          <cell r="D2364">
            <v>450524</v>
          </cell>
          <cell r="E2364">
            <v>0</v>
          </cell>
          <cell r="F2364">
            <v>450524</v>
          </cell>
          <cell r="G2364">
            <v>7376</v>
          </cell>
          <cell r="H2364">
            <v>98.38</v>
          </cell>
          <cell r="I2364">
            <v>482000</v>
          </cell>
          <cell r="J2364">
            <v>450524</v>
          </cell>
        </row>
        <row r="2365">
          <cell r="A2365">
            <v>1736000715</v>
          </cell>
          <cell r="B2365" t="str">
            <v>ממונה בטיחות מוסדות ציבור</v>
          </cell>
          <cell r="C2365">
            <v>0</v>
          </cell>
          <cell r="D2365">
            <v>0</v>
          </cell>
          <cell r="E2365">
            <v>0</v>
          </cell>
          <cell r="F2365">
            <v>0</v>
          </cell>
          <cell r="G2365">
            <v>0</v>
          </cell>
          <cell r="H2365">
            <v>0</v>
          </cell>
          <cell r="I2365">
            <v>0</v>
          </cell>
          <cell r="J2365">
            <v>0</v>
          </cell>
        </row>
        <row r="2366">
          <cell r="A2366">
            <v>1736000742</v>
          </cell>
          <cell r="B2366" t="str">
            <v>כלים וציוד</v>
          </cell>
          <cell r="C2366">
            <v>3600</v>
          </cell>
          <cell r="D2366">
            <v>1766.38</v>
          </cell>
          <cell r="E2366">
            <v>0</v>
          </cell>
          <cell r="F2366">
            <v>1766.38</v>
          </cell>
          <cell r="G2366">
            <v>1833.62</v>
          </cell>
          <cell r="H2366">
            <v>49.06</v>
          </cell>
          <cell r="I2366">
            <v>3600</v>
          </cell>
          <cell r="J2366">
            <v>1766.38</v>
          </cell>
        </row>
        <row r="2367">
          <cell r="A2367">
            <v>1736000794</v>
          </cell>
          <cell r="B2367" t="str">
            <v>השתתפות בעזר 094</v>
          </cell>
          <cell r="C2367">
            <v>11495</v>
          </cell>
          <cell r="D2367">
            <v>14431</v>
          </cell>
          <cell r="E2367">
            <v>0</v>
          </cell>
          <cell r="F2367">
            <v>14431</v>
          </cell>
          <cell r="G2367">
            <v>-2936</v>
          </cell>
          <cell r="H2367">
            <v>125.54</v>
          </cell>
          <cell r="I2367">
            <v>12100</v>
          </cell>
          <cell r="J2367">
            <v>14431</v>
          </cell>
        </row>
        <row r="2368">
          <cell r="A2368">
            <v>1736000931</v>
          </cell>
          <cell r="B2368" t="str">
            <v>ציוד חד פעמי</v>
          </cell>
          <cell r="C2368">
            <v>8550</v>
          </cell>
          <cell r="D2368">
            <v>1042</v>
          </cell>
          <cell r="E2368">
            <v>0</v>
          </cell>
          <cell r="F2368">
            <v>1042</v>
          </cell>
          <cell r="G2368">
            <v>7508</v>
          </cell>
          <cell r="H2368">
            <v>12.18</v>
          </cell>
          <cell r="I2368">
            <v>9000</v>
          </cell>
          <cell r="J2368">
            <v>1042</v>
          </cell>
        </row>
        <row r="2369">
          <cell r="A2369">
            <v>1736100423</v>
          </cell>
          <cell r="B2369" t="str">
            <v>תחזוקת מבנה</v>
          </cell>
          <cell r="C2369">
            <v>-1224265</v>
          </cell>
          <cell r="D2369">
            <v>-1288700</v>
          </cell>
          <cell r="E2369">
            <v>0</v>
          </cell>
          <cell r="F2369">
            <v>-1288700</v>
          </cell>
          <cell r="G2369">
            <v>64435</v>
          </cell>
          <cell r="H2369">
            <v>105.26</v>
          </cell>
          <cell r="I2369">
            <v>-1288700</v>
          </cell>
          <cell r="J2369">
            <v>-1288700</v>
          </cell>
        </row>
        <row r="2370">
          <cell r="A2370">
            <v>1741000119</v>
          </cell>
          <cell r="B2370" t="str">
            <v>השכר הקובע-צוברת</v>
          </cell>
          <cell r="C2370">
            <v>1167170</v>
          </cell>
          <cell r="D2370">
            <v>1694071.41</v>
          </cell>
          <cell r="E2370">
            <v>0</v>
          </cell>
          <cell r="F2370">
            <v>1694071.41</v>
          </cell>
          <cell r="G2370">
            <v>-526901.41</v>
          </cell>
          <cell r="H2370">
            <v>145.13999999999999</v>
          </cell>
          <cell r="I2370">
            <v>1228600</v>
          </cell>
          <cell r="J2370">
            <v>1694071.41</v>
          </cell>
        </row>
        <row r="2371">
          <cell r="A2371">
            <v>1741000122</v>
          </cell>
          <cell r="B2371" t="str">
            <v>ביגוד</v>
          </cell>
          <cell r="C2371">
            <v>13395</v>
          </cell>
          <cell r="D2371">
            <v>20292.09</v>
          </cell>
          <cell r="E2371">
            <v>0</v>
          </cell>
          <cell r="F2371">
            <v>20292.09</v>
          </cell>
          <cell r="G2371">
            <v>-6897.09</v>
          </cell>
          <cell r="H2371">
            <v>151.49</v>
          </cell>
          <cell r="I2371">
            <v>14100</v>
          </cell>
          <cell r="J2371">
            <v>20292.09</v>
          </cell>
        </row>
        <row r="2372">
          <cell r="A2372">
            <v>1741000126</v>
          </cell>
          <cell r="B2372" t="str">
            <v>דמי הבראה</v>
          </cell>
          <cell r="C2372">
            <v>27550</v>
          </cell>
          <cell r="D2372">
            <v>37208.31</v>
          </cell>
          <cell r="E2372">
            <v>0</v>
          </cell>
          <cell r="F2372">
            <v>37208.31</v>
          </cell>
          <cell r="G2372">
            <v>-9658.31</v>
          </cell>
          <cell r="H2372">
            <v>135.05000000000001</v>
          </cell>
          <cell r="I2372">
            <v>29000</v>
          </cell>
          <cell r="J2372">
            <v>37208.31</v>
          </cell>
        </row>
        <row r="2373">
          <cell r="A2373">
            <v>1741000140</v>
          </cell>
          <cell r="B2373" t="str">
            <v>השתתפות באחזקת רכב</v>
          </cell>
          <cell r="C2373">
            <v>92530</v>
          </cell>
          <cell r="D2373">
            <v>162639.22</v>
          </cell>
          <cell r="E2373">
            <v>0</v>
          </cell>
          <cell r="F2373">
            <v>162639.22</v>
          </cell>
          <cell r="G2373">
            <v>-70109.22</v>
          </cell>
          <cell r="H2373">
            <v>175.76</v>
          </cell>
          <cell r="I2373">
            <v>97400</v>
          </cell>
          <cell r="J2373">
            <v>162639.22</v>
          </cell>
        </row>
        <row r="2374">
          <cell r="A2374">
            <v>1741000253</v>
          </cell>
          <cell r="B2374" t="str">
            <v>עובדים חיצוניים</v>
          </cell>
          <cell r="C2374">
            <v>0</v>
          </cell>
          <cell r="D2374">
            <v>18443.330000000002</v>
          </cell>
          <cell r="E2374">
            <v>0</v>
          </cell>
          <cell r="F2374">
            <v>18443.330000000002</v>
          </cell>
          <cell r="G2374">
            <v>-18443.330000000002</v>
          </cell>
          <cell r="H2374">
            <v>0</v>
          </cell>
          <cell r="I2374">
            <v>0</v>
          </cell>
          <cell r="J2374">
            <v>18443.330000000002</v>
          </cell>
        </row>
        <row r="2375">
          <cell r="A2375">
            <v>1741000350</v>
          </cell>
          <cell r="B2375" t="str">
            <v>ליסינג - 741-53-902</v>
          </cell>
          <cell r="C2375">
            <v>50350</v>
          </cell>
          <cell r="D2375">
            <v>53507.71</v>
          </cell>
          <cell r="E2375">
            <v>20</v>
          </cell>
          <cell r="F2375">
            <v>53527.71</v>
          </cell>
          <cell r="G2375">
            <v>-3177.71</v>
          </cell>
          <cell r="H2375">
            <v>106.31</v>
          </cell>
          <cell r="I2375">
            <v>53000</v>
          </cell>
          <cell r="J2375">
            <v>53507.71</v>
          </cell>
        </row>
        <row r="2376">
          <cell r="A2376">
            <v>1741000351</v>
          </cell>
          <cell r="B2376" t="str">
            <v>הוצאות - 741-53-902</v>
          </cell>
          <cell r="C2376">
            <v>48688</v>
          </cell>
          <cell r="D2376">
            <v>29451.66</v>
          </cell>
          <cell r="E2376">
            <v>0</v>
          </cell>
          <cell r="F2376">
            <v>29451.66</v>
          </cell>
          <cell r="G2376">
            <v>19236.34</v>
          </cell>
          <cell r="H2376">
            <v>60.49</v>
          </cell>
          <cell r="I2376">
            <v>51250</v>
          </cell>
          <cell r="J2376">
            <v>29451.66</v>
          </cell>
        </row>
        <row r="2377">
          <cell r="A2377">
            <v>1741000471</v>
          </cell>
          <cell r="B2377" t="str">
            <v>מכשירי כתיבה</v>
          </cell>
          <cell r="C2377">
            <v>5600</v>
          </cell>
          <cell r="D2377">
            <v>4703.72</v>
          </cell>
          <cell r="E2377">
            <v>339.3</v>
          </cell>
          <cell r="F2377">
            <v>5043.0200000000004</v>
          </cell>
          <cell r="G2377">
            <v>556.98</v>
          </cell>
          <cell r="H2377">
            <v>90.05</v>
          </cell>
          <cell r="I2377">
            <v>5600</v>
          </cell>
          <cell r="J2377">
            <v>4703.72</v>
          </cell>
        </row>
        <row r="2378">
          <cell r="A2378">
            <v>1741000492</v>
          </cell>
          <cell r="B2378" t="str">
            <v>השתתפות בעזר 092</v>
          </cell>
          <cell r="C2378">
            <v>189905</v>
          </cell>
          <cell r="D2378">
            <v>218886</v>
          </cell>
          <cell r="E2378">
            <v>0</v>
          </cell>
          <cell r="F2378">
            <v>218886</v>
          </cell>
          <cell r="G2378">
            <v>-28981</v>
          </cell>
          <cell r="H2378">
            <v>115.26</v>
          </cell>
          <cell r="I2378">
            <v>199900</v>
          </cell>
          <cell r="J2378">
            <v>218886</v>
          </cell>
        </row>
        <row r="2379">
          <cell r="A2379">
            <v>1741000511</v>
          </cell>
          <cell r="B2379" t="str">
            <v>אירוח וכיבוד</v>
          </cell>
          <cell r="C2379">
            <v>4845</v>
          </cell>
          <cell r="D2379">
            <v>4765.74</v>
          </cell>
          <cell r="E2379">
            <v>0</v>
          </cell>
          <cell r="F2379">
            <v>4765.74</v>
          </cell>
          <cell r="G2379">
            <v>79.260000000000005</v>
          </cell>
          <cell r="H2379">
            <v>98.36</v>
          </cell>
          <cell r="I2379">
            <v>5100</v>
          </cell>
          <cell r="J2379">
            <v>4765.74</v>
          </cell>
        </row>
        <row r="2380">
          <cell r="A2380">
            <v>1741000512</v>
          </cell>
          <cell r="B2380" t="str">
            <v>נסיעות ואש"ל</v>
          </cell>
          <cell r="C2380">
            <v>570</v>
          </cell>
          <cell r="D2380">
            <v>9.5</v>
          </cell>
          <cell r="E2380">
            <v>0</v>
          </cell>
          <cell r="F2380">
            <v>9.5</v>
          </cell>
          <cell r="G2380">
            <v>560.5</v>
          </cell>
          <cell r="H2380">
            <v>1.66</v>
          </cell>
          <cell r="I2380">
            <v>600</v>
          </cell>
          <cell r="J2380">
            <v>9.5</v>
          </cell>
        </row>
        <row r="2381">
          <cell r="A2381">
            <v>1741000522</v>
          </cell>
          <cell r="B2381" t="str">
            <v>ספרים ועיתונים</v>
          </cell>
          <cell r="C2381">
            <v>2565</v>
          </cell>
          <cell r="D2381">
            <v>0</v>
          </cell>
          <cell r="E2381">
            <v>0</v>
          </cell>
          <cell r="F2381">
            <v>0</v>
          </cell>
          <cell r="G2381">
            <v>2565</v>
          </cell>
          <cell r="H2381">
            <v>0</v>
          </cell>
          <cell r="I2381">
            <v>2700</v>
          </cell>
          <cell r="J2381">
            <v>0</v>
          </cell>
        </row>
        <row r="2382">
          <cell r="A2382">
            <v>1741000550</v>
          </cell>
          <cell r="B2382" t="str">
            <v>פירסומים</v>
          </cell>
          <cell r="C2382">
            <v>0</v>
          </cell>
          <cell r="D2382">
            <v>0</v>
          </cell>
          <cell r="E2382">
            <v>0</v>
          </cell>
          <cell r="F2382">
            <v>0</v>
          </cell>
          <cell r="G2382">
            <v>0</v>
          </cell>
          <cell r="H2382">
            <v>0</v>
          </cell>
          <cell r="I2382">
            <v>0</v>
          </cell>
          <cell r="J2382">
            <v>0</v>
          </cell>
        </row>
        <row r="2383">
          <cell r="A2383">
            <v>1741000561</v>
          </cell>
          <cell r="B2383" t="str">
            <v>שיכפולים</v>
          </cell>
          <cell r="C2383">
            <v>380</v>
          </cell>
          <cell r="D2383">
            <v>0</v>
          </cell>
          <cell r="E2383">
            <v>0</v>
          </cell>
          <cell r="F2383">
            <v>0</v>
          </cell>
          <cell r="G2383">
            <v>380</v>
          </cell>
          <cell r="H2383">
            <v>0</v>
          </cell>
          <cell r="I2383">
            <v>400</v>
          </cell>
          <cell r="J2383">
            <v>0</v>
          </cell>
        </row>
        <row r="2384">
          <cell r="A2384">
            <v>1741000562</v>
          </cell>
          <cell r="B2384" t="str">
            <v>הדפסות</v>
          </cell>
          <cell r="C2384">
            <v>285</v>
          </cell>
          <cell r="D2384">
            <v>291.2</v>
          </cell>
          <cell r="E2384">
            <v>0</v>
          </cell>
          <cell r="F2384">
            <v>291.2</v>
          </cell>
          <cell r="G2384">
            <v>-6.2</v>
          </cell>
          <cell r="H2384">
            <v>102.17</v>
          </cell>
          <cell r="I2384">
            <v>300</v>
          </cell>
          <cell r="J2384">
            <v>291.2</v>
          </cell>
        </row>
        <row r="2385">
          <cell r="A2385">
            <v>1741000565</v>
          </cell>
          <cell r="B2385" t="str">
            <v>מפות</v>
          </cell>
          <cell r="C2385">
            <v>1330</v>
          </cell>
          <cell r="D2385">
            <v>0</v>
          </cell>
          <cell r="E2385">
            <v>0</v>
          </cell>
          <cell r="F2385">
            <v>0</v>
          </cell>
          <cell r="G2385">
            <v>1330</v>
          </cell>
          <cell r="H2385">
            <v>0</v>
          </cell>
          <cell r="I2385">
            <v>1400</v>
          </cell>
          <cell r="J2385">
            <v>0</v>
          </cell>
        </row>
        <row r="2386">
          <cell r="A2386">
            <v>1741000571</v>
          </cell>
          <cell r="B2386" t="str">
            <v>מיכון וענ"א</v>
          </cell>
          <cell r="C2386">
            <v>80845</v>
          </cell>
          <cell r="D2386">
            <v>85100</v>
          </cell>
          <cell r="E2386">
            <v>0</v>
          </cell>
          <cell r="F2386">
            <v>85100</v>
          </cell>
          <cell r="G2386">
            <v>-4255</v>
          </cell>
          <cell r="H2386">
            <v>105.26</v>
          </cell>
          <cell r="I2386">
            <v>85100</v>
          </cell>
          <cell r="J2386">
            <v>85100</v>
          </cell>
        </row>
        <row r="2387">
          <cell r="A2387">
            <v>1741000572</v>
          </cell>
          <cell r="B2387" t="str">
            <v>תוכנת דקל</v>
          </cell>
          <cell r="C2387">
            <v>55575</v>
          </cell>
          <cell r="D2387">
            <v>58500</v>
          </cell>
          <cell r="E2387">
            <v>0</v>
          </cell>
          <cell r="F2387">
            <v>58500</v>
          </cell>
          <cell r="G2387">
            <v>-2925</v>
          </cell>
          <cell r="H2387">
            <v>105.26</v>
          </cell>
          <cell r="I2387">
            <v>58500</v>
          </cell>
          <cell r="J2387">
            <v>58500</v>
          </cell>
        </row>
        <row r="2388">
          <cell r="A2388">
            <v>1741000580</v>
          </cell>
          <cell r="B2388" t="str">
            <v>ייעוץ</v>
          </cell>
          <cell r="C2388">
            <v>0</v>
          </cell>
          <cell r="D2388">
            <v>0</v>
          </cell>
          <cell r="E2388">
            <v>0</v>
          </cell>
          <cell r="F2388">
            <v>0</v>
          </cell>
          <cell r="G2388">
            <v>0</v>
          </cell>
          <cell r="H2388">
            <v>0</v>
          </cell>
          <cell r="I2388">
            <v>0</v>
          </cell>
          <cell r="J2388">
            <v>0</v>
          </cell>
        </row>
        <row r="2389">
          <cell r="A2389">
            <v>1741000581</v>
          </cell>
          <cell r="B2389" t="str">
            <v>תמיכה לבקרת פרוייקטים</v>
          </cell>
          <cell r="C2389">
            <v>0</v>
          </cell>
          <cell r="D2389">
            <v>0</v>
          </cell>
          <cell r="E2389">
            <v>0</v>
          </cell>
          <cell r="F2389">
            <v>0</v>
          </cell>
          <cell r="G2389">
            <v>0</v>
          </cell>
          <cell r="H2389">
            <v>0</v>
          </cell>
          <cell r="I2389">
            <v>0</v>
          </cell>
          <cell r="J2389">
            <v>0</v>
          </cell>
        </row>
        <row r="2390">
          <cell r="A2390">
            <v>1741000780</v>
          </cell>
          <cell r="B2390" t="str">
            <v>עיר בריאה ומקיימת</v>
          </cell>
          <cell r="C2390">
            <v>0</v>
          </cell>
          <cell r="D2390">
            <v>0</v>
          </cell>
          <cell r="E2390">
            <v>0</v>
          </cell>
          <cell r="F2390">
            <v>0</v>
          </cell>
          <cell r="G2390">
            <v>0</v>
          </cell>
          <cell r="H2390">
            <v>0</v>
          </cell>
          <cell r="I2390">
            <v>0</v>
          </cell>
          <cell r="J2390">
            <v>0</v>
          </cell>
        </row>
        <row r="2391">
          <cell r="A2391">
            <v>1741000781</v>
          </cell>
          <cell r="B2391" t="str">
            <v>פעולות סמנכ"ל</v>
          </cell>
          <cell r="C2391">
            <v>19000</v>
          </cell>
          <cell r="D2391">
            <v>17931.05</v>
          </cell>
          <cell r="E2391">
            <v>488.5</v>
          </cell>
          <cell r="F2391">
            <v>18419.55</v>
          </cell>
          <cell r="G2391">
            <v>580.45000000000005</v>
          </cell>
          <cell r="H2391">
            <v>96.94</v>
          </cell>
          <cell r="I2391">
            <v>20000</v>
          </cell>
          <cell r="J2391">
            <v>17931.05</v>
          </cell>
        </row>
        <row r="2392">
          <cell r="A2392">
            <v>1741000782</v>
          </cell>
          <cell r="B2392" t="str">
            <v>עיר בריאה - הגנת  הסביבה</v>
          </cell>
          <cell r="C2392">
            <v>0</v>
          </cell>
          <cell r="D2392">
            <v>0</v>
          </cell>
          <cell r="E2392">
            <v>0</v>
          </cell>
          <cell r="F2392">
            <v>0</v>
          </cell>
          <cell r="G2392">
            <v>0</v>
          </cell>
          <cell r="H2392">
            <v>0</v>
          </cell>
          <cell r="I2392">
            <v>0</v>
          </cell>
          <cell r="J2392">
            <v>0</v>
          </cell>
        </row>
        <row r="2393">
          <cell r="A2393">
            <v>1741000783</v>
          </cell>
          <cell r="B2393" t="str">
            <v>עיר בריאה - רשת ניקוז ירקון</v>
          </cell>
          <cell r="C2393">
            <v>0</v>
          </cell>
          <cell r="D2393">
            <v>0</v>
          </cell>
          <cell r="E2393">
            <v>0</v>
          </cell>
          <cell r="F2393">
            <v>0</v>
          </cell>
          <cell r="G2393">
            <v>0</v>
          </cell>
          <cell r="H2393">
            <v>0</v>
          </cell>
          <cell r="I2393">
            <v>0</v>
          </cell>
          <cell r="J2393">
            <v>0</v>
          </cell>
        </row>
        <row r="2394">
          <cell r="A2394">
            <v>1741000784</v>
          </cell>
          <cell r="B2394" t="str">
            <v>עיר בריאה ומקיימת - חינוך</v>
          </cell>
          <cell r="C2394">
            <v>0</v>
          </cell>
          <cell r="D2394">
            <v>0</v>
          </cell>
          <cell r="E2394">
            <v>0</v>
          </cell>
          <cell r="F2394">
            <v>0</v>
          </cell>
          <cell r="G2394">
            <v>0</v>
          </cell>
          <cell r="H2394">
            <v>0</v>
          </cell>
          <cell r="I2394">
            <v>0</v>
          </cell>
          <cell r="J2394">
            <v>0</v>
          </cell>
        </row>
        <row r="2395">
          <cell r="A2395">
            <v>1741000931</v>
          </cell>
          <cell r="B2395" t="str">
            <v>עבודות בטיחות</v>
          </cell>
          <cell r="C2395">
            <v>44009</v>
          </cell>
          <cell r="D2395">
            <v>0</v>
          </cell>
          <cell r="E2395">
            <v>0</v>
          </cell>
          <cell r="F2395">
            <v>0</v>
          </cell>
          <cell r="G2395">
            <v>44009</v>
          </cell>
          <cell r="H2395">
            <v>0</v>
          </cell>
          <cell r="I2395">
            <v>46325</v>
          </cell>
          <cell r="J2395">
            <v>0</v>
          </cell>
        </row>
        <row r="2396">
          <cell r="A2396">
            <v>1741100110</v>
          </cell>
          <cell r="B2396" t="str">
            <v>השכר הקובע-תקציבית</v>
          </cell>
          <cell r="C2396">
            <v>246430</v>
          </cell>
          <cell r="D2396">
            <v>270061.3</v>
          </cell>
          <cell r="E2396">
            <v>0</v>
          </cell>
          <cell r="F2396">
            <v>270061.3</v>
          </cell>
          <cell r="G2396">
            <v>-23631.3</v>
          </cell>
          <cell r="H2396">
            <v>109.58</v>
          </cell>
          <cell r="I2396">
            <v>259400</v>
          </cell>
          <cell r="J2396">
            <v>270061.3</v>
          </cell>
        </row>
        <row r="2397">
          <cell r="A2397">
            <v>1741100119</v>
          </cell>
          <cell r="B2397" t="str">
            <v>השכר הקובע-צוברת</v>
          </cell>
          <cell r="C2397">
            <v>1132875</v>
          </cell>
          <cell r="D2397">
            <v>1229255.03</v>
          </cell>
          <cell r="E2397">
            <v>0</v>
          </cell>
          <cell r="F2397">
            <v>1229255.03</v>
          </cell>
          <cell r="G2397">
            <v>-96380.03</v>
          </cell>
          <cell r="H2397">
            <v>108.5</v>
          </cell>
          <cell r="I2397">
            <v>1192500</v>
          </cell>
          <cell r="J2397">
            <v>1229255.03</v>
          </cell>
        </row>
        <row r="2398">
          <cell r="A2398">
            <v>1741100122</v>
          </cell>
          <cell r="B2398" t="str">
            <v>ביגוד</v>
          </cell>
          <cell r="C2398">
            <v>13110</v>
          </cell>
          <cell r="D2398">
            <v>16403.93</v>
          </cell>
          <cell r="E2398">
            <v>0</v>
          </cell>
          <cell r="F2398">
            <v>16403.93</v>
          </cell>
          <cell r="G2398">
            <v>-3293.93</v>
          </cell>
          <cell r="H2398">
            <v>125.12</v>
          </cell>
          <cell r="I2398">
            <v>13800</v>
          </cell>
          <cell r="J2398">
            <v>16403.93</v>
          </cell>
        </row>
        <row r="2399">
          <cell r="A2399">
            <v>1741100126</v>
          </cell>
          <cell r="B2399" t="str">
            <v>דמי הבראה</v>
          </cell>
          <cell r="C2399">
            <v>37050</v>
          </cell>
          <cell r="D2399">
            <v>39923.06</v>
          </cell>
          <cell r="E2399">
            <v>0</v>
          </cell>
          <cell r="F2399">
            <v>39923.06</v>
          </cell>
          <cell r="G2399">
            <v>-2873.06</v>
          </cell>
          <cell r="H2399">
            <v>107.75</v>
          </cell>
          <cell r="I2399">
            <v>39000</v>
          </cell>
          <cell r="J2399">
            <v>39923.06</v>
          </cell>
        </row>
        <row r="2400">
          <cell r="A2400">
            <v>1741100130</v>
          </cell>
          <cell r="B2400" t="str">
            <v>שעות נוספות</v>
          </cell>
          <cell r="C2400">
            <v>22895</v>
          </cell>
          <cell r="D2400">
            <v>33882.92</v>
          </cell>
          <cell r="E2400">
            <v>0</v>
          </cell>
          <cell r="F2400">
            <v>33882.92</v>
          </cell>
          <cell r="G2400">
            <v>-10987.92</v>
          </cell>
          <cell r="H2400">
            <v>147.99</v>
          </cell>
          <cell r="I2400">
            <v>24100</v>
          </cell>
          <cell r="J2400">
            <v>33882.92</v>
          </cell>
        </row>
        <row r="2401">
          <cell r="A2401">
            <v>1741100140</v>
          </cell>
          <cell r="B2401" t="str">
            <v>השתתפות באחזקת רכב</v>
          </cell>
          <cell r="C2401">
            <v>45885</v>
          </cell>
          <cell r="D2401">
            <v>108574.23</v>
          </cell>
          <cell r="E2401">
            <v>0</v>
          </cell>
          <cell r="F2401">
            <v>108574.23</v>
          </cell>
          <cell r="G2401">
            <v>-62689.23</v>
          </cell>
          <cell r="H2401">
            <v>236.62</v>
          </cell>
          <cell r="I2401">
            <v>48300</v>
          </cell>
          <cell r="J2401">
            <v>108574.23</v>
          </cell>
        </row>
        <row r="2402">
          <cell r="A2402">
            <v>1741100253</v>
          </cell>
          <cell r="B2402" t="str">
            <v>עובדים חיצוניים</v>
          </cell>
          <cell r="C2402">
            <v>0</v>
          </cell>
          <cell r="D2402">
            <v>4028.79</v>
          </cell>
          <cell r="E2402">
            <v>0</v>
          </cell>
          <cell r="F2402">
            <v>4028.79</v>
          </cell>
          <cell r="G2402">
            <v>-4028.79</v>
          </cell>
          <cell r="H2402">
            <v>0</v>
          </cell>
          <cell r="I2402">
            <v>0</v>
          </cell>
          <cell r="J2402">
            <v>4028.79</v>
          </cell>
        </row>
        <row r="2403">
          <cell r="A2403">
            <v>1741100350</v>
          </cell>
          <cell r="B2403" t="str">
            <v>ליסינג - 409-50-302</v>
          </cell>
          <cell r="C2403">
            <v>44650</v>
          </cell>
          <cell r="D2403">
            <v>51294.45</v>
          </cell>
          <cell r="E2403">
            <v>0</v>
          </cell>
          <cell r="F2403">
            <v>51294.45</v>
          </cell>
          <cell r="G2403">
            <v>-6644.45</v>
          </cell>
          <cell r="H2403">
            <v>114.88</v>
          </cell>
          <cell r="I2403">
            <v>47000</v>
          </cell>
          <cell r="J2403">
            <v>51294.45</v>
          </cell>
        </row>
        <row r="2404">
          <cell r="A2404">
            <v>1741100351</v>
          </cell>
          <cell r="B2404" t="str">
            <v>הוצאות - 409-50-302</v>
          </cell>
          <cell r="C2404">
            <v>41895</v>
          </cell>
          <cell r="D2404">
            <v>862.97</v>
          </cell>
          <cell r="E2404">
            <v>0</v>
          </cell>
          <cell r="F2404">
            <v>862.97</v>
          </cell>
          <cell r="G2404">
            <v>41032.03</v>
          </cell>
          <cell r="H2404">
            <v>2.0499999999999998</v>
          </cell>
          <cell r="I2404">
            <v>44100</v>
          </cell>
          <cell r="J2404">
            <v>862.97</v>
          </cell>
        </row>
        <row r="2405">
          <cell r="A2405">
            <v>1741100470</v>
          </cell>
          <cell r="B2405" t="str">
            <v>אחזקת מכונות משרד</v>
          </cell>
          <cell r="C2405">
            <v>2470</v>
          </cell>
          <cell r="D2405">
            <v>0</v>
          </cell>
          <cell r="E2405">
            <v>0</v>
          </cell>
          <cell r="F2405">
            <v>0</v>
          </cell>
          <cell r="G2405">
            <v>2470</v>
          </cell>
          <cell r="H2405">
            <v>0</v>
          </cell>
          <cell r="I2405">
            <v>2600</v>
          </cell>
          <cell r="J2405">
            <v>0</v>
          </cell>
        </row>
        <row r="2406">
          <cell r="A2406">
            <v>1741100471</v>
          </cell>
          <cell r="B2406" t="str">
            <v>מכשירי כתיבה</v>
          </cell>
          <cell r="C2406">
            <v>16300</v>
          </cell>
          <cell r="D2406">
            <v>15566.03</v>
          </cell>
          <cell r="E2406">
            <v>315.89999999999998</v>
          </cell>
          <cell r="F2406">
            <v>15881.93</v>
          </cell>
          <cell r="G2406">
            <v>418.07</v>
          </cell>
          <cell r="H2406">
            <v>97.43</v>
          </cell>
          <cell r="I2406">
            <v>16300</v>
          </cell>
          <cell r="J2406">
            <v>15566.03</v>
          </cell>
        </row>
        <row r="2407">
          <cell r="A2407">
            <v>1741100511</v>
          </cell>
          <cell r="B2407" t="str">
            <v>אירוח וכיבוד</v>
          </cell>
          <cell r="C2407">
            <v>1995</v>
          </cell>
          <cell r="D2407">
            <v>1503.12</v>
          </cell>
          <cell r="E2407">
            <v>0</v>
          </cell>
          <cell r="F2407">
            <v>1503.12</v>
          </cell>
          <cell r="G2407">
            <v>491.88</v>
          </cell>
          <cell r="H2407">
            <v>75.34</v>
          </cell>
          <cell r="I2407">
            <v>2100</v>
          </cell>
          <cell r="J2407">
            <v>1503.12</v>
          </cell>
        </row>
        <row r="2408">
          <cell r="A2408">
            <v>1741100512</v>
          </cell>
          <cell r="B2408" t="str">
            <v>נסיעות ואש"ל</v>
          </cell>
          <cell r="C2408">
            <v>475</v>
          </cell>
          <cell r="D2408">
            <v>0</v>
          </cell>
          <cell r="E2408">
            <v>0</v>
          </cell>
          <cell r="F2408">
            <v>0</v>
          </cell>
          <cell r="G2408">
            <v>475</v>
          </cell>
          <cell r="H2408">
            <v>0</v>
          </cell>
          <cell r="I2408">
            <v>500</v>
          </cell>
          <cell r="J2408">
            <v>0</v>
          </cell>
        </row>
        <row r="2409">
          <cell r="A2409">
            <v>1741100522</v>
          </cell>
          <cell r="B2409" t="str">
            <v>ספרים ועיתונים</v>
          </cell>
          <cell r="C2409">
            <v>190</v>
          </cell>
          <cell r="D2409">
            <v>0</v>
          </cell>
          <cell r="E2409">
            <v>0</v>
          </cell>
          <cell r="F2409">
            <v>0</v>
          </cell>
          <cell r="G2409">
            <v>190</v>
          </cell>
          <cell r="H2409">
            <v>0</v>
          </cell>
          <cell r="I2409">
            <v>200</v>
          </cell>
          <cell r="J2409">
            <v>0</v>
          </cell>
        </row>
        <row r="2410">
          <cell r="A2410">
            <v>1741100561</v>
          </cell>
          <cell r="B2410" t="str">
            <v>שיכפולים</v>
          </cell>
          <cell r="C2410">
            <v>1615</v>
          </cell>
          <cell r="D2410">
            <v>582.4</v>
          </cell>
          <cell r="E2410">
            <v>0</v>
          </cell>
          <cell r="F2410">
            <v>582.4</v>
          </cell>
          <cell r="G2410">
            <v>1032.5999999999999</v>
          </cell>
          <cell r="H2410">
            <v>36.06</v>
          </cell>
          <cell r="I2410">
            <v>1700</v>
          </cell>
          <cell r="J2410">
            <v>582.4</v>
          </cell>
        </row>
        <row r="2411">
          <cell r="A2411">
            <v>1741100562</v>
          </cell>
          <cell r="B2411" t="str">
            <v>הדפסות</v>
          </cell>
          <cell r="C2411">
            <v>285</v>
          </cell>
          <cell r="D2411">
            <v>0</v>
          </cell>
          <cell r="E2411">
            <v>0</v>
          </cell>
          <cell r="F2411">
            <v>0</v>
          </cell>
          <cell r="G2411">
            <v>285</v>
          </cell>
          <cell r="H2411">
            <v>0</v>
          </cell>
          <cell r="I2411">
            <v>300</v>
          </cell>
          <cell r="J2411">
            <v>0</v>
          </cell>
        </row>
        <row r="2412">
          <cell r="A2412">
            <v>1741100565</v>
          </cell>
          <cell r="B2412" t="str">
            <v>מידע לתושב</v>
          </cell>
          <cell r="C2412">
            <v>0</v>
          </cell>
          <cell r="D2412">
            <v>0</v>
          </cell>
          <cell r="E2412">
            <v>0</v>
          </cell>
          <cell r="F2412">
            <v>0</v>
          </cell>
          <cell r="G2412">
            <v>0</v>
          </cell>
          <cell r="H2412">
            <v>0</v>
          </cell>
          <cell r="I2412">
            <v>0</v>
          </cell>
          <cell r="J2412">
            <v>0</v>
          </cell>
        </row>
        <row r="2413">
          <cell r="A2413">
            <v>1741100961</v>
          </cell>
          <cell r="B2413" t="str">
            <v>רז' פעולות ורכישות</v>
          </cell>
          <cell r="C2413">
            <v>0</v>
          </cell>
          <cell r="D2413">
            <v>0</v>
          </cell>
          <cell r="E2413">
            <v>0</v>
          </cell>
          <cell r="F2413">
            <v>0</v>
          </cell>
          <cell r="G2413">
            <v>0</v>
          </cell>
          <cell r="H2413">
            <v>0</v>
          </cell>
          <cell r="I2413">
            <v>0</v>
          </cell>
          <cell r="J2413">
            <v>0</v>
          </cell>
        </row>
        <row r="2414">
          <cell r="A2414">
            <v>1742000110</v>
          </cell>
          <cell r="B2414" t="str">
            <v>השכר הקובע-תקציבית</v>
          </cell>
          <cell r="C2414">
            <v>175750</v>
          </cell>
          <cell r="D2414">
            <v>211218.56</v>
          </cell>
          <cell r="E2414">
            <v>0</v>
          </cell>
          <cell r="F2414">
            <v>211218.56</v>
          </cell>
          <cell r="G2414">
            <v>-35468.559999999998</v>
          </cell>
          <cell r="H2414">
            <v>120.18</v>
          </cell>
          <cell r="I2414">
            <v>185000</v>
          </cell>
          <cell r="J2414">
            <v>211218.56</v>
          </cell>
        </row>
        <row r="2415">
          <cell r="A2415">
            <v>1742000119</v>
          </cell>
          <cell r="B2415" t="str">
            <v>השכר הקובע-צוברת</v>
          </cell>
          <cell r="C2415">
            <v>1988350</v>
          </cell>
          <cell r="D2415">
            <v>2640486.4900000002</v>
          </cell>
          <cell r="E2415">
            <v>0</v>
          </cell>
          <cell r="F2415">
            <v>2640486.4900000002</v>
          </cell>
          <cell r="G2415">
            <v>-652136.49</v>
          </cell>
          <cell r="H2415">
            <v>132.79</v>
          </cell>
          <cell r="I2415">
            <v>2093000</v>
          </cell>
          <cell r="J2415">
            <v>2640486.4900000002</v>
          </cell>
        </row>
        <row r="2416">
          <cell r="A2416">
            <v>1742000122</v>
          </cell>
          <cell r="B2416" t="str">
            <v>ביגוד</v>
          </cell>
          <cell r="C2416">
            <v>19760</v>
          </cell>
          <cell r="D2416">
            <v>25225.71</v>
          </cell>
          <cell r="E2416">
            <v>0</v>
          </cell>
          <cell r="F2416">
            <v>25225.71</v>
          </cell>
          <cell r="G2416">
            <v>-5465.71</v>
          </cell>
          <cell r="H2416">
            <v>127.66</v>
          </cell>
          <cell r="I2416">
            <v>20800</v>
          </cell>
          <cell r="J2416">
            <v>25225.71</v>
          </cell>
        </row>
        <row r="2417">
          <cell r="A2417">
            <v>1742000126</v>
          </cell>
          <cell r="B2417" t="str">
            <v>דמי הבראה</v>
          </cell>
          <cell r="C2417">
            <v>43130</v>
          </cell>
          <cell r="D2417">
            <v>63527.93</v>
          </cell>
          <cell r="E2417">
            <v>0</v>
          </cell>
          <cell r="F2417">
            <v>63527.93</v>
          </cell>
          <cell r="G2417">
            <v>-20397.93</v>
          </cell>
          <cell r="H2417">
            <v>147.29</v>
          </cell>
          <cell r="I2417">
            <v>45400</v>
          </cell>
          <cell r="J2417">
            <v>63527.93</v>
          </cell>
        </row>
        <row r="2418">
          <cell r="A2418">
            <v>1742000130</v>
          </cell>
          <cell r="B2418" t="str">
            <v>שעות נוספות</v>
          </cell>
          <cell r="C2418">
            <v>92815</v>
          </cell>
          <cell r="D2418">
            <v>73619</v>
          </cell>
          <cell r="E2418">
            <v>0</v>
          </cell>
          <cell r="F2418">
            <v>73619</v>
          </cell>
          <cell r="G2418">
            <v>19196</v>
          </cell>
          <cell r="H2418">
            <v>79.31</v>
          </cell>
          <cell r="I2418">
            <v>97700</v>
          </cell>
          <cell r="J2418">
            <v>73619</v>
          </cell>
        </row>
        <row r="2419">
          <cell r="A2419">
            <v>1742000140</v>
          </cell>
          <cell r="B2419" t="str">
            <v>השתתפות באחזקת רכב</v>
          </cell>
          <cell r="C2419">
            <v>195700</v>
          </cell>
          <cell r="D2419">
            <v>382474.43</v>
          </cell>
          <cell r="E2419">
            <v>0</v>
          </cell>
          <cell r="F2419">
            <v>382474.43</v>
          </cell>
          <cell r="G2419">
            <v>-186774.43</v>
          </cell>
          <cell r="H2419">
            <v>195.43</v>
          </cell>
          <cell r="I2419">
            <v>206000</v>
          </cell>
          <cell r="J2419">
            <v>382474.43</v>
          </cell>
        </row>
        <row r="2420">
          <cell r="A2420">
            <v>1742000253</v>
          </cell>
          <cell r="B2420" t="str">
            <v>עובדים חיצוניים</v>
          </cell>
          <cell r="C2420">
            <v>0</v>
          </cell>
          <cell r="D2420">
            <v>0</v>
          </cell>
          <cell r="E2420">
            <v>0</v>
          </cell>
          <cell r="F2420">
            <v>0</v>
          </cell>
          <cell r="G2420">
            <v>0</v>
          </cell>
          <cell r="H2420">
            <v>0</v>
          </cell>
          <cell r="I2420">
            <v>0</v>
          </cell>
          <cell r="J2420">
            <v>0</v>
          </cell>
        </row>
        <row r="2421">
          <cell r="A2421">
            <v>1742000511</v>
          </cell>
          <cell r="B2421" t="str">
            <v>אירוח וכיבוד</v>
          </cell>
          <cell r="C2421">
            <v>8800</v>
          </cell>
          <cell r="D2421">
            <v>7333.53</v>
          </cell>
          <cell r="E2421">
            <v>102.84</v>
          </cell>
          <cell r="F2421">
            <v>7436.37</v>
          </cell>
          <cell r="G2421">
            <v>1363.63</v>
          </cell>
          <cell r="H2421">
            <v>84.5</v>
          </cell>
          <cell r="I2421">
            <v>8800</v>
          </cell>
          <cell r="J2421">
            <v>7333.53</v>
          </cell>
        </row>
        <row r="2422">
          <cell r="A2422">
            <v>1742000544</v>
          </cell>
          <cell r="B2422" t="str">
            <v>הוצאות דאר</v>
          </cell>
          <cell r="C2422">
            <v>855</v>
          </cell>
          <cell r="D2422">
            <v>0</v>
          </cell>
          <cell r="E2422">
            <v>0</v>
          </cell>
          <cell r="F2422">
            <v>0</v>
          </cell>
          <cell r="G2422">
            <v>855</v>
          </cell>
          <cell r="H2422">
            <v>0</v>
          </cell>
          <cell r="I2422">
            <v>900</v>
          </cell>
          <cell r="J2422">
            <v>0</v>
          </cell>
        </row>
        <row r="2423">
          <cell r="A2423">
            <v>1742000571</v>
          </cell>
          <cell r="B2423" t="str">
            <v>מיכון וענ"א</v>
          </cell>
          <cell r="C2423">
            <v>30020</v>
          </cell>
          <cell r="D2423">
            <v>31600</v>
          </cell>
          <cell r="E2423">
            <v>0</v>
          </cell>
          <cell r="F2423">
            <v>31600</v>
          </cell>
          <cell r="G2423">
            <v>-1580</v>
          </cell>
          <cell r="H2423">
            <v>105.26</v>
          </cell>
          <cell r="I2423">
            <v>31600</v>
          </cell>
          <cell r="J2423">
            <v>31600</v>
          </cell>
        </row>
        <row r="2424">
          <cell r="A2424">
            <v>1742000580</v>
          </cell>
          <cell r="B2424" t="str">
            <v>ייעוץ לטופס 4+5</v>
          </cell>
          <cell r="C2424">
            <v>73150</v>
          </cell>
          <cell r="D2424">
            <v>45770.400000000001</v>
          </cell>
          <cell r="E2424">
            <v>561.6</v>
          </cell>
          <cell r="F2424">
            <v>46332</v>
          </cell>
          <cell r="G2424">
            <v>26818</v>
          </cell>
          <cell r="H2424">
            <v>63.33</v>
          </cell>
          <cell r="I2424">
            <v>77000</v>
          </cell>
          <cell r="J2424">
            <v>45770.400000000001</v>
          </cell>
        </row>
        <row r="2425">
          <cell r="A2425">
            <v>1742000581</v>
          </cell>
          <cell r="B2425" t="str">
            <v>יעוץ ושרות למחלקת דרכים</v>
          </cell>
          <cell r="C2425">
            <v>240350</v>
          </cell>
          <cell r="D2425">
            <v>0</v>
          </cell>
          <cell r="E2425">
            <v>0</v>
          </cell>
          <cell r="F2425">
            <v>0</v>
          </cell>
          <cell r="G2425">
            <v>240350</v>
          </cell>
          <cell r="H2425">
            <v>0</v>
          </cell>
          <cell r="I2425">
            <v>253000</v>
          </cell>
          <cell r="J2425">
            <v>0</v>
          </cell>
        </row>
        <row r="2426">
          <cell r="A2426">
            <v>1742000582</v>
          </cell>
          <cell r="B2426" t="str">
            <v>אחזקת סככות אוטובוס</v>
          </cell>
          <cell r="C2426">
            <v>225625</v>
          </cell>
          <cell r="D2426">
            <v>198020.8</v>
          </cell>
          <cell r="E2426">
            <v>14574.2</v>
          </cell>
          <cell r="F2426">
            <v>212595</v>
          </cell>
          <cell r="G2426">
            <v>13030</v>
          </cell>
          <cell r="H2426">
            <v>94.22</v>
          </cell>
          <cell r="I2426">
            <v>237500</v>
          </cell>
          <cell r="J2426">
            <v>198020.8</v>
          </cell>
        </row>
        <row r="2427">
          <cell r="A2427">
            <v>1742000583</v>
          </cell>
          <cell r="B2427" t="str">
            <v>אחזקה מונעת סככות מהיר לעיר</v>
          </cell>
          <cell r="C2427">
            <v>902500</v>
          </cell>
          <cell r="D2427">
            <v>0</v>
          </cell>
          <cell r="E2427">
            <v>0</v>
          </cell>
          <cell r="F2427">
            <v>0</v>
          </cell>
          <cell r="G2427">
            <v>902500</v>
          </cell>
          <cell r="H2427">
            <v>0</v>
          </cell>
          <cell r="I2427">
            <v>950000</v>
          </cell>
          <cell r="J2427">
            <v>0</v>
          </cell>
        </row>
        <row r="2428">
          <cell r="A2428">
            <v>1742000584</v>
          </cell>
          <cell r="B2428" t="str">
            <v>ייעוץ לממ"ש</v>
          </cell>
          <cell r="C2428">
            <v>220210</v>
          </cell>
          <cell r="D2428">
            <v>104827.5</v>
          </cell>
          <cell r="E2428">
            <v>126832.5</v>
          </cell>
          <cell r="F2428">
            <v>231660</v>
          </cell>
          <cell r="G2428">
            <v>-11450</v>
          </cell>
          <cell r="H2428">
            <v>105.19</v>
          </cell>
          <cell r="I2428">
            <v>231800</v>
          </cell>
          <cell r="J2428">
            <v>104827.5</v>
          </cell>
        </row>
        <row r="2429">
          <cell r="A2429">
            <v>1742000585</v>
          </cell>
          <cell r="B2429" t="str">
            <v>פיקוח על סככות אוטובוס</v>
          </cell>
          <cell r="C2429">
            <v>69825</v>
          </cell>
          <cell r="D2429">
            <v>0</v>
          </cell>
          <cell r="E2429">
            <v>0</v>
          </cell>
          <cell r="F2429">
            <v>0</v>
          </cell>
          <cell r="G2429">
            <v>69825</v>
          </cell>
          <cell r="H2429">
            <v>0</v>
          </cell>
          <cell r="I2429">
            <v>73500</v>
          </cell>
          <cell r="J2429">
            <v>0</v>
          </cell>
        </row>
        <row r="2430">
          <cell r="A2430">
            <v>1742000596</v>
          </cell>
          <cell r="B2430" t="str">
            <v>השתתפות בעזר 096</v>
          </cell>
          <cell r="C2430">
            <v>168815</v>
          </cell>
          <cell r="D2430">
            <v>166095</v>
          </cell>
          <cell r="E2430">
            <v>0</v>
          </cell>
          <cell r="F2430">
            <v>166095</v>
          </cell>
          <cell r="G2430">
            <v>2720</v>
          </cell>
          <cell r="H2430">
            <v>98.38</v>
          </cell>
          <cell r="I2430">
            <v>177700</v>
          </cell>
          <cell r="J2430">
            <v>166095</v>
          </cell>
        </row>
        <row r="2431">
          <cell r="A2431">
            <v>1742000715</v>
          </cell>
          <cell r="B2431" t="str">
            <v>עבודות קבלניות-רכב</v>
          </cell>
          <cell r="C2431">
            <v>0</v>
          </cell>
          <cell r="D2431">
            <v>0</v>
          </cell>
          <cell r="E2431">
            <v>0</v>
          </cell>
          <cell r="F2431">
            <v>0</v>
          </cell>
          <cell r="G2431">
            <v>0</v>
          </cell>
          <cell r="H2431">
            <v>0</v>
          </cell>
          <cell r="I2431">
            <v>0</v>
          </cell>
          <cell r="J2431">
            <v>0</v>
          </cell>
        </row>
        <row r="2432">
          <cell r="A2432">
            <v>1742000722</v>
          </cell>
          <cell r="B2432" t="str">
            <v>חמרים-תחזוקה עצמית</v>
          </cell>
          <cell r="C2432">
            <v>102600</v>
          </cell>
          <cell r="D2432">
            <v>101833.3</v>
          </cell>
          <cell r="E2432">
            <v>238.68</v>
          </cell>
          <cell r="F2432">
            <v>102071.98</v>
          </cell>
          <cell r="G2432">
            <v>528.02</v>
          </cell>
          <cell r="H2432">
            <v>99.48</v>
          </cell>
          <cell r="I2432">
            <v>102600</v>
          </cell>
          <cell r="J2432">
            <v>101833.3</v>
          </cell>
        </row>
        <row r="2433">
          <cell r="A2433">
            <v>1742000737</v>
          </cell>
          <cell r="B2433" t="str">
            <v>שכירות רכב לימים גשומים</v>
          </cell>
          <cell r="C2433">
            <v>14250</v>
          </cell>
          <cell r="D2433">
            <v>0</v>
          </cell>
          <cell r="E2433">
            <v>0</v>
          </cell>
          <cell r="F2433">
            <v>0</v>
          </cell>
          <cell r="G2433">
            <v>14250</v>
          </cell>
          <cell r="H2433">
            <v>0</v>
          </cell>
          <cell r="I2433">
            <v>15000</v>
          </cell>
          <cell r="J2433">
            <v>0</v>
          </cell>
        </row>
        <row r="2434">
          <cell r="A2434">
            <v>1742000742</v>
          </cell>
          <cell r="B2434" t="str">
            <v>כלים וציוד</v>
          </cell>
          <cell r="C2434">
            <v>16025</v>
          </cell>
          <cell r="D2434">
            <v>14638.6</v>
          </cell>
          <cell r="E2434">
            <v>0</v>
          </cell>
          <cell r="F2434">
            <v>14638.6</v>
          </cell>
          <cell r="G2434">
            <v>1386.4</v>
          </cell>
          <cell r="H2434">
            <v>91.34</v>
          </cell>
          <cell r="I2434">
            <v>16025</v>
          </cell>
          <cell r="J2434">
            <v>14638.6</v>
          </cell>
        </row>
        <row r="2435">
          <cell r="A2435">
            <v>1742000745</v>
          </cell>
          <cell r="B2435" t="str">
            <v>מבצעי חורף</v>
          </cell>
          <cell r="C2435">
            <v>13700</v>
          </cell>
          <cell r="D2435">
            <v>6805</v>
          </cell>
          <cell r="E2435">
            <v>0</v>
          </cell>
          <cell r="F2435">
            <v>6805</v>
          </cell>
          <cell r="G2435">
            <v>6895</v>
          </cell>
          <cell r="H2435">
            <v>49.67</v>
          </cell>
          <cell r="I2435">
            <v>13700</v>
          </cell>
          <cell r="J2435">
            <v>6805</v>
          </cell>
        </row>
        <row r="2436">
          <cell r="A2436">
            <v>1742000754</v>
          </cell>
          <cell r="B2436" t="str">
            <v>עבודות קבלניות</v>
          </cell>
          <cell r="C2436">
            <v>684000</v>
          </cell>
          <cell r="D2436">
            <v>683999.3</v>
          </cell>
          <cell r="E2436">
            <v>0</v>
          </cell>
          <cell r="F2436">
            <v>683999.3</v>
          </cell>
          <cell r="G2436">
            <v>0.7</v>
          </cell>
          <cell r="H2436">
            <v>99.99</v>
          </cell>
          <cell r="I2436">
            <v>684000</v>
          </cell>
          <cell r="J2436">
            <v>683999.3</v>
          </cell>
        </row>
        <row r="2437">
          <cell r="A2437">
            <v>1742000757</v>
          </cell>
          <cell r="B2437" t="str">
            <v>ציפוי כבישים</v>
          </cell>
          <cell r="C2437">
            <v>0</v>
          </cell>
          <cell r="D2437">
            <v>0</v>
          </cell>
          <cell r="E2437">
            <v>0</v>
          </cell>
          <cell r="F2437">
            <v>0</v>
          </cell>
          <cell r="G2437">
            <v>0</v>
          </cell>
          <cell r="H2437">
            <v>0</v>
          </cell>
          <cell r="I2437">
            <v>0</v>
          </cell>
          <cell r="J2437">
            <v>0</v>
          </cell>
        </row>
        <row r="2438">
          <cell r="A2438">
            <v>1742000758</v>
          </cell>
          <cell r="B2438" t="str">
            <v>אחזקת כביש 20</v>
          </cell>
          <cell r="C2438">
            <v>0</v>
          </cell>
          <cell r="D2438">
            <v>0</v>
          </cell>
          <cell r="E2438">
            <v>0</v>
          </cell>
          <cell r="F2438">
            <v>0</v>
          </cell>
          <cell r="G2438">
            <v>0</v>
          </cell>
          <cell r="H2438">
            <v>0</v>
          </cell>
          <cell r="I2438">
            <v>0</v>
          </cell>
          <cell r="J2438">
            <v>0</v>
          </cell>
        </row>
        <row r="2439">
          <cell r="A2439">
            <v>1742000759</v>
          </cell>
          <cell r="B2439" t="str">
            <v>עבודת קבלני טרקטור</v>
          </cell>
          <cell r="C2439">
            <v>84455</v>
          </cell>
          <cell r="D2439">
            <v>44709</v>
          </cell>
          <cell r="E2439">
            <v>33291</v>
          </cell>
          <cell r="F2439">
            <v>78000</v>
          </cell>
          <cell r="G2439">
            <v>6455</v>
          </cell>
          <cell r="H2439">
            <v>92.35</v>
          </cell>
          <cell r="I2439">
            <v>88900</v>
          </cell>
          <cell r="J2439">
            <v>44709</v>
          </cell>
        </row>
        <row r="2440">
          <cell r="A2440">
            <v>1742000794</v>
          </cell>
          <cell r="B2440" t="str">
            <v>השתתפות בעזר 094</v>
          </cell>
          <cell r="C2440">
            <v>45505</v>
          </cell>
          <cell r="D2440">
            <v>57131</v>
          </cell>
          <cell r="E2440">
            <v>0</v>
          </cell>
          <cell r="F2440">
            <v>57131</v>
          </cell>
          <cell r="G2440">
            <v>-11626</v>
          </cell>
          <cell r="H2440">
            <v>125.54</v>
          </cell>
          <cell r="I2440">
            <v>47900</v>
          </cell>
          <cell r="J2440">
            <v>57131</v>
          </cell>
        </row>
        <row r="2441">
          <cell r="A2441">
            <v>1742000931</v>
          </cell>
          <cell r="B2441" t="str">
            <v>הוצאות חד-פעמיות</v>
          </cell>
          <cell r="C2441">
            <v>6460</v>
          </cell>
          <cell r="D2441">
            <v>1006</v>
          </cell>
          <cell r="E2441">
            <v>0</v>
          </cell>
          <cell r="F2441">
            <v>1006</v>
          </cell>
          <cell r="G2441">
            <v>5454</v>
          </cell>
          <cell r="H2441">
            <v>15.57</v>
          </cell>
          <cell r="I2441">
            <v>6800</v>
          </cell>
          <cell r="J2441">
            <v>1006</v>
          </cell>
        </row>
        <row r="2442">
          <cell r="A2442">
            <v>1742000960</v>
          </cell>
          <cell r="B2442" t="str">
            <v>רזרבה-תחזוקה כללית</v>
          </cell>
          <cell r="C2442">
            <v>172700</v>
          </cell>
          <cell r="D2442">
            <v>171397.21</v>
          </cell>
          <cell r="E2442">
            <v>0</v>
          </cell>
          <cell r="F2442">
            <v>171397.21</v>
          </cell>
          <cell r="G2442">
            <v>1302.79</v>
          </cell>
          <cell r="H2442">
            <v>99.24</v>
          </cell>
          <cell r="I2442">
            <v>172700</v>
          </cell>
          <cell r="J2442">
            <v>171397.21</v>
          </cell>
        </row>
        <row r="2443">
          <cell r="A2443">
            <v>1743000110</v>
          </cell>
          <cell r="B2443" t="str">
            <v>השכר הקובע-תקציבית</v>
          </cell>
          <cell r="C2443">
            <v>289085</v>
          </cell>
          <cell r="D2443">
            <v>318954.62</v>
          </cell>
          <cell r="E2443">
            <v>0</v>
          </cell>
          <cell r="F2443">
            <v>318954.62</v>
          </cell>
          <cell r="G2443">
            <v>-29869.62</v>
          </cell>
          <cell r="H2443">
            <v>110.33</v>
          </cell>
          <cell r="I2443">
            <v>304300</v>
          </cell>
          <cell r="J2443">
            <v>318954.62</v>
          </cell>
        </row>
        <row r="2444">
          <cell r="A2444">
            <v>1743000119</v>
          </cell>
          <cell r="B2444" t="str">
            <v>השכר הקובע-צוברת</v>
          </cell>
          <cell r="C2444">
            <v>567625</v>
          </cell>
          <cell r="D2444">
            <v>1067512.77</v>
          </cell>
          <cell r="E2444">
            <v>0</v>
          </cell>
          <cell r="F2444">
            <v>1067512.77</v>
          </cell>
          <cell r="G2444">
            <v>-499887.77</v>
          </cell>
          <cell r="H2444">
            <v>188.06</v>
          </cell>
          <cell r="I2444">
            <v>597500</v>
          </cell>
          <cell r="J2444">
            <v>1067512.77</v>
          </cell>
        </row>
        <row r="2445">
          <cell r="A2445">
            <v>1743000122</v>
          </cell>
          <cell r="B2445" t="str">
            <v>ביגוד</v>
          </cell>
          <cell r="C2445">
            <v>9025</v>
          </cell>
          <cell r="D2445">
            <v>13996.79</v>
          </cell>
          <cell r="E2445">
            <v>0</v>
          </cell>
          <cell r="F2445">
            <v>13996.79</v>
          </cell>
          <cell r="G2445">
            <v>-4971.79</v>
          </cell>
          <cell r="H2445">
            <v>155.08000000000001</v>
          </cell>
          <cell r="I2445">
            <v>9500</v>
          </cell>
          <cell r="J2445">
            <v>13996.79</v>
          </cell>
        </row>
        <row r="2446">
          <cell r="A2446">
            <v>1743000126</v>
          </cell>
          <cell r="B2446" t="str">
            <v>דמי הבראה</v>
          </cell>
          <cell r="C2446">
            <v>40280</v>
          </cell>
          <cell r="D2446">
            <v>42700.99</v>
          </cell>
          <cell r="E2446">
            <v>0</v>
          </cell>
          <cell r="F2446">
            <v>42700.99</v>
          </cell>
          <cell r="G2446">
            <v>-2420.9899999999998</v>
          </cell>
          <cell r="H2446">
            <v>106.01</v>
          </cell>
          <cell r="I2446">
            <v>42400</v>
          </cell>
          <cell r="J2446">
            <v>42700.99</v>
          </cell>
        </row>
        <row r="2447">
          <cell r="A2447">
            <v>1743000130</v>
          </cell>
          <cell r="B2447" t="str">
            <v>שעות נוספות</v>
          </cell>
          <cell r="C2447">
            <v>131765</v>
          </cell>
          <cell r="D2447">
            <v>142132.04999999999</v>
          </cell>
          <cell r="E2447">
            <v>0</v>
          </cell>
          <cell r="F2447">
            <v>142132.04999999999</v>
          </cell>
          <cell r="G2447">
            <v>-10367.049999999999</v>
          </cell>
          <cell r="H2447">
            <v>107.86</v>
          </cell>
          <cell r="I2447">
            <v>138700</v>
          </cell>
          <cell r="J2447">
            <v>142132.04999999999</v>
          </cell>
        </row>
        <row r="2448">
          <cell r="A2448">
            <v>1743000140</v>
          </cell>
          <cell r="B2448" t="str">
            <v>השתתפות באחזקת רכב</v>
          </cell>
          <cell r="C2448">
            <v>150100</v>
          </cell>
          <cell r="D2448">
            <v>157840.43</v>
          </cell>
          <cell r="E2448">
            <v>0</v>
          </cell>
          <cell r="F2448">
            <v>157840.43</v>
          </cell>
          <cell r="G2448">
            <v>-7740.43</v>
          </cell>
          <cell r="H2448">
            <v>105.15</v>
          </cell>
          <cell r="I2448">
            <v>158000</v>
          </cell>
          <cell r="J2448">
            <v>157840.43</v>
          </cell>
        </row>
        <row r="2449">
          <cell r="A2449">
            <v>1743000253</v>
          </cell>
          <cell r="B2449" t="str">
            <v>עובדים חיצוניים</v>
          </cell>
          <cell r="C2449">
            <v>0</v>
          </cell>
          <cell r="D2449">
            <v>0</v>
          </cell>
          <cell r="E2449">
            <v>0</v>
          </cell>
          <cell r="F2449">
            <v>0</v>
          </cell>
          <cell r="G2449">
            <v>0</v>
          </cell>
          <cell r="H2449">
            <v>0</v>
          </cell>
          <cell r="I2449">
            <v>0</v>
          </cell>
          <cell r="J2449">
            <v>0</v>
          </cell>
        </row>
        <row r="2450">
          <cell r="A2450">
            <v>1743000431</v>
          </cell>
          <cell r="B2450" t="str">
            <v>חשמל</v>
          </cell>
          <cell r="C2450">
            <v>4560000</v>
          </cell>
          <cell r="D2450">
            <v>3891173.4</v>
          </cell>
          <cell r="E2450">
            <v>0</v>
          </cell>
          <cell r="F2450">
            <v>3891173.4</v>
          </cell>
          <cell r="G2450">
            <v>668826.6</v>
          </cell>
          <cell r="H2450">
            <v>85.33</v>
          </cell>
          <cell r="I2450">
            <v>4800000</v>
          </cell>
          <cell r="J2450">
            <v>3891173.4</v>
          </cell>
        </row>
        <row r="2451">
          <cell r="A2451">
            <v>1743000511</v>
          </cell>
          <cell r="B2451" t="str">
            <v>אירוח וכיבוד</v>
          </cell>
          <cell r="C2451">
            <v>5900</v>
          </cell>
          <cell r="D2451">
            <v>5357.35</v>
          </cell>
          <cell r="E2451">
            <v>380.25</v>
          </cell>
          <cell r="F2451">
            <v>5737.6</v>
          </cell>
          <cell r="G2451">
            <v>162.4</v>
          </cell>
          <cell r="H2451">
            <v>97.24</v>
          </cell>
          <cell r="I2451">
            <v>5900</v>
          </cell>
          <cell r="J2451">
            <v>5357.35</v>
          </cell>
        </row>
        <row r="2452">
          <cell r="A2452">
            <v>1743000596</v>
          </cell>
          <cell r="B2452" t="str">
            <v>השתתפות בעזר 096</v>
          </cell>
          <cell r="C2452">
            <v>616360</v>
          </cell>
          <cell r="D2452">
            <v>606430</v>
          </cell>
          <cell r="E2452">
            <v>0</v>
          </cell>
          <cell r="F2452">
            <v>606430</v>
          </cell>
          <cell r="G2452">
            <v>9930</v>
          </cell>
          <cell r="H2452">
            <v>98.38</v>
          </cell>
          <cell r="I2452">
            <v>648800</v>
          </cell>
          <cell r="J2452">
            <v>606430</v>
          </cell>
        </row>
        <row r="2453">
          <cell r="A2453">
            <v>1743000722</v>
          </cell>
          <cell r="B2453" t="str">
            <v>פנסים ומנורות</v>
          </cell>
          <cell r="C2453">
            <v>365560</v>
          </cell>
          <cell r="D2453">
            <v>384800</v>
          </cell>
          <cell r="E2453">
            <v>0</v>
          </cell>
          <cell r="F2453">
            <v>384800</v>
          </cell>
          <cell r="G2453">
            <v>-19240</v>
          </cell>
          <cell r="H2453">
            <v>105.26</v>
          </cell>
          <cell r="I2453">
            <v>384800</v>
          </cell>
          <cell r="J2453">
            <v>384800</v>
          </cell>
        </row>
        <row r="2454">
          <cell r="A2454">
            <v>1743000742</v>
          </cell>
          <cell r="B2454" t="str">
            <v>כלים וציוד</v>
          </cell>
          <cell r="C2454">
            <v>17100</v>
          </cell>
          <cell r="D2454">
            <v>16052.51</v>
          </cell>
          <cell r="E2454">
            <v>55.78</v>
          </cell>
          <cell r="F2454">
            <v>16108.29</v>
          </cell>
          <cell r="G2454">
            <v>991.71</v>
          </cell>
          <cell r="H2454">
            <v>94.2</v>
          </cell>
          <cell r="I2454">
            <v>17100</v>
          </cell>
          <cell r="J2454">
            <v>16052.51</v>
          </cell>
        </row>
        <row r="2455">
          <cell r="A2455">
            <v>1743000745</v>
          </cell>
          <cell r="B2455" t="str">
            <v>תיקון נזקים</v>
          </cell>
          <cell r="C2455">
            <v>123500</v>
          </cell>
          <cell r="D2455">
            <v>130000</v>
          </cell>
          <cell r="E2455">
            <v>0</v>
          </cell>
          <cell r="F2455">
            <v>130000</v>
          </cell>
          <cell r="G2455">
            <v>-6500</v>
          </cell>
          <cell r="H2455">
            <v>105.26</v>
          </cell>
          <cell r="I2455">
            <v>130000</v>
          </cell>
          <cell r="J2455">
            <v>130000</v>
          </cell>
        </row>
        <row r="2456">
          <cell r="A2456">
            <v>1743000754</v>
          </cell>
          <cell r="B2456" t="str">
            <v>עבודות תאורה</v>
          </cell>
          <cell r="C2456">
            <v>162450</v>
          </cell>
          <cell r="D2456">
            <v>171000</v>
          </cell>
          <cell r="E2456">
            <v>0</v>
          </cell>
          <cell r="F2456">
            <v>171000</v>
          </cell>
          <cell r="G2456">
            <v>-8550</v>
          </cell>
          <cell r="H2456">
            <v>105.26</v>
          </cell>
          <cell r="I2456">
            <v>171000</v>
          </cell>
          <cell r="J2456">
            <v>171000</v>
          </cell>
        </row>
        <row r="2457">
          <cell r="A2457">
            <v>1743000755</v>
          </cell>
          <cell r="B2457" t="str">
            <v>כוננות קבלן תאורה</v>
          </cell>
          <cell r="C2457">
            <v>0</v>
          </cell>
          <cell r="D2457">
            <v>0</v>
          </cell>
          <cell r="E2457">
            <v>0</v>
          </cell>
          <cell r="F2457">
            <v>0</v>
          </cell>
          <cell r="G2457">
            <v>0</v>
          </cell>
          <cell r="H2457">
            <v>0</v>
          </cell>
          <cell r="I2457">
            <v>0</v>
          </cell>
          <cell r="J2457">
            <v>0</v>
          </cell>
        </row>
        <row r="2458">
          <cell r="A2458">
            <v>1743000757</v>
          </cell>
          <cell r="B2458" t="str">
            <v>צוות קבלנים לאחזקה</v>
          </cell>
          <cell r="C2458">
            <v>0</v>
          </cell>
          <cell r="D2458">
            <v>0</v>
          </cell>
          <cell r="E2458">
            <v>0</v>
          </cell>
          <cell r="F2458">
            <v>0</v>
          </cell>
          <cell r="G2458">
            <v>0</v>
          </cell>
          <cell r="H2458">
            <v>0</v>
          </cell>
          <cell r="I2458">
            <v>0</v>
          </cell>
          <cell r="J2458">
            <v>0</v>
          </cell>
        </row>
        <row r="2459">
          <cell r="A2459">
            <v>1743000758</v>
          </cell>
          <cell r="B2459" t="str">
            <v>צביעת עמודי תאורה</v>
          </cell>
          <cell r="C2459">
            <v>0</v>
          </cell>
          <cell r="D2459">
            <v>0</v>
          </cell>
          <cell r="E2459">
            <v>0</v>
          </cell>
          <cell r="F2459">
            <v>0</v>
          </cell>
          <cell r="G2459">
            <v>0</v>
          </cell>
          <cell r="H2459">
            <v>0</v>
          </cell>
          <cell r="I2459">
            <v>0</v>
          </cell>
          <cell r="J2459">
            <v>0</v>
          </cell>
        </row>
        <row r="2460">
          <cell r="A2460">
            <v>1743000759</v>
          </cell>
          <cell r="B2460" t="str">
            <v>תחזוקה - תשלום קבוע</v>
          </cell>
          <cell r="C2460">
            <v>430000</v>
          </cell>
          <cell r="D2460">
            <v>617611</v>
          </cell>
          <cell r="E2460">
            <v>0</v>
          </cell>
          <cell r="F2460">
            <v>617611</v>
          </cell>
          <cell r="G2460">
            <v>-187611</v>
          </cell>
          <cell r="H2460">
            <v>143.63</v>
          </cell>
          <cell r="I2460">
            <v>430000</v>
          </cell>
          <cell r="J2460">
            <v>617611</v>
          </cell>
        </row>
        <row r="2461">
          <cell r="A2461">
            <v>1743000794</v>
          </cell>
          <cell r="B2461" t="str">
            <v>השתתפות בעזר 094</v>
          </cell>
          <cell r="C2461">
            <v>75240</v>
          </cell>
          <cell r="D2461">
            <v>94463</v>
          </cell>
          <cell r="E2461">
            <v>0</v>
          </cell>
          <cell r="F2461">
            <v>94463</v>
          </cell>
          <cell r="G2461">
            <v>-19223</v>
          </cell>
          <cell r="H2461">
            <v>125.54</v>
          </cell>
          <cell r="I2461">
            <v>79200</v>
          </cell>
          <cell r="J2461">
            <v>94463</v>
          </cell>
        </row>
        <row r="2462">
          <cell r="A2462">
            <v>1743000931</v>
          </cell>
          <cell r="B2462" t="str">
            <v>רכישת מנוף תאורה</v>
          </cell>
          <cell r="C2462">
            <v>0</v>
          </cell>
          <cell r="D2462">
            <v>0</v>
          </cell>
          <cell r="E2462">
            <v>0</v>
          </cell>
          <cell r="F2462">
            <v>0</v>
          </cell>
          <cell r="G2462">
            <v>0</v>
          </cell>
          <cell r="H2462">
            <v>0</v>
          </cell>
          <cell r="I2462">
            <v>0</v>
          </cell>
          <cell r="J2462">
            <v>0</v>
          </cell>
        </row>
        <row r="2463">
          <cell r="A2463">
            <v>1744000110</v>
          </cell>
          <cell r="B2463" t="str">
            <v>השכר הקובע-תקציבית</v>
          </cell>
          <cell r="C2463">
            <v>0</v>
          </cell>
          <cell r="D2463">
            <v>0</v>
          </cell>
          <cell r="E2463">
            <v>0</v>
          </cell>
          <cell r="F2463">
            <v>0</v>
          </cell>
          <cell r="G2463">
            <v>0</v>
          </cell>
          <cell r="H2463">
            <v>0</v>
          </cell>
          <cell r="I2463">
            <v>0</v>
          </cell>
          <cell r="J2463">
            <v>0</v>
          </cell>
        </row>
        <row r="2464">
          <cell r="A2464">
            <v>1744000119</v>
          </cell>
          <cell r="B2464" t="str">
            <v>השכר הקובע-צוברת</v>
          </cell>
          <cell r="C2464">
            <v>507300</v>
          </cell>
          <cell r="D2464">
            <v>380748.82</v>
          </cell>
          <cell r="E2464">
            <v>0</v>
          </cell>
          <cell r="F2464">
            <v>380748.82</v>
          </cell>
          <cell r="G2464">
            <v>126551.18</v>
          </cell>
          <cell r="H2464">
            <v>75.05</v>
          </cell>
          <cell r="I2464">
            <v>534000</v>
          </cell>
          <cell r="J2464">
            <v>380748.82</v>
          </cell>
        </row>
        <row r="2465">
          <cell r="A2465">
            <v>1744000122</v>
          </cell>
          <cell r="B2465" t="str">
            <v>ביגוד</v>
          </cell>
          <cell r="C2465">
            <v>3420</v>
          </cell>
          <cell r="D2465">
            <v>4810</v>
          </cell>
          <cell r="E2465">
            <v>0</v>
          </cell>
          <cell r="F2465">
            <v>4810</v>
          </cell>
          <cell r="G2465">
            <v>-1390</v>
          </cell>
          <cell r="H2465">
            <v>140.63999999999999</v>
          </cell>
          <cell r="I2465">
            <v>3600</v>
          </cell>
          <cell r="J2465">
            <v>4810</v>
          </cell>
        </row>
        <row r="2466">
          <cell r="A2466">
            <v>1744000126</v>
          </cell>
          <cell r="B2466" t="str">
            <v>דמי הבראה</v>
          </cell>
          <cell r="C2466">
            <v>14250</v>
          </cell>
          <cell r="D2466">
            <v>11785</v>
          </cell>
          <cell r="E2466">
            <v>0</v>
          </cell>
          <cell r="F2466">
            <v>11785</v>
          </cell>
          <cell r="G2466">
            <v>2465</v>
          </cell>
          <cell r="H2466">
            <v>82.7</v>
          </cell>
          <cell r="I2466">
            <v>15000</v>
          </cell>
          <cell r="J2466">
            <v>11785</v>
          </cell>
        </row>
        <row r="2467">
          <cell r="A2467">
            <v>1744000130</v>
          </cell>
          <cell r="B2467" t="str">
            <v>שעות נוספות</v>
          </cell>
          <cell r="C2467">
            <v>4750</v>
          </cell>
          <cell r="D2467">
            <v>23189.73</v>
          </cell>
          <cell r="E2467">
            <v>0</v>
          </cell>
          <cell r="F2467">
            <v>23189.73</v>
          </cell>
          <cell r="G2467">
            <v>-18439.73</v>
          </cell>
          <cell r="H2467">
            <v>488.2</v>
          </cell>
          <cell r="I2467">
            <v>5000</v>
          </cell>
          <cell r="J2467">
            <v>23189.73</v>
          </cell>
        </row>
        <row r="2468">
          <cell r="A2468">
            <v>1744000140</v>
          </cell>
          <cell r="B2468" t="str">
            <v>השתתפות באחזקת רכב</v>
          </cell>
          <cell r="C2468">
            <v>40375</v>
          </cell>
          <cell r="D2468">
            <v>45825.35</v>
          </cell>
          <cell r="E2468">
            <v>0</v>
          </cell>
          <cell r="F2468">
            <v>45825.35</v>
          </cell>
          <cell r="G2468">
            <v>-5450.35</v>
          </cell>
          <cell r="H2468">
            <v>113.49</v>
          </cell>
          <cell r="I2468">
            <v>42500</v>
          </cell>
          <cell r="J2468">
            <v>45825.35</v>
          </cell>
        </row>
        <row r="2469">
          <cell r="A2469">
            <v>1744000253</v>
          </cell>
          <cell r="B2469" t="str">
            <v>עובד חיצוני</v>
          </cell>
          <cell r="C2469">
            <v>0</v>
          </cell>
          <cell r="D2469">
            <v>0</v>
          </cell>
          <cell r="E2469">
            <v>0</v>
          </cell>
          <cell r="F2469">
            <v>0</v>
          </cell>
          <cell r="G2469">
            <v>0</v>
          </cell>
          <cell r="H2469">
            <v>0</v>
          </cell>
          <cell r="I2469">
            <v>0</v>
          </cell>
          <cell r="J2469">
            <v>0</v>
          </cell>
        </row>
        <row r="2470">
          <cell r="A2470">
            <v>1744000431</v>
          </cell>
          <cell r="B2470" t="str">
            <v>חשמל</v>
          </cell>
          <cell r="C2470">
            <v>332500</v>
          </cell>
          <cell r="D2470">
            <v>322097.99</v>
          </cell>
          <cell r="E2470">
            <v>0</v>
          </cell>
          <cell r="F2470">
            <v>322097.99</v>
          </cell>
          <cell r="G2470">
            <v>10402.01</v>
          </cell>
          <cell r="H2470">
            <v>96.87</v>
          </cell>
          <cell r="I2470">
            <v>350000</v>
          </cell>
          <cell r="J2470">
            <v>322097.99</v>
          </cell>
        </row>
        <row r="2471">
          <cell r="A2471">
            <v>1744000544</v>
          </cell>
          <cell r="B2471" t="str">
            <v>הוצאות דאר</v>
          </cell>
          <cell r="C2471">
            <v>0</v>
          </cell>
          <cell r="D2471">
            <v>0</v>
          </cell>
          <cell r="E2471">
            <v>0</v>
          </cell>
          <cell r="F2471">
            <v>0</v>
          </cell>
          <cell r="G2471">
            <v>0</v>
          </cell>
          <cell r="H2471">
            <v>0</v>
          </cell>
          <cell r="I2471">
            <v>0</v>
          </cell>
          <cell r="J2471">
            <v>0</v>
          </cell>
        </row>
        <row r="2472">
          <cell r="A2472">
            <v>1744000571</v>
          </cell>
          <cell r="B2472" t="str">
            <v>מיכון וענ"א</v>
          </cell>
          <cell r="C2472">
            <v>59945</v>
          </cell>
          <cell r="D2472">
            <v>63100</v>
          </cell>
          <cell r="E2472">
            <v>0</v>
          </cell>
          <cell r="F2472">
            <v>63100</v>
          </cell>
          <cell r="G2472">
            <v>-3155</v>
          </cell>
          <cell r="H2472">
            <v>105.26</v>
          </cell>
          <cell r="I2472">
            <v>63100</v>
          </cell>
          <cell r="J2472">
            <v>63100</v>
          </cell>
        </row>
        <row r="2473">
          <cell r="A2473">
            <v>1744000580</v>
          </cell>
          <cell r="B2473" t="str">
            <v>יעוץ תנועה</v>
          </cell>
          <cell r="C2473">
            <v>0</v>
          </cell>
          <cell r="D2473">
            <v>0</v>
          </cell>
          <cell r="E2473">
            <v>0</v>
          </cell>
          <cell r="F2473">
            <v>0</v>
          </cell>
          <cell r="G2473">
            <v>0</v>
          </cell>
          <cell r="H2473">
            <v>0</v>
          </cell>
          <cell r="I2473">
            <v>0</v>
          </cell>
          <cell r="J2473">
            <v>0</v>
          </cell>
        </row>
        <row r="2474">
          <cell r="A2474">
            <v>1744000581</v>
          </cell>
          <cell r="B2474" t="str">
            <v>הסדרי תנועה זמניים</v>
          </cell>
          <cell r="C2474">
            <v>134235</v>
          </cell>
          <cell r="D2474">
            <v>0</v>
          </cell>
          <cell r="E2474">
            <v>0</v>
          </cell>
          <cell r="F2474">
            <v>0</v>
          </cell>
          <cell r="G2474">
            <v>134235</v>
          </cell>
          <cell r="H2474">
            <v>0</v>
          </cell>
          <cell r="I2474">
            <v>141300</v>
          </cell>
          <cell r="J2474">
            <v>0</v>
          </cell>
        </row>
        <row r="2475">
          <cell r="A2475">
            <v>1744000722</v>
          </cell>
          <cell r="B2475" t="str">
            <v>חמרים-תחזוקה עצמית</v>
          </cell>
          <cell r="C2475">
            <v>22705</v>
          </cell>
          <cell r="D2475">
            <v>12870.4</v>
          </cell>
          <cell r="E2475">
            <v>726.6</v>
          </cell>
          <cell r="F2475">
            <v>13597</v>
          </cell>
          <cell r="G2475">
            <v>9108</v>
          </cell>
          <cell r="H2475">
            <v>59.88</v>
          </cell>
          <cell r="I2475">
            <v>23900</v>
          </cell>
          <cell r="J2475">
            <v>12870.4</v>
          </cell>
        </row>
        <row r="2476">
          <cell r="A2476">
            <v>1744000742</v>
          </cell>
          <cell r="B2476" t="str">
            <v>כלים וציוד</v>
          </cell>
          <cell r="C2476">
            <v>6800</v>
          </cell>
          <cell r="D2476">
            <v>6673.39</v>
          </cell>
          <cell r="E2476">
            <v>0</v>
          </cell>
          <cell r="F2476">
            <v>6673.39</v>
          </cell>
          <cell r="G2476">
            <v>126.61</v>
          </cell>
          <cell r="H2476">
            <v>98.13</v>
          </cell>
          <cell r="I2476">
            <v>6800</v>
          </cell>
          <cell r="J2476">
            <v>6673.39</v>
          </cell>
        </row>
        <row r="2477">
          <cell r="A2477">
            <v>1744000745</v>
          </cell>
          <cell r="B2477" t="str">
            <v>תיקון נזקים</v>
          </cell>
          <cell r="C2477">
            <v>0</v>
          </cell>
          <cell r="D2477">
            <v>0</v>
          </cell>
          <cell r="E2477">
            <v>0</v>
          </cell>
          <cell r="F2477">
            <v>0</v>
          </cell>
          <cell r="G2477">
            <v>0</v>
          </cell>
          <cell r="H2477">
            <v>0</v>
          </cell>
          <cell r="I2477">
            <v>0</v>
          </cell>
          <cell r="J2477">
            <v>0</v>
          </cell>
        </row>
        <row r="2478">
          <cell r="A2478">
            <v>1744000754</v>
          </cell>
          <cell r="B2478" t="str">
            <v>עב' בטיחות בדרכים</v>
          </cell>
          <cell r="C2478">
            <v>1597400</v>
          </cell>
          <cell r="D2478">
            <v>1592701.79</v>
          </cell>
          <cell r="E2478">
            <v>0.42</v>
          </cell>
          <cell r="F2478">
            <v>1592702.21</v>
          </cell>
          <cell r="G2478">
            <v>4697.79</v>
          </cell>
          <cell r="H2478">
            <v>99.7</v>
          </cell>
          <cell r="I2478">
            <v>1597400</v>
          </cell>
          <cell r="J2478">
            <v>1592701.79</v>
          </cell>
        </row>
        <row r="2479">
          <cell r="A2479">
            <v>1744000755</v>
          </cell>
          <cell r="B2479" t="str">
            <v>עובד בטיחות</v>
          </cell>
          <cell r="C2479">
            <v>0</v>
          </cell>
          <cell r="D2479">
            <v>0</v>
          </cell>
          <cell r="E2479">
            <v>0</v>
          </cell>
          <cell r="F2479">
            <v>0</v>
          </cell>
          <cell r="G2479">
            <v>0</v>
          </cell>
          <cell r="H2479">
            <v>0</v>
          </cell>
          <cell r="I2479">
            <v>0</v>
          </cell>
          <cell r="J2479">
            <v>0</v>
          </cell>
        </row>
        <row r="2480">
          <cell r="A2480">
            <v>1744000757</v>
          </cell>
          <cell r="B2480" t="str">
            <v>מעקות בטיחות חדשים</v>
          </cell>
          <cell r="C2480">
            <v>0</v>
          </cell>
          <cell r="D2480">
            <v>0</v>
          </cell>
          <cell r="E2480">
            <v>0</v>
          </cell>
          <cell r="F2480">
            <v>0</v>
          </cell>
          <cell r="G2480">
            <v>0</v>
          </cell>
          <cell r="H2480">
            <v>0</v>
          </cell>
          <cell r="I2480">
            <v>0</v>
          </cell>
          <cell r="J2480">
            <v>0</v>
          </cell>
        </row>
        <row r="2481">
          <cell r="A2481">
            <v>1744000758</v>
          </cell>
          <cell r="B2481" t="str">
            <v>פסי האטה חדשים</v>
          </cell>
          <cell r="C2481">
            <v>0</v>
          </cell>
          <cell r="D2481">
            <v>0</v>
          </cell>
          <cell r="E2481">
            <v>0</v>
          </cell>
          <cell r="F2481">
            <v>0</v>
          </cell>
          <cell r="G2481">
            <v>0</v>
          </cell>
          <cell r="H2481">
            <v>0</v>
          </cell>
          <cell r="I2481">
            <v>0</v>
          </cell>
          <cell r="J2481">
            <v>0</v>
          </cell>
        </row>
        <row r="2482">
          <cell r="A2482">
            <v>1744000759</v>
          </cell>
          <cell r="B2482" t="str">
            <v>אח' תמרור: ג-7,ה-8</v>
          </cell>
          <cell r="C2482">
            <v>0</v>
          </cell>
          <cell r="D2482">
            <v>0</v>
          </cell>
          <cell r="E2482">
            <v>0</v>
          </cell>
          <cell r="F2482">
            <v>0</v>
          </cell>
          <cell r="G2482">
            <v>0</v>
          </cell>
          <cell r="H2482">
            <v>0</v>
          </cell>
          <cell r="I2482">
            <v>0</v>
          </cell>
          <cell r="J2482">
            <v>0</v>
          </cell>
        </row>
        <row r="2483">
          <cell r="A2483">
            <v>1744000781</v>
          </cell>
          <cell r="B2483" t="str">
            <v>פע' בטיחות בדרכים</v>
          </cell>
          <cell r="C2483">
            <v>0</v>
          </cell>
          <cell r="D2483">
            <v>0</v>
          </cell>
          <cell r="E2483">
            <v>0</v>
          </cell>
          <cell r="F2483">
            <v>0</v>
          </cell>
          <cell r="G2483">
            <v>0</v>
          </cell>
          <cell r="H2483">
            <v>0</v>
          </cell>
          <cell r="I2483">
            <v>0</v>
          </cell>
          <cell r="J2483">
            <v>0</v>
          </cell>
        </row>
        <row r="2484">
          <cell r="A2484">
            <v>1744000782</v>
          </cell>
          <cell r="B2484" t="str">
            <v>בטיחות מהכנסה</v>
          </cell>
          <cell r="C2484">
            <v>0</v>
          </cell>
          <cell r="D2484">
            <v>0</v>
          </cell>
          <cell r="E2484">
            <v>0</v>
          </cell>
          <cell r="F2484">
            <v>0</v>
          </cell>
          <cell r="G2484">
            <v>0</v>
          </cell>
          <cell r="H2484">
            <v>0</v>
          </cell>
          <cell r="I2484">
            <v>0</v>
          </cell>
          <cell r="J2484">
            <v>0</v>
          </cell>
        </row>
        <row r="2485">
          <cell r="A2485">
            <v>1744000783</v>
          </cell>
          <cell r="B2485" t="str">
            <v>העתקת סככות אוטוב'</v>
          </cell>
          <cell r="C2485">
            <v>0</v>
          </cell>
          <cell r="D2485">
            <v>0</v>
          </cell>
          <cell r="E2485">
            <v>0</v>
          </cell>
          <cell r="F2485">
            <v>0</v>
          </cell>
          <cell r="G2485">
            <v>0</v>
          </cell>
          <cell r="H2485">
            <v>0</v>
          </cell>
          <cell r="I2485">
            <v>0</v>
          </cell>
          <cell r="J2485">
            <v>0</v>
          </cell>
        </row>
        <row r="2486">
          <cell r="A2486">
            <v>1744000784</v>
          </cell>
          <cell r="B2486" t="str">
            <v>תמרור תחנות אוטוב'</v>
          </cell>
          <cell r="C2486">
            <v>0</v>
          </cell>
          <cell r="D2486">
            <v>0</v>
          </cell>
          <cell r="E2486">
            <v>0</v>
          </cell>
          <cell r="F2486">
            <v>0</v>
          </cell>
          <cell r="G2486">
            <v>0</v>
          </cell>
          <cell r="H2486">
            <v>0</v>
          </cell>
          <cell r="I2486">
            <v>0</v>
          </cell>
          <cell r="J2486">
            <v>0</v>
          </cell>
        </row>
        <row r="2487">
          <cell r="A2487">
            <v>1744000794</v>
          </cell>
          <cell r="B2487" t="str">
            <v>השתתפות בעזר 094</v>
          </cell>
          <cell r="C2487">
            <v>67925</v>
          </cell>
          <cell r="D2487">
            <v>85279</v>
          </cell>
          <cell r="E2487">
            <v>0</v>
          </cell>
          <cell r="F2487">
            <v>85279</v>
          </cell>
          <cell r="G2487">
            <v>-17354</v>
          </cell>
          <cell r="H2487">
            <v>125.54</v>
          </cell>
          <cell r="I2487">
            <v>71500</v>
          </cell>
          <cell r="J2487">
            <v>85279</v>
          </cell>
        </row>
        <row r="2488">
          <cell r="A2488">
            <v>1745000119</v>
          </cell>
          <cell r="B2488" t="str">
            <v>השכר הקובע - צוברת</v>
          </cell>
          <cell r="C2488">
            <v>501695</v>
          </cell>
          <cell r="D2488">
            <v>349013.68</v>
          </cell>
          <cell r="E2488">
            <v>0</v>
          </cell>
          <cell r="F2488">
            <v>349013.68</v>
          </cell>
          <cell r="G2488">
            <v>152681.32</v>
          </cell>
          <cell r="H2488">
            <v>69.56</v>
          </cell>
          <cell r="I2488">
            <v>528100</v>
          </cell>
          <cell r="J2488">
            <v>349013.68</v>
          </cell>
        </row>
        <row r="2489">
          <cell r="A2489">
            <v>1745000122</v>
          </cell>
          <cell r="B2489" t="str">
            <v>ביגוד</v>
          </cell>
          <cell r="C2489">
            <v>2660</v>
          </cell>
          <cell r="D2489">
            <v>2405</v>
          </cell>
          <cell r="E2489">
            <v>0</v>
          </cell>
          <cell r="F2489">
            <v>2405</v>
          </cell>
          <cell r="G2489">
            <v>255</v>
          </cell>
          <cell r="H2489">
            <v>90.41</v>
          </cell>
          <cell r="I2489">
            <v>2800</v>
          </cell>
          <cell r="J2489">
            <v>2405</v>
          </cell>
        </row>
        <row r="2490">
          <cell r="A2490">
            <v>1745000126</v>
          </cell>
          <cell r="B2490" t="str">
            <v>דמי הבראה</v>
          </cell>
          <cell r="C2490">
            <v>7600</v>
          </cell>
          <cell r="D2490">
            <v>6128.2</v>
          </cell>
          <cell r="E2490">
            <v>0</v>
          </cell>
          <cell r="F2490">
            <v>6128.2</v>
          </cell>
          <cell r="G2490">
            <v>1471.8</v>
          </cell>
          <cell r="H2490">
            <v>80.63</v>
          </cell>
          <cell r="I2490">
            <v>8000</v>
          </cell>
          <cell r="J2490">
            <v>6128.2</v>
          </cell>
        </row>
        <row r="2491">
          <cell r="A2491">
            <v>1745000130</v>
          </cell>
          <cell r="B2491" t="str">
            <v>שעות נוספות</v>
          </cell>
          <cell r="C2491">
            <v>0</v>
          </cell>
          <cell r="D2491">
            <v>0</v>
          </cell>
          <cell r="E2491">
            <v>0</v>
          </cell>
          <cell r="F2491">
            <v>0</v>
          </cell>
          <cell r="G2491">
            <v>0</v>
          </cell>
          <cell r="H2491">
            <v>0</v>
          </cell>
          <cell r="I2491">
            <v>0</v>
          </cell>
          <cell r="J2491">
            <v>0</v>
          </cell>
        </row>
        <row r="2492">
          <cell r="A2492">
            <v>1745000140</v>
          </cell>
          <cell r="B2492" t="str">
            <v>השתתפות באחזקת רכב</v>
          </cell>
          <cell r="C2492">
            <v>49020</v>
          </cell>
          <cell r="D2492">
            <v>0</v>
          </cell>
          <cell r="E2492">
            <v>0</v>
          </cell>
          <cell r="F2492">
            <v>0</v>
          </cell>
          <cell r="G2492">
            <v>49020</v>
          </cell>
          <cell r="H2492">
            <v>0</v>
          </cell>
          <cell r="I2492">
            <v>51600</v>
          </cell>
          <cell r="J2492">
            <v>0</v>
          </cell>
        </row>
        <row r="2493">
          <cell r="A2493">
            <v>1745000431</v>
          </cell>
          <cell r="B2493" t="str">
            <v>חשמל</v>
          </cell>
          <cell r="C2493">
            <v>18810</v>
          </cell>
          <cell r="D2493">
            <v>14910.64</v>
          </cell>
          <cell r="E2493">
            <v>0</v>
          </cell>
          <cell r="F2493">
            <v>14910.64</v>
          </cell>
          <cell r="G2493">
            <v>3899.36</v>
          </cell>
          <cell r="H2493">
            <v>79.260000000000005</v>
          </cell>
          <cell r="I2493">
            <v>19800</v>
          </cell>
          <cell r="J2493">
            <v>14910.64</v>
          </cell>
        </row>
        <row r="2494">
          <cell r="A2494">
            <v>1745000580</v>
          </cell>
          <cell r="B2494" t="str">
            <v>תחזוקת תחנות מטאורולוגיות</v>
          </cell>
          <cell r="C2494">
            <v>3990</v>
          </cell>
          <cell r="D2494">
            <v>4680</v>
          </cell>
          <cell r="E2494">
            <v>0</v>
          </cell>
          <cell r="F2494">
            <v>4680</v>
          </cell>
          <cell r="G2494">
            <v>-690</v>
          </cell>
          <cell r="H2494">
            <v>117.29</v>
          </cell>
          <cell r="I2494">
            <v>4200</v>
          </cell>
          <cell r="J2494">
            <v>4680</v>
          </cell>
        </row>
        <row r="2495">
          <cell r="A2495">
            <v>1745000581</v>
          </cell>
          <cell r="B2495" t="str">
            <v>תחז'  תחנת שאיבה אילת 36</v>
          </cell>
          <cell r="C2495">
            <v>56905</v>
          </cell>
          <cell r="D2495">
            <v>57112.7</v>
          </cell>
          <cell r="E2495">
            <v>0</v>
          </cell>
          <cell r="F2495">
            <v>57112.7</v>
          </cell>
          <cell r="G2495">
            <v>-207.7</v>
          </cell>
          <cell r="H2495">
            <v>100.36</v>
          </cell>
          <cell r="I2495">
            <v>59900</v>
          </cell>
          <cell r="J2495">
            <v>57112.7</v>
          </cell>
        </row>
        <row r="2496">
          <cell r="A2496">
            <v>1745000582</v>
          </cell>
          <cell r="B2496" t="str">
            <v>אחזקת בקרת ניקוז</v>
          </cell>
          <cell r="C2496">
            <v>33900</v>
          </cell>
          <cell r="D2496">
            <v>37767.660000000003</v>
          </cell>
          <cell r="E2496">
            <v>0</v>
          </cell>
          <cell r="F2496">
            <v>37767.660000000003</v>
          </cell>
          <cell r="G2496">
            <v>-3867.66</v>
          </cell>
          <cell r="H2496">
            <v>111.4</v>
          </cell>
          <cell r="I2496">
            <v>33900</v>
          </cell>
          <cell r="J2496">
            <v>37767.660000000003</v>
          </cell>
        </row>
        <row r="2497">
          <cell r="A2497">
            <v>1745000583</v>
          </cell>
          <cell r="B2497" t="str">
            <v>אחזקת מאגר מים מכון טכנולוגי</v>
          </cell>
          <cell r="C2497">
            <v>106400</v>
          </cell>
          <cell r="D2497">
            <v>111647.14</v>
          </cell>
          <cell r="E2497">
            <v>352.86</v>
          </cell>
          <cell r="F2497">
            <v>112000</v>
          </cell>
          <cell r="G2497">
            <v>-5600</v>
          </cell>
          <cell r="H2497">
            <v>105.26</v>
          </cell>
          <cell r="I2497">
            <v>112000</v>
          </cell>
          <cell r="J2497">
            <v>111647.14</v>
          </cell>
        </row>
        <row r="2498">
          <cell r="A2498">
            <v>1745000715</v>
          </cell>
          <cell r="B2498" t="str">
            <v>עבודות קבלניות-רכב</v>
          </cell>
          <cell r="C2498">
            <v>0</v>
          </cell>
          <cell r="D2498">
            <v>0</v>
          </cell>
          <cell r="E2498">
            <v>0</v>
          </cell>
          <cell r="F2498">
            <v>0</v>
          </cell>
          <cell r="G2498">
            <v>0</v>
          </cell>
          <cell r="H2498">
            <v>0</v>
          </cell>
          <cell r="I2498">
            <v>0</v>
          </cell>
          <cell r="J2498">
            <v>0</v>
          </cell>
        </row>
        <row r="2499">
          <cell r="A2499">
            <v>1745000722</v>
          </cell>
          <cell r="B2499" t="str">
            <v>חמרים-תחזוקה עצמית</v>
          </cell>
          <cell r="C2499">
            <v>6498</v>
          </cell>
          <cell r="D2499">
            <v>3083.39</v>
          </cell>
          <cell r="E2499">
            <v>0</v>
          </cell>
          <cell r="F2499">
            <v>3083.39</v>
          </cell>
          <cell r="G2499">
            <v>3414.61</v>
          </cell>
          <cell r="H2499">
            <v>47.45</v>
          </cell>
          <cell r="I2499">
            <v>6840</v>
          </cell>
          <cell r="J2499">
            <v>3083.39</v>
          </cell>
        </row>
        <row r="2500">
          <cell r="A2500">
            <v>1745000742</v>
          </cell>
          <cell r="B2500" t="str">
            <v>כלים וציוד</v>
          </cell>
          <cell r="C2500">
            <v>6840</v>
          </cell>
          <cell r="D2500">
            <v>6738.8</v>
          </cell>
          <cell r="E2500">
            <v>0</v>
          </cell>
          <cell r="F2500">
            <v>6738.8</v>
          </cell>
          <cell r="G2500">
            <v>101.2</v>
          </cell>
          <cell r="H2500">
            <v>98.52</v>
          </cell>
          <cell r="I2500">
            <v>6840</v>
          </cell>
          <cell r="J2500">
            <v>6738.8</v>
          </cell>
        </row>
        <row r="2501">
          <cell r="A2501">
            <v>1745000746</v>
          </cell>
          <cell r="B2501" t="str">
            <v>לא פעיל</v>
          </cell>
          <cell r="C2501">
            <v>0</v>
          </cell>
          <cell r="D2501">
            <v>0</v>
          </cell>
          <cell r="E2501">
            <v>0</v>
          </cell>
          <cell r="F2501">
            <v>0</v>
          </cell>
          <cell r="G2501">
            <v>0</v>
          </cell>
          <cell r="H2501">
            <v>0</v>
          </cell>
          <cell r="I2501">
            <v>0</v>
          </cell>
          <cell r="J2501">
            <v>0</v>
          </cell>
        </row>
        <row r="2502">
          <cell r="A2502">
            <v>1745000754</v>
          </cell>
          <cell r="B2502" t="str">
            <v>עבודות קבלניות</v>
          </cell>
          <cell r="C2502">
            <v>522000</v>
          </cell>
          <cell r="D2502">
            <v>561226.67000000004</v>
          </cell>
          <cell r="E2502">
            <v>0.9</v>
          </cell>
          <cell r="F2502">
            <v>561227.56999999995</v>
          </cell>
          <cell r="G2502">
            <v>-39227.57</v>
          </cell>
          <cell r="H2502">
            <v>107.51</v>
          </cell>
          <cell r="I2502">
            <v>522000</v>
          </cell>
          <cell r="J2502">
            <v>561226.67000000004</v>
          </cell>
        </row>
        <row r="2503">
          <cell r="A2503">
            <v>1745000756</v>
          </cell>
          <cell r="B2503" t="str">
            <v>.</v>
          </cell>
          <cell r="C2503">
            <v>0</v>
          </cell>
          <cell r="D2503">
            <v>0</v>
          </cell>
          <cell r="E2503">
            <v>0</v>
          </cell>
          <cell r="F2503">
            <v>0</v>
          </cell>
          <cell r="G2503">
            <v>0</v>
          </cell>
          <cell r="H2503">
            <v>0</v>
          </cell>
          <cell r="I2503">
            <v>0</v>
          </cell>
          <cell r="J2503">
            <v>0</v>
          </cell>
        </row>
        <row r="2504">
          <cell r="A2504">
            <v>1745000757</v>
          </cell>
          <cell r="B2504" t="str">
            <v>הערכות לחורף</v>
          </cell>
          <cell r="C2504">
            <v>332100</v>
          </cell>
          <cell r="D2504">
            <v>331933.07</v>
          </cell>
          <cell r="E2504">
            <v>0</v>
          </cell>
          <cell r="F2504">
            <v>331933.07</v>
          </cell>
          <cell r="G2504">
            <v>166.93</v>
          </cell>
          <cell r="H2504">
            <v>99.94</v>
          </cell>
          <cell r="I2504">
            <v>332100</v>
          </cell>
          <cell r="J2504">
            <v>331933.07</v>
          </cell>
        </row>
        <row r="2505">
          <cell r="A2505">
            <v>1745000758</v>
          </cell>
          <cell r="B2505" t="str">
            <v>אחזקת תעלות</v>
          </cell>
          <cell r="C2505">
            <v>81225</v>
          </cell>
          <cell r="D2505">
            <v>16742</v>
          </cell>
          <cell r="E2505">
            <v>0</v>
          </cell>
          <cell r="F2505">
            <v>16742</v>
          </cell>
          <cell r="G2505">
            <v>64483</v>
          </cell>
          <cell r="H2505">
            <v>20.61</v>
          </cell>
          <cell r="I2505">
            <v>85500</v>
          </cell>
          <cell r="J2505">
            <v>16742</v>
          </cell>
        </row>
        <row r="2506">
          <cell r="A2506">
            <v>1745000759</v>
          </cell>
          <cell r="B2506" t="str">
            <v>ניקוי מובלים</v>
          </cell>
          <cell r="C2506">
            <v>117000</v>
          </cell>
          <cell r="D2506">
            <v>617</v>
          </cell>
          <cell r="E2506">
            <v>0</v>
          </cell>
          <cell r="F2506">
            <v>617</v>
          </cell>
          <cell r="G2506">
            <v>116383</v>
          </cell>
          <cell r="H2506">
            <v>0.52</v>
          </cell>
          <cell r="I2506">
            <v>117000</v>
          </cell>
          <cell r="J2506">
            <v>617</v>
          </cell>
        </row>
        <row r="2507">
          <cell r="A2507">
            <v>1745000760</v>
          </cell>
          <cell r="B2507" t="str">
            <v>התחשבנות תחז' עת"א</v>
          </cell>
          <cell r="C2507">
            <v>0</v>
          </cell>
          <cell r="D2507">
            <v>0</v>
          </cell>
          <cell r="E2507">
            <v>0</v>
          </cell>
          <cell r="F2507">
            <v>0</v>
          </cell>
          <cell r="G2507">
            <v>0</v>
          </cell>
          <cell r="H2507">
            <v>0</v>
          </cell>
          <cell r="I2507">
            <v>0</v>
          </cell>
          <cell r="J2507">
            <v>0</v>
          </cell>
        </row>
        <row r="2508">
          <cell r="A2508">
            <v>1745000761</v>
          </cell>
          <cell r="B2508" t="str">
            <v>אחזקה שוטפת חדר משאבות</v>
          </cell>
          <cell r="C2508">
            <v>95000</v>
          </cell>
          <cell r="D2508">
            <v>0</v>
          </cell>
          <cell r="E2508">
            <v>0</v>
          </cell>
          <cell r="F2508">
            <v>0</v>
          </cell>
          <cell r="G2508">
            <v>95000</v>
          </cell>
          <cell r="H2508">
            <v>0</v>
          </cell>
          <cell r="I2508">
            <v>100000</v>
          </cell>
          <cell r="J2508">
            <v>0</v>
          </cell>
        </row>
        <row r="2509">
          <cell r="A2509">
            <v>1745000832</v>
          </cell>
          <cell r="B2509" t="str">
            <v>רשות הניקוז-ירקון</v>
          </cell>
          <cell r="C2509">
            <v>1298175</v>
          </cell>
          <cell r="D2509">
            <v>1366432</v>
          </cell>
          <cell r="E2509">
            <v>0</v>
          </cell>
          <cell r="F2509">
            <v>1366432</v>
          </cell>
          <cell r="G2509">
            <v>-68257</v>
          </cell>
          <cell r="H2509">
            <v>105.25</v>
          </cell>
          <cell r="I2509">
            <v>1366500</v>
          </cell>
          <cell r="J2509">
            <v>1366432</v>
          </cell>
        </row>
        <row r="2510">
          <cell r="A2510">
            <v>1745000961</v>
          </cell>
          <cell r="B2510" t="str">
            <v>רז' פעולות ורכישות</v>
          </cell>
          <cell r="C2510">
            <v>0</v>
          </cell>
          <cell r="D2510">
            <v>0</v>
          </cell>
          <cell r="E2510">
            <v>0</v>
          </cell>
          <cell r="F2510">
            <v>0</v>
          </cell>
          <cell r="G2510">
            <v>0</v>
          </cell>
          <cell r="H2510">
            <v>0</v>
          </cell>
          <cell r="I2510">
            <v>0</v>
          </cell>
          <cell r="J2510">
            <v>0</v>
          </cell>
        </row>
        <row r="2511">
          <cell r="A2511">
            <v>1746100110</v>
          </cell>
          <cell r="B2511" t="str">
            <v>השכר הקובע-תקציבית</v>
          </cell>
          <cell r="C2511">
            <v>1025335</v>
          </cell>
          <cell r="D2511">
            <v>926426</v>
          </cell>
          <cell r="E2511">
            <v>0</v>
          </cell>
          <cell r="F2511">
            <v>926426</v>
          </cell>
          <cell r="G2511">
            <v>98909</v>
          </cell>
          <cell r="H2511">
            <v>90.35</v>
          </cell>
          <cell r="I2511">
            <v>1079300</v>
          </cell>
          <cell r="J2511">
            <v>926426</v>
          </cell>
        </row>
        <row r="2512">
          <cell r="A2512">
            <v>1746100119</v>
          </cell>
          <cell r="B2512" t="str">
            <v>השכר הקובע-צוברת</v>
          </cell>
          <cell r="C2512">
            <v>3101636</v>
          </cell>
          <cell r="D2512">
            <v>4221388.5999999996</v>
          </cell>
          <cell r="E2512">
            <v>0</v>
          </cell>
          <cell r="F2512">
            <v>4221388.5999999996</v>
          </cell>
          <cell r="G2512">
            <v>-1119752.6000000001</v>
          </cell>
          <cell r="H2512">
            <v>136.1</v>
          </cell>
          <cell r="I2512">
            <v>3264880</v>
          </cell>
          <cell r="J2512">
            <v>4221388.5999999996</v>
          </cell>
        </row>
        <row r="2513">
          <cell r="A2513">
            <v>1746100122</v>
          </cell>
          <cell r="B2513" t="str">
            <v>ביגוד</v>
          </cell>
          <cell r="C2513">
            <v>51300</v>
          </cell>
          <cell r="D2513">
            <v>64549.79</v>
          </cell>
          <cell r="E2513">
            <v>0</v>
          </cell>
          <cell r="F2513">
            <v>64549.79</v>
          </cell>
          <cell r="G2513">
            <v>-13249.79</v>
          </cell>
          <cell r="H2513">
            <v>125.82</v>
          </cell>
          <cell r="I2513">
            <v>54000</v>
          </cell>
          <cell r="J2513">
            <v>64549.79</v>
          </cell>
        </row>
        <row r="2514">
          <cell r="A2514">
            <v>1746100126</v>
          </cell>
          <cell r="B2514" t="str">
            <v>דמי הבראה</v>
          </cell>
          <cell r="C2514">
            <v>55100</v>
          </cell>
          <cell r="D2514">
            <v>39653.15</v>
          </cell>
          <cell r="E2514">
            <v>0</v>
          </cell>
          <cell r="F2514">
            <v>39653.15</v>
          </cell>
          <cell r="G2514">
            <v>15446.85</v>
          </cell>
          <cell r="H2514">
            <v>71.959999999999994</v>
          </cell>
          <cell r="I2514">
            <v>58000</v>
          </cell>
          <cell r="J2514">
            <v>39653.15</v>
          </cell>
        </row>
        <row r="2515">
          <cell r="A2515">
            <v>1746100130</v>
          </cell>
          <cell r="B2515" t="str">
            <v>שעות נוספות</v>
          </cell>
          <cell r="C2515">
            <v>157415</v>
          </cell>
          <cell r="D2515">
            <v>109311.93</v>
          </cell>
          <cell r="E2515">
            <v>0</v>
          </cell>
          <cell r="F2515">
            <v>109311.93</v>
          </cell>
          <cell r="G2515">
            <v>48103.07</v>
          </cell>
          <cell r="H2515">
            <v>69.44</v>
          </cell>
          <cell r="I2515">
            <v>165700</v>
          </cell>
          <cell r="J2515">
            <v>109311.93</v>
          </cell>
        </row>
        <row r="2516">
          <cell r="A2516">
            <v>1746100140</v>
          </cell>
          <cell r="B2516" t="str">
            <v>השתתפות באחזקת רכב</v>
          </cell>
          <cell r="C2516">
            <v>456570</v>
          </cell>
          <cell r="D2516">
            <v>464994.51</v>
          </cell>
          <cell r="E2516">
            <v>0</v>
          </cell>
          <cell r="F2516">
            <v>464994.51</v>
          </cell>
          <cell r="G2516">
            <v>-8424.51</v>
          </cell>
          <cell r="H2516">
            <v>101.84</v>
          </cell>
          <cell r="I2516">
            <v>480600</v>
          </cell>
          <cell r="J2516">
            <v>464994.51</v>
          </cell>
        </row>
        <row r="2517">
          <cell r="A2517">
            <v>1746100210</v>
          </cell>
          <cell r="B2517" t="str">
            <v>שכר שעתיים</v>
          </cell>
          <cell r="C2517">
            <v>0</v>
          </cell>
          <cell r="D2517">
            <v>731.69</v>
          </cell>
          <cell r="E2517">
            <v>0</v>
          </cell>
          <cell r="F2517">
            <v>731.69</v>
          </cell>
          <cell r="G2517">
            <v>-731.69</v>
          </cell>
          <cell r="H2517">
            <v>0</v>
          </cell>
          <cell r="I2517">
            <v>0</v>
          </cell>
          <cell r="J2517">
            <v>731.69</v>
          </cell>
        </row>
        <row r="2518">
          <cell r="A2518">
            <v>1746100253</v>
          </cell>
          <cell r="B2518" t="str">
            <v>עובדים חיצוניים</v>
          </cell>
          <cell r="C2518">
            <v>19351</v>
          </cell>
          <cell r="D2518">
            <v>20367.75</v>
          </cell>
          <cell r="E2518">
            <v>0</v>
          </cell>
          <cell r="F2518">
            <v>20367.75</v>
          </cell>
          <cell r="G2518">
            <v>-1016.75</v>
          </cell>
          <cell r="H2518">
            <v>105.25</v>
          </cell>
          <cell r="I2518">
            <v>20370</v>
          </cell>
          <cell r="J2518">
            <v>20367.75</v>
          </cell>
        </row>
        <row r="2519">
          <cell r="A2519">
            <v>1746100350</v>
          </cell>
          <cell r="B2519" t="str">
            <v>ליסינג 142-90-901</v>
          </cell>
          <cell r="C2519">
            <v>0</v>
          </cell>
          <cell r="D2519">
            <v>0</v>
          </cell>
          <cell r="E2519">
            <v>0</v>
          </cell>
          <cell r="F2519">
            <v>0</v>
          </cell>
          <cell r="G2519">
            <v>0</v>
          </cell>
          <cell r="H2519">
            <v>0</v>
          </cell>
          <cell r="I2519">
            <v>0</v>
          </cell>
          <cell r="J2519">
            <v>0</v>
          </cell>
        </row>
        <row r="2520">
          <cell r="A2520">
            <v>1746100351</v>
          </cell>
          <cell r="B2520" t="str">
            <v>הוצאות 142-90-901</v>
          </cell>
          <cell r="C2520">
            <v>0</v>
          </cell>
          <cell r="D2520">
            <v>0</v>
          </cell>
          <cell r="E2520">
            <v>0</v>
          </cell>
          <cell r="F2520">
            <v>0</v>
          </cell>
          <cell r="G2520">
            <v>0</v>
          </cell>
          <cell r="H2520">
            <v>0</v>
          </cell>
          <cell r="I2520">
            <v>0</v>
          </cell>
          <cell r="J2520">
            <v>0</v>
          </cell>
        </row>
        <row r="2521">
          <cell r="A2521">
            <v>1746100431</v>
          </cell>
          <cell r="B2521" t="str">
            <v>חשמל</v>
          </cell>
          <cell r="C2521">
            <v>71250</v>
          </cell>
          <cell r="D2521">
            <v>206111.57</v>
          </cell>
          <cell r="E2521">
            <v>0</v>
          </cell>
          <cell r="F2521">
            <v>206111.57</v>
          </cell>
          <cell r="G2521">
            <v>-134861.57</v>
          </cell>
          <cell r="H2521">
            <v>289.27</v>
          </cell>
          <cell r="I2521">
            <v>75000</v>
          </cell>
          <cell r="J2521">
            <v>206111.57</v>
          </cell>
        </row>
        <row r="2522">
          <cell r="A2522">
            <v>1746100432</v>
          </cell>
          <cell r="B2522" t="str">
            <v>מים</v>
          </cell>
          <cell r="C2522">
            <v>6140000</v>
          </cell>
          <cell r="D2522">
            <v>6358990.4100000001</v>
          </cell>
          <cell r="E2522">
            <v>0</v>
          </cell>
          <cell r="F2522">
            <v>6358990.4100000001</v>
          </cell>
          <cell r="G2522">
            <v>-218990.41</v>
          </cell>
          <cell r="H2522">
            <v>103.56</v>
          </cell>
          <cell r="I2522">
            <v>6140000</v>
          </cell>
          <cell r="J2522">
            <v>6358990.4100000001</v>
          </cell>
        </row>
        <row r="2523">
          <cell r="A2523">
            <v>1746100433</v>
          </cell>
          <cell r="B2523" t="str">
            <v>חומרי נקיון</v>
          </cell>
          <cell r="C2523">
            <v>0</v>
          </cell>
          <cell r="D2523">
            <v>0</v>
          </cell>
          <cell r="E2523">
            <v>0</v>
          </cell>
          <cell r="F2523">
            <v>0</v>
          </cell>
          <cell r="G2523">
            <v>0</v>
          </cell>
          <cell r="H2523">
            <v>0</v>
          </cell>
          <cell r="I2523">
            <v>0</v>
          </cell>
          <cell r="J2523">
            <v>0</v>
          </cell>
        </row>
        <row r="2524">
          <cell r="A2524">
            <v>1746100437</v>
          </cell>
          <cell r="B2524" t="str">
            <v>אחזקת אזעקה</v>
          </cell>
          <cell r="C2524">
            <v>1235</v>
          </cell>
          <cell r="D2524">
            <v>1221.48</v>
          </cell>
          <cell r="E2524">
            <v>0</v>
          </cell>
          <cell r="F2524">
            <v>1221.48</v>
          </cell>
          <cell r="G2524">
            <v>13.52</v>
          </cell>
          <cell r="H2524">
            <v>98.9</v>
          </cell>
          <cell r="I2524">
            <v>1300</v>
          </cell>
          <cell r="J2524">
            <v>1221.48</v>
          </cell>
        </row>
        <row r="2525">
          <cell r="A2525">
            <v>1746100441</v>
          </cell>
          <cell r="B2525" t="str">
            <v>ביטוח</v>
          </cell>
          <cell r="C2525">
            <v>0</v>
          </cell>
          <cell r="D2525">
            <v>0</v>
          </cell>
          <cell r="E2525">
            <v>0</v>
          </cell>
          <cell r="F2525">
            <v>0</v>
          </cell>
          <cell r="G2525">
            <v>0</v>
          </cell>
          <cell r="H2525">
            <v>0</v>
          </cell>
          <cell r="I2525">
            <v>0</v>
          </cell>
          <cell r="J2525">
            <v>0</v>
          </cell>
        </row>
        <row r="2526">
          <cell r="A2526">
            <v>1746100470</v>
          </cell>
          <cell r="B2526" t="str">
            <v>אחזקת מכונות משרד</v>
          </cell>
          <cell r="C2526">
            <v>2470</v>
          </cell>
          <cell r="D2526">
            <v>581.01</v>
          </cell>
          <cell r="E2526">
            <v>0</v>
          </cell>
          <cell r="F2526">
            <v>581.01</v>
          </cell>
          <cell r="G2526">
            <v>1888.99</v>
          </cell>
          <cell r="H2526">
            <v>23.52</v>
          </cell>
          <cell r="I2526">
            <v>2600</v>
          </cell>
          <cell r="J2526">
            <v>581.01</v>
          </cell>
        </row>
        <row r="2527">
          <cell r="A2527">
            <v>1746100471</v>
          </cell>
          <cell r="B2527" t="str">
            <v>מכשירי כתיבה</v>
          </cell>
          <cell r="C2527">
            <v>13700</v>
          </cell>
          <cell r="D2527">
            <v>7062.01</v>
          </cell>
          <cell r="E2527">
            <v>0</v>
          </cell>
          <cell r="F2527">
            <v>7062.01</v>
          </cell>
          <cell r="G2527">
            <v>6637.99</v>
          </cell>
          <cell r="H2527">
            <v>51.54</v>
          </cell>
          <cell r="I2527">
            <v>13700</v>
          </cell>
          <cell r="J2527">
            <v>7062.01</v>
          </cell>
        </row>
        <row r="2528">
          <cell r="A2528">
            <v>1746100492</v>
          </cell>
          <cell r="B2528" t="str">
            <v>השתתפות בעזר 092</v>
          </cell>
          <cell r="C2528">
            <v>524400</v>
          </cell>
          <cell r="D2528">
            <v>604427</v>
          </cell>
          <cell r="E2528">
            <v>0</v>
          </cell>
          <cell r="F2528">
            <v>604427</v>
          </cell>
          <cell r="G2528">
            <v>-80027</v>
          </cell>
          <cell r="H2528">
            <v>115.26</v>
          </cell>
          <cell r="I2528">
            <v>552000</v>
          </cell>
          <cell r="J2528">
            <v>604427</v>
          </cell>
        </row>
        <row r="2529">
          <cell r="A2529">
            <v>1746100511</v>
          </cell>
          <cell r="B2529" t="str">
            <v>אירוח וכיבוד</v>
          </cell>
          <cell r="C2529">
            <v>2700</v>
          </cell>
          <cell r="D2529">
            <v>2648.88</v>
          </cell>
          <cell r="E2529">
            <v>0</v>
          </cell>
          <cell r="F2529">
            <v>2648.88</v>
          </cell>
          <cell r="G2529">
            <v>51.12</v>
          </cell>
          <cell r="H2529">
            <v>98.1</v>
          </cell>
          <cell r="I2529">
            <v>2700</v>
          </cell>
          <cell r="J2529">
            <v>2648.88</v>
          </cell>
        </row>
        <row r="2530">
          <cell r="A2530">
            <v>1746100512</v>
          </cell>
          <cell r="B2530" t="str">
            <v>נסיעות ואש"ל</v>
          </cell>
          <cell r="C2530">
            <v>855</v>
          </cell>
          <cell r="D2530">
            <v>54</v>
          </cell>
          <cell r="E2530">
            <v>0</v>
          </cell>
          <cell r="F2530">
            <v>54</v>
          </cell>
          <cell r="G2530">
            <v>801</v>
          </cell>
          <cell r="H2530">
            <v>6.31</v>
          </cell>
          <cell r="I2530">
            <v>900</v>
          </cell>
          <cell r="J2530">
            <v>54</v>
          </cell>
        </row>
        <row r="2531">
          <cell r="A2531">
            <v>1746100522</v>
          </cell>
          <cell r="B2531" t="str">
            <v>ספרים ועיתונים</v>
          </cell>
          <cell r="C2531">
            <v>4085</v>
          </cell>
          <cell r="D2531">
            <v>0</v>
          </cell>
          <cell r="E2531">
            <v>0</v>
          </cell>
          <cell r="F2531">
            <v>0</v>
          </cell>
          <cell r="G2531">
            <v>4085</v>
          </cell>
          <cell r="H2531">
            <v>0</v>
          </cell>
          <cell r="I2531">
            <v>4300</v>
          </cell>
          <cell r="J2531">
            <v>0</v>
          </cell>
        </row>
        <row r="2532">
          <cell r="A2532">
            <v>1746100530</v>
          </cell>
          <cell r="B2532" t="str">
            <v>אופניים לעובדים</v>
          </cell>
          <cell r="C2532">
            <v>0</v>
          </cell>
          <cell r="D2532">
            <v>0</v>
          </cell>
          <cell r="E2532">
            <v>0</v>
          </cell>
          <cell r="F2532">
            <v>0</v>
          </cell>
          <cell r="G2532">
            <v>0</v>
          </cell>
          <cell r="H2532">
            <v>0</v>
          </cell>
          <cell r="I2532">
            <v>0</v>
          </cell>
          <cell r="J2532">
            <v>0</v>
          </cell>
        </row>
        <row r="2533">
          <cell r="A2533">
            <v>1746100544</v>
          </cell>
          <cell r="B2533" t="str">
            <v>הוצאות דאר</v>
          </cell>
          <cell r="C2533">
            <v>475</v>
          </cell>
          <cell r="D2533">
            <v>15</v>
          </cell>
          <cell r="E2533">
            <v>0</v>
          </cell>
          <cell r="F2533">
            <v>15</v>
          </cell>
          <cell r="G2533">
            <v>460</v>
          </cell>
          <cell r="H2533">
            <v>3.15</v>
          </cell>
          <cell r="I2533">
            <v>500</v>
          </cell>
          <cell r="J2533">
            <v>15</v>
          </cell>
        </row>
        <row r="2534">
          <cell r="A2534">
            <v>1746100550</v>
          </cell>
          <cell r="B2534" t="str">
            <v>פירסומים</v>
          </cell>
          <cell r="C2534">
            <v>4085</v>
          </cell>
          <cell r="D2534">
            <v>2468</v>
          </cell>
          <cell r="E2534">
            <v>0</v>
          </cell>
          <cell r="F2534">
            <v>2468</v>
          </cell>
          <cell r="G2534">
            <v>1617</v>
          </cell>
          <cell r="H2534">
            <v>60.41</v>
          </cell>
          <cell r="I2534">
            <v>4300</v>
          </cell>
          <cell r="J2534">
            <v>2468</v>
          </cell>
        </row>
        <row r="2535">
          <cell r="A2535">
            <v>1746100561</v>
          </cell>
          <cell r="B2535" t="str">
            <v>שיכפולים</v>
          </cell>
          <cell r="C2535">
            <v>0</v>
          </cell>
          <cell r="D2535">
            <v>0</v>
          </cell>
          <cell r="E2535">
            <v>0</v>
          </cell>
          <cell r="F2535">
            <v>0</v>
          </cell>
          <cell r="G2535">
            <v>0</v>
          </cell>
          <cell r="H2535">
            <v>0</v>
          </cell>
          <cell r="I2535">
            <v>0</v>
          </cell>
          <cell r="J2535">
            <v>0</v>
          </cell>
        </row>
        <row r="2536">
          <cell r="A2536">
            <v>1746100562</v>
          </cell>
          <cell r="B2536" t="str">
            <v>הדפסות</v>
          </cell>
          <cell r="C2536">
            <v>1995</v>
          </cell>
          <cell r="D2536">
            <v>269</v>
          </cell>
          <cell r="E2536">
            <v>0</v>
          </cell>
          <cell r="F2536">
            <v>269</v>
          </cell>
          <cell r="G2536">
            <v>1726</v>
          </cell>
          <cell r="H2536">
            <v>13.48</v>
          </cell>
          <cell r="I2536">
            <v>2100</v>
          </cell>
          <cell r="J2536">
            <v>269</v>
          </cell>
        </row>
        <row r="2537">
          <cell r="A2537">
            <v>1746100565</v>
          </cell>
          <cell r="B2537" t="str">
            <v>צילומים והעתקות</v>
          </cell>
          <cell r="C2537">
            <v>6080</v>
          </cell>
          <cell r="D2537">
            <v>0</v>
          </cell>
          <cell r="E2537">
            <v>0</v>
          </cell>
          <cell r="F2537">
            <v>0</v>
          </cell>
          <cell r="G2537">
            <v>6080</v>
          </cell>
          <cell r="H2537">
            <v>0</v>
          </cell>
          <cell r="I2537">
            <v>6400</v>
          </cell>
          <cell r="J2537">
            <v>0</v>
          </cell>
        </row>
        <row r="2538">
          <cell r="A2538">
            <v>1746100571</v>
          </cell>
          <cell r="B2538" t="str">
            <v>מיכון וענ"א</v>
          </cell>
          <cell r="C2538">
            <v>278350</v>
          </cell>
          <cell r="D2538">
            <v>293000</v>
          </cell>
          <cell r="E2538">
            <v>0</v>
          </cell>
          <cell r="F2538">
            <v>293000</v>
          </cell>
          <cell r="G2538">
            <v>-14650</v>
          </cell>
          <cell r="H2538">
            <v>105.26</v>
          </cell>
          <cell r="I2538">
            <v>293000</v>
          </cell>
          <cell r="J2538">
            <v>293000</v>
          </cell>
        </row>
        <row r="2539">
          <cell r="A2539">
            <v>1746100580</v>
          </cell>
          <cell r="B2539" t="str">
            <v>יועצים-חיצוניים</v>
          </cell>
          <cell r="C2539">
            <v>1472500</v>
          </cell>
          <cell r="D2539">
            <v>1490378</v>
          </cell>
          <cell r="E2539">
            <v>0</v>
          </cell>
          <cell r="F2539">
            <v>1490378</v>
          </cell>
          <cell r="G2539">
            <v>-17878</v>
          </cell>
          <cell r="H2539">
            <v>101.21</v>
          </cell>
          <cell r="I2539">
            <v>1550000</v>
          </cell>
          <cell r="J2539">
            <v>1490378</v>
          </cell>
        </row>
        <row r="2540">
          <cell r="A2540">
            <v>1746100581</v>
          </cell>
          <cell r="B2540" t="str">
            <v>סקר מדי מים</v>
          </cell>
          <cell r="C2540">
            <v>33345</v>
          </cell>
          <cell r="D2540">
            <v>2293</v>
          </cell>
          <cell r="E2540">
            <v>0</v>
          </cell>
          <cell r="F2540">
            <v>2293</v>
          </cell>
          <cell r="G2540">
            <v>31052</v>
          </cell>
          <cell r="H2540">
            <v>6.87</v>
          </cell>
          <cell r="I2540">
            <v>35100</v>
          </cell>
          <cell r="J2540">
            <v>2293</v>
          </cell>
        </row>
        <row r="2541">
          <cell r="A2541">
            <v>1746100596</v>
          </cell>
          <cell r="B2541" t="str">
            <v>השתתפות בעזר 096</v>
          </cell>
          <cell r="C2541">
            <v>285950</v>
          </cell>
          <cell r="D2541">
            <v>281343</v>
          </cell>
          <cell r="E2541">
            <v>0</v>
          </cell>
          <cell r="F2541">
            <v>281343</v>
          </cell>
          <cell r="G2541">
            <v>4607</v>
          </cell>
          <cell r="H2541">
            <v>98.38</v>
          </cell>
          <cell r="I2541">
            <v>301000</v>
          </cell>
          <cell r="J2541">
            <v>281343</v>
          </cell>
        </row>
        <row r="2542">
          <cell r="A2542">
            <v>1746100715</v>
          </cell>
          <cell r="B2542" t="str">
            <v>עבודות קבלניות-רכב</v>
          </cell>
          <cell r="C2542">
            <v>42750</v>
          </cell>
          <cell r="D2542">
            <v>15096.66</v>
          </cell>
          <cell r="E2542">
            <v>0</v>
          </cell>
          <cell r="F2542">
            <v>15096.66</v>
          </cell>
          <cell r="G2542">
            <v>27653.34</v>
          </cell>
          <cell r="H2542">
            <v>35.31</v>
          </cell>
          <cell r="I2542">
            <v>45000</v>
          </cell>
          <cell r="J2542">
            <v>15096.66</v>
          </cell>
        </row>
        <row r="2543">
          <cell r="A2543">
            <v>1746100722</v>
          </cell>
          <cell r="B2543" t="str">
            <v>חמרים-תחזוקה עצמית</v>
          </cell>
          <cell r="C2543">
            <v>50825</v>
          </cell>
          <cell r="D2543">
            <v>23484.12</v>
          </cell>
          <cell r="E2543">
            <v>0</v>
          </cell>
          <cell r="F2543">
            <v>23484.12</v>
          </cell>
          <cell r="G2543">
            <v>27340.880000000001</v>
          </cell>
          <cell r="H2543">
            <v>46.2</v>
          </cell>
          <cell r="I2543">
            <v>53500</v>
          </cell>
          <cell r="J2543">
            <v>23484.12</v>
          </cell>
        </row>
        <row r="2544">
          <cell r="A2544">
            <v>1746100728</v>
          </cell>
          <cell r="B2544" t="str">
            <v>רכישת צמחים ושתילים</v>
          </cell>
          <cell r="C2544">
            <v>664335</v>
          </cell>
          <cell r="D2544">
            <v>693746</v>
          </cell>
          <cell r="E2544">
            <v>0</v>
          </cell>
          <cell r="F2544">
            <v>693746</v>
          </cell>
          <cell r="G2544">
            <v>-29411</v>
          </cell>
          <cell r="H2544">
            <v>104.42</v>
          </cell>
          <cell r="I2544">
            <v>699300</v>
          </cell>
          <cell r="J2544">
            <v>693746</v>
          </cell>
        </row>
        <row r="2545">
          <cell r="A2545">
            <v>1746100737</v>
          </cell>
          <cell r="B2545" t="str">
            <v>שכירת מנוף לימים גשומים</v>
          </cell>
          <cell r="C2545">
            <v>0</v>
          </cell>
          <cell r="D2545">
            <v>0</v>
          </cell>
          <cell r="E2545">
            <v>0</v>
          </cell>
          <cell r="F2545">
            <v>0</v>
          </cell>
          <cell r="G2545">
            <v>0</v>
          </cell>
          <cell r="H2545">
            <v>0</v>
          </cell>
          <cell r="I2545">
            <v>0</v>
          </cell>
          <cell r="J2545">
            <v>0</v>
          </cell>
        </row>
        <row r="2546">
          <cell r="A2546">
            <v>1746100742</v>
          </cell>
          <cell r="B2546" t="str">
            <v>כלים וציוד</v>
          </cell>
          <cell r="C2546">
            <v>38950</v>
          </cell>
          <cell r="D2546">
            <v>29536.34</v>
          </cell>
          <cell r="E2546">
            <v>0</v>
          </cell>
          <cell r="F2546">
            <v>29536.34</v>
          </cell>
          <cell r="G2546">
            <v>9413.66</v>
          </cell>
          <cell r="H2546">
            <v>75.83</v>
          </cell>
          <cell r="I2546">
            <v>41000</v>
          </cell>
          <cell r="J2546">
            <v>29536.34</v>
          </cell>
        </row>
        <row r="2547">
          <cell r="A2547">
            <v>1746100743</v>
          </cell>
          <cell r="B2547" t="str">
            <v>ציוד בטיחות</v>
          </cell>
          <cell r="C2547">
            <v>0</v>
          </cell>
          <cell r="D2547">
            <v>0</v>
          </cell>
          <cell r="E2547">
            <v>0</v>
          </cell>
          <cell r="F2547">
            <v>0</v>
          </cell>
          <cell r="G2547">
            <v>0</v>
          </cell>
          <cell r="H2547">
            <v>0</v>
          </cell>
          <cell r="I2547">
            <v>0</v>
          </cell>
          <cell r="J2547">
            <v>0</v>
          </cell>
        </row>
        <row r="2548">
          <cell r="A2548">
            <v>1746100745</v>
          </cell>
          <cell r="B2548" t="str">
            <v>דמי פריצה - תכולה</v>
          </cell>
          <cell r="C2548">
            <v>0</v>
          </cell>
          <cell r="D2548">
            <v>0</v>
          </cell>
          <cell r="E2548">
            <v>0</v>
          </cell>
          <cell r="F2548">
            <v>0</v>
          </cell>
          <cell r="G2548">
            <v>0</v>
          </cell>
          <cell r="H2548">
            <v>0</v>
          </cell>
          <cell r="I2548">
            <v>0</v>
          </cell>
          <cell r="J2548">
            <v>0</v>
          </cell>
        </row>
        <row r="2549">
          <cell r="A2549">
            <v>1746100746</v>
          </cell>
          <cell r="B2549" t="str">
            <v>דמי פריצה - מבנה</v>
          </cell>
          <cell r="C2549">
            <v>0</v>
          </cell>
          <cell r="D2549">
            <v>0</v>
          </cell>
          <cell r="E2549">
            <v>0</v>
          </cell>
          <cell r="F2549">
            <v>0</v>
          </cell>
          <cell r="G2549">
            <v>0</v>
          </cell>
          <cell r="H2549">
            <v>0</v>
          </cell>
          <cell r="I2549">
            <v>0</v>
          </cell>
          <cell r="J2549">
            <v>0</v>
          </cell>
        </row>
        <row r="2550">
          <cell r="A2550">
            <v>1746100754</v>
          </cell>
          <cell r="B2550" t="str">
            <v>עבודות מסגרות</v>
          </cell>
          <cell r="C2550">
            <v>116300</v>
          </cell>
          <cell r="D2550">
            <v>104674.02</v>
          </cell>
          <cell r="E2550">
            <v>0</v>
          </cell>
          <cell r="F2550">
            <v>104674.02</v>
          </cell>
          <cell r="G2550">
            <v>11625.98</v>
          </cell>
          <cell r="H2550">
            <v>90</v>
          </cell>
          <cell r="I2550">
            <v>116300</v>
          </cell>
          <cell r="J2550">
            <v>104674.02</v>
          </cell>
        </row>
        <row r="2551">
          <cell r="A2551">
            <v>1746100755</v>
          </cell>
          <cell r="B2551" t="str">
            <v>אחז' גינון-שצ"פ עזריאלי</v>
          </cell>
          <cell r="C2551">
            <v>90000</v>
          </cell>
          <cell r="D2551">
            <v>89125.98</v>
          </cell>
          <cell r="E2551">
            <v>0</v>
          </cell>
          <cell r="F2551">
            <v>89125.98</v>
          </cell>
          <cell r="G2551">
            <v>874.02</v>
          </cell>
          <cell r="H2551">
            <v>99.02</v>
          </cell>
          <cell r="I2551">
            <v>90000</v>
          </cell>
          <cell r="J2551">
            <v>89125.98</v>
          </cell>
        </row>
        <row r="2552">
          <cell r="A2552">
            <v>1746100756</v>
          </cell>
          <cell r="B2552" t="str">
            <v>שמירה בקבלנות</v>
          </cell>
          <cell r="C2552">
            <v>33250</v>
          </cell>
          <cell r="D2552">
            <v>39272.61</v>
          </cell>
          <cell r="E2552">
            <v>0</v>
          </cell>
          <cell r="F2552">
            <v>39272.61</v>
          </cell>
          <cell r="G2552">
            <v>-6022.61</v>
          </cell>
          <cell r="H2552">
            <v>118.11</v>
          </cell>
          <cell r="I2552">
            <v>35000</v>
          </cell>
          <cell r="J2552">
            <v>39272.61</v>
          </cell>
        </row>
        <row r="2553">
          <cell r="A2553">
            <v>1746100757</v>
          </cell>
          <cell r="B2553" t="str">
            <v>גיזום עצים בקבלנות</v>
          </cell>
          <cell r="C2553">
            <v>1330000</v>
          </cell>
          <cell r="D2553">
            <v>1140293.92</v>
          </cell>
          <cell r="E2553">
            <v>0</v>
          </cell>
          <cell r="F2553">
            <v>1140293.92</v>
          </cell>
          <cell r="G2553">
            <v>189706.08</v>
          </cell>
          <cell r="H2553">
            <v>85.73</v>
          </cell>
          <cell r="I2553">
            <v>1400000</v>
          </cell>
          <cell r="J2553">
            <v>1140293.92</v>
          </cell>
        </row>
        <row r="2554">
          <cell r="A2554">
            <v>1746100758</v>
          </cell>
          <cell r="B2554" t="str">
            <v>קבלני גינון גנים</v>
          </cell>
          <cell r="C2554">
            <v>13978300</v>
          </cell>
          <cell r="D2554">
            <v>14006418.369999999</v>
          </cell>
          <cell r="E2554">
            <v>0</v>
          </cell>
          <cell r="F2554">
            <v>14006418.369999999</v>
          </cell>
          <cell r="G2554">
            <v>-28118.37</v>
          </cell>
          <cell r="H2554">
            <v>100.2</v>
          </cell>
          <cell r="I2554">
            <v>14714000</v>
          </cell>
          <cell r="J2554">
            <v>14006418.369999999</v>
          </cell>
        </row>
        <row r="2555">
          <cell r="A2555">
            <v>1746100759</v>
          </cell>
          <cell r="B2555" t="str">
            <v>עב" קבלניות שונות</v>
          </cell>
          <cell r="C2555">
            <v>450000</v>
          </cell>
          <cell r="D2555">
            <v>430867.09</v>
          </cell>
          <cell r="E2555">
            <v>0</v>
          </cell>
          <cell r="F2555">
            <v>430867.09</v>
          </cell>
          <cell r="G2555">
            <v>19132.91</v>
          </cell>
          <cell r="H2555">
            <v>95.74</v>
          </cell>
          <cell r="I2555">
            <v>450000</v>
          </cell>
          <cell r="J2555">
            <v>430867.09</v>
          </cell>
        </row>
        <row r="2556">
          <cell r="A2556">
            <v>1746100760</v>
          </cell>
          <cell r="B2556" t="str">
            <v>פינוי גזם</v>
          </cell>
          <cell r="C2556">
            <v>858690</v>
          </cell>
          <cell r="D2556">
            <v>840693.09</v>
          </cell>
          <cell r="E2556">
            <v>0</v>
          </cell>
          <cell r="F2556">
            <v>840693.09</v>
          </cell>
          <cell r="G2556">
            <v>17996.91</v>
          </cell>
          <cell r="H2556">
            <v>97.9</v>
          </cell>
          <cell r="I2556">
            <v>858690</v>
          </cell>
          <cell r="J2556">
            <v>840693.09</v>
          </cell>
        </row>
        <row r="2557">
          <cell r="A2557">
            <v>1746100780</v>
          </cell>
          <cell r="B2557" t="str">
            <v>אחזקת אדניות</v>
          </cell>
          <cell r="C2557">
            <v>2185</v>
          </cell>
          <cell r="D2557">
            <v>0</v>
          </cell>
          <cell r="E2557">
            <v>0</v>
          </cell>
          <cell r="F2557">
            <v>0</v>
          </cell>
          <cell r="G2557">
            <v>2185</v>
          </cell>
          <cell r="H2557">
            <v>0</v>
          </cell>
          <cell r="I2557">
            <v>2300</v>
          </cell>
          <cell r="J2557">
            <v>0</v>
          </cell>
        </row>
        <row r="2558">
          <cell r="A2558">
            <v>1746100781</v>
          </cell>
          <cell r="B2558" t="str">
            <v>תחרות קירייה יפה</v>
          </cell>
          <cell r="C2558">
            <v>5971</v>
          </cell>
          <cell r="D2558">
            <v>6285.07</v>
          </cell>
          <cell r="E2558">
            <v>0</v>
          </cell>
          <cell r="F2558">
            <v>6285.07</v>
          </cell>
          <cell r="G2558">
            <v>-314.07</v>
          </cell>
          <cell r="H2558">
            <v>105.25</v>
          </cell>
          <cell r="I2558">
            <v>6285</v>
          </cell>
          <cell r="J2558">
            <v>6285.07</v>
          </cell>
        </row>
        <row r="2559">
          <cell r="A2559">
            <v>1746100782</v>
          </cell>
          <cell r="B2559" t="str">
            <v>אחזקת פינת ליטוף</v>
          </cell>
          <cell r="C2559">
            <v>361000</v>
          </cell>
          <cell r="D2559">
            <v>373622.34</v>
          </cell>
          <cell r="E2559">
            <v>0</v>
          </cell>
          <cell r="F2559">
            <v>373622.34</v>
          </cell>
          <cell r="G2559">
            <v>-12622.34</v>
          </cell>
          <cell r="H2559">
            <v>103.49</v>
          </cell>
          <cell r="I2559">
            <v>380000</v>
          </cell>
          <cell r="J2559">
            <v>373622.34</v>
          </cell>
        </row>
        <row r="2560">
          <cell r="A2560">
            <v>1746100783</v>
          </cell>
          <cell r="B2560" t="str">
            <v>עבודות הדברת מזיקים</v>
          </cell>
          <cell r="C2560">
            <v>282602</v>
          </cell>
          <cell r="D2560">
            <v>151497</v>
          </cell>
          <cell r="E2560">
            <v>0</v>
          </cell>
          <cell r="F2560">
            <v>151497</v>
          </cell>
          <cell r="G2560">
            <v>131105</v>
          </cell>
          <cell r="H2560">
            <v>53.6</v>
          </cell>
          <cell r="I2560">
            <v>297475</v>
          </cell>
          <cell r="J2560">
            <v>151497</v>
          </cell>
        </row>
        <row r="2561">
          <cell r="A2561">
            <v>1746100784</v>
          </cell>
          <cell r="B2561" t="str">
            <v>גן הקקטוסים</v>
          </cell>
          <cell r="C2561">
            <v>5985</v>
          </cell>
          <cell r="D2561">
            <v>1802.84</v>
          </cell>
          <cell r="E2561">
            <v>105.74</v>
          </cell>
          <cell r="F2561">
            <v>1908.58</v>
          </cell>
          <cell r="G2561">
            <v>4076.42</v>
          </cell>
          <cell r="H2561">
            <v>31.88</v>
          </cell>
          <cell r="I2561">
            <v>6300</v>
          </cell>
          <cell r="J2561">
            <v>1802.84</v>
          </cell>
        </row>
        <row r="2562">
          <cell r="A2562">
            <v>1746100794</v>
          </cell>
          <cell r="B2562" t="str">
            <v>השתתפות בעזר 094</v>
          </cell>
          <cell r="C2562">
            <v>121600</v>
          </cell>
          <cell r="D2562">
            <v>152668</v>
          </cell>
          <cell r="E2562">
            <v>0</v>
          </cell>
          <cell r="F2562">
            <v>152668</v>
          </cell>
          <cell r="G2562">
            <v>-31068</v>
          </cell>
          <cell r="H2562">
            <v>125.54</v>
          </cell>
          <cell r="I2562">
            <v>128000</v>
          </cell>
          <cell r="J2562">
            <v>152668</v>
          </cell>
        </row>
        <row r="2563">
          <cell r="A2563">
            <v>1746100923</v>
          </cell>
          <cell r="B2563" t="str">
            <v>תחז' אנדרטאות ופסלי משחק</v>
          </cell>
          <cell r="C2563">
            <v>307800</v>
          </cell>
          <cell r="D2563">
            <v>320675.98</v>
          </cell>
          <cell r="E2563">
            <v>0</v>
          </cell>
          <cell r="F2563">
            <v>320675.98</v>
          </cell>
          <cell r="G2563">
            <v>-12875.98</v>
          </cell>
          <cell r="H2563">
            <v>104.18</v>
          </cell>
          <cell r="I2563">
            <v>324000</v>
          </cell>
          <cell r="J2563">
            <v>320675.98</v>
          </cell>
        </row>
        <row r="2564">
          <cell r="A2564">
            <v>1746100931</v>
          </cell>
          <cell r="B2564" t="str">
            <v>רכישות חד-פעמיות</v>
          </cell>
          <cell r="C2564">
            <v>0</v>
          </cell>
          <cell r="D2564">
            <v>0</v>
          </cell>
          <cell r="E2564">
            <v>0</v>
          </cell>
          <cell r="F2564">
            <v>0</v>
          </cell>
          <cell r="G2564">
            <v>0</v>
          </cell>
          <cell r="H2564">
            <v>0</v>
          </cell>
          <cell r="I2564">
            <v>0</v>
          </cell>
          <cell r="J2564">
            <v>0</v>
          </cell>
        </row>
        <row r="2565">
          <cell r="A2565">
            <v>1746100932</v>
          </cell>
          <cell r="B2565" t="str">
            <v>אחזקת מזרקות</v>
          </cell>
          <cell r="C2565">
            <v>1118150</v>
          </cell>
          <cell r="D2565">
            <v>1161451</v>
          </cell>
          <cell r="E2565">
            <v>0</v>
          </cell>
          <cell r="F2565">
            <v>1161451</v>
          </cell>
          <cell r="G2565">
            <v>-43301</v>
          </cell>
          <cell r="H2565">
            <v>103.87</v>
          </cell>
          <cell r="I2565">
            <v>1177000</v>
          </cell>
          <cell r="J2565">
            <v>1161451</v>
          </cell>
        </row>
        <row r="2566">
          <cell r="A2566">
            <v>1746100933</v>
          </cell>
          <cell r="B2566" t="str">
            <v>אחזקת מתקני משחק</v>
          </cell>
          <cell r="C2566">
            <v>950000</v>
          </cell>
          <cell r="D2566">
            <v>828704</v>
          </cell>
          <cell r="E2566">
            <v>0</v>
          </cell>
          <cell r="F2566">
            <v>828704</v>
          </cell>
          <cell r="G2566">
            <v>121296</v>
          </cell>
          <cell r="H2566">
            <v>87.23</v>
          </cell>
          <cell r="I2566">
            <v>950000</v>
          </cell>
          <cell r="J2566">
            <v>828704</v>
          </cell>
        </row>
        <row r="2567">
          <cell r="A2567">
            <v>1746100934</v>
          </cell>
          <cell r="B2567" t="str">
            <v>עבודות טכניות</v>
          </cell>
          <cell r="C2567">
            <v>874600</v>
          </cell>
          <cell r="D2567">
            <v>874504.68</v>
          </cell>
          <cell r="E2567">
            <v>0</v>
          </cell>
          <cell r="F2567">
            <v>874504.68</v>
          </cell>
          <cell r="G2567">
            <v>95.32</v>
          </cell>
          <cell r="H2567">
            <v>99.98</v>
          </cell>
          <cell r="I2567">
            <v>874600</v>
          </cell>
          <cell r="J2567">
            <v>874504.68</v>
          </cell>
        </row>
        <row r="2568">
          <cell r="A2568">
            <v>1746100935</v>
          </cell>
          <cell r="B2568" t="str">
            <v>תיקונים מוונדליזם</v>
          </cell>
          <cell r="C2568">
            <v>0</v>
          </cell>
          <cell r="D2568">
            <v>0</v>
          </cell>
          <cell r="E2568">
            <v>0</v>
          </cell>
          <cell r="F2568">
            <v>0</v>
          </cell>
          <cell r="G2568">
            <v>0</v>
          </cell>
          <cell r="H2568">
            <v>0</v>
          </cell>
          <cell r="I2568">
            <v>0</v>
          </cell>
          <cell r="J2568">
            <v>0</v>
          </cell>
        </row>
        <row r="2569">
          <cell r="A2569">
            <v>1746100936</v>
          </cell>
          <cell r="B2569" t="str">
            <v>אחזקת ספסלים</v>
          </cell>
          <cell r="C2569">
            <v>332500</v>
          </cell>
          <cell r="D2569">
            <v>332688.84000000003</v>
          </cell>
          <cell r="E2569">
            <v>0</v>
          </cell>
          <cell r="F2569">
            <v>332688.84000000003</v>
          </cell>
          <cell r="G2569">
            <v>-188.84</v>
          </cell>
          <cell r="H2569">
            <v>100.05</v>
          </cell>
          <cell r="I2569">
            <v>350000</v>
          </cell>
          <cell r="J2569">
            <v>332688.84000000003</v>
          </cell>
        </row>
        <row r="2570">
          <cell r="A2570">
            <v>1746100937</v>
          </cell>
          <cell r="B2570" t="str">
            <v>אחזקת מתקני כושר</v>
          </cell>
          <cell r="C2570">
            <v>213750</v>
          </cell>
          <cell r="D2570">
            <v>225000</v>
          </cell>
          <cell r="E2570">
            <v>0</v>
          </cell>
          <cell r="F2570">
            <v>225000</v>
          </cell>
          <cell r="G2570">
            <v>-11250</v>
          </cell>
          <cell r="H2570">
            <v>105.26</v>
          </cell>
          <cell r="I2570">
            <v>225000</v>
          </cell>
          <cell r="J2570">
            <v>225000</v>
          </cell>
        </row>
        <row r="2571">
          <cell r="A2571">
            <v>1746700432</v>
          </cell>
          <cell r="B2571" t="str">
            <v>מים</v>
          </cell>
          <cell r="C2571">
            <v>0</v>
          </cell>
          <cell r="D2571">
            <v>0</v>
          </cell>
          <cell r="E2571">
            <v>0</v>
          </cell>
          <cell r="F2571">
            <v>0</v>
          </cell>
          <cell r="G2571">
            <v>0</v>
          </cell>
          <cell r="H2571">
            <v>0</v>
          </cell>
          <cell r="I2571">
            <v>0</v>
          </cell>
          <cell r="J2571">
            <v>0</v>
          </cell>
        </row>
        <row r="2572">
          <cell r="A2572">
            <v>1746700870</v>
          </cell>
          <cell r="B2572" t="str">
            <v>אחזקת פארק פרס</v>
          </cell>
          <cell r="C2572">
            <v>2982430</v>
          </cell>
          <cell r="D2572">
            <v>3139389.35</v>
          </cell>
          <cell r="E2572">
            <v>0</v>
          </cell>
          <cell r="F2572">
            <v>3139389.35</v>
          </cell>
          <cell r="G2572">
            <v>-156959.35</v>
          </cell>
          <cell r="H2572">
            <v>105.26</v>
          </cell>
          <cell r="I2572">
            <v>3139400</v>
          </cell>
          <cell r="J2572">
            <v>3139389.35</v>
          </cell>
        </row>
        <row r="2573">
          <cell r="A2573">
            <v>1746700871</v>
          </cell>
          <cell r="B2573" t="str">
            <v>אחזקת מגדל המים</v>
          </cell>
          <cell r="C2573">
            <v>3895</v>
          </cell>
          <cell r="D2573">
            <v>4100.6899999999996</v>
          </cell>
          <cell r="E2573">
            <v>0</v>
          </cell>
          <cell r="F2573">
            <v>4100.6899999999996</v>
          </cell>
          <cell r="G2573">
            <v>-205.69</v>
          </cell>
          <cell r="H2573">
            <v>105.28</v>
          </cell>
          <cell r="I2573">
            <v>4100</v>
          </cell>
          <cell r="J2573">
            <v>4100.6899999999996</v>
          </cell>
        </row>
        <row r="2574">
          <cell r="A2574">
            <v>1746700931</v>
          </cell>
          <cell r="B2574" t="str">
            <v>הוצאות חד פעמיות</v>
          </cell>
          <cell r="C2574">
            <v>0</v>
          </cell>
          <cell r="D2574">
            <v>0</v>
          </cell>
          <cell r="E2574">
            <v>0</v>
          </cell>
          <cell r="F2574">
            <v>0</v>
          </cell>
          <cell r="G2574">
            <v>0</v>
          </cell>
          <cell r="H2574">
            <v>0</v>
          </cell>
          <cell r="I2574">
            <v>0</v>
          </cell>
          <cell r="J2574">
            <v>0</v>
          </cell>
        </row>
        <row r="2575">
          <cell r="A2575">
            <v>1746700950</v>
          </cell>
          <cell r="B2575" t="str">
            <v>.</v>
          </cell>
          <cell r="C2575">
            <v>0</v>
          </cell>
          <cell r="D2575">
            <v>0</v>
          </cell>
          <cell r="E2575">
            <v>0</v>
          </cell>
          <cell r="F2575">
            <v>0</v>
          </cell>
          <cell r="G2575">
            <v>0</v>
          </cell>
          <cell r="H2575">
            <v>0</v>
          </cell>
          <cell r="I2575">
            <v>0</v>
          </cell>
          <cell r="J2575">
            <v>0</v>
          </cell>
        </row>
        <row r="2576">
          <cell r="A2576">
            <v>1751000130</v>
          </cell>
          <cell r="B2576" t="str">
            <v>שעות נוספות</v>
          </cell>
          <cell r="C2576">
            <v>0</v>
          </cell>
          <cell r="D2576">
            <v>0</v>
          </cell>
          <cell r="E2576">
            <v>0</v>
          </cell>
          <cell r="F2576">
            <v>0</v>
          </cell>
          <cell r="G2576">
            <v>0</v>
          </cell>
          <cell r="H2576">
            <v>0</v>
          </cell>
          <cell r="I2576">
            <v>0</v>
          </cell>
          <cell r="J2576">
            <v>0</v>
          </cell>
        </row>
        <row r="2577">
          <cell r="A2577">
            <v>1751000210</v>
          </cell>
          <cell r="B2577" t="str">
            <v>השכר הקובע</v>
          </cell>
          <cell r="C2577">
            <v>0</v>
          </cell>
          <cell r="D2577">
            <v>0</v>
          </cell>
          <cell r="E2577">
            <v>0</v>
          </cell>
          <cell r="F2577">
            <v>0</v>
          </cell>
          <cell r="G2577">
            <v>0</v>
          </cell>
          <cell r="H2577">
            <v>0</v>
          </cell>
          <cell r="I2577">
            <v>0</v>
          </cell>
          <cell r="J2577">
            <v>0</v>
          </cell>
        </row>
        <row r="2578">
          <cell r="A2578">
            <v>1751000782</v>
          </cell>
          <cell r="B2578" t="str">
            <v>הפקת ארועים</v>
          </cell>
          <cell r="C2578">
            <v>666045</v>
          </cell>
          <cell r="D2578">
            <v>696384</v>
          </cell>
          <cell r="E2578">
            <v>4267</v>
          </cell>
          <cell r="F2578">
            <v>700651</v>
          </cell>
          <cell r="G2578">
            <v>-34606</v>
          </cell>
          <cell r="H2578">
            <v>105.19</v>
          </cell>
          <cell r="I2578">
            <v>701100</v>
          </cell>
          <cell r="J2578">
            <v>696384</v>
          </cell>
        </row>
        <row r="2579">
          <cell r="A2579">
            <v>1751000785</v>
          </cell>
          <cell r="B2579" t="str">
            <v>הזכרון-שירי לוחמים</v>
          </cell>
          <cell r="C2579">
            <v>0</v>
          </cell>
          <cell r="D2579">
            <v>0</v>
          </cell>
          <cell r="E2579">
            <v>0</v>
          </cell>
          <cell r="F2579">
            <v>0</v>
          </cell>
          <cell r="G2579">
            <v>0</v>
          </cell>
          <cell r="H2579">
            <v>0</v>
          </cell>
          <cell r="I2579">
            <v>0</v>
          </cell>
          <cell r="J2579">
            <v>0</v>
          </cell>
        </row>
        <row r="2580">
          <cell r="A2580">
            <v>1751000961</v>
          </cell>
          <cell r="B2580" t="str">
            <v>רז' פעולות ורכישות</v>
          </cell>
          <cell r="C2580">
            <v>0</v>
          </cell>
          <cell r="D2580">
            <v>0</v>
          </cell>
          <cell r="E2580">
            <v>0</v>
          </cell>
          <cell r="F2580">
            <v>0</v>
          </cell>
          <cell r="G2580">
            <v>0</v>
          </cell>
          <cell r="H2580">
            <v>0</v>
          </cell>
          <cell r="I2580">
            <v>0</v>
          </cell>
          <cell r="J2580">
            <v>0</v>
          </cell>
        </row>
        <row r="2581">
          <cell r="A2581">
            <v>1752000511</v>
          </cell>
          <cell r="B2581" t="str">
            <v>וועדות כיבוד</v>
          </cell>
          <cell r="C2581">
            <v>15000</v>
          </cell>
          <cell r="D2581">
            <v>11943.55</v>
          </cell>
          <cell r="E2581">
            <v>0</v>
          </cell>
          <cell r="F2581">
            <v>11943.55</v>
          </cell>
          <cell r="G2581">
            <v>3056.45</v>
          </cell>
          <cell r="H2581">
            <v>79.62</v>
          </cell>
          <cell r="I2581">
            <v>15000</v>
          </cell>
          <cell r="J2581">
            <v>11943.55</v>
          </cell>
        </row>
        <row r="2582">
          <cell r="A2582">
            <v>1752000514</v>
          </cell>
          <cell r="B2582" t="str">
            <v>מתנות עירייה</v>
          </cell>
          <cell r="C2582">
            <v>40660</v>
          </cell>
          <cell r="D2582">
            <v>23200</v>
          </cell>
          <cell r="E2582">
            <v>12865</v>
          </cell>
          <cell r="F2582">
            <v>36065</v>
          </cell>
          <cell r="G2582">
            <v>4595</v>
          </cell>
          <cell r="H2582">
            <v>88.69</v>
          </cell>
          <cell r="I2582">
            <v>42800</v>
          </cell>
          <cell r="J2582">
            <v>23200</v>
          </cell>
        </row>
        <row r="2583">
          <cell r="A2583">
            <v>1752000781</v>
          </cell>
          <cell r="B2583" t="str">
            <v>ארועים</v>
          </cell>
          <cell r="C2583">
            <v>92800</v>
          </cell>
          <cell r="D2583">
            <v>83481.16</v>
          </cell>
          <cell r="E2583">
            <v>113.82</v>
          </cell>
          <cell r="F2583">
            <v>83594.98</v>
          </cell>
          <cell r="G2583">
            <v>9205.02</v>
          </cell>
          <cell r="H2583">
            <v>90.08</v>
          </cell>
          <cell r="I2583">
            <v>92800</v>
          </cell>
          <cell r="J2583">
            <v>83481.16</v>
          </cell>
        </row>
        <row r="2584">
          <cell r="A2584">
            <v>1752000783</v>
          </cell>
          <cell r="B2584" t="str">
            <v>רכ'מדליונים וספרים</v>
          </cell>
          <cell r="C2584">
            <v>36670</v>
          </cell>
          <cell r="D2584">
            <v>9372</v>
          </cell>
          <cell r="E2584">
            <v>0</v>
          </cell>
          <cell r="F2584">
            <v>9372</v>
          </cell>
          <cell r="G2584">
            <v>27298</v>
          </cell>
          <cell r="H2584">
            <v>25.55</v>
          </cell>
          <cell r="I2584">
            <v>38600</v>
          </cell>
          <cell r="J2584">
            <v>9372</v>
          </cell>
        </row>
        <row r="2585">
          <cell r="A2585">
            <v>1752000784</v>
          </cell>
          <cell r="B2585" t="str">
            <v>80 שנים לחולון</v>
          </cell>
          <cell r="C2585">
            <v>0</v>
          </cell>
          <cell r="D2585">
            <v>0</v>
          </cell>
          <cell r="E2585">
            <v>0</v>
          </cell>
          <cell r="F2585">
            <v>0</v>
          </cell>
          <cell r="G2585">
            <v>0</v>
          </cell>
          <cell r="H2585">
            <v>0</v>
          </cell>
          <cell r="I2585">
            <v>0</v>
          </cell>
          <cell r="J2585">
            <v>0</v>
          </cell>
        </row>
        <row r="2586">
          <cell r="A2586">
            <v>1753000881</v>
          </cell>
          <cell r="B2586" t="str">
            <v>אימוץ הגדוד ועד</v>
          </cell>
          <cell r="C2586">
            <v>0</v>
          </cell>
          <cell r="D2586">
            <v>0</v>
          </cell>
          <cell r="E2586">
            <v>0</v>
          </cell>
          <cell r="F2586">
            <v>0</v>
          </cell>
          <cell r="G2586">
            <v>0</v>
          </cell>
          <cell r="H2586">
            <v>0</v>
          </cell>
          <cell r="I2586">
            <v>0</v>
          </cell>
          <cell r="J2586">
            <v>0</v>
          </cell>
        </row>
        <row r="2587">
          <cell r="A2587">
            <v>1753000882</v>
          </cell>
          <cell r="B2587" t="str">
            <v>השתת' עמותה לשוטר</v>
          </cell>
          <cell r="C2587">
            <v>0</v>
          </cell>
          <cell r="D2587">
            <v>0</v>
          </cell>
          <cell r="E2587">
            <v>0</v>
          </cell>
          <cell r="F2587">
            <v>0</v>
          </cell>
          <cell r="G2587">
            <v>0</v>
          </cell>
          <cell r="H2587">
            <v>0</v>
          </cell>
          <cell r="I2587">
            <v>0</v>
          </cell>
          <cell r="J2587">
            <v>0</v>
          </cell>
        </row>
        <row r="2588">
          <cell r="A2588">
            <v>1753000883</v>
          </cell>
          <cell r="B2588" t="str">
            <v>אימוץ ממר"מ</v>
          </cell>
          <cell r="C2588">
            <v>0</v>
          </cell>
          <cell r="D2588">
            <v>0</v>
          </cell>
          <cell r="E2588">
            <v>0</v>
          </cell>
          <cell r="F2588">
            <v>0</v>
          </cell>
          <cell r="G2588">
            <v>0</v>
          </cell>
          <cell r="H2588">
            <v>0</v>
          </cell>
          <cell r="I2588">
            <v>0</v>
          </cell>
          <cell r="J2588">
            <v>0</v>
          </cell>
        </row>
        <row r="2589">
          <cell r="A2589">
            <v>1754000513</v>
          </cell>
          <cell r="B2589" t="str">
            <v>משלח' נכנסות/יוצאות</v>
          </cell>
          <cell r="C2589">
            <v>81225</v>
          </cell>
          <cell r="D2589">
            <v>20504.11</v>
          </cell>
          <cell r="E2589">
            <v>0</v>
          </cell>
          <cell r="F2589">
            <v>20504.11</v>
          </cell>
          <cell r="G2589">
            <v>60720.89</v>
          </cell>
          <cell r="H2589">
            <v>25.24</v>
          </cell>
          <cell r="I2589">
            <v>85500</v>
          </cell>
          <cell r="J2589">
            <v>20504.11</v>
          </cell>
        </row>
        <row r="2590">
          <cell r="A2590">
            <v>1754000515</v>
          </cell>
          <cell r="B2590" t="str">
            <v>משלחות נוער</v>
          </cell>
          <cell r="C2590">
            <v>194940</v>
          </cell>
          <cell r="D2590">
            <v>6326.5</v>
          </cell>
          <cell r="E2590">
            <v>0</v>
          </cell>
          <cell r="F2590">
            <v>6326.5</v>
          </cell>
          <cell r="G2590">
            <v>188613.5</v>
          </cell>
          <cell r="H2590">
            <v>3.24</v>
          </cell>
          <cell r="I2590">
            <v>205200</v>
          </cell>
          <cell r="J2590">
            <v>6326.5</v>
          </cell>
        </row>
        <row r="2591">
          <cell r="A2591">
            <v>1754000931</v>
          </cell>
          <cell r="B2591" t="str">
            <v>פרוייקט האיחוד R&amp;D</v>
          </cell>
          <cell r="C2591">
            <v>0</v>
          </cell>
          <cell r="D2591">
            <v>0</v>
          </cell>
          <cell r="E2591">
            <v>0</v>
          </cell>
          <cell r="F2591">
            <v>0</v>
          </cell>
          <cell r="G2591">
            <v>0</v>
          </cell>
          <cell r="H2591">
            <v>0</v>
          </cell>
          <cell r="I2591">
            <v>0</v>
          </cell>
          <cell r="J2591">
            <v>0</v>
          </cell>
        </row>
        <row r="2592">
          <cell r="A2592">
            <v>1754000933</v>
          </cell>
          <cell r="B2592" t="str">
            <v>פרוייקט משקפיים</v>
          </cell>
          <cell r="C2592">
            <v>0</v>
          </cell>
          <cell r="D2592">
            <v>0</v>
          </cell>
          <cell r="E2592">
            <v>0</v>
          </cell>
          <cell r="F2592">
            <v>0</v>
          </cell>
          <cell r="G2592">
            <v>0</v>
          </cell>
          <cell r="H2592">
            <v>0</v>
          </cell>
          <cell r="I2592">
            <v>0</v>
          </cell>
          <cell r="J2592">
            <v>0</v>
          </cell>
        </row>
        <row r="2593">
          <cell r="A2593">
            <v>1761000110</v>
          </cell>
          <cell r="B2593" t="str">
            <v>השכר הקובע-תקציבית</v>
          </cell>
          <cell r="C2593">
            <v>147060</v>
          </cell>
          <cell r="D2593">
            <v>181300.26</v>
          </cell>
          <cell r="E2593">
            <v>0</v>
          </cell>
          <cell r="F2593">
            <v>181300.26</v>
          </cell>
          <cell r="G2593">
            <v>-34240.26</v>
          </cell>
          <cell r="H2593">
            <v>123.28</v>
          </cell>
          <cell r="I2593">
            <v>154800</v>
          </cell>
          <cell r="J2593">
            <v>181300.26</v>
          </cell>
        </row>
        <row r="2594">
          <cell r="A2594">
            <v>1761000119</v>
          </cell>
          <cell r="B2594" t="str">
            <v>השכר הקובע-צוברת</v>
          </cell>
          <cell r="C2594">
            <v>2515790</v>
          </cell>
          <cell r="D2594">
            <v>2685014.58</v>
          </cell>
          <cell r="E2594">
            <v>0</v>
          </cell>
          <cell r="F2594">
            <v>2685014.58</v>
          </cell>
          <cell r="G2594">
            <v>-169224.58</v>
          </cell>
          <cell r="H2594">
            <v>106.72</v>
          </cell>
          <cell r="I2594">
            <v>2648200</v>
          </cell>
          <cell r="J2594">
            <v>2685014.58</v>
          </cell>
        </row>
        <row r="2595">
          <cell r="A2595">
            <v>1761000122</v>
          </cell>
          <cell r="B2595" t="str">
            <v>ביגוד</v>
          </cell>
          <cell r="C2595">
            <v>35625</v>
          </cell>
          <cell r="D2595">
            <v>40176.69</v>
          </cell>
          <cell r="E2595">
            <v>0</v>
          </cell>
          <cell r="F2595">
            <v>40176.69</v>
          </cell>
          <cell r="G2595">
            <v>-4551.6899999999996</v>
          </cell>
          <cell r="H2595">
            <v>112.77</v>
          </cell>
          <cell r="I2595">
            <v>37500</v>
          </cell>
          <cell r="J2595">
            <v>40176.69</v>
          </cell>
        </row>
        <row r="2596">
          <cell r="A2596">
            <v>1761000126</v>
          </cell>
          <cell r="B2596" t="str">
            <v>דמי הבראה</v>
          </cell>
          <cell r="C2596">
            <v>68400</v>
          </cell>
          <cell r="D2596">
            <v>93285.759999999995</v>
          </cell>
          <cell r="E2596">
            <v>0</v>
          </cell>
          <cell r="F2596">
            <v>93285.759999999995</v>
          </cell>
          <cell r="G2596">
            <v>-24885.759999999998</v>
          </cell>
          <cell r="H2596">
            <v>136.38</v>
          </cell>
          <cell r="I2596">
            <v>72000</v>
          </cell>
          <cell r="J2596">
            <v>93285.759999999995</v>
          </cell>
        </row>
        <row r="2597">
          <cell r="A2597">
            <v>1761000130</v>
          </cell>
          <cell r="B2597" t="str">
            <v>שעות נוספות</v>
          </cell>
          <cell r="C2597">
            <v>323190</v>
          </cell>
          <cell r="D2597">
            <v>416359.86</v>
          </cell>
          <cell r="E2597">
            <v>0</v>
          </cell>
          <cell r="F2597">
            <v>416359.86</v>
          </cell>
          <cell r="G2597">
            <v>-93169.86</v>
          </cell>
          <cell r="H2597">
            <v>128.82</v>
          </cell>
          <cell r="I2597">
            <v>340200</v>
          </cell>
          <cell r="J2597">
            <v>416359.86</v>
          </cell>
        </row>
        <row r="2598">
          <cell r="A2598">
            <v>1761000140</v>
          </cell>
          <cell r="B2598" t="str">
            <v>השתתפות באחזקת רכב</v>
          </cell>
          <cell r="C2598">
            <v>95950</v>
          </cell>
          <cell r="D2598">
            <v>246568.31</v>
          </cell>
          <cell r="E2598">
            <v>0</v>
          </cell>
          <cell r="F2598">
            <v>246568.31</v>
          </cell>
          <cell r="G2598">
            <v>-150618.31</v>
          </cell>
          <cell r="H2598">
            <v>256.97000000000003</v>
          </cell>
          <cell r="I2598">
            <v>101000</v>
          </cell>
          <cell r="J2598">
            <v>246568.31</v>
          </cell>
        </row>
        <row r="2599">
          <cell r="A2599">
            <v>1761000210</v>
          </cell>
          <cell r="B2599" t="str">
            <v>השכר הקובע-שעתיים</v>
          </cell>
          <cell r="C2599">
            <v>1087560</v>
          </cell>
          <cell r="D2599">
            <v>1007196.69</v>
          </cell>
          <cell r="E2599">
            <v>0</v>
          </cell>
          <cell r="F2599">
            <v>1007196.69</v>
          </cell>
          <cell r="G2599">
            <v>80363.31</v>
          </cell>
          <cell r="H2599">
            <v>92.61</v>
          </cell>
          <cell r="I2599">
            <v>1144800</v>
          </cell>
          <cell r="J2599">
            <v>1007196.69</v>
          </cell>
        </row>
        <row r="2600">
          <cell r="A2600">
            <v>1761000253</v>
          </cell>
          <cell r="B2600" t="str">
            <v>עובדים חיצוניים</v>
          </cell>
          <cell r="C2600">
            <v>0</v>
          </cell>
          <cell r="D2600">
            <v>0</v>
          </cell>
          <cell r="E2600">
            <v>0</v>
          </cell>
          <cell r="F2600">
            <v>0</v>
          </cell>
          <cell r="G2600">
            <v>0</v>
          </cell>
          <cell r="H2600">
            <v>0</v>
          </cell>
          <cell r="I2600">
            <v>0</v>
          </cell>
          <cell r="J2600">
            <v>0</v>
          </cell>
        </row>
        <row r="2601">
          <cell r="A2601">
            <v>1761000410</v>
          </cell>
          <cell r="B2601" t="str">
            <v>שכ"ד מנהלי רובע</v>
          </cell>
          <cell r="C2601">
            <v>43320</v>
          </cell>
          <cell r="D2601">
            <v>0</v>
          </cell>
          <cell r="E2601">
            <v>0</v>
          </cell>
          <cell r="F2601">
            <v>0</v>
          </cell>
          <cell r="G2601">
            <v>43320</v>
          </cell>
          <cell r="H2601">
            <v>0</v>
          </cell>
          <cell r="I2601">
            <v>45600</v>
          </cell>
          <cell r="J2601">
            <v>0</v>
          </cell>
        </row>
        <row r="2602">
          <cell r="A2602">
            <v>1761000433</v>
          </cell>
          <cell r="B2602" t="str">
            <v>חומרי נקיון</v>
          </cell>
          <cell r="C2602">
            <v>900</v>
          </cell>
          <cell r="D2602">
            <v>839.22</v>
          </cell>
          <cell r="E2602">
            <v>32.06</v>
          </cell>
          <cell r="F2602">
            <v>871.28</v>
          </cell>
          <cell r="G2602">
            <v>28.72</v>
          </cell>
          <cell r="H2602">
            <v>96.8</v>
          </cell>
          <cell r="I2602">
            <v>900</v>
          </cell>
          <cell r="J2602">
            <v>839.22</v>
          </cell>
        </row>
        <row r="2603">
          <cell r="A2603">
            <v>1761000437</v>
          </cell>
          <cell r="B2603" t="str">
            <v>אחזקת לחצני מצוקה</v>
          </cell>
          <cell r="C2603">
            <v>0</v>
          </cell>
          <cell r="D2603">
            <v>0</v>
          </cell>
          <cell r="E2603">
            <v>0</v>
          </cell>
          <cell r="F2603">
            <v>0</v>
          </cell>
          <cell r="G2603">
            <v>0</v>
          </cell>
          <cell r="H2603">
            <v>0</v>
          </cell>
          <cell r="I2603">
            <v>0</v>
          </cell>
          <cell r="J2603">
            <v>0</v>
          </cell>
        </row>
        <row r="2604">
          <cell r="A2604">
            <v>1761000450</v>
          </cell>
          <cell r="B2604" t="str">
            <v>אחזקת תמי 4</v>
          </cell>
          <cell r="C2604">
            <v>1425</v>
          </cell>
          <cell r="D2604">
            <v>0</v>
          </cell>
          <cell r="E2604">
            <v>530.01</v>
          </cell>
          <cell r="F2604">
            <v>530.01</v>
          </cell>
          <cell r="G2604">
            <v>894.99</v>
          </cell>
          <cell r="H2604">
            <v>37.19</v>
          </cell>
          <cell r="I2604">
            <v>1500</v>
          </cell>
          <cell r="J2604">
            <v>0</v>
          </cell>
        </row>
        <row r="2605">
          <cell r="A2605">
            <v>1761000470</v>
          </cell>
          <cell r="B2605" t="str">
            <v>אחזקת מכונות משרד</v>
          </cell>
          <cell r="C2605">
            <v>0</v>
          </cell>
          <cell r="D2605">
            <v>0</v>
          </cell>
          <cell r="E2605">
            <v>0</v>
          </cell>
          <cell r="F2605">
            <v>0</v>
          </cell>
          <cell r="G2605">
            <v>0</v>
          </cell>
          <cell r="H2605">
            <v>0</v>
          </cell>
          <cell r="I2605">
            <v>0</v>
          </cell>
          <cell r="J2605">
            <v>0</v>
          </cell>
        </row>
        <row r="2606">
          <cell r="A2606">
            <v>1761000471</v>
          </cell>
          <cell r="B2606" t="str">
            <v>מכשירי כתיבה</v>
          </cell>
          <cell r="C2606">
            <v>5400</v>
          </cell>
          <cell r="D2606">
            <v>4277.82</v>
          </cell>
          <cell r="E2606">
            <v>290.7</v>
          </cell>
          <cell r="F2606">
            <v>4568.5200000000004</v>
          </cell>
          <cell r="G2606">
            <v>831.48</v>
          </cell>
          <cell r="H2606">
            <v>84.6</v>
          </cell>
          <cell r="I2606">
            <v>5400</v>
          </cell>
          <cell r="J2606">
            <v>4277.82</v>
          </cell>
        </row>
        <row r="2607">
          <cell r="A2607">
            <v>1761000492</v>
          </cell>
          <cell r="B2607" t="str">
            <v>השתתפות בעזר 092</v>
          </cell>
          <cell r="C2607">
            <v>96900</v>
          </cell>
          <cell r="D2607">
            <v>111687</v>
          </cell>
          <cell r="E2607">
            <v>0</v>
          </cell>
          <cell r="F2607">
            <v>111687</v>
          </cell>
          <cell r="G2607">
            <v>-14787</v>
          </cell>
          <cell r="H2607">
            <v>115.26</v>
          </cell>
          <cell r="I2607">
            <v>102000</v>
          </cell>
          <cell r="J2607">
            <v>111687</v>
          </cell>
        </row>
        <row r="2608">
          <cell r="A2608">
            <v>1761000511</v>
          </cell>
          <cell r="B2608" t="str">
            <v>אירוח וכיבוד</v>
          </cell>
          <cell r="C2608">
            <v>4940</v>
          </cell>
          <cell r="D2608">
            <v>4789.97</v>
          </cell>
          <cell r="E2608">
            <v>53.29</v>
          </cell>
          <cell r="F2608">
            <v>4843.26</v>
          </cell>
          <cell r="G2608">
            <v>96.74</v>
          </cell>
          <cell r="H2608">
            <v>98.04</v>
          </cell>
          <cell r="I2608">
            <v>5200</v>
          </cell>
          <cell r="J2608">
            <v>4789.97</v>
          </cell>
        </row>
        <row r="2609">
          <cell r="A2609">
            <v>1761000544</v>
          </cell>
          <cell r="B2609" t="str">
            <v>הוצאות דאר</v>
          </cell>
          <cell r="C2609">
            <v>0</v>
          </cell>
          <cell r="D2609">
            <v>0</v>
          </cell>
          <cell r="E2609">
            <v>0</v>
          </cell>
          <cell r="F2609">
            <v>0</v>
          </cell>
          <cell r="G2609">
            <v>0</v>
          </cell>
          <cell r="H2609">
            <v>0</v>
          </cell>
          <cell r="I2609">
            <v>0</v>
          </cell>
          <cell r="J2609">
            <v>0</v>
          </cell>
        </row>
        <row r="2610">
          <cell r="A2610">
            <v>1761000550</v>
          </cell>
          <cell r="B2610" t="str">
            <v>פירסומים</v>
          </cell>
          <cell r="C2610">
            <v>0</v>
          </cell>
          <cell r="D2610">
            <v>0</v>
          </cell>
          <cell r="E2610">
            <v>0</v>
          </cell>
          <cell r="F2610">
            <v>0</v>
          </cell>
          <cell r="G2610">
            <v>0</v>
          </cell>
          <cell r="H2610">
            <v>0</v>
          </cell>
          <cell r="I2610">
            <v>0</v>
          </cell>
          <cell r="J2610">
            <v>0</v>
          </cell>
        </row>
        <row r="2611">
          <cell r="A2611">
            <v>1761000561</v>
          </cell>
          <cell r="B2611" t="str">
            <v>שיכפולים</v>
          </cell>
          <cell r="C2611">
            <v>0</v>
          </cell>
          <cell r="D2611">
            <v>0</v>
          </cell>
          <cell r="E2611">
            <v>0</v>
          </cell>
          <cell r="F2611">
            <v>0</v>
          </cell>
          <cell r="G2611">
            <v>0</v>
          </cell>
          <cell r="H2611">
            <v>0</v>
          </cell>
          <cell r="I2611">
            <v>0</v>
          </cell>
          <cell r="J2611">
            <v>0</v>
          </cell>
        </row>
        <row r="2612">
          <cell r="A2612">
            <v>1761000562</v>
          </cell>
          <cell r="B2612" t="str">
            <v>הדפסות</v>
          </cell>
          <cell r="C2612">
            <v>0</v>
          </cell>
          <cell r="D2612">
            <v>0</v>
          </cell>
          <cell r="E2612">
            <v>0</v>
          </cell>
          <cell r="F2612">
            <v>0</v>
          </cell>
          <cell r="G2612">
            <v>0</v>
          </cell>
          <cell r="H2612">
            <v>0</v>
          </cell>
          <cell r="I2612">
            <v>0</v>
          </cell>
          <cell r="J2612">
            <v>0</v>
          </cell>
        </row>
        <row r="2613">
          <cell r="A2613">
            <v>1761000564</v>
          </cell>
          <cell r="B2613" t="str">
            <v>בנק מסרונים</v>
          </cell>
          <cell r="C2613">
            <v>8930</v>
          </cell>
          <cell r="D2613">
            <v>0</v>
          </cell>
          <cell r="E2613">
            <v>0</v>
          </cell>
          <cell r="F2613">
            <v>0</v>
          </cell>
          <cell r="G2613">
            <v>8930</v>
          </cell>
          <cell r="H2613">
            <v>0</v>
          </cell>
          <cell r="I2613">
            <v>9400</v>
          </cell>
          <cell r="J2613">
            <v>0</v>
          </cell>
        </row>
        <row r="2614">
          <cell r="A2614">
            <v>1761000565</v>
          </cell>
          <cell r="B2614" t="str">
            <v>דמי שימוש חודשיים במע' מוקד</v>
          </cell>
          <cell r="C2614">
            <v>333450</v>
          </cell>
          <cell r="D2614">
            <v>283409</v>
          </cell>
          <cell r="E2614">
            <v>25974</v>
          </cell>
          <cell r="F2614">
            <v>309383</v>
          </cell>
          <cell r="G2614">
            <v>24067</v>
          </cell>
          <cell r="H2614">
            <v>92.78</v>
          </cell>
          <cell r="I2614">
            <v>351000</v>
          </cell>
          <cell r="J2614">
            <v>283409</v>
          </cell>
        </row>
        <row r="2615">
          <cell r="A2615">
            <v>1761000571</v>
          </cell>
          <cell r="B2615" t="str">
            <v>מיכון וענ"א</v>
          </cell>
          <cell r="C2615">
            <v>144495</v>
          </cell>
          <cell r="D2615">
            <v>152100</v>
          </cell>
          <cell r="E2615">
            <v>0</v>
          </cell>
          <cell r="F2615">
            <v>152100</v>
          </cell>
          <cell r="G2615">
            <v>-7605</v>
          </cell>
          <cell r="H2615">
            <v>105.26</v>
          </cell>
          <cell r="I2615">
            <v>152100</v>
          </cell>
          <cell r="J2615">
            <v>152100</v>
          </cell>
        </row>
        <row r="2616">
          <cell r="A2616">
            <v>1761000596</v>
          </cell>
          <cell r="B2616" t="str">
            <v>השתתפות בעזר 096</v>
          </cell>
          <cell r="C2616">
            <v>96900</v>
          </cell>
          <cell r="D2616">
            <v>95339</v>
          </cell>
          <cell r="E2616">
            <v>0</v>
          </cell>
          <cell r="F2616">
            <v>95339</v>
          </cell>
          <cell r="G2616">
            <v>1561</v>
          </cell>
          <cell r="H2616">
            <v>98.38</v>
          </cell>
          <cell r="I2616">
            <v>102000</v>
          </cell>
          <cell r="J2616">
            <v>95339</v>
          </cell>
        </row>
        <row r="2617">
          <cell r="A2617">
            <v>1761000743</v>
          </cell>
          <cell r="B2617" t="str">
            <v>ציוד ואחזקתו</v>
          </cell>
          <cell r="C2617">
            <v>0</v>
          </cell>
          <cell r="D2617">
            <v>0</v>
          </cell>
          <cell r="E2617">
            <v>0</v>
          </cell>
          <cell r="F2617">
            <v>0</v>
          </cell>
          <cell r="G2617">
            <v>0</v>
          </cell>
          <cell r="H2617">
            <v>0</v>
          </cell>
          <cell r="I2617">
            <v>0</v>
          </cell>
          <cell r="J2617">
            <v>0</v>
          </cell>
        </row>
        <row r="2618">
          <cell r="A2618">
            <v>1761000752</v>
          </cell>
          <cell r="B2618" t="str">
            <v>נקיון מבני רובעים</v>
          </cell>
          <cell r="C2618">
            <v>0</v>
          </cell>
          <cell r="D2618">
            <v>0</v>
          </cell>
          <cell r="E2618">
            <v>0</v>
          </cell>
          <cell r="F2618">
            <v>0</v>
          </cell>
          <cell r="G2618">
            <v>0</v>
          </cell>
          <cell r="H2618">
            <v>0</v>
          </cell>
          <cell r="I2618">
            <v>0</v>
          </cell>
          <cell r="J2618">
            <v>0</v>
          </cell>
        </row>
        <row r="2619">
          <cell r="A2619">
            <v>1761000754</v>
          </cell>
          <cell r="B2619" t="str">
            <v>עבודות קבלניות</v>
          </cell>
          <cell r="C2619">
            <v>0</v>
          </cell>
          <cell r="D2619">
            <v>0</v>
          </cell>
          <cell r="E2619">
            <v>0</v>
          </cell>
          <cell r="F2619">
            <v>0</v>
          </cell>
          <cell r="G2619">
            <v>0</v>
          </cell>
          <cell r="H2619">
            <v>0</v>
          </cell>
          <cell r="I2619">
            <v>0</v>
          </cell>
          <cell r="J2619">
            <v>0</v>
          </cell>
        </row>
        <row r="2620">
          <cell r="A2620">
            <v>1761000757</v>
          </cell>
          <cell r="B2620" t="str">
            <v>תשאולים והודעות</v>
          </cell>
          <cell r="C2620">
            <v>4275</v>
          </cell>
          <cell r="D2620">
            <v>0</v>
          </cell>
          <cell r="E2620">
            <v>0</v>
          </cell>
          <cell r="F2620">
            <v>0</v>
          </cell>
          <cell r="G2620">
            <v>4275</v>
          </cell>
          <cell r="H2620">
            <v>0</v>
          </cell>
          <cell r="I2620">
            <v>4500</v>
          </cell>
          <cell r="J2620">
            <v>0</v>
          </cell>
        </row>
        <row r="2621">
          <cell r="A2621">
            <v>1761000931</v>
          </cell>
          <cell r="B2621" t="str">
            <v>רכישות חד-פעמיות</v>
          </cell>
          <cell r="C2621">
            <v>0</v>
          </cell>
          <cell r="D2621">
            <v>0</v>
          </cell>
          <cell r="E2621">
            <v>0</v>
          </cell>
          <cell r="F2621">
            <v>0</v>
          </cell>
          <cell r="G2621">
            <v>0</v>
          </cell>
          <cell r="H2621">
            <v>0</v>
          </cell>
          <cell r="I2621">
            <v>0</v>
          </cell>
          <cell r="J2621">
            <v>0</v>
          </cell>
        </row>
        <row r="2622">
          <cell r="A2622">
            <v>1764000110</v>
          </cell>
          <cell r="B2622" t="str">
            <v>השכר הקובע-תקציבית</v>
          </cell>
          <cell r="C2622">
            <v>0</v>
          </cell>
          <cell r="D2622">
            <v>0</v>
          </cell>
          <cell r="E2622">
            <v>0</v>
          </cell>
          <cell r="F2622">
            <v>0</v>
          </cell>
          <cell r="G2622">
            <v>0</v>
          </cell>
          <cell r="H2622">
            <v>0</v>
          </cell>
          <cell r="I2622">
            <v>0</v>
          </cell>
          <cell r="J2622">
            <v>0</v>
          </cell>
        </row>
        <row r="2623">
          <cell r="A2623">
            <v>1764000119</v>
          </cell>
          <cell r="B2623" t="str">
            <v>השכר הקובע-צוברת</v>
          </cell>
          <cell r="C2623">
            <v>286615</v>
          </cell>
          <cell r="D2623">
            <v>280904.28999999998</v>
          </cell>
          <cell r="E2623">
            <v>0</v>
          </cell>
          <cell r="F2623">
            <v>280904.28999999998</v>
          </cell>
          <cell r="G2623">
            <v>5710.71</v>
          </cell>
          <cell r="H2623">
            <v>98</v>
          </cell>
          <cell r="I2623">
            <v>301700</v>
          </cell>
          <cell r="J2623">
            <v>280904.28999999998</v>
          </cell>
        </row>
        <row r="2624">
          <cell r="A2624">
            <v>1764000122</v>
          </cell>
          <cell r="B2624" t="str">
            <v>ביגוד</v>
          </cell>
          <cell r="C2624">
            <v>5320</v>
          </cell>
          <cell r="D2624">
            <v>4810</v>
          </cell>
          <cell r="E2624">
            <v>0</v>
          </cell>
          <cell r="F2624">
            <v>4810</v>
          </cell>
          <cell r="G2624">
            <v>510</v>
          </cell>
          <cell r="H2624">
            <v>90.41</v>
          </cell>
          <cell r="I2624">
            <v>5600</v>
          </cell>
          <cell r="J2624">
            <v>4810</v>
          </cell>
        </row>
        <row r="2625">
          <cell r="A2625">
            <v>1764000126</v>
          </cell>
          <cell r="B2625" t="str">
            <v>דמי הבראה</v>
          </cell>
          <cell r="C2625">
            <v>14250</v>
          </cell>
          <cell r="D2625">
            <v>11785</v>
          </cell>
          <cell r="E2625">
            <v>0</v>
          </cell>
          <cell r="F2625">
            <v>11785</v>
          </cell>
          <cell r="G2625">
            <v>2465</v>
          </cell>
          <cell r="H2625">
            <v>82.7</v>
          </cell>
          <cell r="I2625">
            <v>15000</v>
          </cell>
          <cell r="J2625">
            <v>11785</v>
          </cell>
        </row>
        <row r="2626">
          <cell r="A2626">
            <v>1764000140</v>
          </cell>
          <cell r="B2626" t="str">
            <v>השתתפות באחזקת רכב</v>
          </cell>
          <cell r="C2626">
            <v>38190</v>
          </cell>
          <cell r="D2626">
            <v>41609.599999999999</v>
          </cell>
          <cell r="E2626">
            <v>0</v>
          </cell>
          <cell r="F2626">
            <v>41609.599999999999</v>
          </cell>
          <cell r="G2626">
            <v>-3419.6</v>
          </cell>
          <cell r="H2626">
            <v>108.95</v>
          </cell>
          <cell r="I2626">
            <v>40200</v>
          </cell>
          <cell r="J2626">
            <v>41609.599999999999</v>
          </cell>
        </row>
        <row r="2627">
          <cell r="A2627">
            <v>1764000253</v>
          </cell>
          <cell r="B2627" t="str">
            <v>עובדי חברה</v>
          </cell>
          <cell r="C2627">
            <v>0</v>
          </cell>
          <cell r="D2627">
            <v>0</v>
          </cell>
          <cell r="E2627">
            <v>0</v>
          </cell>
          <cell r="F2627">
            <v>0</v>
          </cell>
          <cell r="G2627">
            <v>0</v>
          </cell>
          <cell r="H2627">
            <v>0</v>
          </cell>
          <cell r="I2627">
            <v>0</v>
          </cell>
          <cell r="J2627">
            <v>0</v>
          </cell>
        </row>
        <row r="2628">
          <cell r="A2628">
            <v>1764000471</v>
          </cell>
          <cell r="B2628" t="str">
            <v>מכשירי כתיבה</v>
          </cell>
          <cell r="C2628">
            <v>0</v>
          </cell>
          <cell r="D2628">
            <v>0</v>
          </cell>
          <cell r="E2628">
            <v>0</v>
          </cell>
          <cell r="F2628">
            <v>0</v>
          </cell>
          <cell r="G2628">
            <v>0</v>
          </cell>
          <cell r="H2628">
            <v>0</v>
          </cell>
          <cell r="I2628">
            <v>0</v>
          </cell>
          <cell r="J2628">
            <v>0</v>
          </cell>
        </row>
        <row r="2629">
          <cell r="A2629">
            <v>1764000540</v>
          </cell>
          <cell r="B2629" t="str">
            <v>הוצאות טלפון</v>
          </cell>
          <cell r="C2629">
            <v>0</v>
          </cell>
          <cell r="D2629">
            <v>0</v>
          </cell>
          <cell r="E2629">
            <v>0</v>
          </cell>
          <cell r="F2629">
            <v>0</v>
          </cell>
          <cell r="G2629">
            <v>0</v>
          </cell>
          <cell r="H2629">
            <v>0</v>
          </cell>
          <cell r="I2629">
            <v>0</v>
          </cell>
          <cell r="J2629">
            <v>0</v>
          </cell>
        </row>
        <row r="2630">
          <cell r="A2630">
            <v>1764000544</v>
          </cell>
          <cell r="B2630" t="str">
            <v>הוצאות דאר</v>
          </cell>
          <cell r="C2630">
            <v>5130</v>
          </cell>
          <cell r="D2630">
            <v>5388.88</v>
          </cell>
          <cell r="E2630">
            <v>0</v>
          </cell>
          <cell r="F2630">
            <v>5388.88</v>
          </cell>
          <cell r="G2630">
            <v>-258.88</v>
          </cell>
          <cell r="H2630">
            <v>105.04</v>
          </cell>
          <cell r="I2630">
            <v>5400</v>
          </cell>
          <cell r="J2630">
            <v>5388.88</v>
          </cell>
        </row>
        <row r="2631">
          <cell r="A2631">
            <v>1764000550</v>
          </cell>
          <cell r="B2631" t="str">
            <v>פירסומים</v>
          </cell>
          <cell r="C2631">
            <v>0</v>
          </cell>
          <cell r="D2631">
            <v>0</v>
          </cell>
          <cell r="E2631">
            <v>0</v>
          </cell>
          <cell r="F2631">
            <v>0</v>
          </cell>
          <cell r="G2631">
            <v>0</v>
          </cell>
          <cell r="H2631">
            <v>0</v>
          </cell>
          <cell r="I2631">
            <v>0</v>
          </cell>
          <cell r="J2631">
            <v>0</v>
          </cell>
        </row>
        <row r="2632">
          <cell r="A2632">
            <v>1764000561</v>
          </cell>
          <cell r="B2632" t="str">
            <v>שיכפולים</v>
          </cell>
          <cell r="C2632">
            <v>0</v>
          </cell>
          <cell r="D2632">
            <v>0</v>
          </cell>
          <cell r="E2632">
            <v>0</v>
          </cell>
          <cell r="F2632">
            <v>0</v>
          </cell>
          <cell r="G2632">
            <v>0</v>
          </cell>
          <cell r="H2632">
            <v>0</v>
          </cell>
          <cell r="I2632">
            <v>0</v>
          </cell>
          <cell r="J2632">
            <v>0</v>
          </cell>
        </row>
        <row r="2633">
          <cell r="A2633">
            <v>1764000562</v>
          </cell>
          <cell r="B2633" t="str">
            <v>הדפסות</v>
          </cell>
          <cell r="C2633">
            <v>0</v>
          </cell>
          <cell r="D2633">
            <v>0</v>
          </cell>
          <cell r="E2633">
            <v>0</v>
          </cell>
          <cell r="F2633">
            <v>0</v>
          </cell>
          <cell r="G2633">
            <v>0</v>
          </cell>
          <cell r="H2633">
            <v>0</v>
          </cell>
          <cell r="I2633">
            <v>0</v>
          </cell>
          <cell r="J2633">
            <v>0</v>
          </cell>
        </row>
        <row r="2634">
          <cell r="A2634">
            <v>1764000571</v>
          </cell>
          <cell r="B2634" t="str">
            <v>מיכון וענ"א</v>
          </cell>
          <cell r="C2634">
            <v>37620</v>
          </cell>
          <cell r="D2634">
            <v>39600</v>
          </cell>
          <cell r="E2634">
            <v>0</v>
          </cell>
          <cell r="F2634">
            <v>39600</v>
          </cell>
          <cell r="G2634">
            <v>-1980</v>
          </cell>
          <cell r="H2634">
            <v>105.26</v>
          </cell>
          <cell r="I2634">
            <v>39600</v>
          </cell>
          <cell r="J2634">
            <v>39600</v>
          </cell>
        </row>
        <row r="2635">
          <cell r="A2635">
            <v>1764000580</v>
          </cell>
          <cell r="B2635" t="str">
            <v>יעוץ חיצוני</v>
          </cell>
          <cell r="C2635">
            <v>0</v>
          </cell>
          <cell r="D2635">
            <v>0</v>
          </cell>
          <cell r="E2635">
            <v>0</v>
          </cell>
          <cell r="F2635">
            <v>0</v>
          </cell>
          <cell r="G2635">
            <v>0</v>
          </cell>
          <cell r="H2635">
            <v>0</v>
          </cell>
          <cell r="I2635">
            <v>0</v>
          </cell>
          <cell r="J2635">
            <v>0</v>
          </cell>
        </row>
        <row r="2636">
          <cell r="A2636">
            <v>1764000585</v>
          </cell>
          <cell r="B2636" t="str">
            <v>פיקוח שיפוצים</v>
          </cell>
          <cell r="C2636">
            <v>0</v>
          </cell>
          <cell r="D2636">
            <v>0</v>
          </cell>
          <cell r="E2636">
            <v>0</v>
          </cell>
          <cell r="F2636">
            <v>0</v>
          </cell>
          <cell r="G2636">
            <v>0</v>
          </cell>
          <cell r="H2636">
            <v>0</v>
          </cell>
          <cell r="I2636">
            <v>0</v>
          </cell>
          <cell r="J2636">
            <v>0</v>
          </cell>
        </row>
        <row r="2637">
          <cell r="A2637">
            <v>1764000700</v>
          </cell>
          <cell r="B2637" t="str">
            <v>הוצאות לפעולות</v>
          </cell>
          <cell r="C2637">
            <v>0</v>
          </cell>
          <cell r="D2637">
            <v>0</v>
          </cell>
          <cell r="E2637">
            <v>0</v>
          </cell>
          <cell r="F2637">
            <v>0</v>
          </cell>
          <cell r="G2637">
            <v>0</v>
          </cell>
          <cell r="H2637">
            <v>0</v>
          </cell>
          <cell r="I2637">
            <v>0</v>
          </cell>
          <cell r="J2637">
            <v>0</v>
          </cell>
        </row>
        <row r="2638">
          <cell r="A2638">
            <v>1764000723</v>
          </cell>
          <cell r="B2638" t="str">
            <v>אדניות</v>
          </cell>
          <cell r="C2638">
            <v>0</v>
          </cell>
          <cell r="D2638">
            <v>0</v>
          </cell>
          <cell r="E2638">
            <v>0</v>
          </cell>
          <cell r="F2638">
            <v>0</v>
          </cell>
          <cell r="G2638">
            <v>0</v>
          </cell>
          <cell r="H2638">
            <v>0</v>
          </cell>
          <cell r="I2638">
            <v>0</v>
          </cell>
          <cell r="J2638">
            <v>0</v>
          </cell>
        </row>
        <row r="2639">
          <cell r="A2639">
            <v>1764000753</v>
          </cell>
          <cell r="B2639" t="str">
            <v>עובדי חברה</v>
          </cell>
          <cell r="C2639">
            <v>0</v>
          </cell>
          <cell r="D2639">
            <v>0</v>
          </cell>
          <cell r="E2639">
            <v>0</v>
          </cell>
          <cell r="F2639">
            <v>0</v>
          </cell>
          <cell r="G2639">
            <v>0</v>
          </cell>
          <cell r="H2639">
            <v>0</v>
          </cell>
          <cell r="I2639">
            <v>0</v>
          </cell>
          <cell r="J2639">
            <v>0</v>
          </cell>
        </row>
        <row r="2640">
          <cell r="A2640">
            <v>1764000781</v>
          </cell>
          <cell r="B2640" t="str">
            <v>ארועים</v>
          </cell>
          <cell r="C2640">
            <v>0</v>
          </cell>
          <cell r="D2640">
            <v>0</v>
          </cell>
          <cell r="E2640">
            <v>0</v>
          </cell>
          <cell r="F2640">
            <v>0</v>
          </cell>
          <cell r="G2640">
            <v>0</v>
          </cell>
          <cell r="H2640">
            <v>0</v>
          </cell>
          <cell r="I2640">
            <v>0</v>
          </cell>
          <cell r="J2640">
            <v>0</v>
          </cell>
        </row>
        <row r="2641">
          <cell r="A2641">
            <v>1764000782</v>
          </cell>
          <cell r="B2641" t="str">
            <v>סדנאות</v>
          </cell>
          <cell r="C2641">
            <v>0</v>
          </cell>
          <cell r="D2641">
            <v>0</v>
          </cell>
          <cell r="E2641">
            <v>0</v>
          </cell>
          <cell r="F2641">
            <v>0</v>
          </cell>
          <cell r="G2641">
            <v>0</v>
          </cell>
          <cell r="H2641">
            <v>0</v>
          </cell>
          <cell r="I2641">
            <v>0</v>
          </cell>
          <cell r="J2641">
            <v>0</v>
          </cell>
        </row>
        <row r="2642">
          <cell r="A2642">
            <v>1765000811</v>
          </cell>
          <cell r="B2642" t="str">
            <v>הקצבה למרכז השלטון</v>
          </cell>
          <cell r="C2642">
            <v>484500</v>
          </cell>
          <cell r="D2642">
            <v>525400</v>
          </cell>
          <cell r="E2642">
            <v>0</v>
          </cell>
          <cell r="F2642">
            <v>525400</v>
          </cell>
          <cell r="G2642">
            <v>-40900</v>
          </cell>
          <cell r="H2642">
            <v>108.44</v>
          </cell>
          <cell r="I2642">
            <v>510000</v>
          </cell>
          <cell r="J2642">
            <v>525400</v>
          </cell>
        </row>
        <row r="2643">
          <cell r="A2643">
            <v>1765000812</v>
          </cell>
          <cell r="B2643" t="str">
            <v>השת'-ביה"ד למשמעת</v>
          </cell>
          <cell r="C2643">
            <v>0</v>
          </cell>
          <cell r="D2643">
            <v>0</v>
          </cell>
          <cell r="E2643">
            <v>0</v>
          </cell>
          <cell r="F2643">
            <v>0</v>
          </cell>
          <cell r="G2643">
            <v>0</v>
          </cell>
          <cell r="H2643">
            <v>0</v>
          </cell>
          <cell r="I2643">
            <v>0</v>
          </cell>
          <cell r="J2643">
            <v>0</v>
          </cell>
        </row>
        <row r="2644">
          <cell r="A2644">
            <v>1765000813</v>
          </cell>
          <cell r="B2644" t="str">
            <v>אמנה להפחתת זיהום</v>
          </cell>
          <cell r="C2644">
            <v>0</v>
          </cell>
          <cell r="D2644">
            <v>0</v>
          </cell>
          <cell r="E2644">
            <v>0</v>
          </cell>
          <cell r="F2644">
            <v>0</v>
          </cell>
          <cell r="G2644">
            <v>0</v>
          </cell>
          <cell r="H2644">
            <v>0</v>
          </cell>
          <cell r="I2644">
            <v>0</v>
          </cell>
          <cell r="J2644">
            <v>0</v>
          </cell>
        </row>
        <row r="2645">
          <cell r="A2645">
            <v>1767000110</v>
          </cell>
          <cell r="B2645" t="str">
            <v>השכר הקובע-תקציבית</v>
          </cell>
          <cell r="C2645">
            <v>0</v>
          </cell>
          <cell r="D2645">
            <v>0</v>
          </cell>
          <cell r="E2645">
            <v>0</v>
          </cell>
          <cell r="F2645">
            <v>0</v>
          </cell>
          <cell r="G2645">
            <v>0</v>
          </cell>
          <cell r="H2645">
            <v>0</v>
          </cell>
          <cell r="I2645">
            <v>0</v>
          </cell>
          <cell r="J2645">
            <v>0</v>
          </cell>
        </row>
        <row r="2646">
          <cell r="A2646">
            <v>1767000119</v>
          </cell>
          <cell r="B2646" t="str">
            <v>השכר הקובע-צוברת</v>
          </cell>
          <cell r="C2646">
            <v>437760</v>
          </cell>
          <cell r="D2646">
            <v>421257.32</v>
          </cell>
          <cell r="E2646">
            <v>0</v>
          </cell>
          <cell r="F2646">
            <v>421257.32</v>
          </cell>
          <cell r="G2646">
            <v>16502.68</v>
          </cell>
          <cell r="H2646">
            <v>96.23</v>
          </cell>
          <cell r="I2646">
            <v>460800</v>
          </cell>
          <cell r="J2646">
            <v>421257.32</v>
          </cell>
        </row>
        <row r="2647">
          <cell r="A2647">
            <v>1767000122</v>
          </cell>
          <cell r="B2647" t="str">
            <v>ביגוד</v>
          </cell>
          <cell r="C2647">
            <v>2185</v>
          </cell>
          <cell r="D2647">
            <v>4810</v>
          </cell>
          <cell r="E2647">
            <v>0</v>
          </cell>
          <cell r="F2647">
            <v>4810</v>
          </cell>
          <cell r="G2647">
            <v>-2625</v>
          </cell>
          <cell r="H2647">
            <v>220.13</v>
          </cell>
          <cell r="I2647">
            <v>2300</v>
          </cell>
          <cell r="J2647">
            <v>4810</v>
          </cell>
        </row>
        <row r="2648">
          <cell r="A2648">
            <v>1767000126</v>
          </cell>
          <cell r="B2648" t="str">
            <v>דמי הבראה</v>
          </cell>
          <cell r="C2648">
            <v>19000</v>
          </cell>
          <cell r="D2648">
            <v>10842.2</v>
          </cell>
          <cell r="E2648">
            <v>0</v>
          </cell>
          <cell r="F2648">
            <v>10842.2</v>
          </cell>
          <cell r="G2648">
            <v>8157.8</v>
          </cell>
          <cell r="H2648">
            <v>57.06</v>
          </cell>
          <cell r="I2648">
            <v>20000</v>
          </cell>
          <cell r="J2648">
            <v>10842.2</v>
          </cell>
        </row>
        <row r="2649">
          <cell r="A2649">
            <v>1767000140</v>
          </cell>
          <cell r="B2649" t="str">
            <v>השתתפות באחזקת רכב</v>
          </cell>
          <cell r="C2649">
            <v>62225</v>
          </cell>
          <cell r="D2649">
            <v>62469.13</v>
          </cell>
          <cell r="E2649">
            <v>0</v>
          </cell>
          <cell r="F2649">
            <v>62469.13</v>
          </cell>
          <cell r="G2649">
            <v>-244.13</v>
          </cell>
          <cell r="H2649">
            <v>100.39</v>
          </cell>
          <cell r="I2649">
            <v>65500</v>
          </cell>
          <cell r="J2649">
            <v>62469.13</v>
          </cell>
        </row>
        <row r="2650">
          <cell r="A2650">
            <v>1767000253</v>
          </cell>
          <cell r="B2650" t="str">
            <v>עובדי חברה</v>
          </cell>
          <cell r="C2650">
            <v>0</v>
          </cell>
          <cell r="D2650">
            <v>0</v>
          </cell>
          <cell r="E2650">
            <v>0</v>
          </cell>
          <cell r="F2650">
            <v>0</v>
          </cell>
          <cell r="G2650">
            <v>0</v>
          </cell>
          <cell r="H2650">
            <v>0</v>
          </cell>
          <cell r="I2650">
            <v>0</v>
          </cell>
          <cell r="J2650">
            <v>0</v>
          </cell>
        </row>
        <row r="2651">
          <cell r="A2651">
            <v>1767000440</v>
          </cell>
          <cell r="B2651" t="str">
            <v>קופת ביטוח</v>
          </cell>
          <cell r="C2651">
            <v>190000</v>
          </cell>
          <cell r="D2651">
            <v>53826.46</v>
          </cell>
          <cell r="E2651">
            <v>0</v>
          </cell>
          <cell r="F2651">
            <v>53826.46</v>
          </cell>
          <cell r="G2651">
            <v>136173.54</v>
          </cell>
          <cell r="H2651">
            <v>28.32</v>
          </cell>
          <cell r="I2651">
            <v>200000</v>
          </cell>
          <cell r="J2651">
            <v>53826.46</v>
          </cell>
        </row>
        <row r="2652">
          <cell r="A2652">
            <v>1767000441</v>
          </cell>
          <cell r="B2652" t="str">
            <v>בטוח תושבים צד ג'</v>
          </cell>
          <cell r="C2652">
            <v>237500</v>
          </cell>
          <cell r="D2652">
            <v>0</v>
          </cell>
          <cell r="E2652">
            <v>0</v>
          </cell>
          <cell r="F2652">
            <v>0</v>
          </cell>
          <cell r="G2652">
            <v>237500</v>
          </cell>
          <cell r="H2652">
            <v>0</v>
          </cell>
          <cell r="I2652">
            <v>250000</v>
          </cell>
          <cell r="J2652">
            <v>0</v>
          </cell>
        </row>
        <row r="2653">
          <cell r="A2653">
            <v>1767000442</v>
          </cell>
          <cell r="B2653" t="str">
            <v>השת' עצמית - גוף</v>
          </cell>
          <cell r="C2653">
            <v>5510000</v>
          </cell>
          <cell r="D2653">
            <v>4663047</v>
          </cell>
          <cell r="E2653">
            <v>0</v>
          </cell>
          <cell r="F2653">
            <v>4663047</v>
          </cell>
          <cell r="G2653">
            <v>846953</v>
          </cell>
          <cell r="H2653">
            <v>84.62</v>
          </cell>
          <cell r="I2653">
            <v>5800000</v>
          </cell>
          <cell r="J2653">
            <v>4663047</v>
          </cell>
        </row>
        <row r="2654">
          <cell r="A2654">
            <v>1767000443</v>
          </cell>
          <cell r="B2654" t="str">
            <v>השת' עצמית - רכוש</v>
          </cell>
          <cell r="C2654">
            <v>1710000</v>
          </cell>
          <cell r="D2654">
            <v>1197808.71</v>
          </cell>
          <cell r="E2654">
            <v>0</v>
          </cell>
          <cell r="F2654">
            <v>1197808.71</v>
          </cell>
          <cell r="G2654">
            <v>512191.29</v>
          </cell>
          <cell r="H2654">
            <v>70.040000000000006</v>
          </cell>
          <cell r="I2654">
            <v>1800000</v>
          </cell>
          <cell r="J2654">
            <v>1197808.71</v>
          </cell>
        </row>
        <row r="2655">
          <cell r="A2655">
            <v>1767000444</v>
          </cell>
          <cell r="B2655" t="str">
            <v>ביטוח חבות מעביד</v>
          </cell>
          <cell r="C2655">
            <v>38000</v>
          </cell>
          <cell r="D2655">
            <v>18579</v>
          </cell>
          <cell r="E2655">
            <v>0</v>
          </cell>
          <cell r="F2655">
            <v>18579</v>
          </cell>
          <cell r="G2655">
            <v>19421</v>
          </cell>
          <cell r="H2655">
            <v>48.89</v>
          </cell>
          <cell r="I2655">
            <v>40000</v>
          </cell>
          <cell r="J2655">
            <v>18579</v>
          </cell>
        </row>
        <row r="2656">
          <cell r="A2656">
            <v>1767000445</v>
          </cell>
          <cell r="B2656" t="str">
            <v>ביטוח חבות מקצועית</v>
          </cell>
          <cell r="C2656">
            <v>24890</v>
          </cell>
          <cell r="D2656">
            <v>0</v>
          </cell>
          <cell r="E2656">
            <v>0</v>
          </cell>
          <cell r="F2656">
            <v>0</v>
          </cell>
          <cell r="G2656">
            <v>24890</v>
          </cell>
          <cell r="H2656">
            <v>0</v>
          </cell>
          <cell r="I2656">
            <v>26200</v>
          </cell>
          <cell r="J2656">
            <v>0</v>
          </cell>
        </row>
        <row r="2657">
          <cell r="A2657">
            <v>1767000446</v>
          </cell>
          <cell r="B2657" t="str">
            <v>סחורה בהעברה</v>
          </cell>
          <cell r="C2657">
            <v>0</v>
          </cell>
          <cell r="D2657">
            <v>0</v>
          </cell>
          <cell r="E2657">
            <v>0</v>
          </cell>
          <cell r="F2657">
            <v>0</v>
          </cell>
          <cell r="G2657">
            <v>0</v>
          </cell>
          <cell r="H2657">
            <v>0</v>
          </cell>
          <cell r="I2657">
            <v>0</v>
          </cell>
          <cell r="J2657">
            <v>0</v>
          </cell>
        </row>
        <row r="2658">
          <cell r="A2658">
            <v>1767000447</v>
          </cell>
          <cell r="B2658" t="str">
            <v>נאמנות עובדים</v>
          </cell>
          <cell r="C2658">
            <v>16150</v>
          </cell>
          <cell r="D2658">
            <v>16690</v>
          </cell>
          <cell r="E2658">
            <v>0</v>
          </cell>
          <cell r="F2658">
            <v>16690</v>
          </cell>
          <cell r="G2658">
            <v>-540</v>
          </cell>
          <cell r="H2658">
            <v>103.34</v>
          </cell>
          <cell r="I2658">
            <v>17000</v>
          </cell>
          <cell r="J2658">
            <v>16690</v>
          </cell>
        </row>
        <row r="2659">
          <cell r="A2659">
            <v>1767000448</v>
          </cell>
          <cell r="B2659" t="str">
            <v>ביטוח אש צד ג' ותאונות אישיות</v>
          </cell>
          <cell r="C2659">
            <v>3439400</v>
          </cell>
          <cell r="D2659">
            <v>3439399.6</v>
          </cell>
          <cell r="E2659">
            <v>0</v>
          </cell>
          <cell r="F2659">
            <v>3439399.6</v>
          </cell>
          <cell r="G2659">
            <v>0.4</v>
          </cell>
          <cell r="H2659">
            <v>99.99</v>
          </cell>
          <cell r="I2659">
            <v>3439400</v>
          </cell>
          <cell r="J2659">
            <v>3439399.6</v>
          </cell>
        </row>
        <row r="2660">
          <cell r="A2660">
            <v>1767000449</v>
          </cell>
          <cell r="B2660" t="str">
            <v>ביטוח סייבר</v>
          </cell>
          <cell r="C2660">
            <v>9839</v>
          </cell>
          <cell r="D2660">
            <v>0</v>
          </cell>
          <cell r="E2660">
            <v>0</v>
          </cell>
          <cell r="F2660">
            <v>0</v>
          </cell>
          <cell r="G2660">
            <v>9839</v>
          </cell>
          <cell r="H2660">
            <v>0</v>
          </cell>
          <cell r="I2660">
            <v>10357</v>
          </cell>
          <cell r="J2660">
            <v>0</v>
          </cell>
        </row>
        <row r="2661">
          <cell r="A2661">
            <v>1767000580</v>
          </cell>
          <cell r="B2661" t="str">
            <v>יעוץ לביטוח</v>
          </cell>
          <cell r="C2661">
            <v>142500</v>
          </cell>
          <cell r="D2661">
            <v>121680</v>
          </cell>
          <cell r="E2661">
            <v>0</v>
          </cell>
          <cell r="F2661">
            <v>121680</v>
          </cell>
          <cell r="G2661">
            <v>20820</v>
          </cell>
          <cell r="H2661">
            <v>85.38</v>
          </cell>
          <cell r="I2661">
            <v>150000</v>
          </cell>
          <cell r="J2661">
            <v>121680</v>
          </cell>
        </row>
        <row r="2662">
          <cell r="A2662">
            <v>1767000581</v>
          </cell>
          <cell r="B2662" t="str">
            <v>טיפול משפטי</v>
          </cell>
          <cell r="C2662">
            <v>1100000</v>
          </cell>
          <cell r="D2662">
            <v>1284167.55</v>
          </cell>
          <cell r="E2662">
            <v>0</v>
          </cell>
          <cell r="F2662">
            <v>1284167.55</v>
          </cell>
          <cell r="G2662">
            <v>-184167.55</v>
          </cell>
          <cell r="H2662">
            <v>116.74</v>
          </cell>
          <cell r="I2662">
            <v>1100000</v>
          </cell>
          <cell r="J2662">
            <v>1284167.55</v>
          </cell>
        </row>
        <row r="2663">
          <cell r="A2663">
            <v>1767000754</v>
          </cell>
          <cell r="B2663" t="str">
            <v>תיקון נזקים</v>
          </cell>
          <cell r="C2663">
            <v>0</v>
          </cell>
          <cell r="D2663">
            <v>0</v>
          </cell>
          <cell r="E2663">
            <v>0</v>
          </cell>
          <cell r="F2663">
            <v>0</v>
          </cell>
          <cell r="G2663">
            <v>0</v>
          </cell>
          <cell r="H2663">
            <v>0</v>
          </cell>
          <cell r="I2663">
            <v>0</v>
          </cell>
          <cell r="J2663">
            <v>0</v>
          </cell>
        </row>
        <row r="2664">
          <cell r="A2664">
            <v>1768000110</v>
          </cell>
          <cell r="B2664" t="str">
            <v>השכר הקובע-תקציבית</v>
          </cell>
          <cell r="C2664">
            <v>0</v>
          </cell>
          <cell r="D2664">
            <v>0</v>
          </cell>
          <cell r="E2664">
            <v>0</v>
          </cell>
          <cell r="F2664">
            <v>0</v>
          </cell>
          <cell r="G2664">
            <v>0</v>
          </cell>
          <cell r="H2664">
            <v>0</v>
          </cell>
          <cell r="I2664">
            <v>0</v>
          </cell>
          <cell r="J2664">
            <v>0</v>
          </cell>
        </row>
        <row r="2665">
          <cell r="A2665">
            <v>1768000119</v>
          </cell>
          <cell r="B2665" t="str">
            <v>השכר הקובע-צוברת</v>
          </cell>
          <cell r="C2665">
            <v>0</v>
          </cell>
          <cell r="D2665">
            <v>0</v>
          </cell>
          <cell r="E2665">
            <v>0</v>
          </cell>
          <cell r="F2665">
            <v>0</v>
          </cell>
          <cell r="G2665">
            <v>0</v>
          </cell>
          <cell r="H2665">
            <v>0</v>
          </cell>
          <cell r="I2665">
            <v>0</v>
          </cell>
          <cell r="J2665">
            <v>0</v>
          </cell>
        </row>
        <row r="2666">
          <cell r="A2666">
            <v>1768000122</v>
          </cell>
          <cell r="B2666" t="str">
            <v>ביגוד</v>
          </cell>
          <cell r="C2666">
            <v>0</v>
          </cell>
          <cell r="D2666">
            <v>0</v>
          </cell>
          <cell r="E2666">
            <v>0</v>
          </cell>
          <cell r="F2666">
            <v>0</v>
          </cell>
          <cell r="G2666">
            <v>0</v>
          </cell>
          <cell r="H2666">
            <v>0</v>
          </cell>
          <cell r="I2666">
            <v>0</v>
          </cell>
          <cell r="J2666">
            <v>0</v>
          </cell>
        </row>
        <row r="2667">
          <cell r="A2667">
            <v>1768000130</v>
          </cell>
          <cell r="B2667" t="str">
            <v>שעות נוספות</v>
          </cell>
          <cell r="C2667">
            <v>0</v>
          </cell>
          <cell r="D2667">
            <v>0</v>
          </cell>
          <cell r="E2667">
            <v>0</v>
          </cell>
          <cell r="F2667">
            <v>0</v>
          </cell>
          <cell r="G2667">
            <v>0</v>
          </cell>
          <cell r="H2667">
            <v>0</v>
          </cell>
          <cell r="I2667">
            <v>0</v>
          </cell>
          <cell r="J2667">
            <v>0</v>
          </cell>
        </row>
        <row r="2668">
          <cell r="A2668">
            <v>1768000140</v>
          </cell>
          <cell r="B2668" t="str">
            <v>השתתפות באחזקת רכב</v>
          </cell>
          <cell r="C2668">
            <v>0</v>
          </cell>
          <cell r="D2668">
            <v>0</v>
          </cell>
          <cell r="E2668">
            <v>0</v>
          </cell>
          <cell r="F2668">
            <v>0</v>
          </cell>
          <cell r="G2668">
            <v>0</v>
          </cell>
          <cell r="H2668">
            <v>0</v>
          </cell>
          <cell r="I2668">
            <v>0</v>
          </cell>
          <cell r="J2668">
            <v>0</v>
          </cell>
        </row>
        <row r="2669">
          <cell r="A2669">
            <v>1768000253</v>
          </cell>
          <cell r="B2669" t="str">
            <v>עובדי חברה</v>
          </cell>
          <cell r="C2669">
            <v>0</v>
          </cell>
          <cell r="D2669">
            <v>0</v>
          </cell>
          <cell r="E2669">
            <v>0</v>
          </cell>
          <cell r="F2669">
            <v>0</v>
          </cell>
          <cell r="G2669">
            <v>0</v>
          </cell>
          <cell r="H2669">
            <v>0</v>
          </cell>
          <cell r="I2669">
            <v>0</v>
          </cell>
          <cell r="J2669">
            <v>0</v>
          </cell>
        </row>
        <row r="2670">
          <cell r="A2670">
            <v>1768000412</v>
          </cell>
          <cell r="B2670" t="str">
            <v>ארנונה</v>
          </cell>
          <cell r="C2670">
            <v>0</v>
          </cell>
          <cell r="D2670">
            <v>0</v>
          </cell>
          <cell r="E2670">
            <v>0</v>
          </cell>
          <cell r="F2670">
            <v>0</v>
          </cell>
          <cell r="G2670">
            <v>0</v>
          </cell>
          <cell r="H2670">
            <v>0</v>
          </cell>
          <cell r="I2670">
            <v>0</v>
          </cell>
          <cell r="J2670">
            <v>0</v>
          </cell>
        </row>
        <row r="2671">
          <cell r="A2671">
            <v>1768000431</v>
          </cell>
          <cell r="B2671" t="str">
            <v>חשמל</v>
          </cell>
          <cell r="C2671">
            <v>0</v>
          </cell>
          <cell r="D2671">
            <v>0</v>
          </cell>
          <cell r="E2671">
            <v>0</v>
          </cell>
          <cell r="F2671">
            <v>0</v>
          </cell>
          <cell r="G2671">
            <v>0</v>
          </cell>
          <cell r="H2671">
            <v>0</v>
          </cell>
          <cell r="I2671">
            <v>0</v>
          </cell>
          <cell r="J2671">
            <v>0</v>
          </cell>
        </row>
        <row r="2672">
          <cell r="A2672">
            <v>1768000432</v>
          </cell>
          <cell r="B2672" t="str">
            <v>מים</v>
          </cell>
          <cell r="C2672">
            <v>0</v>
          </cell>
          <cell r="D2672">
            <v>0</v>
          </cell>
          <cell r="E2672">
            <v>0</v>
          </cell>
          <cell r="F2672">
            <v>0</v>
          </cell>
          <cell r="G2672">
            <v>0</v>
          </cell>
          <cell r="H2672">
            <v>0</v>
          </cell>
          <cell r="I2672">
            <v>0</v>
          </cell>
          <cell r="J2672">
            <v>0</v>
          </cell>
        </row>
        <row r="2673">
          <cell r="A2673">
            <v>1768000433</v>
          </cell>
          <cell r="B2673" t="str">
            <v>חומרי נקיון</v>
          </cell>
          <cell r="C2673">
            <v>0</v>
          </cell>
          <cell r="D2673">
            <v>0</v>
          </cell>
          <cell r="E2673">
            <v>0</v>
          </cell>
          <cell r="F2673">
            <v>0</v>
          </cell>
          <cell r="G2673">
            <v>0</v>
          </cell>
          <cell r="H2673">
            <v>0</v>
          </cell>
          <cell r="I2673">
            <v>0</v>
          </cell>
          <cell r="J2673">
            <v>0</v>
          </cell>
        </row>
        <row r="2674">
          <cell r="A2674">
            <v>1768000437</v>
          </cell>
          <cell r="B2674" t="str">
            <v>אחזקת אזעקה</v>
          </cell>
          <cell r="C2674">
            <v>0</v>
          </cell>
          <cell r="D2674">
            <v>0</v>
          </cell>
          <cell r="E2674">
            <v>0</v>
          </cell>
          <cell r="F2674">
            <v>0</v>
          </cell>
          <cell r="G2674">
            <v>0</v>
          </cell>
          <cell r="H2674">
            <v>0</v>
          </cell>
          <cell r="I2674">
            <v>0</v>
          </cell>
          <cell r="J2674">
            <v>0</v>
          </cell>
        </row>
        <row r="2675">
          <cell r="A2675">
            <v>1768000441</v>
          </cell>
          <cell r="B2675" t="str">
            <v>ביטוח</v>
          </cell>
          <cell r="C2675">
            <v>0</v>
          </cell>
          <cell r="D2675">
            <v>0</v>
          </cell>
          <cell r="E2675">
            <v>0</v>
          </cell>
          <cell r="F2675">
            <v>0</v>
          </cell>
          <cell r="G2675">
            <v>0</v>
          </cell>
          <cell r="H2675">
            <v>0</v>
          </cell>
          <cell r="I2675">
            <v>0</v>
          </cell>
          <cell r="J2675">
            <v>0</v>
          </cell>
        </row>
        <row r="2676">
          <cell r="A2676">
            <v>1768000470</v>
          </cell>
          <cell r="B2676" t="str">
            <v>אחזקת מכונות משרד</v>
          </cell>
          <cell r="C2676">
            <v>0</v>
          </cell>
          <cell r="D2676">
            <v>0</v>
          </cell>
          <cell r="E2676">
            <v>0</v>
          </cell>
          <cell r="F2676">
            <v>0</v>
          </cell>
          <cell r="G2676">
            <v>0</v>
          </cell>
          <cell r="H2676">
            <v>0</v>
          </cell>
          <cell r="I2676">
            <v>0</v>
          </cell>
          <cell r="J2676">
            <v>0</v>
          </cell>
        </row>
        <row r="2677">
          <cell r="A2677">
            <v>1768000471</v>
          </cell>
          <cell r="B2677" t="str">
            <v>מכשירי כתיבה</v>
          </cell>
          <cell r="C2677">
            <v>0</v>
          </cell>
          <cell r="D2677">
            <v>0</v>
          </cell>
          <cell r="E2677">
            <v>0</v>
          </cell>
          <cell r="F2677">
            <v>0</v>
          </cell>
          <cell r="G2677">
            <v>0</v>
          </cell>
          <cell r="H2677">
            <v>0</v>
          </cell>
          <cell r="I2677">
            <v>0</v>
          </cell>
          <cell r="J2677">
            <v>0</v>
          </cell>
        </row>
        <row r="2678">
          <cell r="A2678">
            <v>1768000492</v>
          </cell>
          <cell r="B2678" t="str">
            <v>השתתפות בעזר 092</v>
          </cell>
          <cell r="C2678">
            <v>0</v>
          </cell>
          <cell r="D2678">
            <v>0</v>
          </cell>
          <cell r="E2678">
            <v>0</v>
          </cell>
          <cell r="F2678">
            <v>0</v>
          </cell>
          <cell r="G2678">
            <v>0</v>
          </cell>
          <cell r="H2678">
            <v>0</v>
          </cell>
          <cell r="I2678">
            <v>0</v>
          </cell>
          <cell r="J2678">
            <v>0</v>
          </cell>
        </row>
        <row r="2679">
          <cell r="A2679">
            <v>1768000540</v>
          </cell>
          <cell r="B2679" t="str">
            <v>הוצאות טלפון</v>
          </cell>
          <cell r="C2679">
            <v>0</v>
          </cell>
          <cell r="D2679">
            <v>0</v>
          </cell>
          <cell r="E2679">
            <v>0</v>
          </cell>
          <cell r="F2679">
            <v>0</v>
          </cell>
          <cell r="G2679">
            <v>0</v>
          </cell>
          <cell r="H2679">
            <v>0</v>
          </cell>
          <cell r="I2679">
            <v>0</v>
          </cell>
          <cell r="J2679">
            <v>0</v>
          </cell>
        </row>
        <row r="2680">
          <cell r="A2680">
            <v>1768000544</v>
          </cell>
          <cell r="B2680" t="str">
            <v>הוצאות דאר</v>
          </cell>
          <cell r="C2680">
            <v>0</v>
          </cell>
          <cell r="D2680">
            <v>0</v>
          </cell>
          <cell r="E2680">
            <v>0</v>
          </cell>
          <cell r="F2680">
            <v>0</v>
          </cell>
          <cell r="G2680">
            <v>0</v>
          </cell>
          <cell r="H2680">
            <v>0</v>
          </cell>
          <cell r="I2680">
            <v>0</v>
          </cell>
          <cell r="J2680">
            <v>0</v>
          </cell>
        </row>
        <row r="2681">
          <cell r="A2681">
            <v>1768000561</v>
          </cell>
          <cell r="B2681" t="str">
            <v>שיכפולים</v>
          </cell>
          <cell r="C2681">
            <v>0</v>
          </cell>
          <cell r="D2681">
            <v>0</v>
          </cell>
          <cell r="E2681">
            <v>0</v>
          </cell>
          <cell r="F2681">
            <v>0</v>
          </cell>
          <cell r="G2681">
            <v>0</v>
          </cell>
          <cell r="H2681">
            <v>0</v>
          </cell>
          <cell r="I2681">
            <v>0</v>
          </cell>
          <cell r="J2681">
            <v>0</v>
          </cell>
        </row>
        <row r="2682">
          <cell r="A2682">
            <v>1768000571</v>
          </cell>
          <cell r="B2682" t="str">
            <v>מיכון וענ"א</v>
          </cell>
          <cell r="C2682">
            <v>0</v>
          </cell>
          <cell r="D2682">
            <v>0</v>
          </cell>
          <cell r="E2682">
            <v>0</v>
          </cell>
          <cell r="F2682">
            <v>0</v>
          </cell>
          <cell r="G2682">
            <v>0</v>
          </cell>
          <cell r="H2682">
            <v>0</v>
          </cell>
          <cell r="I2682">
            <v>0</v>
          </cell>
          <cell r="J2682">
            <v>0</v>
          </cell>
        </row>
        <row r="2683">
          <cell r="A2683">
            <v>1768000722</v>
          </cell>
          <cell r="B2683" t="str">
            <v>חמרים-תחזוקה עצמית</v>
          </cell>
          <cell r="C2683">
            <v>0</v>
          </cell>
          <cell r="D2683">
            <v>0</v>
          </cell>
          <cell r="E2683">
            <v>0</v>
          </cell>
          <cell r="F2683">
            <v>0</v>
          </cell>
          <cell r="G2683">
            <v>0</v>
          </cell>
          <cell r="H2683">
            <v>0</v>
          </cell>
          <cell r="I2683">
            <v>0</v>
          </cell>
          <cell r="J2683">
            <v>0</v>
          </cell>
        </row>
        <row r="2684">
          <cell r="A2684">
            <v>1768000751</v>
          </cell>
          <cell r="B2684" t="str">
            <v>עבודות קבלניות</v>
          </cell>
          <cell r="C2684">
            <v>0</v>
          </cell>
          <cell r="D2684">
            <v>0</v>
          </cell>
          <cell r="E2684">
            <v>0</v>
          </cell>
          <cell r="F2684">
            <v>0</v>
          </cell>
          <cell r="G2684">
            <v>0</v>
          </cell>
          <cell r="H2684">
            <v>0</v>
          </cell>
          <cell r="I2684">
            <v>0</v>
          </cell>
          <cell r="J2684">
            <v>0</v>
          </cell>
        </row>
        <row r="2685">
          <cell r="A2685">
            <v>1768000752</v>
          </cell>
          <cell r="B2685" t="str">
            <v>נקיון בקבלנות</v>
          </cell>
          <cell r="C2685">
            <v>0</v>
          </cell>
          <cell r="D2685">
            <v>0</v>
          </cell>
          <cell r="E2685">
            <v>0</v>
          </cell>
          <cell r="F2685">
            <v>0</v>
          </cell>
          <cell r="G2685">
            <v>0</v>
          </cell>
          <cell r="H2685">
            <v>0</v>
          </cell>
          <cell r="I2685">
            <v>0</v>
          </cell>
          <cell r="J2685">
            <v>0</v>
          </cell>
        </row>
        <row r="2686">
          <cell r="A2686">
            <v>1768000789</v>
          </cell>
          <cell r="B2686" t="str">
            <v>כביסה</v>
          </cell>
          <cell r="C2686">
            <v>0</v>
          </cell>
          <cell r="D2686">
            <v>0</v>
          </cell>
          <cell r="E2686">
            <v>0</v>
          </cell>
          <cell r="F2686">
            <v>0</v>
          </cell>
          <cell r="G2686">
            <v>0</v>
          </cell>
          <cell r="H2686">
            <v>0</v>
          </cell>
          <cell r="I2686">
            <v>0</v>
          </cell>
          <cell r="J2686">
            <v>0</v>
          </cell>
        </row>
        <row r="2687">
          <cell r="A2687">
            <v>1768000794</v>
          </cell>
          <cell r="B2687" t="str">
            <v>השתתפות בעזר 094</v>
          </cell>
          <cell r="C2687">
            <v>0</v>
          </cell>
          <cell r="D2687">
            <v>0</v>
          </cell>
          <cell r="E2687">
            <v>0</v>
          </cell>
          <cell r="F2687">
            <v>0</v>
          </cell>
          <cell r="G2687">
            <v>0</v>
          </cell>
          <cell r="H2687">
            <v>0</v>
          </cell>
          <cell r="I2687">
            <v>0</v>
          </cell>
          <cell r="J2687">
            <v>0</v>
          </cell>
        </row>
        <row r="2688">
          <cell r="A2688">
            <v>1768000961</v>
          </cell>
          <cell r="B2688" t="str">
            <v>רז' פעולות ורכישות</v>
          </cell>
          <cell r="C2688">
            <v>0</v>
          </cell>
          <cell r="D2688">
            <v>0</v>
          </cell>
          <cell r="E2688">
            <v>0</v>
          </cell>
          <cell r="F2688">
            <v>0</v>
          </cell>
          <cell r="G2688">
            <v>0</v>
          </cell>
          <cell r="H2688">
            <v>0</v>
          </cell>
          <cell r="I2688">
            <v>0</v>
          </cell>
          <cell r="J2688">
            <v>0</v>
          </cell>
        </row>
        <row r="2689">
          <cell r="A2689">
            <v>1769000110</v>
          </cell>
          <cell r="B2689" t="str">
            <v>השכר הקובע-תקציבית</v>
          </cell>
          <cell r="C2689">
            <v>0</v>
          </cell>
          <cell r="D2689">
            <v>0</v>
          </cell>
          <cell r="E2689">
            <v>0</v>
          </cell>
          <cell r="F2689">
            <v>0</v>
          </cell>
          <cell r="G2689">
            <v>0</v>
          </cell>
          <cell r="H2689">
            <v>0</v>
          </cell>
          <cell r="I2689">
            <v>0</v>
          </cell>
          <cell r="J2689">
            <v>0</v>
          </cell>
        </row>
        <row r="2690">
          <cell r="A2690">
            <v>1769000119</v>
          </cell>
          <cell r="B2690" t="str">
            <v>השכר הקובע-צוברת</v>
          </cell>
          <cell r="C2690">
            <v>144970</v>
          </cell>
          <cell r="D2690">
            <v>160854.46</v>
          </cell>
          <cell r="E2690">
            <v>0</v>
          </cell>
          <cell r="F2690">
            <v>160854.46</v>
          </cell>
          <cell r="G2690">
            <v>-15884.46</v>
          </cell>
          <cell r="H2690">
            <v>110.95</v>
          </cell>
          <cell r="I2690">
            <v>152600</v>
          </cell>
          <cell r="J2690">
            <v>160854.46</v>
          </cell>
        </row>
        <row r="2691">
          <cell r="A2691">
            <v>1769000122</v>
          </cell>
          <cell r="B2691" t="str">
            <v>ביגוד</v>
          </cell>
          <cell r="C2691">
            <v>5035</v>
          </cell>
          <cell r="D2691">
            <v>2405</v>
          </cell>
          <cell r="E2691">
            <v>0</v>
          </cell>
          <cell r="F2691">
            <v>2405</v>
          </cell>
          <cell r="G2691">
            <v>2630</v>
          </cell>
          <cell r="H2691">
            <v>47.76</v>
          </cell>
          <cell r="I2691">
            <v>5300</v>
          </cell>
          <cell r="J2691">
            <v>2405</v>
          </cell>
        </row>
        <row r="2692">
          <cell r="A2692">
            <v>1769000126</v>
          </cell>
          <cell r="B2692" t="str">
            <v>דמי הבראה</v>
          </cell>
          <cell r="C2692">
            <v>11400</v>
          </cell>
          <cell r="D2692">
            <v>6128.2</v>
          </cell>
          <cell r="E2692">
            <v>0</v>
          </cell>
          <cell r="F2692">
            <v>6128.2</v>
          </cell>
          <cell r="G2692">
            <v>5271.8</v>
          </cell>
          <cell r="H2692">
            <v>53.75</v>
          </cell>
          <cell r="I2692">
            <v>12000</v>
          </cell>
          <cell r="J2692">
            <v>6128.2</v>
          </cell>
        </row>
        <row r="2693">
          <cell r="A2693">
            <v>1769000130</v>
          </cell>
          <cell r="B2693" t="str">
            <v>שעות נוספות</v>
          </cell>
          <cell r="C2693">
            <v>0</v>
          </cell>
          <cell r="D2693">
            <v>0</v>
          </cell>
          <cell r="E2693">
            <v>0</v>
          </cell>
          <cell r="F2693">
            <v>0</v>
          </cell>
          <cell r="G2693">
            <v>0</v>
          </cell>
          <cell r="H2693">
            <v>0</v>
          </cell>
          <cell r="I2693">
            <v>0</v>
          </cell>
          <cell r="J2693">
            <v>0</v>
          </cell>
        </row>
        <row r="2694">
          <cell r="A2694">
            <v>1769000140</v>
          </cell>
          <cell r="B2694" t="str">
            <v>השתתפות באחזקת רכב</v>
          </cell>
          <cell r="C2694">
            <v>30875</v>
          </cell>
          <cell r="D2694">
            <v>27382.47</v>
          </cell>
          <cell r="E2694">
            <v>0</v>
          </cell>
          <cell r="F2694">
            <v>27382.47</v>
          </cell>
          <cell r="G2694">
            <v>3492.53</v>
          </cell>
          <cell r="H2694">
            <v>88.68</v>
          </cell>
          <cell r="I2694">
            <v>32500</v>
          </cell>
          <cell r="J2694">
            <v>27382.47</v>
          </cell>
        </row>
        <row r="2695">
          <cell r="A2695">
            <v>1769000210</v>
          </cell>
          <cell r="B2695" t="str">
            <v>שכר הדרכה</v>
          </cell>
          <cell r="C2695">
            <v>0</v>
          </cell>
          <cell r="D2695">
            <v>0</v>
          </cell>
          <cell r="E2695">
            <v>0</v>
          </cell>
          <cell r="F2695">
            <v>0</v>
          </cell>
          <cell r="G2695">
            <v>0</v>
          </cell>
          <cell r="H2695">
            <v>0</v>
          </cell>
          <cell r="I2695">
            <v>0</v>
          </cell>
          <cell r="J2695">
            <v>0</v>
          </cell>
        </row>
        <row r="2696">
          <cell r="A2696">
            <v>1769000253</v>
          </cell>
          <cell r="B2696" t="str">
            <v>טיפול בגימלאים</v>
          </cell>
          <cell r="C2696">
            <v>0</v>
          </cell>
          <cell r="D2696">
            <v>0</v>
          </cell>
          <cell r="E2696">
            <v>0</v>
          </cell>
          <cell r="F2696">
            <v>0</v>
          </cell>
          <cell r="G2696">
            <v>0</v>
          </cell>
          <cell r="H2696">
            <v>0</v>
          </cell>
          <cell r="I2696">
            <v>0</v>
          </cell>
          <cell r="J2696">
            <v>0</v>
          </cell>
        </row>
        <row r="2697">
          <cell r="A2697">
            <v>1769000431</v>
          </cell>
          <cell r="B2697" t="str">
            <v>חשמל</v>
          </cell>
          <cell r="C2697">
            <v>0</v>
          </cell>
          <cell r="D2697">
            <v>0</v>
          </cell>
          <cell r="E2697">
            <v>0</v>
          </cell>
          <cell r="F2697">
            <v>0</v>
          </cell>
          <cell r="G2697">
            <v>0</v>
          </cell>
          <cell r="H2697">
            <v>0</v>
          </cell>
          <cell r="I2697">
            <v>0</v>
          </cell>
          <cell r="J2697">
            <v>0</v>
          </cell>
        </row>
        <row r="2698">
          <cell r="A2698">
            <v>1769000432</v>
          </cell>
          <cell r="B2698" t="str">
            <v>מים</v>
          </cell>
          <cell r="C2698">
            <v>0</v>
          </cell>
          <cell r="D2698">
            <v>0</v>
          </cell>
          <cell r="E2698">
            <v>0</v>
          </cell>
          <cell r="F2698">
            <v>0</v>
          </cell>
          <cell r="G2698">
            <v>0</v>
          </cell>
          <cell r="H2698">
            <v>0</v>
          </cell>
          <cell r="I2698">
            <v>0</v>
          </cell>
          <cell r="J2698">
            <v>0</v>
          </cell>
        </row>
        <row r="2699">
          <cell r="A2699">
            <v>1769000441</v>
          </cell>
          <cell r="B2699" t="str">
            <v>ביטוח</v>
          </cell>
          <cell r="C2699">
            <v>0</v>
          </cell>
          <cell r="D2699">
            <v>0</v>
          </cell>
          <cell r="E2699">
            <v>0</v>
          </cell>
          <cell r="F2699">
            <v>0</v>
          </cell>
          <cell r="G2699">
            <v>0</v>
          </cell>
          <cell r="H2699">
            <v>0</v>
          </cell>
          <cell r="I2699">
            <v>0</v>
          </cell>
          <cell r="J2699">
            <v>0</v>
          </cell>
        </row>
        <row r="2700">
          <cell r="A2700">
            <v>1769000471</v>
          </cell>
          <cell r="B2700" t="str">
            <v>מכשירי כתיבה</v>
          </cell>
          <cell r="C2700">
            <v>3040</v>
          </cell>
          <cell r="D2700">
            <v>0</v>
          </cell>
          <cell r="E2700">
            <v>0</v>
          </cell>
          <cell r="F2700">
            <v>0</v>
          </cell>
          <cell r="G2700">
            <v>3040</v>
          </cell>
          <cell r="H2700">
            <v>0</v>
          </cell>
          <cell r="I2700">
            <v>3200</v>
          </cell>
          <cell r="J2700">
            <v>0</v>
          </cell>
        </row>
        <row r="2701">
          <cell r="A2701">
            <v>1769000511</v>
          </cell>
          <cell r="B2701" t="str">
            <v>כיבוד מועצת עיר וועדות</v>
          </cell>
          <cell r="C2701">
            <v>12825</v>
          </cell>
          <cell r="D2701">
            <v>62.49</v>
          </cell>
          <cell r="E2701">
            <v>236</v>
          </cell>
          <cell r="F2701">
            <v>298.49</v>
          </cell>
          <cell r="G2701">
            <v>12526.51</v>
          </cell>
          <cell r="H2701">
            <v>2.3199999999999998</v>
          </cell>
          <cell r="I2701">
            <v>13500</v>
          </cell>
          <cell r="J2701">
            <v>62.49</v>
          </cell>
        </row>
        <row r="2702">
          <cell r="A2702">
            <v>1769000514</v>
          </cell>
          <cell r="B2702" t="str">
            <v>שי לעובדים ארעיים</v>
          </cell>
          <cell r="C2702">
            <v>0</v>
          </cell>
          <cell r="D2702">
            <v>0</v>
          </cell>
          <cell r="E2702">
            <v>0</v>
          </cell>
          <cell r="F2702">
            <v>0</v>
          </cell>
          <cell r="G2702">
            <v>0</v>
          </cell>
          <cell r="H2702">
            <v>0</v>
          </cell>
          <cell r="I2702">
            <v>0</v>
          </cell>
          <cell r="J2702">
            <v>0</v>
          </cell>
        </row>
        <row r="2703">
          <cell r="A2703">
            <v>1769000518</v>
          </cell>
          <cell r="B2703" t="str">
            <v>פרס ע"ש אילון</v>
          </cell>
          <cell r="C2703">
            <v>0</v>
          </cell>
          <cell r="D2703">
            <v>0</v>
          </cell>
          <cell r="E2703">
            <v>0</v>
          </cell>
          <cell r="F2703">
            <v>0</v>
          </cell>
          <cell r="G2703">
            <v>0</v>
          </cell>
          <cell r="H2703">
            <v>0</v>
          </cell>
          <cell r="I2703">
            <v>0</v>
          </cell>
          <cell r="J2703">
            <v>0</v>
          </cell>
        </row>
        <row r="2704">
          <cell r="A2704">
            <v>1769000519</v>
          </cell>
          <cell r="B2704" t="str">
            <v>תרומות</v>
          </cell>
          <cell r="C2704">
            <v>0</v>
          </cell>
          <cell r="D2704">
            <v>0</v>
          </cell>
          <cell r="E2704">
            <v>0</v>
          </cell>
          <cell r="F2704">
            <v>0</v>
          </cell>
          <cell r="G2704">
            <v>0</v>
          </cell>
          <cell r="H2704">
            <v>0</v>
          </cell>
          <cell r="I2704">
            <v>0</v>
          </cell>
          <cell r="J2704">
            <v>0</v>
          </cell>
        </row>
        <row r="2705">
          <cell r="A2705">
            <v>1769000561</v>
          </cell>
          <cell r="B2705" t="str">
            <v>שיכפולים</v>
          </cell>
          <cell r="C2705">
            <v>0</v>
          </cell>
          <cell r="D2705">
            <v>0</v>
          </cell>
          <cell r="E2705">
            <v>0</v>
          </cell>
          <cell r="F2705">
            <v>0</v>
          </cell>
          <cell r="G2705">
            <v>0</v>
          </cell>
          <cell r="H2705">
            <v>0</v>
          </cell>
          <cell r="I2705">
            <v>0</v>
          </cell>
          <cell r="J2705">
            <v>0</v>
          </cell>
        </row>
        <row r="2706">
          <cell r="A2706">
            <v>1769000562</v>
          </cell>
          <cell r="B2706" t="str">
            <v>הדפסות</v>
          </cell>
          <cell r="C2706">
            <v>2090</v>
          </cell>
          <cell r="D2706">
            <v>0</v>
          </cell>
          <cell r="E2706">
            <v>0</v>
          </cell>
          <cell r="F2706">
            <v>0</v>
          </cell>
          <cell r="G2706">
            <v>2090</v>
          </cell>
          <cell r="H2706">
            <v>0</v>
          </cell>
          <cell r="I2706">
            <v>2200</v>
          </cell>
          <cell r="J2706">
            <v>0</v>
          </cell>
        </row>
        <row r="2707">
          <cell r="A2707">
            <v>1769000580</v>
          </cell>
          <cell r="B2707" t="str">
            <v>בקרה ועדת תמיכות</v>
          </cell>
          <cell r="C2707">
            <v>50065</v>
          </cell>
          <cell r="D2707">
            <v>52700</v>
          </cell>
          <cell r="E2707">
            <v>0</v>
          </cell>
          <cell r="F2707">
            <v>52700</v>
          </cell>
          <cell r="G2707">
            <v>-2635</v>
          </cell>
          <cell r="H2707">
            <v>105.26</v>
          </cell>
          <cell r="I2707">
            <v>52700</v>
          </cell>
          <cell r="J2707">
            <v>52700</v>
          </cell>
        </row>
        <row r="2708">
          <cell r="A2708">
            <v>1769000581</v>
          </cell>
          <cell r="B2708" t="str">
            <v>יועץ לרעש מטוסים</v>
          </cell>
          <cell r="C2708">
            <v>0</v>
          </cell>
          <cell r="D2708">
            <v>0</v>
          </cell>
          <cell r="E2708">
            <v>0</v>
          </cell>
          <cell r="F2708">
            <v>0</v>
          </cell>
          <cell r="G2708">
            <v>0</v>
          </cell>
          <cell r="H2708">
            <v>0</v>
          </cell>
          <cell r="I2708">
            <v>0</v>
          </cell>
          <cell r="J2708">
            <v>0</v>
          </cell>
        </row>
        <row r="2709">
          <cell r="A2709">
            <v>1769000721</v>
          </cell>
          <cell r="B2709" t="str">
            <v>חומרים-תחזוקה מבנים "נקודת חן"</v>
          </cell>
          <cell r="C2709">
            <v>665</v>
          </cell>
          <cell r="D2709">
            <v>0</v>
          </cell>
          <cell r="E2709">
            <v>0</v>
          </cell>
          <cell r="F2709">
            <v>0</v>
          </cell>
          <cell r="G2709">
            <v>665</v>
          </cell>
          <cell r="H2709">
            <v>0</v>
          </cell>
          <cell r="I2709">
            <v>700</v>
          </cell>
          <cell r="J2709">
            <v>0</v>
          </cell>
        </row>
        <row r="2710">
          <cell r="A2710">
            <v>1769000751</v>
          </cell>
          <cell r="B2710" t="str">
            <v>עבודות קבלניות - "נקודת חן"</v>
          </cell>
          <cell r="C2710">
            <v>4940</v>
          </cell>
          <cell r="D2710">
            <v>3536</v>
          </cell>
          <cell r="E2710">
            <v>0</v>
          </cell>
          <cell r="F2710">
            <v>3536</v>
          </cell>
          <cell r="G2710">
            <v>1404</v>
          </cell>
          <cell r="H2710">
            <v>71.569999999999993</v>
          </cell>
          <cell r="I2710">
            <v>5200</v>
          </cell>
          <cell r="J2710">
            <v>3536</v>
          </cell>
        </row>
        <row r="2711">
          <cell r="A2711">
            <v>1769000752</v>
          </cell>
          <cell r="B2711" t="str">
            <v>נקיון בית הוועד</v>
          </cell>
          <cell r="C2711">
            <v>14250</v>
          </cell>
          <cell r="D2711">
            <v>3661.05</v>
          </cell>
          <cell r="E2711">
            <v>0</v>
          </cell>
          <cell r="F2711">
            <v>3661.05</v>
          </cell>
          <cell r="G2711">
            <v>10588.95</v>
          </cell>
          <cell r="H2711">
            <v>25.69</v>
          </cell>
          <cell r="I2711">
            <v>15000</v>
          </cell>
          <cell r="J2711">
            <v>3661.05</v>
          </cell>
        </row>
        <row r="2712">
          <cell r="A2712">
            <v>1769000780</v>
          </cell>
          <cell r="B2712" t="str">
            <v>השתתפויות</v>
          </cell>
          <cell r="C2712">
            <v>1854900</v>
          </cell>
          <cell r="D2712">
            <v>1556845.21</v>
          </cell>
          <cell r="E2712">
            <v>288374.98</v>
          </cell>
          <cell r="F2712">
            <v>1845220.19</v>
          </cell>
          <cell r="G2712">
            <v>9679.81</v>
          </cell>
          <cell r="H2712">
            <v>99.47</v>
          </cell>
          <cell r="I2712">
            <v>1854900</v>
          </cell>
          <cell r="J2712">
            <v>1556845.21</v>
          </cell>
        </row>
        <row r="2713">
          <cell r="A2713">
            <v>1769000781</v>
          </cell>
          <cell r="B2713" t="str">
            <v>מצגת יד לבנים</v>
          </cell>
          <cell r="C2713">
            <v>16625</v>
          </cell>
          <cell r="D2713">
            <v>0</v>
          </cell>
          <cell r="E2713">
            <v>0</v>
          </cell>
          <cell r="F2713">
            <v>0</v>
          </cell>
          <cell r="G2713">
            <v>16625</v>
          </cell>
          <cell r="H2713">
            <v>0</v>
          </cell>
          <cell r="I2713">
            <v>17500</v>
          </cell>
          <cell r="J2713">
            <v>0</v>
          </cell>
        </row>
        <row r="2714">
          <cell r="A2714">
            <v>1769000782</v>
          </cell>
          <cell r="B2714" t="str">
            <v>תמלוגים-על מוסיקה</v>
          </cell>
          <cell r="C2714">
            <v>377150</v>
          </cell>
          <cell r="D2714">
            <v>443199.74</v>
          </cell>
          <cell r="E2714">
            <v>0</v>
          </cell>
          <cell r="F2714">
            <v>443199.74</v>
          </cell>
          <cell r="G2714">
            <v>-66049.740000000005</v>
          </cell>
          <cell r="H2714">
            <v>117.51</v>
          </cell>
          <cell r="I2714">
            <v>397000</v>
          </cell>
          <cell r="J2714">
            <v>443199.74</v>
          </cell>
        </row>
        <row r="2715">
          <cell r="A2715">
            <v>1769000783</v>
          </cell>
          <cell r="B2715" t="str">
            <v>מפגשים שכונתיים</v>
          </cell>
          <cell r="C2715">
            <v>0</v>
          </cell>
          <cell r="D2715">
            <v>0</v>
          </cell>
          <cell r="E2715">
            <v>0</v>
          </cell>
          <cell r="F2715">
            <v>0</v>
          </cell>
          <cell r="G2715">
            <v>0</v>
          </cell>
          <cell r="H2715">
            <v>0</v>
          </cell>
          <cell r="I2715">
            <v>0</v>
          </cell>
          <cell r="J2715">
            <v>0</v>
          </cell>
        </row>
        <row r="2716">
          <cell r="A2716">
            <v>1769000784</v>
          </cell>
          <cell r="B2716" t="str">
            <v>קשר עם חיילים</v>
          </cell>
          <cell r="C2716">
            <v>1509740</v>
          </cell>
          <cell r="D2716">
            <v>1501136</v>
          </cell>
          <cell r="E2716">
            <v>1375</v>
          </cell>
          <cell r="F2716">
            <v>1502511</v>
          </cell>
          <cell r="G2716">
            <v>7229</v>
          </cell>
          <cell r="H2716">
            <v>99.52</v>
          </cell>
          <cell r="I2716">
            <v>1589200</v>
          </cell>
          <cell r="J2716">
            <v>1501136</v>
          </cell>
        </row>
        <row r="2717">
          <cell r="A2717">
            <v>1769000785</v>
          </cell>
          <cell r="B2717" t="str">
            <v>פעולות איבה ומערכות ישראל</v>
          </cell>
          <cell r="C2717">
            <v>0</v>
          </cell>
          <cell r="D2717">
            <v>0</v>
          </cell>
          <cell r="E2717">
            <v>0</v>
          </cell>
          <cell r="F2717">
            <v>0</v>
          </cell>
          <cell r="G2717">
            <v>0</v>
          </cell>
          <cell r="H2717">
            <v>0</v>
          </cell>
          <cell r="I2717">
            <v>0</v>
          </cell>
          <cell r="J2717">
            <v>0</v>
          </cell>
        </row>
        <row r="2718">
          <cell r="A2718">
            <v>1769000786</v>
          </cell>
          <cell r="B2718" t="str">
            <v>מעמד האישה</v>
          </cell>
          <cell r="C2718">
            <v>105600</v>
          </cell>
          <cell r="D2718">
            <v>103260.7</v>
          </cell>
          <cell r="E2718">
            <v>1242.6099999999999</v>
          </cell>
          <cell r="F2718">
            <v>104503.31</v>
          </cell>
          <cell r="G2718">
            <v>1096.69</v>
          </cell>
          <cell r="H2718">
            <v>98.96</v>
          </cell>
          <cell r="I2718">
            <v>105600</v>
          </cell>
          <cell r="J2718">
            <v>103260.7</v>
          </cell>
        </row>
        <row r="2719">
          <cell r="A2719">
            <v>1769000787</v>
          </cell>
          <cell r="B2719" t="str">
            <v>כרטיס תושב</v>
          </cell>
          <cell r="C2719">
            <v>0</v>
          </cell>
          <cell r="D2719">
            <v>0</v>
          </cell>
          <cell r="E2719">
            <v>0</v>
          </cell>
          <cell r="F2719">
            <v>0</v>
          </cell>
          <cell r="G2719">
            <v>0</v>
          </cell>
          <cell r="H2719">
            <v>0</v>
          </cell>
          <cell r="I2719">
            <v>0</v>
          </cell>
          <cell r="J2719">
            <v>0</v>
          </cell>
        </row>
        <row r="2720">
          <cell r="A2720">
            <v>1769000810</v>
          </cell>
          <cell r="B2720" t="str">
            <v>השת' עדה אתיופית</v>
          </cell>
          <cell r="C2720">
            <v>187600</v>
          </cell>
          <cell r="D2720">
            <v>187600</v>
          </cell>
          <cell r="E2720">
            <v>0</v>
          </cell>
          <cell r="F2720">
            <v>187600</v>
          </cell>
          <cell r="G2720">
            <v>0</v>
          </cell>
          <cell r="H2720">
            <v>100</v>
          </cell>
          <cell r="I2720">
            <v>187600</v>
          </cell>
          <cell r="J2720">
            <v>187600</v>
          </cell>
        </row>
        <row r="2721">
          <cell r="A2721">
            <v>1769000811</v>
          </cell>
          <cell r="B2721" t="str">
            <v>קמחא דפסחא</v>
          </cell>
          <cell r="C2721">
            <v>92625</v>
          </cell>
          <cell r="D2721">
            <v>90241</v>
          </cell>
          <cell r="E2721">
            <v>0</v>
          </cell>
          <cell r="F2721">
            <v>90241</v>
          </cell>
          <cell r="G2721">
            <v>2384</v>
          </cell>
          <cell r="H2721">
            <v>97.42</v>
          </cell>
          <cell r="I2721">
            <v>97500</v>
          </cell>
          <cell r="J2721">
            <v>90241</v>
          </cell>
        </row>
        <row r="2722">
          <cell r="A2722">
            <v>1769000813</v>
          </cell>
          <cell r="B2722" t="str">
            <v>תמיכה לראש השנה</v>
          </cell>
          <cell r="C2722">
            <v>28500</v>
          </cell>
          <cell r="D2722">
            <v>29978.2</v>
          </cell>
          <cell r="E2722">
            <v>0</v>
          </cell>
          <cell r="F2722">
            <v>29978.2</v>
          </cell>
          <cell r="G2722">
            <v>-1478.2</v>
          </cell>
          <cell r="H2722">
            <v>105.18</v>
          </cell>
          <cell r="I2722">
            <v>30000</v>
          </cell>
          <cell r="J2722">
            <v>29978.2</v>
          </cell>
        </row>
        <row r="2723">
          <cell r="A2723">
            <v>1769000815</v>
          </cell>
          <cell r="B2723" t="str">
            <v>טקס יצחק רבין</v>
          </cell>
          <cell r="C2723">
            <v>21375</v>
          </cell>
          <cell r="D2723">
            <v>0</v>
          </cell>
          <cell r="E2723">
            <v>0</v>
          </cell>
          <cell r="F2723">
            <v>0</v>
          </cell>
          <cell r="G2723">
            <v>21375</v>
          </cell>
          <cell r="H2723">
            <v>0</v>
          </cell>
          <cell r="I2723">
            <v>22500</v>
          </cell>
          <cell r="J2723">
            <v>0</v>
          </cell>
        </row>
        <row r="2724">
          <cell r="A2724">
            <v>1769000816</v>
          </cell>
          <cell r="B2724" t="str">
            <v>הקצבה לועד הורים שכולים</v>
          </cell>
          <cell r="C2724">
            <v>31000</v>
          </cell>
          <cell r="D2724">
            <v>31000</v>
          </cell>
          <cell r="E2724">
            <v>0</v>
          </cell>
          <cell r="F2724">
            <v>31000</v>
          </cell>
          <cell r="G2724">
            <v>0</v>
          </cell>
          <cell r="H2724">
            <v>100</v>
          </cell>
          <cell r="I2724">
            <v>31000</v>
          </cell>
          <cell r="J2724">
            <v>31000</v>
          </cell>
        </row>
        <row r="2725">
          <cell r="A2725">
            <v>1769000820</v>
          </cell>
          <cell r="B2725" t="str">
            <v>תמיכה במוסדות דת</v>
          </cell>
          <cell r="C2725">
            <v>564300</v>
          </cell>
          <cell r="D2725">
            <v>594000</v>
          </cell>
          <cell r="E2725">
            <v>0</v>
          </cell>
          <cell r="F2725">
            <v>594000</v>
          </cell>
          <cell r="G2725">
            <v>-29700</v>
          </cell>
          <cell r="H2725">
            <v>105.26</v>
          </cell>
          <cell r="I2725">
            <v>594000</v>
          </cell>
          <cell r="J2725">
            <v>594000</v>
          </cell>
        </row>
        <row r="2726">
          <cell r="A2726">
            <v>1769000821</v>
          </cell>
          <cell r="B2726" t="str">
            <v>ועדת תמיכות</v>
          </cell>
          <cell r="C2726">
            <v>125800</v>
          </cell>
          <cell r="D2726">
            <v>125803</v>
          </cell>
          <cell r="E2726">
            <v>0</v>
          </cell>
          <cell r="F2726">
            <v>125803</v>
          </cell>
          <cell r="G2726">
            <v>-3</v>
          </cell>
          <cell r="H2726">
            <v>100</v>
          </cell>
          <cell r="I2726">
            <v>125800</v>
          </cell>
          <cell r="J2726">
            <v>125803</v>
          </cell>
        </row>
        <row r="2727">
          <cell r="A2727">
            <v>1769000823</v>
          </cell>
          <cell r="B2727" t="str">
            <v>שיקום ספר תורה</v>
          </cell>
          <cell r="C2727">
            <v>0</v>
          </cell>
          <cell r="D2727">
            <v>0</v>
          </cell>
          <cell r="E2727">
            <v>0</v>
          </cell>
          <cell r="F2727">
            <v>0</v>
          </cell>
          <cell r="G2727">
            <v>0</v>
          </cell>
          <cell r="H2727">
            <v>0</v>
          </cell>
          <cell r="I2727">
            <v>0</v>
          </cell>
          <cell r="J2727">
            <v>0</v>
          </cell>
        </row>
        <row r="2728">
          <cell r="A2728">
            <v>1769000882</v>
          </cell>
          <cell r="B2728" t="str">
            <v>קרן חולון</v>
          </cell>
          <cell r="C2728">
            <v>0</v>
          </cell>
          <cell r="D2728">
            <v>0</v>
          </cell>
          <cell r="E2728">
            <v>0</v>
          </cell>
          <cell r="F2728">
            <v>0</v>
          </cell>
          <cell r="G2728">
            <v>0</v>
          </cell>
          <cell r="H2728">
            <v>0</v>
          </cell>
          <cell r="I2728">
            <v>0</v>
          </cell>
          <cell r="J2728">
            <v>0</v>
          </cell>
        </row>
        <row r="2729">
          <cell r="A2729">
            <v>1769000884</v>
          </cell>
          <cell r="B2729" t="str">
            <v>שמות לאנדרטה</v>
          </cell>
          <cell r="C2729">
            <v>9215</v>
          </cell>
          <cell r="D2729">
            <v>410</v>
          </cell>
          <cell r="E2729">
            <v>0</v>
          </cell>
          <cell r="F2729">
            <v>410</v>
          </cell>
          <cell r="G2729">
            <v>8805</v>
          </cell>
          <cell r="H2729">
            <v>4.4400000000000004</v>
          </cell>
          <cell r="I2729">
            <v>9700</v>
          </cell>
          <cell r="J2729">
            <v>410</v>
          </cell>
        </row>
        <row r="2730">
          <cell r="A2730">
            <v>1769000885</v>
          </cell>
          <cell r="B2730" t="str">
            <v>טקס למשפחות שכולות</v>
          </cell>
          <cell r="C2730">
            <v>47500</v>
          </cell>
          <cell r="D2730">
            <v>47500</v>
          </cell>
          <cell r="E2730">
            <v>0</v>
          </cell>
          <cell r="F2730">
            <v>47500</v>
          </cell>
          <cell r="G2730">
            <v>0</v>
          </cell>
          <cell r="H2730">
            <v>100</v>
          </cell>
          <cell r="I2730">
            <v>47500</v>
          </cell>
          <cell r="J2730">
            <v>47500</v>
          </cell>
        </row>
        <row r="2731">
          <cell r="A2731">
            <v>1769100119</v>
          </cell>
          <cell r="B2731" t="str">
            <v>השכר הקובע-צוברת</v>
          </cell>
          <cell r="C2731">
            <v>0</v>
          </cell>
          <cell r="D2731">
            <v>0</v>
          </cell>
          <cell r="E2731">
            <v>0</v>
          </cell>
          <cell r="F2731">
            <v>0</v>
          </cell>
          <cell r="G2731">
            <v>0</v>
          </cell>
          <cell r="H2731">
            <v>0</v>
          </cell>
          <cell r="I2731">
            <v>0</v>
          </cell>
          <cell r="J2731">
            <v>0</v>
          </cell>
        </row>
        <row r="2732">
          <cell r="A2732">
            <v>1769100210</v>
          </cell>
          <cell r="B2732" t="str">
            <v>השכר הקובע</v>
          </cell>
          <cell r="C2732">
            <v>0</v>
          </cell>
          <cell r="D2732">
            <v>0</v>
          </cell>
          <cell r="E2732">
            <v>0</v>
          </cell>
          <cell r="F2732">
            <v>0</v>
          </cell>
          <cell r="G2732">
            <v>0</v>
          </cell>
          <cell r="H2732">
            <v>0</v>
          </cell>
          <cell r="I2732">
            <v>0</v>
          </cell>
          <cell r="J2732">
            <v>0</v>
          </cell>
        </row>
        <row r="2733">
          <cell r="A2733">
            <v>1769100253</v>
          </cell>
          <cell r="B2733" t="str">
            <v>שכר הדרכה</v>
          </cell>
          <cell r="C2733">
            <v>0</v>
          </cell>
          <cell r="D2733">
            <v>0</v>
          </cell>
          <cell r="E2733">
            <v>0</v>
          </cell>
          <cell r="F2733">
            <v>0</v>
          </cell>
          <cell r="G2733">
            <v>0</v>
          </cell>
          <cell r="H2733">
            <v>0</v>
          </cell>
          <cell r="I2733">
            <v>0</v>
          </cell>
          <cell r="J2733">
            <v>0</v>
          </cell>
        </row>
        <row r="2734">
          <cell r="A2734">
            <v>1769100433</v>
          </cell>
          <cell r="B2734" t="str">
            <v>חומרי נקיון</v>
          </cell>
          <cell r="C2734">
            <v>0</v>
          </cell>
          <cell r="D2734">
            <v>0</v>
          </cell>
          <cell r="E2734">
            <v>0</v>
          </cell>
          <cell r="F2734">
            <v>0</v>
          </cell>
          <cell r="G2734">
            <v>0</v>
          </cell>
          <cell r="H2734">
            <v>0</v>
          </cell>
          <cell r="I2734">
            <v>0</v>
          </cell>
          <cell r="J2734">
            <v>0</v>
          </cell>
        </row>
        <row r="2735">
          <cell r="A2735">
            <v>1769100450</v>
          </cell>
          <cell r="B2735" t="str">
            <v>אחזקת תמי 4</v>
          </cell>
          <cell r="C2735">
            <v>1425</v>
          </cell>
          <cell r="D2735">
            <v>0</v>
          </cell>
          <cell r="E2735">
            <v>0</v>
          </cell>
          <cell r="F2735">
            <v>0</v>
          </cell>
          <cell r="G2735">
            <v>1425</v>
          </cell>
          <cell r="H2735">
            <v>0</v>
          </cell>
          <cell r="I2735">
            <v>1500</v>
          </cell>
          <cell r="J2735">
            <v>0</v>
          </cell>
        </row>
        <row r="2736">
          <cell r="A2736">
            <v>1769100471</v>
          </cell>
          <cell r="B2736" t="str">
            <v>מכשירי כתיבה</v>
          </cell>
          <cell r="C2736">
            <v>2280</v>
          </cell>
          <cell r="D2736">
            <v>1469.21</v>
          </cell>
          <cell r="E2736">
            <v>0</v>
          </cell>
          <cell r="F2736">
            <v>1469.21</v>
          </cell>
          <cell r="G2736">
            <v>810.79</v>
          </cell>
          <cell r="H2736">
            <v>64.430000000000007</v>
          </cell>
          <cell r="I2736">
            <v>2400</v>
          </cell>
          <cell r="J2736">
            <v>1469.21</v>
          </cell>
        </row>
        <row r="2737">
          <cell r="A2737">
            <v>1769100511</v>
          </cell>
          <cell r="B2737" t="str">
            <v>אירוח וכיבוד</v>
          </cell>
          <cell r="C2737">
            <v>1235</v>
          </cell>
          <cell r="D2737">
            <v>960.82</v>
          </cell>
          <cell r="E2737">
            <v>0</v>
          </cell>
          <cell r="F2737">
            <v>960.82</v>
          </cell>
          <cell r="G2737">
            <v>274.18</v>
          </cell>
          <cell r="H2737">
            <v>77.790000000000006</v>
          </cell>
          <cell r="I2737">
            <v>1300</v>
          </cell>
          <cell r="J2737">
            <v>960.82</v>
          </cell>
        </row>
        <row r="2738">
          <cell r="A2738">
            <v>1769100544</v>
          </cell>
          <cell r="B2738" t="str">
            <v>הוצאות דאר</v>
          </cell>
          <cell r="C2738">
            <v>23180</v>
          </cell>
          <cell r="D2738">
            <v>0</v>
          </cell>
          <cell r="E2738">
            <v>0</v>
          </cell>
          <cell r="F2738">
            <v>0</v>
          </cell>
          <cell r="G2738">
            <v>23180</v>
          </cell>
          <cell r="H2738">
            <v>0</v>
          </cell>
          <cell r="I2738">
            <v>24400</v>
          </cell>
          <cell r="J2738">
            <v>0</v>
          </cell>
        </row>
        <row r="2739">
          <cell r="A2739">
            <v>1769100561</v>
          </cell>
          <cell r="B2739" t="str">
            <v>שיכפולים</v>
          </cell>
          <cell r="C2739">
            <v>3895</v>
          </cell>
          <cell r="D2739">
            <v>0</v>
          </cell>
          <cell r="E2739">
            <v>0</v>
          </cell>
          <cell r="F2739">
            <v>0</v>
          </cell>
          <cell r="G2739">
            <v>3895</v>
          </cell>
          <cell r="H2739">
            <v>0</v>
          </cell>
          <cell r="I2739">
            <v>4100</v>
          </cell>
          <cell r="J2739">
            <v>0</v>
          </cell>
        </row>
        <row r="2740">
          <cell r="A2740">
            <v>1769100723</v>
          </cell>
          <cell r="B2740" t="str">
            <v>חומרים</v>
          </cell>
          <cell r="C2740">
            <v>855</v>
          </cell>
          <cell r="D2740">
            <v>0</v>
          </cell>
          <cell r="E2740">
            <v>0</v>
          </cell>
          <cell r="F2740">
            <v>0</v>
          </cell>
          <cell r="G2740">
            <v>855</v>
          </cell>
          <cell r="H2740">
            <v>0</v>
          </cell>
          <cell r="I2740">
            <v>900</v>
          </cell>
          <cell r="J2740">
            <v>0</v>
          </cell>
        </row>
        <row r="2741">
          <cell r="A2741">
            <v>1769100752</v>
          </cell>
          <cell r="B2741" t="str">
            <v>נקיון בית העובד</v>
          </cell>
          <cell r="C2741">
            <v>13000</v>
          </cell>
          <cell r="D2741">
            <v>12877.2</v>
          </cell>
          <cell r="E2741">
            <v>0</v>
          </cell>
          <cell r="F2741">
            <v>12877.2</v>
          </cell>
          <cell r="G2741">
            <v>122.8</v>
          </cell>
          <cell r="H2741">
            <v>99.05</v>
          </cell>
          <cell r="I2741">
            <v>13000</v>
          </cell>
          <cell r="J2741">
            <v>12877.2</v>
          </cell>
        </row>
        <row r="2742">
          <cell r="A2742">
            <v>1769100780</v>
          </cell>
          <cell r="B2742" t="str">
            <v>פעילות מהכנסות</v>
          </cell>
          <cell r="C2742">
            <v>0</v>
          </cell>
          <cell r="D2742">
            <v>0</v>
          </cell>
          <cell r="E2742">
            <v>0</v>
          </cell>
          <cell r="F2742">
            <v>0</v>
          </cell>
          <cell r="G2742">
            <v>0</v>
          </cell>
          <cell r="H2742">
            <v>0</v>
          </cell>
          <cell r="I2742">
            <v>0</v>
          </cell>
          <cell r="J2742">
            <v>0</v>
          </cell>
        </row>
        <row r="2743">
          <cell r="A2743">
            <v>1769100781</v>
          </cell>
          <cell r="B2743" t="str">
            <v>פעולות תרבות</v>
          </cell>
          <cell r="C2743">
            <v>18600</v>
          </cell>
          <cell r="D2743">
            <v>18317.669999999998</v>
          </cell>
          <cell r="E2743">
            <v>153.86000000000001</v>
          </cell>
          <cell r="F2743">
            <v>18471.53</v>
          </cell>
          <cell r="G2743">
            <v>128.47</v>
          </cell>
          <cell r="H2743">
            <v>99.3</v>
          </cell>
          <cell r="I2743">
            <v>18600</v>
          </cell>
          <cell r="J2743">
            <v>18317.669999999998</v>
          </cell>
        </row>
        <row r="2744">
          <cell r="A2744">
            <v>1769100782</v>
          </cell>
          <cell r="B2744" t="str">
            <v>יריד אומנים</v>
          </cell>
          <cell r="C2744">
            <v>0</v>
          </cell>
          <cell r="D2744">
            <v>0</v>
          </cell>
          <cell r="E2744">
            <v>0</v>
          </cell>
          <cell r="F2744">
            <v>0</v>
          </cell>
          <cell r="G2744">
            <v>0</v>
          </cell>
          <cell r="H2744">
            <v>0</v>
          </cell>
          <cell r="I2744">
            <v>0</v>
          </cell>
          <cell r="J2744">
            <v>0</v>
          </cell>
        </row>
        <row r="2745">
          <cell r="A2745">
            <v>1769100931</v>
          </cell>
          <cell r="B2745" t="str">
            <v>ציוד חד-פעמי</v>
          </cell>
          <cell r="C2745">
            <v>1520</v>
          </cell>
          <cell r="D2745">
            <v>1030.83</v>
          </cell>
          <cell r="E2745">
            <v>0</v>
          </cell>
          <cell r="F2745">
            <v>1030.83</v>
          </cell>
          <cell r="G2745">
            <v>489.17</v>
          </cell>
          <cell r="H2745">
            <v>67.81</v>
          </cell>
          <cell r="I2745">
            <v>1600</v>
          </cell>
          <cell r="J2745">
            <v>1030.83</v>
          </cell>
        </row>
        <row r="2746">
          <cell r="A2746">
            <v>1772100110</v>
          </cell>
          <cell r="B2746" t="str">
            <v>השכר הקובע-תקציבית</v>
          </cell>
          <cell r="C2746">
            <v>0</v>
          </cell>
          <cell r="D2746">
            <v>0</v>
          </cell>
          <cell r="E2746">
            <v>0</v>
          </cell>
          <cell r="F2746">
            <v>0</v>
          </cell>
          <cell r="G2746">
            <v>0</v>
          </cell>
          <cell r="H2746">
            <v>0</v>
          </cell>
          <cell r="I2746">
            <v>0</v>
          </cell>
          <cell r="J2746">
            <v>0</v>
          </cell>
        </row>
        <row r="2747">
          <cell r="A2747">
            <v>1772100119</v>
          </cell>
          <cell r="B2747" t="str">
            <v>השכר הקובע-צוברת</v>
          </cell>
          <cell r="C2747">
            <v>967860</v>
          </cell>
          <cell r="D2747">
            <v>661182.93999999994</v>
          </cell>
          <cell r="E2747">
            <v>0</v>
          </cell>
          <cell r="F2747">
            <v>661182.93999999994</v>
          </cell>
          <cell r="G2747">
            <v>306677.06</v>
          </cell>
          <cell r="H2747">
            <v>68.31</v>
          </cell>
          <cell r="I2747">
            <v>1018800</v>
          </cell>
          <cell r="J2747">
            <v>661182.93999999994</v>
          </cell>
        </row>
        <row r="2748">
          <cell r="A2748">
            <v>1772100122</v>
          </cell>
          <cell r="B2748" t="str">
            <v>ביגוד</v>
          </cell>
          <cell r="C2748">
            <v>9120</v>
          </cell>
          <cell r="D2748">
            <v>9403</v>
          </cell>
          <cell r="E2748">
            <v>0</v>
          </cell>
          <cell r="F2748">
            <v>9403</v>
          </cell>
          <cell r="G2748">
            <v>-283</v>
          </cell>
          <cell r="H2748">
            <v>103.1</v>
          </cell>
          <cell r="I2748">
            <v>9600</v>
          </cell>
          <cell r="J2748">
            <v>9403</v>
          </cell>
        </row>
        <row r="2749">
          <cell r="A2749">
            <v>1772100126</v>
          </cell>
          <cell r="B2749" t="str">
            <v>דמי הבראה</v>
          </cell>
          <cell r="C2749">
            <v>32300</v>
          </cell>
          <cell r="D2749">
            <v>29042.11</v>
          </cell>
          <cell r="E2749">
            <v>0</v>
          </cell>
          <cell r="F2749">
            <v>29042.11</v>
          </cell>
          <cell r="G2749">
            <v>3257.89</v>
          </cell>
          <cell r="H2749">
            <v>89.91</v>
          </cell>
          <cell r="I2749">
            <v>34000</v>
          </cell>
          <cell r="J2749">
            <v>29042.11</v>
          </cell>
        </row>
        <row r="2750">
          <cell r="A2750">
            <v>1772100130</v>
          </cell>
          <cell r="B2750" t="str">
            <v>שעות נוספות</v>
          </cell>
          <cell r="C2750">
            <v>51585</v>
          </cell>
          <cell r="D2750">
            <v>0</v>
          </cell>
          <cell r="E2750">
            <v>0</v>
          </cell>
          <cell r="F2750">
            <v>0</v>
          </cell>
          <cell r="G2750">
            <v>51585</v>
          </cell>
          <cell r="H2750">
            <v>0</v>
          </cell>
          <cell r="I2750">
            <v>54300</v>
          </cell>
          <cell r="J2750">
            <v>0</v>
          </cell>
        </row>
        <row r="2751">
          <cell r="A2751">
            <v>1772100140</v>
          </cell>
          <cell r="B2751" t="str">
            <v>השתתפות באחזקת רכב</v>
          </cell>
          <cell r="C2751">
            <v>95950</v>
          </cell>
          <cell r="D2751">
            <v>69616.509999999995</v>
          </cell>
          <cell r="E2751">
            <v>0</v>
          </cell>
          <cell r="F2751">
            <v>69616.509999999995</v>
          </cell>
          <cell r="G2751">
            <v>26333.49</v>
          </cell>
          <cell r="H2751">
            <v>72.55</v>
          </cell>
          <cell r="I2751">
            <v>101000</v>
          </cell>
          <cell r="J2751">
            <v>69616.509999999995</v>
          </cell>
        </row>
        <row r="2752">
          <cell r="A2752">
            <v>1772100350</v>
          </cell>
          <cell r="B2752" t="str">
            <v>ליסינג - 140-63-901</v>
          </cell>
          <cell r="C2752">
            <v>0</v>
          </cell>
          <cell r="D2752">
            <v>0</v>
          </cell>
          <cell r="E2752">
            <v>0</v>
          </cell>
          <cell r="F2752">
            <v>0</v>
          </cell>
          <cell r="G2752">
            <v>0</v>
          </cell>
          <cell r="H2752">
            <v>0</v>
          </cell>
          <cell r="I2752">
            <v>0</v>
          </cell>
          <cell r="J2752">
            <v>0</v>
          </cell>
        </row>
        <row r="2753">
          <cell r="A2753">
            <v>1772100351</v>
          </cell>
          <cell r="B2753" t="str">
            <v>הוצאות - 140-63-901</v>
          </cell>
          <cell r="C2753">
            <v>0</v>
          </cell>
          <cell r="D2753">
            <v>0</v>
          </cell>
          <cell r="E2753">
            <v>0</v>
          </cell>
          <cell r="F2753">
            <v>0</v>
          </cell>
          <cell r="G2753">
            <v>0</v>
          </cell>
          <cell r="H2753">
            <v>0</v>
          </cell>
          <cell r="I2753">
            <v>0</v>
          </cell>
          <cell r="J2753">
            <v>0</v>
          </cell>
        </row>
        <row r="2754">
          <cell r="A2754">
            <v>1772100420</v>
          </cell>
          <cell r="B2754" t="str">
            <v>כיבוי אש</v>
          </cell>
          <cell r="C2754">
            <v>0</v>
          </cell>
          <cell r="D2754">
            <v>0</v>
          </cell>
          <cell r="E2754">
            <v>0</v>
          </cell>
          <cell r="F2754">
            <v>0</v>
          </cell>
          <cell r="G2754">
            <v>0</v>
          </cell>
          <cell r="H2754">
            <v>0</v>
          </cell>
          <cell r="I2754">
            <v>0</v>
          </cell>
          <cell r="J2754">
            <v>0</v>
          </cell>
        </row>
        <row r="2755">
          <cell r="A2755">
            <v>1772100433</v>
          </cell>
          <cell r="B2755" t="str">
            <v>חומרי נקיון</v>
          </cell>
          <cell r="C2755">
            <v>2280</v>
          </cell>
          <cell r="D2755">
            <v>1230.53</v>
          </cell>
          <cell r="E2755">
            <v>45.63</v>
          </cell>
          <cell r="F2755">
            <v>1276.1600000000001</v>
          </cell>
          <cell r="G2755">
            <v>1003.84</v>
          </cell>
          <cell r="H2755">
            <v>55.97</v>
          </cell>
          <cell r="I2755">
            <v>2400</v>
          </cell>
          <cell r="J2755">
            <v>1230.53</v>
          </cell>
        </row>
        <row r="2756">
          <cell r="A2756">
            <v>1772100450</v>
          </cell>
          <cell r="B2756" t="str">
            <v>אחזקת תמי 4</v>
          </cell>
          <cell r="C2756">
            <v>1425</v>
          </cell>
          <cell r="D2756">
            <v>0</v>
          </cell>
          <cell r="E2756">
            <v>0</v>
          </cell>
          <cell r="F2756">
            <v>0</v>
          </cell>
          <cell r="G2756">
            <v>1425</v>
          </cell>
          <cell r="H2756">
            <v>0</v>
          </cell>
          <cell r="I2756">
            <v>1500</v>
          </cell>
          <cell r="J2756">
            <v>0</v>
          </cell>
        </row>
        <row r="2757">
          <cell r="A2757">
            <v>1772100470</v>
          </cell>
          <cell r="B2757" t="str">
            <v>אחזקת מכונות משרד</v>
          </cell>
          <cell r="C2757">
            <v>1995</v>
          </cell>
          <cell r="D2757">
            <v>0</v>
          </cell>
          <cell r="E2757">
            <v>0</v>
          </cell>
          <cell r="F2757">
            <v>0</v>
          </cell>
          <cell r="G2757">
            <v>1995</v>
          </cell>
          <cell r="H2757">
            <v>0</v>
          </cell>
          <cell r="I2757">
            <v>2100</v>
          </cell>
          <cell r="J2757">
            <v>0</v>
          </cell>
        </row>
        <row r="2758">
          <cell r="A2758">
            <v>1772100471</v>
          </cell>
          <cell r="B2758" t="str">
            <v>מכשירי כתיבה</v>
          </cell>
          <cell r="C2758">
            <v>11020</v>
          </cell>
          <cell r="D2758">
            <v>7184.33</v>
          </cell>
          <cell r="E2758">
            <v>1712.88</v>
          </cell>
          <cell r="F2758">
            <v>8897.2099999999991</v>
          </cell>
          <cell r="G2758">
            <v>2122.79</v>
          </cell>
          <cell r="H2758">
            <v>80.73</v>
          </cell>
          <cell r="I2758">
            <v>11600</v>
          </cell>
          <cell r="J2758">
            <v>7184.33</v>
          </cell>
        </row>
        <row r="2759">
          <cell r="A2759">
            <v>1772100492</v>
          </cell>
          <cell r="B2759" t="str">
            <v>השתתפות בעזר 092</v>
          </cell>
          <cell r="C2759">
            <v>79325</v>
          </cell>
          <cell r="D2759">
            <v>91430</v>
          </cell>
          <cell r="E2759">
            <v>0</v>
          </cell>
          <cell r="F2759">
            <v>91430</v>
          </cell>
          <cell r="G2759">
            <v>-12105</v>
          </cell>
          <cell r="H2759">
            <v>115.26</v>
          </cell>
          <cell r="I2759">
            <v>83500</v>
          </cell>
          <cell r="J2759">
            <v>91430</v>
          </cell>
        </row>
        <row r="2760">
          <cell r="A2760">
            <v>1772100511</v>
          </cell>
          <cell r="B2760" t="str">
            <v>אירוח וכיבוד</v>
          </cell>
          <cell r="C2760">
            <v>6935</v>
          </cell>
          <cell r="D2760">
            <v>4849.76</v>
          </cell>
          <cell r="E2760">
            <v>1524.07</v>
          </cell>
          <cell r="F2760">
            <v>6373.83</v>
          </cell>
          <cell r="G2760">
            <v>561.16999999999996</v>
          </cell>
          <cell r="H2760">
            <v>91.9</v>
          </cell>
          <cell r="I2760">
            <v>7300</v>
          </cell>
          <cell r="J2760">
            <v>4849.76</v>
          </cell>
        </row>
        <row r="2761">
          <cell r="A2761">
            <v>1772100512</v>
          </cell>
          <cell r="B2761" t="str">
            <v>נסיעות ואש"ל</v>
          </cell>
          <cell r="C2761">
            <v>1140</v>
          </cell>
          <cell r="D2761">
            <v>391</v>
          </cell>
          <cell r="E2761">
            <v>0</v>
          </cell>
          <cell r="F2761">
            <v>391</v>
          </cell>
          <cell r="G2761">
            <v>749</v>
          </cell>
          <cell r="H2761">
            <v>34.29</v>
          </cell>
          <cell r="I2761">
            <v>1200</v>
          </cell>
          <cell r="J2761">
            <v>391</v>
          </cell>
        </row>
        <row r="2762">
          <cell r="A2762">
            <v>1772100522</v>
          </cell>
          <cell r="B2762" t="str">
            <v>ספרים ועיתונים</v>
          </cell>
          <cell r="C2762">
            <v>2185</v>
          </cell>
          <cell r="D2762">
            <v>912.1</v>
          </cell>
          <cell r="E2762">
            <v>0</v>
          </cell>
          <cell r="F2762">
            <v>912.1</v>
          </cell>
          <cell r="G2762">
            <v>1272.9000000000001</v>
          </cell>
          <cell r="H2762">
            <v>41.74</v>
          </cell>
          <cell r="I2762">
            <v>2300</v>
          </cell>
          <cell r="J2762">
            <v>912.1</v>
          </cell>
        </row>
        <row r="2763">
          <cell r="A2763">
            <v>1772100544</v>
          </cell>
          <cell r="B2763" t="str">
            <v>הוצאות דאר</v>
          </cell>
          <cell r="C2763">
            <v>190</v>
          </cell>
          <cell r="D2763">
            <v>217</v>
          </cell>
          <cell r="E2763">
            <v>0</v>
          </cell>
          <cell r="F2763">
            <v>217</v>
          </cell>
          <cell r="G2763">
            <v>-27</v>
          </cell>
          <cell r="H2763">
            <v>114.21</v>
          </cell>
          <cell r="I2763">
            <v>200</v>
          </cell>
          <cell r="J2763">
            <v>217</v>
          </cell>
        </row>
        <row r="2764">
          <cell r="A2764">
            <v>1772100550</v>
          </cell>
          <cell r="B2764" t="str">
            <v>פירסומים</v>
          </cell>
          <cell r="C2764">
            <v>2185</v>
          </cell>
          <cell r="D2764">
            <v>0</v>
          </cell>
          <cell r="E2764">
            <v>0</v>
          </cell>
          <cell r="F2764">
            <v>0</v>
          </cell>
          <cell r="G2764">
            <v>2185</v>
          </cell>
          <cell r="H2764">
            <v>0</v>
          </cell>
          <cell r="I2764">
            <v>2300</v>
          </cell>
          <cell r="J2764">
            <v>0</v>
          </cell>
        </row>
        <row r="2765">
          <cell r="A2765">
            <v>1772100561</v>
          </cell>
          <cell r="B2765" t="str">
            <v>שיכפולים</v>
          </cell>
          <cell r="C2765">
            <v>285</v>
          </cell>
          <cell r="D2765">
            <v>0</v>
          </cell>
          <cell r="E2765">
            <v>0</v>
          </cell>
          <cell r="F2765">
            <v>0</v>
          </cell>
          <cell r="G2765">
            <v>285</v>
          </cell>
          <cell r="H2765">
            <v>0</v>
          </cell>
          <cell r="I2765">
            <v>300</v>
          </cell>
          <cell r="J2765">
            <v>0</v>
          </cell>
        </row>
        <row r="2766">
          <cell r="A2766">
            <v>1772100562</v>
          </cell>
          <cell r="B2766" t="str">
            <v>הדפסות</v>
          </cell>
          <cell r="C2766">
            <v>0</v>
          </cell>
          <cell r="D2766">
            <v>0</v>
          </cell>
          <cell r="E2766">
            <v>0</v>
          </cell>
          <cell r="F2766">
            <v>0</v>
          </cell>
          <cell r="G2766">
            <v>0</v>
          </cell>
          <cell r="H2766">
            <v>0</v>
          </cell>
          <cell r="I2766">
            <v>0</v>
          </cell>
          <cell r="J2766">
            <v>0</v>
          </cell>
        </row>
        <row r="2767">
          <cell r="A2767">
            <v>1772100565</v>
          </cell>
          <cell r="B2767" t="str">
            <v>תצאו"ת</v>
          </cell>
          <cell r="C2767">
            <v>4655</v>
          </cell>
          <cell r="D2767">
            <v>0</v>
          </cell>
          <cell r="E2767">
            <v>0</v>
          </cell>
          <cell r="F2767">
            <v>0</v>
          </cell>
          <cell r="G2767">
            <v>4655</v>
          </cell>
          <cell r="H2767">
            <v>0</v>
          </cell>
          <cell r="I2767">
            <v>4900</v>
          </cell>
          <cell r="J2767">
            <v>0</v>
          </cell>
        </row>
        <row r="2768">
          <cell r="A2768">
            <v>1772100571</v>
          </cell>
          <cell r="B2768" t="str">
            <v>מיכון וענ"א</v>
          </cell>
          <cell r="C2768">
            <v>90250</v>
          </cell>
          <cell r="D2768">
            <v>95000</v>
          </cell>
          <cell r="E2768">
            <v>0</v>
          </cell>
          <cell r="F2768">
            <v>95000</v>
          </cell>
          <cell r="G2768">
            <v>-4750</v>
          </cell>
          <cell r="H2768">
            <v>105.26</v>
          </cell>
          <cell r="I2768">
            <v>95000</v>
          </cell>
          <cell r="J2768">
            <v>95000</v>
          </cell>
        </row>
        <row r="2769">
          <cell r="A2769">
            <v>1772100596</v>
          </cell>
          <cell r="B2769" t="str">
            <v>השתתפות בעזר 096</v>
          </cell>
          <cell r="C2769">
            <v>12635</v>
          </cell>
          <cell r="D2769">
            <v>12432</v>
          </cell>
          <cell r="E2769">
            <v>0</v>
          </cell>
          <cell r="F2769">
            <v>12432</v>
          </cell>
          <cell r="G2769">
            <v>203</v>
          </cell>
          <cell r="H2769">
            <v>98.39</v>
          </cell>
          <cell r="I2769">
            <v>13300</v>
          </cell>
          <cell r="J2769">
            <v>12432</v>
          </cell>
        </row>
        <row r="2770">
          <cell r="A2770">
            <v>1772100722</v>
          </cell>
          <cell r="B2770" t="str">
            <v>חמרים-תחזוקה עצמית</v>
          </cell>
          <cell r="C2770">
            <v>475</v>
          </cell>
          <cell r="D2770">
            <v>0</v>
          </cell>
          <cell r="E2770">
            <v>0</v>
          </cell>
          <cell r="F2770">
            <v>0</v>
          </cell>
          <cell r="G2770">
            <v>475</v>
          </cell>
          <cell r="H2770">
            <v>0</v>
          </cell>
          <cell r="I2770">
            <v>500</v>
          </cell>
          <cell r="J2770">
            <v>0</v>
          </cell>
        </row>
        <row r="2771">
          <cell r="A2771">
            <v>1772100752</v>
          </cell>
          <cell r="B2771" t="str">
            <v>נקיון בקבלנות</v>
          </cell>
          <cell r="C2771">
            <v>29450</v>
          </cell>
          <cell r="D2771">
            <v>28944.53</v>
          </cell>
          <cell r="E2771">
            <v>0</v>
          </cell>
          <cell r="F2771">
            <v>28944.53</v>
          </cell>
          <cell r="G2771">
            <v>505.47</v>
          </cell>
          <cell r="H2771">
            <v>98.28</v>
          </cell>
          <cell r="I2771">
            <v>31000</v>
          </cell>
          <cell r="J2771">
            <v>28944.53</v>
          </cell>
        </row>
        <row r="2772">
          <cell r="A2772">
            <v>1772100754</v>
          </cell>
          <cell r="B2772" t="str">
            <v>פינויים</v>
          </cell>
          <cell r="C2772">
            <v>380</v>
          </cell>
          <cell r="D2772">
            <v>0</v>
          </cell>
          <cell r="E2772">
            <v>0</v>
          </cell>
          <cell r="F2772">
            <v>0</v>
          </cell>
          <cell r="G2772">
            <v>380</v>
          </cell>
          <cell r="H2772">
            <v>0</v>
          </cell>
          <cell r="I2772">
            <v>400</v>
          </cell>
          <cell r="J2772">
            <v>0</v>
          </cell>
        </row>
        <row r="2773">
          <cell r="A2773">
            <v>1772100755</v>
          </cell>
          <cell r="B2773" t="str">
            <v>עבודות אחזקה</v>
          </cell>
          <cell r="C2773">
            <v>0</v>
          </cell>
          <cell r="D2773">
            <v>0</v>
          </cell>
          <cell r="E2773">
            <v>0</v>
          </cell>
          <cell r="F2773">
            <v>0</v>
          </cell>
          <cell r="G2773">
            <v>0</v>
          </cell>
          <cell r="H2773">
            <v>0</v>
          </cell>
          <cell r="I2773">
            <v>0</v>
          </cell>
          <cell r="J2773">
            <v>0</v>
          </cell>
        </row>
        <row r="2774">
          <cell r="A2774">
            <v>1772100759</v>
          </cell>
          <cell r="B2774" t="str">
            <v>עבודות אחזקה</v>
          </cell>
          <cell r="C2774">
            <v>77235</v>
          </cell>
          <cell r="D2774">
            <v>293</v>
          </cell>
          <cell r="E2774">
            <v>0</v>
          </cell>
          <cell r="F2774">
            <v>293</v>
          </cell>
          <cell r="G2774">
            <v>76942</v>
          </cell>
          <cell r="H2774">
            <v>0.37</v>
          </cell>
          <cell r="I2774">
            <v>81300</v>
          </cell>
          <cell r="J2774">
            <v>293</v>
          </cell>
        </row>
        <row r="2775">
          <cell r="A2775">
            <v>1772100781</v>
          </cell>
          <cell r="B2775" t="str">
            <v>פעולות סמנכ"ל</v>
          </cell>
          <cell r="C2775">
            <v>9500</v>
          </cell>
          <cell r="D2775">
            <v>3160.82</v>
          </cell>
          <cell r="E2775">
            <v>0</v>
          </cell>
          <cell r="F2775">
            <v>3160.82</v>
          </cell>
          <cell r="G2775">
            <v>6339.18</v>
          </cell>
          <cell r="H2775">
            <v>33.270000000000003</v>
          </cell>
          <cell r="I2775">
            <v>10000</v>
          </cell>
          <cell r="J2775">
            <v>3160.82</v>
          </cell>
        </row>
        <row r="2776">
          <cell r="A2776">
            <v>1772100794</v>
          </cell>
          <cell r="B2776" t="str">
            <v>השתתפות בעזר 094</v>
          </cell>
          <cell r="C2776">
            <v>8740</v>
          </cell>
          <cell r="D2776">
            <v>10972</v>
          </cell>
          <cell r="E2776">
            <v>0</v>
          </cell>
          <cell r="F2776">
            <v>10972</v>
          </cell>
          <cell r="G2776">
            <v>-2232</v>
          </cell>
          <cell r="H2776">
            <v>125.53</v>
          </cell>
          <cell r="I2776">
            <v>9200</v>
          </cell>
          <cell r="J2776">
            <v>10972</v>
          </cell>
        </row>
        <row r="2777">
          <cell r="A2777">
            <v>1772100870</v>
          </cell>
          <cell r="B2777" t="str">
            <v>קידום עסקים בחולון</v>
          </cell>
          <cell r="C2777">
            <v>154375</v>
          </cell>
          <cell r="D2777">
            <v>6318</v>
          </cell>
          <cell r="E2777">
            <v>0</v>
          </cell>
          <cell r="F2777">
            <v>6318</v>
          </cell>
          <cell r="G2777">
            <v>148057</v>
          </cell>
          <cell r="H2777">
            <v>4.09</v>
          </cell>
          <cell r="I2777">
            <v>162500</v>
          </cell>
          <cell r="J2777">
            <v>6318</v>
          </cell>
        </row>
        <row r="2778">
          <cell r="A2778">
            <v>1772100931</v>
          </cell>
          <cell r="B2778" t="str">
            <v>רכישות</v>
          </cell>
          <cell r="C2778">
            <v>1520</v>
          </cell>
          <cell r="D2778">
            <v>0</v>
          </cell>
          <cell r="E2778">
            <v>0</v>
          </cell>
          <cell r="F2778">
            <v>0</v>
          </cell>
          <cell r="G2778">
            <v>1520</v>
          </cell>
          <cell r="H2778">
            <v>0</v>
          </cell>
          <cell r="I2778">
            <v>1600</v>
          </cell>
          <cell r="J2778">
            <v>0</v>
          </cell>
        </row>
        <row r="2779">
          <cell r="A2779">
            <v>1772100960</v>
          </cell>
          <cell r="B2779" t="str">
            <v>פעולות לעידוד א.ת.</v>
          </cell>
          <cell r="C2779">
            <v>37050</v>
          </cell>
          <cell r="D2779">
            <v>90.87</v>
          </cell>
          <cell r="E2779">
            <v>0</v>
          </cell>
          <cell r="F2779">
            <v>90.87</v>
          </cell>
          <cell r="G2779">
            <v>36959.129999999997</v>
          </cell>
          <cell r="H2779">
            <v>0.24</v>
          </cell>
          <cell r="I2779">
            <v>39000</v>
          </cell>
          <cell r="J2779">
            <v>90.87</v>
          </cell>
        </row>
        <row r="2780">
          <cell r="A2780">
            <v>1773000441</v>
          </cell>
          <cell r="B2780" t="str">
            <v>ביטוח</v>
          </cell>
          <cell r="C2780">
            <v>0</v>
          </cell>
          <cell r="D2780">
            <v>0</v>
          </cell>
          <cell r="E2780">
            <v>0</v>
          </cell>
          <cell r="F2780">
            <v>0</v>
          </cell>
          <cell r="G2780">
            <v>0</v>
          </cell>
          <cell r="H2780">
            <v>0</v>
          </cell>
          <cell r="I2780">
            <v>0</v>
          </cell>
          <cell r="J2780">
            <v>0</v>
          </cell>
        </row>
        <row r="2781">
          <cell r="A2781">
            <v>1773000780</v>
          </cell>
          <cell r="B2781" t="str">
            <v>הש' שכר חב' כלכלית</v>
          </cell>
          <cell r="C2781">
            <v>0</v>
          </cell>
          <cell r="D2781">
            <v>0</v>
          </cell>
          <cell r="E2781">
            <v>0</v>
          </cell>
          <cell r="F2781">
            <v>0</v>
          </cell>
          <cell r="G2781">
            <v>0</v>
          </cell>
          <cell r="H2781">
            <v>0</v>
          </cell>
          <cell r="I2781">
            <v>0</v>
          </cell>
          <cell r="J2781">
            <v>0</v>
          </cell>
        </row>
        <row r="2782">
          <cell r="A2782">
            <v>1773000870</v>
          </cell>
          <cell r="B2782" t="str">
            <v>השתתפות שכר חכ"ל</v>
          </cell>
          <cell r="C2782">
            <v>0</v>
          </cell>
          <cell r="D2782">
            <v>0</v>
          </cell>
          <cell r="E2782">
            <v>0</v>
          </cell>
          <cell r="F2782">
            <v>0</v>
          </cell>
          <cell r="G2782">
            <v>0</v>
          </cell>
          <cell r="H2782">
            <v>0</v>
          </cell>
          <cell r="I2782">
            <v>0</v>
          </cell>
          <cell r="J2782">
            <v>0</v>
          </cell>
        </row>
        <row r="2783">
          <cell r="A2783">
            <v>1773000879</v>
          </cell>
          <cell r="B2783" t="str">
            <v>ביטוח-כנגד הכנסות</v>
          </cell>
          <cell r="C2783">
            <v>0</v>
          </cell>
          <cell r="D2783">
            <v>0</v>
          </cell>
          <cell r="E2783">
            <v>0</v>
          </cell>
          <cell r="F2783">
            <v>0</v>
          </cell>
          <cell r="G2783">
            <v>0</v>
          </cell>
          <cell r="H2783">
            <v>0</v>
          </cell>
          <cell r="I2783">
            <v>0</v>
          </cell>
          <cell r="J2783">
            <v>0</v>
          </cell>
        </row>
        <row r="2784">
          <cell r="A2784">
            <v>1781100110</v>
          </cell>
          <cell r="B2784" t="str">
            <v>השכר הקובע-תקציבית</v>
          </cell>
          <cell r="C2784">
            <v>712500</v>
          </cell>
          <cell r="D2784">
            <v>681685.03</v>
          </cell>
          <cell r="E2784">
            <v>0</v>
          </cell>
          <cell r="F2784">
            <v>681685.03</v>
          </cell>
          <cell r="G2784">
            <v>30814.97</v>
          </cell>
          <cell r="H2784">
            <v>95.67</v>
          </cell>
          <cell r="I2784">
            <v>750000</v>
          </cell>
          <cell r="J2784">
            <v>681685.03</v>
          </cell>
        </row>
        <row r="2785">
          <cell r="A2785">
            <v>1781100119</v>
          </cell>
          <cell r="B2785" t="str">
            <v>השכר הקובע-צוברת</v>
          </cell>
          <cell r="C2785">
            <v>6585163</v>
          </cell>
          <cell r="D2785">
            <v>9548325.9399999995</v>
          </cell>
          <cell r="E2785">
            <v>0</v>
          </cell>
          <cell r="F2785">
            <v>9548325.9399999995</v>
          </cell>
          <cell r="G2785">
            <v>-2963162.94</v>
          </cell>
          <cell r="H2785">
            <v>144.99</v>
          </cell>
          <cell r="I2785">
            <v>6931750</v>
          </cell>
          <cell r="J2785">
            <v>9548325.9399999995</v>
          </cell>
        </row>
        <row r="2786">
          <cell r="A2786">
            <v>1781100122</v>
          </cell>
          <cell r="B2786" t="str">
            <v>ביגוד</v>
          </cell>
          <cell r="C2786">
            <v>24510</v>
          </cell>
          <cell r="D2786">
            <v>27641.69</v>
          </cell>
          <cell r="E2786">
            <v>0</v>
          </cell>
          <cell r="F2786">
            <v>27641.69</v>
          </cell>
          <cell r="G2786">
            <v>-3131.69</v>
          </cell>
          <cell r="H2786">
            <v>112.77</v>
          </cell>
          <cell r="I2786">
            <v>25800</v>
          </cell>
          <cell r="J2786">
            <v>27641.69</v>
          </cell>
        </row>
        <row r="2787">
          <cell r="A2787">
            <v>1781100126</v>
          </cell>
          <cell r="B2787" t="str">
            <v>דמי הבראה</v>
          </cell>
          <cell r="C2787">
            <v>248425</v>
          </cell>
          <cell r="D2787">
            <v>253159.61</v>
          </cell>
          <cell r="E2787">
            <v>0</v>
          </cell>
          <cell r="F2787">
            <v>253159.61</v>
          </cell>
          <cell r="G2787">
            <v>-4734.6099999999997</v>
          </cell>
          <cell r="H2787">
            <v>101.9</v>
          </cell>
          <cell r="I2787">
            <v>261500</v>
          </cell>
          <cell r="J2787">
            <v>253159.61</v>
          </cell>
        </row>
        <row r="2788">
          <cell r="A2788">
            <v>1781100130</v>
          </cell>
          <cell r="B2788" t="str">
            <v>שעות נוספות</v>
          </cell>
          <cell r="C2788">
            <v>1140000</v>
          </cell>
          <cell r="D2788">
            <v>349023.62</v>
          </cell>
          <cell r="E2788">
            <v>0</v>
          </cell>
          <cell r="F2788">
            <v>349023.62</v>
          </cell>
          <cell r="G2788">
            <v>790976.38</v>
          </cell>
          <cell r="H2788">
            <v>30.61</v>
          </cell>
          <cell r="I2788">
            <v>1200000</v>
          </cell>
          <cell r="J2788">
            <v>349023.62</v>
          </cell>
        </row>
        <row r="2789">
          <cell r="A2789">
            <v>1781100140</v>
          </cell>
          <cell r="B2789" t="str">
            <v>השתתפות באחזקת רכב</v>
          </cell>
          <cell r="C2789">
            <v>700530</v>
          </cell>
          <cell r="D2789">
            <v>1135407.17</v>
          </cell>
          <cell r="E2789">
            <v>0</v>
          </cell>
          <cell r="F2789">
            <v>1135407.17</v>
          </cell>
          <cell r="G2789">
            <v>-434877.17</v>
          </cell>
          <cell r="H2789">
            <v>162.07</v>
          </cell>
          <cell r="I2789">
            <v>737400</v>
          </cell>
          <cell r="J2789">
            <v>1135407.17</v>
          </cell>
        </row>
        <row r="2790">
          <cell r="A2790">
            <v>1781100253</v>
          </cell>
          <cell r="B2790" t="str">
            <v>חברה קבלנית</v>
          </cell>
          <cell r="C2790">
            <v>1188</v>
          </cell>
          <cell r="D2790">
            <v>1250.7</v>
          </cell>
          <cell r="E2790">
            <v>0</v>
          </cell>
          <cell r="F2790">
            <v>1250.7</v>
          </cell>
          <cell r="G2790">
            <v>-62.7</v>
          </cell>
          <cell r="H2790">
            <v>105.27</v>
          </cell>
          <cell r="I2790">
            <v>1250</v>
          </cell>
          <cell r="J2790">
            <v>1250.7</v>
          </cell>
        </row>
        <row r="2791">
          <cell r="A2791">
            <v>1781100350</v>
          </cell>
          <cell r="B2791" t="str">
            <v>ליסינג - 363-92-803</v>
          </cell>
          <cell r="C2791">
            <v>47500</v>
          </cell>
          <cell r="D2791">
            <v>31412.79</v>
          </cell>
          <cell r="E2791">
            <v>0</v>
          </cell>
          <cell r="F2791">
            <v>31412.79</v>
          </cell>
          <cell r="G2791">
            <v>16087.21</v>
          </cell>
          <cell r="H2791">
            <v>66.13</v>
          </cell>
          <cell r="I2791">
            <v>50000</v>
          </cell>
          <cell r="J2791">
            <v>31412.79</v>
          </cell>
        </row>
        <row r="2792">
          <cell r="A2792">
            <v>1781100351</v>
          </cell>
          <cell r="B2792" t="str">
            <v>הוצאות - 363-92-803</v>
          </cell>
          <cell r="C2792">
            <v>52250</v>
          </cell>
          <cell r="D2792">
            <v>26019.98</v>
          </cell>
          <cell r="E2792">
            <v>0</v>
          </cell>
          <cell r="F2792">
            <v>26019.98</v>
          </cell>
          <cell r="G2792">
            <v>26230.02</v>
          </cell>
          <cell r="H2792">
            <v>49.79</v>
          </cell>
          <cell r="I2792">
            <v>55000</v>
          </cell>
          <cell r="J2792">
            <v>26019.98</v>
          </cell>
        </row>
        <row r="2793">
          <cell r="A2793">
            <v>1781100410</v>
          </cell>
          <cell r="B2793" t="str">
            <v>דמי שכירות</v>
          </cell>
          <cell r="C2793">
            <v>351500</v>
          </cell>
          <cell r="D2793">
            <v>369999.8</v>
          </cell>
          <cell r="E2793">
            <v>0</v>
          </cell>
          <cell r="F2793">
            <v>369999.8</v>
          </cell>
          <cell r="G2793">
            <v>-18499.8</v>
          </cell>
          <cell r="H2793">
            <v>105.26</v>
          </cell>
          <cell r="I2793">
            <v>370000</v>
          </cell>
          <cell r="J2793">
            <v>369999.8</v>
          </cell>
        </row>
        <row r="2794">
          <cell r="A2794">
            <v>1781100420</v>
          </cell>
          <cell r="B2794" t="str">
            <v>כיבוי אש</v>
          </cell>
          <cell r="C2794">
            <v>1235</v>
          </cell>
          <cell r="D2794">
            <v>977.64</v>
          </cell>
          <cell r="E2794">
            <v>0</v>
          </cell>
          <cell r="F2794">
            <v>977.64</v>
          </cell>
          <cell r="G2794">
            <v>257.36</v>
          </cell>
          <cell r="H2794">
            <v>79.16</v>
          </cell>
          <cell r="I2794">
            <v>1300</v>
          </cell>
          <cell r="J2794">
            <v>977.64</v>
          </cell>
        </row>
        <row r="2795">
          <cell r="A2795">
            <v>1781100431</v>
          </cell>
          <cell r="B2795" t="str">
            <v>חשמל</v>
          </cell>
          <cell r="C2795">
            <v>152950</v>
          </cell>
          <cell r="D2795">
            <v>111824.36</v>
          </cell>
          <cell r="E2795">
            <v>0</v>
          </cell>
          <cell r="F2795">
            <v>111824.36</v>
          </cell>
          <cell r="G2795">
            <v>41125.64</v>
          </cell>
          <cell r="H2795">
            <v>73.11</v>
          </cell>
          <cell r="I2795">
            <v>161000</v>
          </cell>
          <cell r="J2795">
            <v>111824.36</v>
          </cell>
        </row>
        <row r="2796">
          <cell r="A2796">
            <v>1781100432</v>
          </cell>
          <cell r="B2796" t="str">
            <v>מים</v>
          </cell>
          <cell r="C2796">
            <v>3895</v>
          </cell>
          <cell r="D2796">
            <v>4500</v>
          </cell>
          <cell r="E2796">
            <v>0</v>
          </cell>
          <cell r="F2796">
            <v>4500</v>
          </cell>
          <cell r="G2796">
            <v>-605</v>
          </cell>
          <cell r="H2796">
            <v>115.53</v>
          </cell>
          <cell r="I2796">
            <v>4100</v>
          </cell>
          <cell r="J2796">
            <v>4500</v>
          </cell>
        </row>
        <row r="2797">
          <cell r="A2797">
            <v>1781100433</v>
          </cell>
          <cell r="B2797" t="str">
            <v>חומרי נקיון</v>
          </cell>
          <cell r="C2797">
            <v>7790</v>
          </cell>
          <cell r="D2797">
            <v>7502.99</v>
          </cell>
          <cell r="E2797">
            <v>0</v>
          </cell>
          <cell r="F2797">
            <v>7502.99</v>
          </cell>
          <cell r="G2797">
            <v>287.01</v>
          </cell>
          <cell r="H2797">
            <v>96.31</v>
          </cell>
          <cell r="I2797">
            <v>8200</v>
          </cell>
          <cell r="J2797">
            <v>7502.99</v>
          </cell>
        </row>
        <row r="2798">
          <cell r="A2798">
            <v>1781100437</v>
          </cell>
          <cell r="B2798" t="str">
            <v>אחזקת אזעקה</v>
          </cell>
          <cell r="C2798">
            <v>5130</v>
          </cell>
          <cell r="D2798">
            <v>2442.96</v>
          </cell>
          <cell r="E2798">
            <v>0</v>
          </cell>
          <cell r="F2798">
            <v>2442.96</v>
          </cell>
          <cell r="G2798">
            <v>2687.04</v>
          </cell>
          <cell r="H2798">
            <v>47.62</v>
          </cell>
          <cell r="I2798">
            <v>5400</v>
          </cell>
          <cell r="J2798">
            <v>2442.96</v>
          </cell>
        </row>
        <row r="2799">
          <cell r="A2799">
            <v>1781100441</v>
          </cell>
          <cell r="B2799" t="str">
            <v>בטוח תאונות אישיות</v>
          </cell>
          <cell r="C2799">
            <v>3990</v>
          </cell>
          <cell r="D2799">
            <v>0</v>
          </cell>
          <cell r="E2799">
            <v>0</v>
          </cell>
          <cell r="F2799">
            <v>0</v>
          </cell>
          <cell r="G2799">
            <v>3990</v>
          </cell>
          <cell r="H2799">
            <v>0</v>
          </cell>
          <cell r="I2799">
            <v>4200</v>
          </cell>
          <cell r="J2799">
            <v>0</v>
          </cell>
        </row>
        <row r="2800">
          <cell r="A2800">
            <v>1781100450</v>
          </cell>
          <cell r="B2800" t="str">
            <v>אחזקת תמי 4</v>
          </cell>
          <cell r="C2800">
            <v>3230</v>
          </cell>
          <cell r="D2800">
            <v>0</v>
          </cell>
          <cell r="E2800">
            <v>0</v>
          </cell>
          <cell r="F2800">
            <v>0</v>
          </cell>
          <cell r="G2800">
            <v>3230</v>
          </cell>
          <cell r="H2800">
            <v>0</v>
          </cell>
          <cell r="I2800">
            <v>3400</v>
          </cell>
          <cell r="J2800">
            <v>0</v>
          </cell>
        </row>
        <row r="2801">
          <cell r="A2801">
            <v>1781100470</v>
          </cell>
          <cell r="B2801" t="str">
            <v>אחזקת מכונות משרד</v>
          </cell>
          <cell r="C2801">
            <v>2280</v>
          </cell>
          <cell r="D2801">
            <v>0</v>
          </cell>
          <cell r="E2801">
            <v>0</v>
          </cell>
          <cell r="F2801">
            <v>0</v>
          </cell>
          <cell r="G2801">
            <v>2280</v>
          </cell>
          <cell r="H2801">
            <v>0</v>
          </cell>
          <cell r="I2801">
            <v>2400</v>
          </cell>
          <cell r="J2801">
            <v>0</v>
          </cell>
        </row>
        <row r="2802">
          <cell r="A2802">
            <v>1781100471</v>
          </cell>
          <cell r="B2802" t="str">
            <v>מכשירי כתיבה</v>
          </cell>
          <cell r="C2802">
            <v>33300</v>
          </cell>
          <cell r="D2802">
            <v>31824.62</v>
          </cell>
          <cell r="E2802">
            <v>0</v>
          </cell>
          <cell r="F2802">
            <v>31824.62</v>
          </cell>
          <cell r="G2802">
            <v>1475.38</v>
          </cell>
          <cell r="H2802">
            <v>95.56</v>
          </cell>
          <cell r="I2802">
            <v>33300</v>
          </cell>
          <cell r="J2802">
            <v>31824.62</v>
          </cell>
        </row>
        <row r="2803">
          <cell r="A2803">
            <v>1781100492</v>
          </cell>
          <cell r="B2803" t="str">
            <v>השתתפות בעזר 092</v>
          </cell>
          <cell r="C2803">
            <v>297160</v>
          </cell>
          <cell r="D2803">
            <v>342509</v>
          </cell>
          <cell r="E2803">
            <v>0</v>
          </cell>
          <cell r="F2803">
            <v>342509</v>
          </cell>
          <cell r="G2803">
            <v>-45349</v>
          </cell>
          <cell r="H2803">
            <v>115.26</v>
          </cell>
          <cell r="I2803">
            <v>312800</v>
          </cell>
          <cell r="J2803">
            <v>342509</v>
          </cell>
        </row>
        <row r="2804">
          <cell r="A2804">
            <v>1781100511</v>
          </cell>
          <cell r="B2804" t="str">
            <v>אירוח וכיבוד</v>
          </cell>
          <cell r="C2804">
            <v>27075</v>
          </cell>
          <cell r="D2804">
            <v>23023.75</v>
          </cell>
          <cell r="E2804">
            <v>2649.34</v>
          </cell>
          <cell r="F2804">
            <v>25673.09</v>
          </cell>
          <cell r="G2804">
            <v>1401.91</v>
          </cell>
          <cell r="H2804">
            <v>94.82</v>
          </cell>
          <cell r="I2804">
            <v>28500</v>
          </cell>
          <cell r="J2804">
            <v>23023.75</v>
          </cell>
        </row>
        <row r="2805">
          <cell r="A2805">
            <v>1781100512</v>
          </cell>
          <cell r="B2805" t="str">
            <v>נסיעות ואש"ל</v>
          </cell>
          <cell r="C2805">
            <v>0</v>
          </cell>
          <cell r="D2805">
            <v>0</v>
          </cell>
          <cell r="E2805">
            <v>0</v>
          </cell>
          <cell r="F2805">
            <v>0</v>
          </cell>
          <cell r="G2805">
            <v>0</v>
          </cell>
          <cell r="H2805">
            <v>0</v>
          </cell>
          <cell r="I2805">
            <v>0</v>
          </cell>
          <cell r="J2805">
            <v>0</v>
          </cell>
        </row>
        <row r="2806">
          <cell r="A2806">
            <v>1781100513</v>
          </cell>
          <cell r="B2806" t="str">
            <v>כלכלה ( ארוחות )</v>
          </cell>
          <cell r="C2806">
            <v>0</v>
          </cell>
          <cell r="D2806">
            <v>0</v>
          </cell>
          <cell r="E2806">
            <v>0</v>
          </cell>
          <cell r="F2806">
            <v>0</v>
          </cell>
          <cell r="G2806">
            <v>0</v>
          </cell>
          <cell r="H2806">
            <v>0</v>
          </cell>
          <cell r="I2806">
            <v>0</v>
          </cell>
          <cell r="J2806">
            <v>0</v>
          </cell>
        </row>
        <row r="2807">
          <cell r="A2807">
            <v>1781100516</v>
          </cell>
          <cell r="B2807" t="str">
            <v>כיבוד-ארוע'עירונים</v>
          </cell>
          <cell r="C2807">
            <v>7695</v>
          </cell>
          <cell r="D2807">
            <v>500</v>
          </cell>
          <cell r="E2807">
            <v>0</v>
          </cell>
          <cell r="F2807">
            <v>500</v>
          </cell>
          <cell r="G2807">
            <v>7195</v>
          </cell>
          <cell r="H2807">
            <v>6.49</v>
          </cell>
          <cell r="I2807">
            <v>8100</v>
          </cell>
          <cell r="J2807">
            <v>500</v>
          </cell>
        </row>
        <row r="2808">
          <cell r="A2808">
            <v>1781100522</v>
          </cell>
          <cell r="B2808" t="str">
            <v>ספרים ועיתונים</v>
          </cell>
          <cell r="C2808">
            <v>0</v>
          </cell>
          <cell r="D2808">
            <v>0</v>
          </cell>
          <cell r="E2808">
            <v>0</v>
          </cell>
          <cell r="F2808">
            <v>0</v>
          </cell>
          <cell r="G2808">
            <v>0</v>
          </cell>
          <cell r="H2808">
            <v>0</v>
          </cell>
          <cell r="I2808">
            <v>0</v>
          </cell>
          <cell r="J2808">
            <v>0</v>
          </cell>
        </row>
        <row r="2809">
          <cell r="A2809">
            <v>1781100524</v>
          </cell>
          <cell r="B2809" t="str">
            <v>הכשרת מפקחים עירוניים</v>
          </cell>
          <cell r="C2809">
            <v>0</v>
          </cell>
          <cell r="D2809">
            <v>0</v>
          </cell>
          <cell r="E2809">
            <v>0</v>
          </cell>
          <cell r="F2809">
            <v>0</v>
          </cell>
          <cell r="G2809">
            <v>0</v>
          </cell>
          <cell r="H2809">
            <v>0</v>
          </cell>
          <cell r="I2809">
            <v>0</v>
          </cell>
          <cell r="J2809">
            <v>0</v>
          </cell>
        </row>
        <row r="2810">
          <cell r="A2810">
            <v>1781100544</v>
          </cell>
          <cell r="B2810" t="str">
            <v>הוצאות דאר</v>
          </cell>
          <cell r="C2810">
            <v>52820</v>
          </cell>
          <cell r="D2810">
            <v>24289.15</v>
          </cell>
          <cell r="E2810">
            <v>0</v>
          </cell>
          <cell r="F2810">
            <v>24289.15</v>
          </cell>
          <cell r="G2810">
            <v>28530.85</v>
          </cell>
          <cell r="H2810">
            <v>45.98</v>
          </cell>
          <cell r="I2810">
            <v>55600</v>
          </cell>
          <cell r="J2810">
            <v>24289.15</v>
          </cell>
        </row>
        <row r="2811">
          <cell r="A2811">
            <v>1781100550</v>
          </cell>
          <cell r="B2811" t="str">
            <v>פירסומים</v>
          </cell>
          <cell r="C2811">
            <v>760</v>
          </cell>
          <cell r="D2811">
            <v>0</v>
          </cell>
          <cell r="E2811">
            <v>0</v>
          </cell>
          <cell r="F2811">
            <v>0</v>
          </cell>
          <cell r="G2811">
            <v>760</v>
          </cell>
          <cell r="H2811">
            <v>0</v>
          </cell>
          <cell r="I2811">
            <v>800</v>
          </cell>
          <cell r="J2811">
            <v>0</v>
          </cell>
        </row>
        <row r="2812">
          <cell r="A2812">
            <v>1781100552</v>
          </cell>
          <cell r="B2812" t="str">
            <v>.</v>
          </cell>
          <cell r="C2812">
            <v>0</v>
          </cell>
          <cell r="D2812">
            <v>0</v>
          </cell>
          <cell r="E2812">
            <v>0</v>
          </cell>
          <cell r="F2812">
            <v>0</v>
          </cell>
          <cell r="G2812">
            <v>0</v>
          </cell>
          <cell r="H2812">
            <v>0</v>
          </cell>
          <cell r="I2812">
            <v>0</v>
          </cell>
          <cell r="J2812">
            <v>0</v>
          </cell>
        </row>
        <row r="2813">
          <cell r="A2813">
            <v>1781100561</v>
          </cell>
          <cell r="B2813" t="str">
            <v>שיכפולים</v>
          </cell>
          <cell r="C2813">
            <v>12200</v>
          </cell>
          <cell r="D2813">
            <v>11221</v>
          </cell>
          <cell r="E2813">
            <v>714</v>
          </cell>
          <cell r="F2813">
            <v>11935</v>
          </cell>
          <cell r="G2813">
            <v>265</v>
          </cell>
          <cell r="H2813">
            <v>97.82</v>
          </cell>
          <cell r="I2813">
            <v>12200</v>
          </cell>
          <cell r="J2813">
            <v>11221</v>
          </cell>
        </row>
        <row r="2814">
          <cell r="A2814">
            <v>1781100562</v>
          </cell>
          <cell r="B2814" t="str">
            <v>הדפסות</v>
          </cell>
          <cell r="C2814">
            <v>17100</v>
          </cell>
          <cell r="D2814">
            <v>17099.580000000002</v>
          </cell>
          <cell r="E2814">
            <v>0</v>
          </cell>
          <cell r="F2814">
            <v>17099.580000000002</v>
          </cell>
          <cell r="G2814">
            <v>0.42</v>
          </cell>
          <cell r="H2814">
            <v>99.99</v>
          </cell>
          <cell r="I2814">
            <v>17100</v>
          </cell>
          <cell r="J2814">
            <v>17099.580000000002</v>
          </cell>
        </row>
        <row r="2815">
          <cell r="A2815">
            <v>1781100565</v>
          </cell>
          <cell r="B2815" t="str">
            <v>ציוד לעררי חניה</v>
          </cell>
          <cell r="C2815">
            <v>28400</v>
          </cell>
          <cell r="D2815">
            <v>25948.37</v>
          </cell>
          <cell r="E2815">
            <v>1170</v>
          </cell>
          <cell r="F2815">
            <v>27118.37</v>
          </cell>
          <cell r="G2815">
            <v>1281.6300000000001</v>
          </cell>
          <cell r="H2815">
            <v>95.48</v>
          </cell>
          <cell r="I2815">
            <v>28400</v>
          </cell>
          <cell r="J2815">
            <v>25948.37</v>
          </cell>
        </row>
        <row r="2816">
          <cell r="A2816">
            <v>1781100570</v>
          </cell>
          <cell r="B2816" t="str">
            <v>עיבוד נתונים</v>
          </cell>
          <cell r="C2816">
            <v>1520</v>
          </cell>
          <cell r="D2816">
            <v>0</v>
          </cell>
          <cell r="E2816">
            <v>0</v>
          </cell>
          <cell r="F2816">
            <v>0</v>
          </cell>
          <cell r="G2816">
            <v>1520</v>
          </cell>
          <cell r="H2816">
            <v>0</v>
          </cell>
          <cell r="I2816">
            <v>1600</v>
          </cell>
          <cell r="J2816">
            <v>0</v>
          </cell>
        </row>
        <row r="2817">
          <cell r="A2817">
            <v>1781100571</v>
          </cell>
          <cell r="B2817" t="str">
            <v>מיכון וענ"א</v>
          </cell>
          <cell r="C2817">
            <v>326895</v>
          </cell>
          <cell r="D2817">
            <v>344100</v>
          </cell>
          <cell r="E2817">
            <v>0</v>
          </cell>
          <cell r="F2817">
            <v>344100</v>
          </cell>
          <cell r="G2817">
            <v>-17205</v>
          </cell>
          <cell r="H2817">
            <v>105.26</v>
          </cell>
          <cell r="I2817">
            <v>344100</v>
          </cell>
          <cell r="J2817">
            <v>344100</v>
          </cell>
        </row>
        <row r="2818">
          <cell r="A2818">
            <v>1781100572</v>
          </cell>
          <cell r="B2818" t="str">
            <v>דמי מנוי עמדות טעינה</v>
          </cell>
          <cell r="C2818">
            <v>0</v>
          </cell>
          <cell r="D2818">
            <v>0</v>
          </cell>
          <cell r="E2818">
            <v>0</v>
          </cell>
          <cell r="F2818">
            <v>0</v>
          </cell>
          <cell r="G2818">
            <v>0</v>
          </cell>
          <cell r="H2818">
            <v>0</v>
          </cell>
          <cell r="I2818">
            <v>0</v>
          </cell>
          <cell r="J2818">
            <v>0</v>
          </cell>
        </row>
        <row r="2819">
          <cell r="A2819">
            <v>1781100580</v>
          </cell>
          <cell r="B2819" t="str">
            <v>שמאות ומדידות</v>
          </cell>
          <cell r="C2819">
            <v>8170</v>
          </cell>
          <cell r="D2819">
            <v>2246</v>
          </cell>
          <cell r="E2819">
            <v>0</v>
          </cell>
          <cell r="F2819">
            <v>2246</v>
          </cell>
          <cell r="G2819">
            <v>5924</v>
          </cell>
          <cell r="H2819">
            <v>27.49</v>
          </cell>
          <cell r="I2819">
            <v>8600</v>
          </cell>
          <cell r="J2819">
            <v>2246</v>
          </cell>
        </row>
        <row r="2820">
          <cell r="A2820">
            <v>1781100581</v>
          </cell>
          <cell r="B2820" t="str">
            <v>הוצאות משפטיות</v>
          </cell>
          <cell r="C2820">
            <v>0</v>
          </cell>
          <cell r="D2820">
            <v>0</v>
          </cell>
          <cell r="E2820">
            <v>0</v>
          </cell>
          <cell r="F2820">
            <v>0</v>
          </cell>
          <cell r="G2820">
            <v>0</v>
          </cell>
          <cell r="H2820">
            <v>0</v>
          </cell>
          <cell r="I2820">
            <v>0</v>
          </cell>
          <cell r="J2820">
            <v>0</v>
          </cell>
        </row>
        <row r="2821">
          <cell r="A2821">
            <v>1781100596</v>
          </cell>
          <cell r="B2821" t="str">
            <v>השתתפות בעזר 096</v>
          </cell>
          <cell r="C2821">
            <v>878750</v>
          </cell>
          <cell r="D2821">
            <v>864593</v>
          </cell>
          <cell r="E2821">
            <v>0</v>
          </cell>
          <cell r="F2821">
            <v>864593</v>
          </cell>
          <cell r="G2821">
            <v>14157</v>
          </cell>
          <cell r="H2821">
            <v>98.38</v>
          </cell>
          <cell r="I2821">
            <v>925000</v>
          </cell>
          <cell r="J2821">
            <v>864593</v>
          </cell>
        </row>
        <row r="2822">
          <cell r="A2822">
            <v>1781100715</v>
          </cell>
          <cell r="B2822" t="str">
            <v>עבודות קבלניות-רכב</v>
          </cell>
          <cell r="C2822">
            <v>0</v>
          </cell>
          <cell r="D2822">
            <v>0</v>
          </cell>
          <cell r="E2822">
            <v>0</v>
          </cell>
          <cell r="F2822">
            <v>0</v>
          </cell>
          <cell r="G2822">
            <v>0</v>
          </cell>
          <cell r="H2822">
            <v>0</v>
          </cell>
          <cell r="I2822">
            <v>0</v>
          </cell>
          <cell r="J2822">
            <v>0</v>
          </cell>
        </row>
        <row r="2823">
          <cell r="A2823">
            <v>1781100722</v>
          </cell>
          <cell r="B2823" t="str">
            <v>חמרים-תחזוקה עצמית</v>
          </cell>
          <cell r="C2823">
            <v>3040</v>
          </cell>
          <cell r="D2823">
            <v>2896</v>
          </cell>
          <cell r="E2823">
            <v>0</v>
          </cell>
          <cell r="F2823">
            <v>2896</v>
          </cell>
          <cell r="G2823">
            <v>144</v>
          </cell>
          <cell r="H2823">
            <v>95.26</v>
          </cell>
          <cell r="I2823">
            <v>3200</v>
          </cell>
          <cell r="J2823">
            <v>2896</v>
          </cell>
        </row>
        <row r="2824">
          <cell r="A2824">
            <v>1781100735</v>
          </cell>
          <cell r="B2824" t="str">
            <v>ליסינג</v>
          </cell>
          <cell r="C2824">
            <v>380000</v>
          </cell>
          <cell r="D2824">
            <v>400152.69</v>
          </cell>
          <cell r="E2824">
            <v>0</v>
          </cell>
          <cell r="F2824">
            <v>400152.69</v>
          </cell>
          <cell r="G2824">
            <v>-20152.689999999999</v>
          </cell>
          <cell r="H2824">
            <v>105.3</v>
          </cell>
          <cell r="I2824">
            <v>400000</v>
          </cell>
          <cell r="J2824">
            <v>400152.69</v>
          </cell>
        </row>
        <row r="2825">
          <cell r="A2825">
            <v>1781100736</v>
          </cell>
          <cell r="B2825" t="str">
            <v>ליסינג סיירת "שקמה"</v>
          </cell>
          <cell r="C2825">
            <v>0</v>
          </cell>
          <cell r="D2825">
            <v>0</v>
          </cell>
          <cell r="E2825">
            <v>0</v>
          </cell>
          <cell r="F2825">
            <v>0</v>
          </cell>
          <cell r="G2825">
            <v>0</v>
          </cell>
          <cell r="H2825">
            <v>0</v>
          </cell>
          <cell r="I2825">
            <v>0</v>
          </cell>
          <cell r="J2825">
            <v>0</v>
          </cell>
        </row>
        <row r="2826">
          <cell r="A2826">
            <v>1781100737</v>
          </cell>
          <cell r="B2826" t="str">
            <v>שכירות רכב לימים גשומים</v>
          </cell>
          <cell r="C2826">
            <v>0</v>
          </cell>
          <cell r="D2826">
            <v>0</v>
          </cell>
          <cell r="E2826">
            <v>0</v>
          </cell>
          <cell r="F2826">
            <v>0</v>
          </cell>
          <cell r="G2826">
            <v>0</v>
          </cell>
          <cell r="H2826">
            <v>0</v>
          </cell>
          <cell r="I2826">
            <v>0</v>
          </cell>
          <cell r="J2826">
            <v>0</v>
          </cell>
        </row>
        <row r="2827">
          <cell r="A2827">
            <v>1781100744</v>
          </cell>
          <cell r="B2827" t="str">
            <v>מדים וציוד אישי</v>
          </cell>
          <cell r="C2827">
            <v>130500</v>
          </cell>
          <cell r="D2827">
            <v>127439.73</v>
          </cell>
          <cell r="E2827">
            <v>1609.03</v>
          </cell>
          <cell r="F2827">
            <v>129048.76</v>
          </cell>
          <cell r="G2827">
            <v>1451.24</v>
          </cell>
          <cell r="H2827">
            <v>98.88</v>
          </cell>
          <cell r="I2827">
            <v>130500</v>
          </cell>
          <cell r="J2827">
            <v>127439.73</v>
          </cell>
        </row>
        <row r="2828">
          <cell r="A2828">
            <v>1781100751</v>
          </cell>
          <cell r="B2828" t="str">
            <v>עבודות קבלניות</v>
          </cell>
          <cell r="C2828">
            <v>3500</v>
          </cell>
          <cell r="D2828">
            <v>3500</v>
          </cell>
          <cell r="E2828">
            <v>0</v>
          </cell>
          <cell r="F2828">
            <v>3500</v>
          </cell>
          <cell r="G2828">
            <v>0</v>
          </cell>
          <cell r="H2828">
            <v>100</v>
          </cell>
          <cell r="I2828">
            <v>3500</v>
          </cell>
          <cell r="J2828">
            <v>3500</v>
          </cell>
        </row>
        <row r="2829">
          <cell r="A2829">
            <v>1781100752</v>
          </cell>
          <cell r="B2829" t="str">
            <v>נקיון בקבלנות</v>
          </cell>
          <cell r="C2829">
            <v>159600</v>
          </cell>
          <cell r="D2829">
            <v>158531.44</v>
          </cell>
          <cell r="E2829">
            <v>0</v>
          </cell>
          <cell r="F2829">
            <v>158531.44</v>
          </cell>
          <cell r="G2829">
            <v>1068.56</v>
          </cell>
          <cell r="H2829">
            <v>99.33</v>
          </cell>
          <cell r="I2829">
            <v>168000</v>
          </cell>
          <cell r="J2829">
            <v>158531.44</v>
          </cell>
        </row>
        <row r="2830">
          <cell r="A2830">
            <v>1781100756</v>
          </cell>
          <cell r="B2830" t="str">
            <v>שמירה בקבלנות</v>
          </cell>
          <cell r="C2830">
            <v>0</v>
          </cell>
          <cell r="D2830">
            <v>0</v>
          </cell>
          <cell r="E2830">
            <v>0</v>
          </cell>
          <cell r="F2830">
            <v>0</v>
          </cell>
          <cell r="G2830">
            <v>0</v>
          </cell>
          <cell r="H2830">
            <v>0</v>
          </cell>
          <cell r="I2830">
            <v>0</v>
          </cell>
          <cell r="J2830">
            <v>0</v>
          </cell>
        </row>
        <row r="2831">
          <cell r="A2831">
            <v>1781100757</v>
          </cell>
          <cell r="B2831" t="str">
            <v>אכיפת גביה/דוחות שונים</v>
          </cell>
          <cell r="C2831">
            <v>4750</v>
          </cell>
          <cell r="D2831">
            <v>0</v>
          </cell>
          <cell r="E2831">
            <v>0</v>
          </cell>
          <cell r="F2831">
            <v>0</v>
          </cell>
          <cell r="G2831">
            <v>4750</v>
          </cell>
          <cell r="H2831">
            <v>0</v>
          </cell>
          <cell r="I2831">
            <v>5000</v>
          </cell>
          <cell r="J2831">
            <v>0</v>
          </cell>
        </row>
        <row r="2832">
          <cell r="A2832">
            <v>1781100759</v>
          </cell>
          <cell r="B2832" t="str">
            <v>גרירות</v>
          </cell>
          <cell r="C2832">
            <v>77000</v>
          </cell>
          <cell r="D2832">
            <v>75241.8</v>
          </cell>
          <cell r="E2832">
            <v>9430.2000000000007</v>
          </cell>
          <cell r="F2832">
            <v>84672</v>
          </cell>
          <cell r="G2832">
            <v>-7672</v>
          </cell>
          <cell r="H2832">
            <v>109.96</v>
          </cell>
          <cell r="I2832">
            <v>77000</v>
          </cell>
          <cell r="J2832">
            <v>75241.8</v>
          </cell>
        </row>
        <row r="2833">
          <cell r="A2833">
            <v>1781100780</v>
          </cell>
          <cell r="B2833" t="str">
            <v>פעולות מיוחדות</v>
          </cell>
          <cell r="C2833">
            <v>20300</v>
          </cell>
          <cell r="D2833">
            <v>19289.400000000001</v>
          </cell>
          <cell r="E2833">
            <v>330</v>
          </cell>
          <cell r="F2833">
            <v>19619.400000000001</v>
          </cell>
          <cell r="G2833">
            <v>680.6</v>
          </cell>
          <cell r="H2833">
            <v>96.64</v>
          </cell>
          <cell r="I2833">
            <v>20300</v>
          </cell>
          <cell r="J2833">
            <v>19289.400000000001</v>
          </cell>
        </row>
        <row r="2834">
          <cell r="A2834">
            <v>1781100781</v>
          </cell>
          <cell r="B2834" t="str">
            <v>פעילויות שונות</v>
          </cell>
          <cell r="C2834">
            <v>0</v>
          </cell>
          <cell r="D2834">
            <v>0</v>
          </cell>
          <cell r="E2834">
            <v>0</v>
          </cell>
          <cell r="F2834">
            <v>0</v>
          </cell>
          <cell r="G2834">
            <v>0</v>
          </cell>
          <cell r="H2834">
            <v>0</v>
          </cell>
          <cell r="I2834">
            <v>0</v>
          </cell>
          <cell r="J2834">
            <v>0</v>
          </cell>
        </row>
        <row r="2835">
          <cell r="A2835">
            <v>1781100782</v>
          </cell>
          <cell r="B2835" t="str">
            <v>הפעלת סיירת "שקמה"</v>
          </cell>
          <cell r="C2835">
            <v>0</v>
          </cell>
          <cell r="D2835">
            <v>0</v>
          </cell>
          <cell r="E2835">
            <v>0</v>
          </cell>
          <cell r="F2835">
            <v>0</v>
          </cell>
          <cell r="G2835">
            <v>0</v>
          </cell>
          <cell r="H2835">
            <v>0</v>
          </cell>
          <cell r="I2835">
            <v>0</v>
          </cell>
          <cell r="J2835">
            <v>0</v>
          </cell>
        </row>
        <row r="2836">
          <cell r="A2836">
            <v>1781100789</v>
          </cell>
          <cell r="B2836" t="str">
            <v>כביסה</v>
          </cell>
          <cell r="C2836">
            <v>1330</v>
          </cell>
          <cell r="D2836">
            <v>0</v>
          </cell>
          <cell r="E2836">
            <v>0</v>
          </cell>
          <cell r="F2836">
            <v>0</v>
          </cell>
          <cell r="G2836">
            <v>1330</v>
          </cell>
          <cell r="H2836">
            <v>0</v>
          </cell>
          <cell r="I2836">
            <v>1400</v>
          </cell>
          <cell r="J2836">
            <v>0</v>
          </cell>
        </row>
        <row r="2837">
          <cell r="A2837">
            <v>1781100794</v>
          </cell>
          <cell r="B2837" t="str">
            <v>השתתפות בעזר 094</v>
          </cell>
          <cell r="C2837">
            <v>30780</v>
          </cell>
          <cell r="D2837">
            <v>38644</v>
          </cell>
          <cell r="E2837">
            <v>0</v>
          </cell>
          <cell r="F2837">
            <v>38644</v>
          </cell>
          <cell r="G2837">
            <v>-7864</v>
          </cell>
          <cell r="H2837">
            <v>125.54</v>
          </cell>
          <cell r="I2837">
            <v>32400</v>
          </cell>
          <cell r="J2837">
            <v>38644</v>
          </cell>
        </row>
        <row r="2838">
          <cell r="A2838">
            <v>1781100900</v>
          </cell>
          <cell r="B2838" t="str">
            <v>הוצאות חד פעמיות</v>
          </cell>
          <cell r="C2838">
            <v>0</v>
          </cell>
          <cell r="D2838">
            <v>0</v>
          </cell>
          <cell r="E2838">
            <v>0</v>
          </cell>
          <cell r="F2838">
            <v>0</v>
          </cell>
          <cell r="G2838">
            <v>0</v>
          </cell>
          <cell r="H2838">
            <v>0</v>
          </cell>
          <cell r="I2838">
            <v>0</v>
          </cell>
          <cell r="J2838">
            <v>0</v>
          </cell>
        </row>
        <row r="2839">
          <cell r="A2839">
            <v>1781100932</v>
          </cell>
          <cell r="B2839" t="str">
            <v>רכישות חד-פעמיות</v>
          </cell>
          <cell r="C2839">
            <v>17600</v>
          </cell>
          <cell r="D2839">
            <v>17048</v>
          </cell>
          <cell r="E2839">
            <v>508.95</v>
          </cell>
          <cell r="F2839">
            <v>17556.95</v>
          </cell>
          <cell r="G2839">
            <v>43.05</v>
          </cell>
          <cell r="H2839">
            <v>99.75</v>
          </cell>
          <cell r="I2839">
            <v>17600</v>
          </cell>
          <cell r="J2839">
            <v>17048</v>
          </cell>
        </row>
        <row r="2840">
          <cell r="A2840">
            <v>1781200439</v>
          </cell>
          <cell r="B2840" t="str">
            <v>שאילתות משרד התחבורה</v>
          </cell>
          <cell r="C2840">
            <v>330389</v>
          </cell>
          <cell r="D2840">
            <v>320322.14</v>
          </cell>
          <cell r="E2840">
            <v>0</v>
          </cell>
          <cell r="F2840">
            <v>320322.14</v>
          </cell>
          <cell r="G2840">
            <v>10066.86</v>
          </cell>
          <cell r="H2840">
            <v>96.95</v>
          </cell>
          <cell r="I2840">
            <v>347778</v>
          </cell>
          <cell r="J2840">
            <v>320322.14</v>
          </cell>
        </row>
        <row r="2841">
          <cell r="A2841">
            <v>1781200541</v>
          </cell>
          <cell r="B2841" t="str">
            <v>משלוחים</v>
          </cell>
          <cell r="C2841">
            <v>446785</v>
          </cell>
          <cell r="D2841">
            <v>566748.41</v>
          </cell>
          <cell r="E2841">
            <v>0</v>
          </cell>
          <cell r="F2841">
            <v>566748.41</v>
          </cell>
          <cell r="G2841">
            <v>-119963.41</v>
          </cell>
          <cell r="H2841">
            <v>126.85</v>
          </cell>
          <cell r="I2841">
            <v>470300</v>
          </cell>
          <cell r="J2841">
            <v>566748.41</v>
          </cell>
        </row>
        <row r="2842">
          <cell r="A2842">
            <v>1781200542</v>
          </cell>
          <cell r="B2842" t="str">
            <v>עררים-תשובה שלילית</v>
          </cell>
          <cell r="C2842">
            <v>105640</v>
          </cell>
          <cell r="D2842">
            <v>0</v>
          </cell>
          <cell r="E2842">
            <v>0</v>
          </cell>
          <cell r="F2842">
            <v>0</v>
          </cell>
          <cell r="G2842">
            <v>105640</v>
          </cell>
          <cell r="H2842">
            <v>0</v>
          </cell>
          <cell r="I2842">
            <v>111200</v>
          </cell>
          <cell r="J2842">
            <v>0</v>
          </cell>
        </row>
        <row r="2843">
          <cell r="A2843">
            <v>1781200544</v>
          </cell>
          <cell r="B2843" t="str">
            <v>הוצאות דאר</v>
          </cell>
          <cell r="C2843">
            <v>32490</v>
          </cell>
          <cell r="D2843">
            <v>426149.38</v>
          </cell>
          <cell r="E2843">
            <v>0</v>
          </cell>
          <cell r="F2843">
            <v>426149.38</v>
          </cell>
          <cell r="G2843">
            <v>-393659.38</v>
          </cell>
          <cell r="H2843">
            <v>1311.63</v>
          </cell>
          <cell r="I2843">
            <v>34200</v>
          </cell>
          <cell r="J2843">
            <v>426149.38</v>
          </cell>
        </row>
        <row r="2844">
          <cell r="A2844">
            <v>1781200561</v>
          </cell>
          <cell r="B2844" t="str">
            <v>שיכפולים</v>
          </cell>
          <cell r="C2844">
            <v>380</v>
          </cell>
          <cell r="D2844">
            <v>0</v>
          </cell>
          <cell r="E2844">
            <v>0</v>
          </cell>
          <cell r="F2844">
            <v>0</v>
          </cell>
          <cell r="G2844">
            <v>380</v>
          </cell>
          <cell r="H2844">
            <v>0</v>
          </cell>
          <cell r="I2844">
            <v>400</v>
          </cell>
          <cell r="J2844">
            <v>0</v>
          </cell>
        </row>
        <row r="2845">
          <cell r="A2845">
            <v>1781200562</v>
          </cell>
          <cell r="B2845" t="str">
            <v>הדפסות</v>
          </cell>
          <cell r="C2845">
            <v>61500</v>
          </cell>
          <cell r="D2845">
            <v>50455.17</v>
          </cell>
          <cell r="E2845">
            <v>0</v>
          </cell>
          <cell r="F2845">
            <v>50455.17</v>
          </cell>
          <cell r="G2845">
            <v>11044.83</v>
          </cell>
          <cell r="H2845">
            <v>82.04</v>
          </cell>
          <cell r="I2845">
            <v>61500</v>
          </cell>
          <cell r="J2845">
            <v>50455.17</v>
          </cell>
        </row>
        <row r="2846">
          <cell r="A2846">
            <v>1781200570</v>
          </cell>
          <cell r="B2846" t="str">
            <v>מערכת אכיפת גבייה</v>
          </cell>
          <cell r="C2846">
            <v>256500</v>
          </cell>
          <cell r="D2846">
            <v>298341.56</v>
          </cell>
          <cell r="E2846">
            <v>0</v>
          </cell>
          <cell r="F2846">
            <v>298341.56</v>
          </cell>
          <cell r="G2846">
            <v>-41841.56</v>
          </cell>
          <cell r="H2846">
            <v>116.31</v>
          </cell>
          <cell r="I2846">
            <v>270000</v>
          </cell>
          <cell r="J2846">
            <v>298341.56</v>
          </cell>
        </row>
        <row r="2847">
          <cell r="A2847">
            <v>1781200758</v>
          </cell>
          <cell r="B2847" t="str">
            <v>מערכת מחשוב למסופונים</v>
          </cell>
          <cell r="C2847">
            <v>277400</v>
          </cell>
          <cell r="D2847">
            <v>224122.3</v>
          </cell>
          <cell r="E2847">
            <v>0</v>
          </cell>
          <cell r="F2847">
            <v>224122.3</v>
          </cell>
          <cell r="G2847">
            <v>53277.7</v>
          </cell>
          <cell r="H2847">
            <v>80.790000000000006</v>
          </cell>
          <cell r="I2847">
            <v>292000</v>
          </cell>
          <cell r="J2847">
            <v>224122.3</v>
          </cell>
        </row>
        <row r="2848">
          <cell r="A2848">
            <v>1781200780</v>
          </cell>
          <cell r="B2848" t="str">
            <v>ניהול עררי חניה</v>
          </cell>
          <cell r="C2848">
            <v>23180</v>
          </cell>
          <cell r="D2848">
            <v>0</v>
          </cell>
          <cell r="E2848">
            <v>0</v>
          </cell>
          <cell r="F2848">
            <v>0</v>
          </cell>
          <cell r="G2848">
            <v>23180</v>
          </cell>
          <cell r="H2848">
            <v>0</v>
          </cell>
          <cell r="I2848">
            <v>24400</v>
          </cell>
          <cell r="J2848">
            <v>0</v>
          </cell>
        </row>
        <row r="2849">
          <cell r="A2849">
            <v>1781300119</v>
          </cell>
          <cell r="B2849" t="str">
            <v>השכר הקובע-צוברת</v>
          </cell>
          <cell r="C2849">
            <v>4412085</v>
          </cell>
          <cell r="D2849">
            <v>4384047.41</v>
          </cell>
          <cell r="E2849">
            <v>0</v>
          </cell>
          <cell r="F2849">
            <v>4384047.41</v>
          </cell>
          <cell r="G2849">
            <v>28037.59</v>
          </cell>
          <cell r="H2849">
            <v>99.36</v>
          </cell>
          <cell r="I2849">
            <v>4644300</v>
          </cell>
          <cell r="J2849">
            <v>4384047.41</v>
          </cell>
        </row>
        <row r="2850">
          <cell r="A2850">
            <v>1781300122</v>
          </cell>
          <cell r="B2850" t="str">
            <v>ביגוד</v>
          </cell>
          <cell r="C2850">
            <v>8075</v>
          </cell>
          <cell r="D2850">
            <v>8626.5400000000009</v>
          </cell>
          <cell r="E2850">
            <v>0</v>
          </cell>
          <cell r="F2850">
            <v>8626.5400000000009</v>
          </cell>
          <cell r="G2850">
            <v>-551.54</v>
          </cell>
          <cell r="H2850">
            <v>106.83</v>
          </cell>
          <cell r="I2850">
            <v>8500</v>
          </cell>
          <cell r="J2850">
            <v>8626.5400000000009</v>
          </cell>
        </row>
        <row r="2851">
          <cell r="A2851">
            <v>1781300126</v>
          </cell>
          <cell r="B2851" t="str">
            <v>דמי הבראה</v>
          </cell>
          <cell r="C2851">
            <v>122075</v>
          </cell>
          <cell r="D2851">
            <v>111588.27</v>
          </cell>
          <cell r="E2851">
            <v>0</v>
          </cell>
          <cell r="F2851">
            <v>111588.27</v>
          </cell>
          <cell r="G2851">
            <v>10486.73</v>
          </cell>
          <cell r="H2851">
            <v>91.4</v>
          </cell>
          <cell r="I2851">
            <v>128500</v>
          </cell>
          <cell r="J2851">
            <v>111588.27</v>
          </cell>
        </row>
        <row r="2852">
          <cell r="A2852">
            <v>1781300130</v>
          </cell>
          <cell r="B2852" t="str">
            <v>שעות נוספות</v>
          </cell>
          <cell r="C2852">
            <v>1092500</v>
          </cell>
          <cell r="D2852">
            <v>1227881.23</v>
          </cell>
          <cell r="E2852">
            <v>0</v>
          </cell>
          <cell r="F2852">
            <v>1227881.23</v>
          </cell>
          <cell r="G2852">
            <v>-135381.23000000001</v>
          </cell>
          <cell r="H2852">
            <v>112.39</v>
          </cell>
          <cell r="I2852">
            <v>1150000</v>
          </cell>
          <cell r="J2852">
            <v>1227881.23</v>
          </cell>
        </row>
        <row r="2853">
          <cell r="A2853">
            <v>1781300140</v>
          </cell>
          <cell r="B2853" t="str">
            <v>השתתפות באחזקת רכב</v>
          </cell>
          <cell r="C2853">
            <v>339150</v>
          </cell>
          <cell r="D2853">
            <v>394368.12</v>
          </cell>
          <cell r="E2853">
            <v>0</v>
          </cell>
          <cell r="F2853">
            <v>394368.12</v>
          </cell>
          <cell r="G2853">
            <v>-55218.12</v>
          </cell>
          <cell r="H2853">
            <v>116.28</v>
          </cell>
          <cell r="I2853">
            <v>357000</v>
          </cell>
          <cell r="J2853">
            <v>394368.12</v>
          </cell>
        </row>
        <row r="2854">
          <cell r="A2854">
            <v>1781300350</v>
          </cell>
          <cell r="B2854" t="str">
            <v>ליסינג - 648-22-302</v>
          </cell>
          <cell r="C2854">
            <v>57000</v>
          </cell>
          <cell r="D2854">
            <v>41182.18</v>
          </cell>
          <cell r="E2854">
            <v>0</v>
          </cell>
          <cell r="F2854">
            <v>41182.18</v>
          </cell>
          <cell r="G2854">
            <v>15817.82</v>
          </cell>
          <cell r="H2854">
            <v>72.239999999999995</v>
          </cell>
          <cell r="I2854">
            <v>60000</v>
          </cell>
          <cell r="J2854">
            <v>41182.18</v>
          </cell>
        </row>
        <row r="2855">
          <cell r="A2855">
            <v>1781300351</v>
          </cell>
          <cell r="B2855" t="str">
            <v>הוצאות - 648-22-302</v>
          </cell>
          <cell r="C2855">
            <v>32110</v>
          </cell>
          <cell r="D2855">
            <v>19949.45</v>
          </cell>
          <cell r="E2855">
            <v>0</v>
          </cell>
          <cell r="F2855">
            <v>19949.45</v>
          </cell>
          <cell r="G2855">
            <v>12160.55</v>
          </cell>
          <cell r="H2855">
            <v>62.12</v>
          </cell>
          <cell r="I2855">
            <v>33800</v>
          </cell>
          <cell r="J2855">
            <v>19949.45</v>
          </cell>
        </row>
        <row r="2856">
          <cell r="A2856">
            <v>1781300410</v>
          </cell>
          <cell r="B2856" t="str">
            <v>דמי שכירות</v>
          </cell>
          <cell r="C2856">
            <v>211850</v>
          </cell>
          <cell r="D2856">
            <v>219078.39999999999</v>
          </cell>
          <cell r="E2856">
            <v>0</v>
          </cell>
          <cell r="F2856">
            <v>219078.39999999999</v>
          </cell>
          <cell r="G2856">
            <v>-7228.4</v>
          </cell>
          <cell r="H2856">
            <v>103.41</v>
          </cell>
          <cell r="I2856">
            <v>223000</v>
          </cell>
          <cell r="J2856">
            <v>219078.39999999999</v>
          </cell>
        </row>
        <row r="2857">
          <cell r="A2857">
            <v>1781300431</v>
          </cell>
          <cell r="B2857" t="str">
            <v>חשמל</v>
          </cell>
          <cell r="C2857">
            <v>37620</v>
          </cell>
          <cell r="D2857">
            <v>27341</v>
          </cell>
          <cell r="E2857">
            <v>0</v>
          </cell>
          <cell r="F2857">
            <v>27341</v>
          </cell>
          <cell r="G2857">
            <v>10279</v>
          </cell>
          <cell r="H2857">
            <v>72.67</v>
          </cell>
          <cell r="I2857">
            <v>39600</v>
          </cell>
          <cell r="J2857">
            <v>27341</v>
          </cell>
        </row>
        <row r="2858">
          <cell r="A2858">
            <v>1781300432</v>
          </cell>
          <cell r="B2858" t="str">
            <v>מים</v>
          </cell>
          <cell r="C2858">
            <v>2375</v>
          </cell>
          <cell r="D2858">
            <v>4030</v>
          </cell>
          <cell r="E2858">
            <v>0</v>
          </cell>
          <cell r="F2858">
            <v>4030</v>
          </cell>
          <cell r="G2858">
            <v>-1655</v>
          </cell>
          <cell r="H2858">
            <v>169.68</v>
          </cell>
          <cell r="I2858">
            <v>2500</v>
          </cell>
          <cell r="J2858">
            <v>4030</v>
          </cell>
        </row>
        <row r="2859">
          <cell r="A2859">
            <v>1781300433</v>
          </cell>
          <cell r="B2859" t="str">
            <v>חומרי נקיון</v>
          </cell>
          <cell r="C2859">
            <v>6365</v>
          </cell>
          <cell r="D2859">
            <v>3947.25</v>
          </cell>
          <cell r="E2859">
            <v>0</v>
          </cell>
          <cell r="F2859">
            <v>3947.25</v>
          </cell>
          <cell r="G2859">
            <v>2417.75</v>
          </cell>
          <cell r="H2859">
            <v>62.01</v>
          </cell>
          <cell r="I2859">
            <v>6700</v>
          </cell>
          <cell r="J2859">
            <v>3947.25</v>
          </cell>
        </row>
        <row r="2860">
          <cell r="A2860">
            <v>1781300437</v>
          </cell>
          <cell r="B2860" t="str">
            <v>אחזקת אזעקה</v>
          </cell>
          <cell r="C2860">
            <v>2660</v>
          </cell>
          <cell r="D2860">
            <v>0</v>
          </cell>
          <cell r="E2860">
            <v>0</v>
          </cell>
          <cell r="F2860">
            <v>0</v>
          </cell>
          <cell r="G2860">
            <v>2660</v>
          </cell>
          <cell r="H2860">
            <v>0</v>
          </cell>
          <cell r="I2860">
            <v>2800</v>
          </cell>
          <cell r="J2860">
            <v>0</v>
          </cell>
        </row>
        <row r="2861">
          <cell r="A2861">
            <v>1781300439</v>
          </cell>
          <cell r="B2861" t="str">
            <v>אגרת רישיון נשק</v>
          </cell>
          <cell r="C2861">
            <v>4750</v>
          </cell>
          <cell r="D2861">
            <v>0</v>
          </cell>
          <cell r="E2861">
            <v>0</v>
          </cell>
          <cell r="F2861">
            <v>0</v>
          </cell>
          <cell r="G2861">
            <v>4750</v>
          </cell>
          <cell r="H2861">
            <v>0</v>
          </cell>
          <cell r="I2861">
            <v>5000</v>
          </cell>
          <cell r="J2861">
            <v>0</v>
          </cell>
        </row>
        <row r="2862">
          <cell r="A2862">
            <v>1781300441</v>
          </cell>
          <cell r="B2862" t="str">
            <v>ביטוח קטנועים</v>
          </cell>
          <cell r="C2862">
            <v>57000</v>
          </cell>
          <cell r="D2862">
            <v>59351</v>
          </cell>
          <cell r="E2862">
            <v>0</v>
          </cell>
          <cell r="F2862">
            <v>59351</v>
          </cell>
          <cell r="G2862">
            <v>-2351</v>
          </cell>
          <cell r="H2862">
            <v>104.12</v>
          </cell>
          <cell r="I2862">
            <v>60000</v>
          </cell>
          <cell r="J2862">
            <v>59351</v>
          </cell>
        </row>
        <row r="2863">
          <cell r="A2863">
            <v>1781300445</v>
          </cell>
          <cell r="B2863" t="str">
            <v>ביטוח מפקחים</v>
          </cell>
          <cell r="C2863">
            <v>44650</v>
          </cell>
          <cell r="D2863">
            <v>0</v>
          </cell>
          <cell r="E2863">
            <v>0</v>
          </cell>
          <cell r="F2863">
            <v>0</v>
          </cell>
          <cell r="G2863">
            <v>44650</v>
          </cell>
          <cell r="H2863">
            <v>0</v>
          </cell>
          <cell r="I2863">
            <v>47000</v>
          </cell>
          <cell r="J2863">
            <v>0</v>
          </cell>
        </row>
        <row r="2864">
          <cell r="A2864">
            <v>1781300450</v>
          </cell>
          <cell r="B2864" t="str">
            <v>אחזקת תמי 4</v>
          </cell>
          <cell r="C2864">
            <v>1900</v>
          </cell>
          <cell r="D2864">
            <v>0</v>
          </cell>
          <cell r="E2864">
            <v>0</v>
          </cell>
          <cell r="F2864">
            <v>0</v>
          </cell>
          <cell r="G2864">
            <v>1900</v>
          </cell>
          <cell r="H2864">
            <v>0</v>
          </cell>
          <cell r="I2864">
            <v>2000</v>
          </cell>
          <cell r="J2864">
            <v>0</v>
          </cell>
        </row>
        <row r="2865">
          <cell r="A2865">
            <v>1781300470</v>
          </cell>
          <cell r="B2865" t="str">
            <v>אחזקת מכונות משרד</v>
          </cell>
          <cell r="C2865">
            <v>1615</v>
          </cell>
          <cell r="D2865">
            <v>0</v>
          </cell>
          <cell r="E2865">
            <v>0</v>
          </cell>
          <cell r="F2865">
            <v>0</v>
          </cell>
          <cell r="G2865">
            <v>1615</v>
          </cell>
          <cell r="H2865">
            <v>0</v>
          </cell>
          <cell r="I2865">
            <v>1700</v>
          </cell>
          <cell r="J2865">
            <v>0</v>
          </cell>
        </row>
        <row r="2866">
          <cell r="A2866">
            <v>1781300471</v>
          </cell>
          <cell r="B2866" t="str">
            <v>מכשירי כתיבה</v>
          </cell>
          <cell r="C2866">
            <v>19000</v>
          </cell>
          <cell r="D2866">
            <v>12675.13</v>
          </cell>
          <cell r="E2866">
            <v>327.60000000000002</v>
          </cell>
          <cell r="F2866">
            <v>13002.73</v>
          </cell>
          <cell r="G2866">
            <v>5997.27</v>
          </cell>
          <cell r="H2866">
            <v>68.430000000000007</v>
          </cell>
          <cell r="I2866">
            <v>19000</v>
          </cell>
          <cell r="J2866">
            <v>12675.13</v>
          </cell>
        </row>
        <row r="2867">
          <cell r="A2867">
            <v>1781300472</v>
          </cell>
          <cell r="B2867" t="str">
            <v>אחזקת מכשירי קשר</v>
          </cell>
          <cell r="C2867">
            <v>31540</v>
          </cell>
          <cell r="D2867">
            <v>25657.8</v>
          </cell>
          <cell r="E2867">
            <v>0</v>
          </cell>
          <cell r="F2867">
            <v>25657.8</v>
          </cell>
          <cell r="G2867">
            <v>5882.2</v>
          </cell>
          <cell r="H2867">
            <v>81.349999999999994</v>
          </cell>
          <cell r="I2867">
            <v>33200</v>
          </cell>
          <cell r="J2867">
            <v>25657.8</v>
          </cell>
        </row>
        <row r="2868">
          <cell r="A2868">
            <v>1781300473</v>
          </cell>
          <cell r="B2868" t="str">
            <v>אחזקת מסופונים</v>
          </cell>
          <cell r="C2868">
            <v>555750</v>
          </cell>
          <cell r="D2868">
            <v>320349.42</v>
          </cell>
          <cell r="E2868">
            <v>0</v>
          </cell>
          <cell r="F2868">
            <v>320349.42</v>
          </cell>
          <cell r="G2868">
            <v>235400.58</v>
          </cell>
          <cell r="H2868">
            <v>57.64</v>
          </cell>
          <cell r="I2868">
            <v>585000</v>
          </cell>
          <cell r="J2868">
            <v>320349.42</v>
          </cell>
        </row>
        <row r="2869">
          <cell r="A2869">
            <v>1781300511</v>
          </cell>
          <cell r="B2869" t="str">
            <v>אירוח וכיבוד</v>
          </cell>
          <cell r="C2869">
            <v>19000</v>
          </cell>
          <cell r="D2869">
            <v>17055.27</v>
          </cell>
          <cell r="E2869">
            <v>1685.43</v>
          </cell>
          <cell r="F2869">
            <v>18740.7</v>
          </cell>
          <cell r="G2869">
            <v>259.3</v>
          </cell>
          <cell r="H2869">
            <v>98.63</v>
          </cell>
          <cell r="I2869">
            <v>19000</v>
          </cell>
          <cell r="J2869">
            <v>17055.27</v>
          </cell>
        </row>
        <row r="2870">
          <cell r="A2870">
            <v>1781300512</v>
          </cell>
          <cell r="B2870" t="str">
            <v>כלכלה ( ארוחות )</v>
          </cell>
          <cell r="C2870">
            <v>177080</v>
          </cell>
          <cell r="D2870">
            <v>143923.06</v>
          </cell>
          <cell r="E2870">
            <v>2800</v>
          </cell>
          <cell r="F2870">
            <v>146723.06</v>
          </cell>
          <cell r="G2870">
            <v>30356.94</v>
          </cell>
          <cell r="H2870">
            <v>82.85</v>
          </cell>
          <cell r="I2870">
            <v>186400</v>
          </cell>
          <cell r="J2870">
            <v>143923.06</v>
          </cell>
        </row>
        <row r="2871">
          <cell r="A2871">
            <v>1781300524</v>
          </cell>
          <cell r="B2871" t="str">
            <v>הכשרת מפקחים (קורסים מקצועיים)</v>
          </cell>
          <cell r="C2871">
            <v>126000</v>
          </cell>
          <cell r="D2871">
            <v>121325.83</v>
          </cell>
          <cell r="E2871">
            <v>3375.71</v>
          </cell>
          <cell r="F2871">
            <v>124701.54</v>
          </cell>
          <cell r="G2871">
            <v>1298.46</v>
          </cell>
          <cell r="H2871">
            <v>98.96</v>
          </cell>
          <cell r="I2871">
            <v>126000</v>
          </cell>
          <cell r="J2871">
            <v>121325.83</v>
          </cell>
        </row>
        <row r="2872">
          <cell r="A2872">
            <v>1781300540</v>
          </cell>
          <cell r="B2872" t="str">
            <v>הוצאות טלפון / אינטרנט</v>
          </cell>
          <cell r="C2872">
            <v>4750</v>
          </cell>
          <cell r="D2872">
            <v>0</v>
          </cell>
          <cell r="E2872">
            <v>0</v>
          </cell>
          <cell r="F2872">
            <v>0</v>
          </cell>
          <cell r="G2872">
            <v>4750</v>
          </cell>
          <cell r="H2872">
            <v>0</v>
          </cell>
          <cell r="I2872">
            <v>5000</v>
          </cell>
          <cell r="J2872">
            <v>0</v>
          </cell>
        </row>
        <row r="2873">
          <cell r="A2873">
            <v>1781300544</v>
          </cell>
          <cell r="B2873" t="str">
            <v>הוצאות דאר</v>
          </cell>
          <cell r="C2873">
            <v>11875</v>
          </cell>
          <cell r="D2873">
            <v>0</v>
          </cell>
          <cell r="E2873">
            <v>0</v>
          </cell>
          <cell r="F2873">
            <v>0</v>
          </cell>
          <cell r="G2873">
            <v>11875</v>
          </cell>
          <cell r="H2873">
            <v>0</v>
          </cell>
          <cell r="I2873">
            <v>12500</v>
          </cell>
          <cell r="J2873">
            <v>0</v>
          </cell>
        </row>
        <row r="2874">
          <cell r="A2874">
            <v>1781300550</v>
          </cell>
          <cell r="B2874" t="str">
            <v>פירסומים</v>
          </cell>
          <cell r="C2874">
            <v>4465</v>
          </cell>
          <cell r="D2874">
            <v>1853</v>
          </cell>
          <cell r="E2874">
            <v>0</v>
          </cell>
          <cell r="F2874">
            <v>1853</v>
          </cell>
          <cell r="G2874">
            <v>2612</v>
          </cell>
          <cell r="H2874">
            <v>41.5</v>
          </cell>
          <cell r="I2874">
            <v>4700</v>
          </cell>
          <cell r="J2874">
            <v>1853</v>
          </cell>
        </row>
        <row r="2875">
          <cell r="A2875">
            <v>1781300561</v>
          </cell>
          <cell r="B2875" t="str">
            <v>שיכפולים</v>
          </cell>
          <cell r="C2875">
            <v>9025</v>
          </cell>
          <cell r="D2875">
            <v>1053</v>
          </cell>
          <cell r="E2875">
            <v>0</v>
          </cell>
          <cell r="F2875">
            <v>1053</v>
          </cell>
          <cell r="G2875">
            <v>7972</v>
          </cell>
          <cell r="H2875">
            <v>11.66</v>
          </cell>
          <cell r="I2875">
            <v>9500</v>
          </cell>
          <cell r="J2875">
            <v>1053</v>
          </cell>
        </row>
        <row r="2876">
          <cell r="A2876">
            <v>1781300562</v>
          </cell>
          <cell r="B2876" t="str">
            <v>הדפסות</v>
          </cell>
          <cell r="C2876">
            <v>6600</v>
          </cell>
          <cell r="D2876">
            <v>6599.09</v>
          </cell>
          <cell r="E2876">
            <v>0</v>
          </cell>
          <cell r="F2876">
            <v>6599.09</v>
          </cell>
          <cell r="G2876">
            <v>0.91</v>
          </cell>
          <cell r="H2876">
            <v>99.98</v>
          </cell>
          <cell r="I2876">
            <v>6600</v>
          </cell>
          <cell r="J2876">
            <v>6599.09</v>
          </cell>
        </row>
        <row r="2877">
          <cell r="A2877">
            <v>1781300570</v>
          </cell>
          <cell r="B2877" t="str">
            <v>עיבוד נתונים</v>
          </cell>
          <cell r="C2877">
            <v>0</v>
          </cell>
          <cell r="D2877">
            <v>0</v>
          </cell>
          <cell r="E2877">
            <v>0</v>
          </cell>
          <cell r="F2877">
            <v>0</v>
          </cell>
          <cell r="G2877">
            <v>0</v>
          </cell>
          <cell r="H2877">
            <v>0</v>
          </cell>
          <cell r="I2877">
            <v>0</v>
          </cell>
          <cell r="J2877">
            <v>0</v>
          </cell>
        </row>
        <row r="2878">
          <cell r="A2878">
            <v>1781300572</v>
          </cell>
          <cell r="B2878" t="str">
            <v>דמי מנוי לעמדת טעינה</v>
          </cell>
          <cell r="C2878">
            <v>380</v>
          </cell>
          <cell r="D2878">
            <v>315</v>
          </cell>
          <cell r="E2878">
            <v>0</v>
          </cell>
          <cell r="F2878">
            <v>315</v>
          </cell>
          <cell r="G2878">
            <v>65</v>
          </cell>
          <cell r="H2878">
            <v>82.89</v>
          </cell>
          <cell r="I2878">
            <v>400</v>
          </cell>
          <cell r="J2878">
            <v>315</v>
          </cell>
        </row>
        <row r="2879">
          <cell r="A2879">
            <v>1781300715</v>
          </cell>
          <cell r="B2879" t="str">
            <v>עבודות קבלניות - רכב</v>
          </cell>
          <cell r="C2879">
            <v>19000</v>
          </cell>
          <cell r="D2879">
            <v>7002</v>
          </cell>
          <cell r="E2879">
            <v>0</v>
          </cell>
          <cell r="F2879">
            <v>7002</v>
          </cell>
          <cell r="G2879">
            <v>11998</v>
          </cell>
          <cell r="H2879">
            <v>36.85</v>
          </cell>
          <cell r="I2879">
            <v>20000</v>
          </cell>
          <cell r="J2879">
            <v>7002</v>
          </cell>
        </row>
        <row r="2880">
          <cell r="A2880">
            <v>1781300722</v>
          </cell>
          <cell r="B2880" t="str">
            <v>חמרים תחזוקה עצמית</v>
          </cell>
          <cell r="C2880">
            <v>1400</v>
          </cell>
          <cell r="D2880">
            <v>1339</v>
          </cell>
          <cell r="E2880">
            <v>0</v>
          </cell>
          <cell r="F2880">
            <v>1339</v>
          </cell>
          <cell r="G2880">
            <v>61</v>
          </cell>
          <cell r="H2880">
            <v>95.64</v>
          </cell>
          <cell r="I2880">
            <v>1400</v>
          </cell>
          <cell r="J2880">
            <v>1339</v>
          </cell>
        </row>
        <row r="2881">
          <cell r="A2881">
            <v>1781300735</v>
          </cell>
          <cell r="B2881" t="str">
            <v>ליסינג</v>
          </cell>
          <cell r="C2881">
            <v>199500</v>
          </cell>
          <cell r="D2881">
            <v>183302.45</v>
          </cell>
          <cell r="E2881">
            <v>0</v>
          </cell>
          <cell r="F2881">
            <v>183302.45</v>
          </cell>
          <cell r="G2881">
            <v>16197.55</v>
          </cell>
          <cell r="H2881">
            <v>91.88</v>
          </cell>
          <cell r="I2881">
            <v>210000</v>
          </cell>
          <cell r="J2881">
            <v>183302.45</v>
          </cell>
        </row>
        <row r="2882">
          <cell r="A2882">
            <v>1781300736</v>
          </cell>
          <cell r="B2882" t="str">
            <v>דלק והוצאות</v>
          </cell>
          <cell r="C2882">
            <v>192850</v>
          </cell>
          <cell r="D2882">
            <v>146501.42000000001</v>
          </cell>
          <cell r="E2882">
            <v>0</v>
          </cell>
          <cell r="F2882">
            <v>146501.42000000001</v>
          </cell>
          <cell r="G2882">
            <v>46348.58</v>
          </cell>
          <cell r="H2882">
            <v>75.959999999999994</v>
          </cell>
          <cell r="I2882">
            <v>203000</v>
          </cell>
          <cell r="J2882">
            <v>146501.42000000001</v>
          </cell>
        </row>
        <row r="2883">
          <cell r="A2883">
            <v>1781300737</v>
          </cell>
          <cell r="B2883" t="str">
            <v>שכירות רכב לימים גשומים</v>
          </cell>
          <cell r="C2883">
            <v>3000</v>
          </cell>
          <cell r="D2883">
            <v>0</v>
          </cell>
          <cell r="E2883">
            <v>2932.02</v>
          </cell>
          <cell r="F2883">
            <v>2932.02</v>
          </cell>
          <cell r="G2883">
            <v>67.98</v>
          </cell>
          <cell r="H2883">
            <v>97.73</v>
          </cell>
          <cell r="I2883">
            <v>3000</v>
          </cell>
          <cell r="J2883">
            <v>0</v>
          </cell>
        </row>
        <row r="2884">
          <cell r="A2884">
            <v>1781300742</v>
          </cell>
          <cell r="B2884" t="str">
            <v>כלים וציוד</v>
          </cell>
          <cell r="C2884">
            <v>36200</v>
          </cell>
          <cell r="D2884">
            <v>33122.160000000003</v>
          </cell>
          <cell r="E2884">
            <v>0</v>
          </cell>
          <cell r="F2884">
            <v>33122.160000000003</v>
          </cell>
          <cell r="G2884">
            <v>3077.84</v>
          </cell>
          <cell r="H2884">
            <v>91.49</v>
          </cell>
          <cell r="I2884">
            <v>36200</v>
          </cell>
          <cell r="J2884">
            <v>33122.160000000003</v>
          </cell>
        </row>
        <row r="2885">
          <cell r="A2885">
            <v>1781300744</v>
          </cell>
          <cell r="B2885" t="str">
            <v>מדים</v>
          </cell>
          <cell r="C2885">
            <v>70000</v>
          </cell>
          <cell r="D2885">
            <v>64599.65</v>
          </cell>
          <cell r="E2885">
            <v>0</v>
          </cell>
          <cell r="F2885">
            <v>64599.65</v>
          </cell>
          <cell r="G2885">
            <v>5400.35</v>
          </cell>
          <cell r="H2885">
            <v>92.28</v>
          </cell>
          <cell r="I2885">
            <v>70000</v>
          </cell>
          <cell r="J2885">
            <v>64599.65</v>
          </cell>
        </row>
        <row r="2886">
          <cell r="A2886">
            <v>1781300751</v>
          </cell>
          <cell r="B2886" t="str">
            <v>עבודות קבלניות</v>
          </cell>
          <cell r="C2886">
            <v>3000</v>
          </cell>
          <cell r="D2886">
            <v>1303.5</v>
          </cell>
          <cell r="E2886">
            <v>0</v>
          </cell>
          <cell r="F2886">
            <v>1303.5</v>
          </cell>
          <cell r="G2886">
            <v>1696.5</v>
          </cell>
          <cell r="H2886">
            <v>43.45</v>
          </cell>
          <cell r="I2886">
            <v>3000</v>
          </cell>
          <cell r="J2886">
            <v>1303.5</v>
          </cell>
        </row>
        <row r="2887">
          <cell r="A2887">
            <v>1781300752</v>
          </cell>
          <cell r="B2887" t="str">
            <v>נקיון בקבלנות</v>
          </cell>
          <cell r="C2887">
            <v>144000</v>
          </cell>
          <cell r="D2887">
            <v>142332.85999999999</v>
          </cell>
          <cell r="E2887">
            <v>0</v>
          </cell>
          <cell r="F2887">
            <v>142332.85999999999</v>
          </cell>
          <cell r="G2887">
            <v>1667.14</v>
          </cell>
          <cell r="H2887">
            <v>98.84</v>
          </cell>
          <cell r="I2887">
            <v>144000</v>
          </cell>
          <cell r="J2887">
            <v>142332.85999999999</v>
          </cell>
        </row>
        <row r="2888">
          <cell r="A2888">
            <v>1781300756</v>
          </cell>
          <cell r="B2888" t="str">
            <v>אבטחת אירועים</v>
          </cell>
          <cell r="C2888">
            <v>0</v>
          </cell>
          <cell r="D2888">
            <v>0</v>
          </cell>
          <cell r="E2888">
            <v>0</v>
          </cell>
          <cell r="F2888">
            <v>0</v>
          </cell>
          <cell r="G2888">
            <v>0</v>
          </cell>
          <cell r="H2888">
            <v>0</v>
          </cell>
          <cell r="I2888">
            <v>0</v>
          </cell>
          <cell r="J2888">
            <v>0</v>
          </cell>
        </row>
        <row r="2889">
          <cell r="A2889">
            <v>1781300780</v>
          </cell>
          <cell r="B2889" t="str">
            <v>הפעלת השיטור העירוני</v>
          </cell>
          <cell r="C2889">
            <v>0</v>
          </cell>
          <cell r="D2889">
            <v>366.44</v>
          </cell>
          <cell r="E2889">
            <v>0</v>
          </cell>
          <cell r="F2889">
            <v>366.44</v>
          </cell>
          <cell r="G2889">
            <v>-366.44</v>
          </cell>
          <cell r="H2889">
            <v>0</v>
          </cell>
          <cell r="I2889">
            <v>0</v>
          </cell>
          <cell r="J2889">
            <v>366.44</v>
          </cell>
        </row>
        <row r="2890">
          <cell r="A2890">
            <v>1781300781</v>
          </cell>
          <cell r="B2890" t="str">
            <v>מטווחים</v>
          </cell>
          <cell r="C2890">
            <v>13300</v>
          </cell>
          <cell r="D2890">
            <v>3924.6</v>
          </cell>
          <cell r="E2890">
            <v>0</v>
          </cell>
          <cell r="F2890">
            <v>3924.6</v>
          </cell>
          <cell r="G2890">
            <v>9375.4</v>
          </cell>
          <cell r="H2890">
            <v>29.5</v>
          </cell>
          <cell r="I2890">
            <v>13300</v>
          </cell>
          <cell r="J2890">
            <v>3924.6</v>
          </cell>
        </row>
        <row r="2891">
          <cell r="A2891">
            <v>1781300782</v>
          </cell>
          <cell r="B2891" t="str">
            <v>פעולות מיוחדות</v>
          </cell>
          <cell r="C2891">
            <v>19000</v>
          </cell>
          <cell r="D2891">
            <v>19000</v>
          </cell>
          <cell r="E2891">
            <v>0</v>
          </cell>
          <cell r="F2891">
            <v>19000</v>
          </cell>
          <cell r="G2891">
            <v>0</v>
          </cell>
          <cell r="H2891">
            <v>100</v>
          </cell>
          <cell r="I2891">
            <v>19000</v>
          </cell>
          <cell r="J2891">
            <v>19000</v>
          </cell>
        </row>
        <row r="2892">
          <cell r="A2892">
            <v>1781300783</v>
          </cell>
          <cell r="B2892" t="str">
            <v>סיירת שיטור שכונתי</v>
          </cell>
          <cell r="C2892">
            <v>0</v>
          </cell>
          <cell r="D2892">
            <v>0</v>
          </cell>
          <cell r="E2892">
            <v>0</v>
          </cell>
          <cell r="F2892">
            <v>0</v>
          </cell>
          <cell r="G2892">
            <v>0</v>
          </cell>
          <cell r="H2892">
            <v>0</v>
          </cell>
          <cell r="I2892">
            <v>0</v>
          </cell>
          <cell r="J2892">
            <v>0</v>
          </cell>
        </row>
        <row r="2893">
          <cell r="A2893">
            <v>1781300789</v>
          </cell>
          <cell r="B2893" t="str">
            <v>כביסה</v>
          </cell>
          <cell r="C2893">
            <v>1330</v>
          </cell>
          <cell r="D2893">
            <v>0</v>
          </cell>
          <cell r="E2893">
            <v>0</v>
          </cell>
          <cell r="F2893">
            <v>0</v>
          </cell>
          <cell r="G2893">
            <v>1330</v>
          </cell>
          <cell r="H2893">
            <v>0</v>
          </cell>
          <cell r="I2893">
            <v>1400</v>
          </cell>
          <cell r="J2893">
            <v>0</v>
          </cell>
        </row>
        <row r="2894">
          <cell r="A2894">
            <v>1781300910</v>
          </cell>
          <cell r="B2894" t="str">
            <v>העברה לתב"ר הצטיידות 3 ש'</v>
          </cell>
          <cell r="C2894">
            <v>28500</v>
          </cell>
          <cell r="D2894">
            <v>30000</v>
          </cell>
          <cell r="E2894">
            <v>0</v>
          </cell>
          <cell r="F2894">
            <v>30000</v>
          </cell>
          <cell r="G2894">
            <v>-1500</v>
          </cell>
          <cell r="H2894">
            <v>105.26</v>
          </cell>
          <cell r="I2894">
            <v>30000</v>
          </cell>
          <cell r="J2894">
            <v>30000</v>
          </cell>
        </row>
        <row r="2895">
          <cell r="A2895">
            <v>1781300911</v>
          </cell>
          <cell r="B2895" t="str">
            <v>העברה לתב"ר התאמת מבנה 5 ש'</v>
          </cell>
          <cell r="C2895">
            <v>68970</v>
          </cell>
          <cell r="D2895">
            <v>72600</v>
          </cell>
          <cell r="E2895">
            <v>0</v>
          </cell>
          <cell r="F2895">
            <v>72600</v>
          </cell>
          <cell r="G2895">
            <v>-3630</v>
          </cell>
          <cell r="H2895">
            <v>105.26</v>
          </cell>
          <cell r="I2895">
            <v>72600</v>
          </cell>
          <cell r="J2895">
            <v>72600</v>
          </cell>
        </row>
        <row r="2896">
          <cell r="A2896">
            <v>1781300912</v>
          </cell>
          <cell r="B2896" t="str">
            <v>העברה לתב"ר הצטיידות 5 ש'</v>
          </cell>
          <cell r="C2896">
            <v>7600</v>
          </cell>
          <cell r="D2896">
            <v>8000</v>
          </cell>
          <cell r="E2896">
            <v>0</v>
          </cell>
          <cell r="F2896">
            <v>8000</v>
          </cell>
          <cell r="G2896">
            <v>-400</v>
          </cell>
          <cell r="H2896">
            <v>105.26</v>
          </cell>
          <cell r="I2896">
            <v>8000</v>
          </cell>
          <cell r="J2896">
            <v>8000</v>
          </cell>
        </row>
        <row r="2897">
          <cell r="A2897">
            <v>1781300913</v>
          </cell>
          <cell r="B2897" t="str">
            <v>העברה לתב"ר הצטיידות 10 ש'</v>
          </cell>
          <cell r="C2897">
            <v>9500</v>
          </cell>
          <cell r="D2897">
            <v>10000</v>
          </cell>
          <cell r="E2897">
            <v>0</v>
          </cell>
          <cell r="F2897">
            <v>10000</v>
          </cell>
          <cell r="G2897">
            <v>-500</v>
          </cell>
          <cell r="H2897">
            <v>105.26</v>
          </cell>
          <cell r="I2897">
            <v>10000</v>
          </cell>
          <cell r="J2897">
            <v>10000</v>
          </cell>
        </row>
        <row r="2898">
          <cell r="A2898">
            <v>1781300914</v>
          </cell>
          <cell r="B2898" t="str">
            <v>העברה לתב"ר מצלמות 6.7 ש'</v>
          </cell>
          <cell r="C2898">
            <v>285000</v>
          </cell>
          <cell r="D2898">
            <v>300000</v>
          </cell>
          <cell r="E2898">
            <v>0</v>
          </cell>
          <cell r="F2898">
            <v>300000</v>
          </cell>
          <cell r="G2898">
            <v>-15000</v>
          </cell>
          <cell r="H2898">
            <v>105.26</v>
          </cell>
          <cell r="I2898">
            <v>300000</v>
          </cell>
          <cell r="J2898">
            <v>300000</v>
          </cell>
        </row>
        <row r="2899">
          <cell r="A2899">
            <v>1781300920</v>
          </cell>
          <cell r="B2899" t="str">
            <v>העברה לקרן שמירה</v>
          </cell>
          <cell r="C2899">
            <v>0</v>
          </cell>
          <cell r="D2899">
            <v>36823.42</v>
          </cell>
          <cell r="E2899">
            <v>0</v>
          </cell>
          <cell r="F2899">
            <v>36823.42</v>
          </cell>
          <cell r="G2899">
            <v>-36823.42</v>
          </cell>
          <cell r="H2899">
            <v>0</v>
          </cell>
          <cell r="I2899">
            <v>0</v>
          </cell>
          <cell r="J2899">
            <v>36823.42</v>
          </cell>
        </row>
        <row r="2900">
          <cell r="A2900">
            <v>1781300932</v>
          </cell>
          <cell r="B2900" t="str">
            <v>אגרת טלוויזיה וכבלים</v>
          </cell>
          <cell r="C2900">
            <v>4750</v>
          </cell>
          <cell r="D2900">
            <v>2308.91</v>
          </cell>
          <cell r="E2900">
            <v>0</v>
          </cell>
          <cell r="F2900">
            <v>2308.91</v>
          </cell>
          <cell r="G2900">
            <v>2441.09</v>
          </cell>
          <cell r="H2900">
            <v>48.6</v>
          </cell>
          <cell r="I2900">
            <v>5000</v>
          </cell>
          <cell r="J2900">
            <v>2308.91</v>
          </cell>
        </row>
        <row r="2901">
          <cell r="A2901">
            <v>1782000110</v>
          </cell>
          <cell r="B2901" t="str">
            <v>השכר הקובע-תקציבית</v>
          </cell>
          <cell r="C2901">
            <v>399000</v>
          </cell>
          <cell r="D2901">
            <v>461758.71999999997</v>
          </cell>
          <cell r="E2901">
            <v>0</v>
          </cell>
          <cell r="F2901">
            <v>461758.71999999997</v>
          </cell>
          <cell r="G2901">
            <v>-62758.720000000001</v>
          </cell>
          <cell r="H2901">
            <v>115.72</v>
          </cell>
          <cell r="I2901">
            <v>420000</v>
          </cell>
          <cell r="J2901">
            <v>461758.71999999997</v>
          </cell>
        </row>
        <row r="2902">
          <cell r="A2902">
            <v>1782000119</v>
          </cell>
          <cell r="B2902" t="str">
            <v>השכר הקובע-צוברת</v>
          </cell>
          <cell r="C2902">
            <v>782705</v>
          </cell>
          <cell r="D2902">
            <v>597313.99</v>
          </cell>
          <cell r="E2902">
            <v>0</v>
          </cell>
          <cell r="F2902">
            <v>597313.99</v>
          </cell>
          <cell r="G2902">
            <v>185391.01</v>
          </cell>
          <cell r="H2902">
            <v>76.31</v>
          </cell>
          <cell r="I2902">
            <v>823900</v>
          </cell>
          <cell r="J2902">
            <v>597313.99</v>
          </cell>
        </row>
        <row r="2903">
          <cell r="A2903">
            <v>1782000122</v>
          </cell>
          <cell r="B2903" t="str">
            <v>ביגוד</v>
          </cell>
          <cell r="C2903">
            <v>14630</v>
          </cell>
          <cell r="D2903">
            <v>12221.63</v>
          </cell>
          <cell r="E2903">
            <v>0</v>
          </cell>
          <cell r="F2903">
            <v>12221.63</v>
          </cell>
          <cell r="G2903">
            <v>2408.37</v>
          </cell>
          <cell r="H2903">
            <v>83.53</v>
          </cell>
          <cell r="I2903">
            <v>15400</v>
          </cell>
          <cell r="J2903">
            <v>12221.63</v>
          </cell>
        </row>
        <row r="2904">
          <cell r="A2904">
            <v>1782000126</v>
          </cell>
          <cell r="B2904" t="str">
            <v>דמי הבראה</v>
          </cell>
          <cell r="C2904">
            <v>42750</v>
          </cell>
          <cell r="D2904">
            <v>34687.879999999997</v>
          </cell>
          <cell r="E2904">
            <v>0</v>
          </cell>
          <cell r="F2904">
            <v>34687.879999999997</v>
          </cell>
          <cell r="G2904">
            <v>8062.12</v>
          </cell>
          <cell r="H2904">
            <v>81.14</v>
          </cell>
          <cell r="I2904">
            <v>45000</v>
          </cell>
          <cell r="J2904">
            <v>34687.879999999997</v>
          </cell>
        </row>
        <row r="2905">
          <cell r="A2905">
            <v>1782000130</v>
          </cell>
          <cell r="B2905" t="str">
            <v>שעות נוספות</v>
          </cell>
          <cell r="C2905">
            <v>68780</v>
          </cell>
          <cell r="D2905">
            <v>79400.149999999994</v>
          </cell>
          <cell r="E2905">
            <v>0</v>
          </cell>
          <cell r="F2905">
            <v>79400.149999999994</v>
          </cell>
          <cell r="G2905">
            <v>-10620.15</v>
          </cell>
          <cell r="H2905">
            <v>115.44</v>
          </cell>
          <cell r="I2905">
            <v>72400</v>
          </cell>
          <cell r="J2905">
            <v>79400.149999999994</v>
          </cell>
        </row>
        <row r="2906">
          <cell r="A2906">
            <v>1782000140</v>
          </cell>
          <cell r="B2906" t="str">
            <v>השתתפות באחזקת רכב</v>
          </cell>
          <cell r="C2906">
            <v>96900</v>
          </cell>
          <cell r="D2906">
            <v>88357.47</v>
          </cell>
          <cell r="E2906">
            <v>0</v>
          </cell>
          <cell r="F2906">
            <v>88357.47</v>
          </cell>
          <cell r="G2906">
            <v>8542.5300000000007</v>
          </cell>
          <cell r="H2906">
            <v>91.18</v>
          </cell>
          <cell r="I2906">
            <v>102000</v>
          </cell>
          <cell r="J2906">
            <v>88357.47</v>
          </cell>
        </row>
        <row r="2907">
          <cell r="A2907">
            <v>1782000253</v>
          </cell>
          <cell r="B2907" t="str">
            <v>עובדים חיצוניים</v>
          </cell>
          <cell r="C2907">
            <v>0</v>
          </cell>
          <cell r="D2907">
            <v>27317.97</v>
          </cell>
          <cell r="E2907">
            <v>0</v>
          </cell>
          <cell r="F2907">
            <v>27317.97</v>
          </cell>
          <cell r="G2907">
            <v>-27317.97</v>
          </cell>
          <cell r="H2907">
            <v>0</v>
          </cell>
          <cell r="I2907">
            <v>0</v>
          </cell>
          <cell r="J2907">
            <v>27317.97</v>
          </cell>
        </row>
        <row r="2908">
          <cell r="A2908">
            <v>1782000410</v>
          </cell>
          <cell r="B2908" t="str">
            <v>שכר דירה ועד בית</v>
          </cell>
          <cell r="C2908">
            <v>114000</v>
          </cell>
          <cell r="D2908">
            <v>66502.92</v>
          </cell>
          <cell r="E2908">
            <v>0</v>
          </cell>
          <cell r="F2908">
            <v>66502.92</v>
          </cell>
          <cell r="G2908">
            <v>47497.08</v>
          </cell>
          <cell r="H2908">
            <v>58.33</v>
          </cell>
          <cell r="I2908">
            <v>120000</v>
          </cell>
          <cell r="J2908">
            <v>66502.92</v>
          </cell>
        </row>
        <row r="2909">
          <cell r="A2909">
            <v>1782000420</v>
          </cell>
          <cell r="B2909" t="str">
            <v>כיבוי אש</v>
          </cell>
          <cell r="C2909">
            <v>665</v>
          </cell>
          <cell r="D2909">
            <v>0</v>
          </cell>
          <cell r="E2909">
            <v>0</v>
          </cell>
          <cell r="F2909">
            <v>0</v>
          </cell>
          <cell r="G2909">
            <v>665</v>
          </cell>
          <cell r="H2909">
            <v>0</v>
          </cell>
          <cell r="I2909">
            <v>700</v>
          </cell>
          <cell r="J2909">
            <v>0</v>
          </cell>
        </row>
        <row r="2910">
          <cell r="A2910">
            <v>1782000431</v>
          </cell>
          <cell r="B2910" t="str">
            <v>חשמל</v>
          </cell>
          <cell r="C2910">
            <v>17100</v>
          </cell>
          <cell r="D2910">
            <v>6580.33</v>
          </cell>
          <cell r="E2910">
            <v>0</v>
          </cell>
          <cell r="F2910">
            <v>6580.33</v>
          </cell>
          <cell r="G2910">
            <v>10519.67</v>
          </cell>
          <cell r="H2910">
            <v>38.479999999999997</v>
          </cell>
          <cell r="I2910">
            <v>18000</v>
          </cell>
          <cell r="J2910">
            <v>6580.33</v>
          </cell>
        </row>
        <row r="2911">
          <cell r="A2911">
            <v>1782000432</v>
          </cell>
          <cell r="B2911" t="str">
            <v>מים</v>
          </cell>
          <cell r="C2911">
            <v>1615</v>
          </cell>
          <cell r="D2911">
            <v>242.66</v>
          </cell>
          <cell r="E2911">
            <v>0</v>
          </cell>
          <cell r="F2911">
            <v>242.66</v>
          </cell>
          <cell r="G2911">
            <v>1372.34</v>
          </cell>
          <cell r="H2911">
            <v>15.02</v>
          </cell>
          <cell r="I2911">
            <v>1700</v>
          </cell>
          <cell r="J2911">
            <v>242.66</v>
          </cell>
        </row>
        <row r="2912">
          <cell r="A2912">
            <v>1782000433</v>
          </cell>
          <cell r="B2912" t="str">
            <v>חומרי נקיון</v>
          </cell>
          <cell r="C2912">
            <v>2185</v>
          </cell>
          <cell r="D2912">
            <v>1076.9100000000001</v>
          </cell>
          <cell r="E2912">
            <v>0</v>
          </cell>
          <cell r="F2912">
            <v>1076.9100000000001</v>
          </cell>
          <cell r="G2912">
            <v>1108.0899999999999</v>
          </cell>
          <cell r="H2912">
            <v>49.28</v>
          </cell>
          <cell r="I2912">
            <v>2300</v>
          </cell>
          <cell r="J2912">
            <v>1076.9100000000001</v>
          </cell>
        </row>
        <row r="2913">
          <cell r="A2913">
            <v>1782000437</v>
          </cell>
          <cell r="B2913" t="str">
            <v>מנוי למוקד</v>
          </cell>
          <cell r="C2913">
            <v>1235</v>
          </cell>
          <cell r="D2913">
            <v>1221.48</v>
          </cell>
          <cell r="E2913">
            <v>0</v>
          </cell>
          <cell r="F2913">
            <v>1221.48</v>
          </cell>
          <cell r="G2913">
            <v>13.52</v>
          </cell>
          <cell r="H2913">
            <v>98.9</v>
          </cell>
          <cell r="I2913">
            <v>1300</v>
          </cell>
          <cell r="J2913">
            <v>1221.48</v>
          </cell>
        </row>
        <row r="2914">
          <cell r="A2914">
            <v>1782000441</v>
          </cell>
          <cell r="B2914" t="str">
            <v>ביטוח מבנים</v>
          </cell>
          <cell r="C2914">
            <v>0</v>
          </cell>
          <cell r="D2914">
            <v>0</v>
          </cell>
          <cell r="E2914">
            <v>0</v>
          </cell>
          <cell r="F2914">
            <v>0</v>
          </cell>
          <cell r="G2914">
            <v>0</v>
          </cell>
          <cell r="H2914">
            <v>0</v>
          </cell>
          <cell r="I2914">
            <v>0</v>
          </cell>
          <cell r="J2914">
            <v>0</v>
          </cell>
        </row>
        <row r="2915">
          <cell r="A2915">
            <v>1782000450</v>
          </cell>
          <cell r="B2915" t="str">
            <v>ריהוט ואחזקתו</v>
          </cell>
          <cell r="C2915">
            <v>0</v>
          </cell>
          <cell r="D2915">
            <v>0</v>
          </cell>
          <cell r="E2915">
            <v>0</v>
          </cell>
          <cell r="F2915">
            <v>0</v>
          </cell>
          <cell r="G2915">
            <v>0</v>
          </cell>
          <cell r="H2915">
            <v>0</v>
          </cell>
          <cell r="I2915">
            <v>0</v>
          </cell>
          <cell r="J2915">
            <v>0</v>
          </cell>
        </row>
        <row r="2916">
          <cell r="A2916">
            <v>1782000470</v>
          </cell>
          <cell r="B2916" t="str">
            <v>אחזקת מכונות משרד</v>
          </cell>
          <cell r="C2916">
            <v>0</v>
          </cell>
          <cell r="D2916">
            <v>0</v>
          </cell>
          <cell r="E2916">
            <v>0</v>
          </cell>
          <cell r="F2916">
            <v>0</v>
          </cell>
          <cell r="G2916">
            <v>0</v>
          </cell>
          <cell r="H2916">
            <v>0</v>
          </cell>
          <cell r="I2916">
            <v>0</v>
          </cell>
          <cell r="J2916">
            <v>0</v>
          </cell>
        </row>
        <row r="2917">
          <cell r="A2917">
            <v>1782000471</v>
          </cell>
          <cell r="B2917" t="str">
            <v>מכשירי כתיבה</v>
          </cell>
          <cell r="C2917">
            <v>19285</v>
          </cell>
          <cell r="D2917">
            <v>12736.16</v>
          </cell>
          <cell r="E2917">
            <v>245.7</v>
          </cell>
          <cell r="F2917">
            <v>12981.86</v>
          </cell>
          <cell r="G2917">
            <v>6303.14</v>
          </cell>
          <cell r="H2917">
            <v>67.31</v>
          </cell>
          <cell r="I2917">
            <v>20300</v>
          </cell>
          <cell r="J2917">
            <v>12736.16</v>
          </cell>
        </row>
        <row r="2918">
          <cell r="A2918">
            <v>1782000511</v>
          </cell>
          <cell r="B2918" t="str">
            <v>אירוח וכיבוד</v>
          </cell>
          <cell r="C2918">
            <v>4655</v>
          </cell>
          <cell r="D2918">
            <v>5005.78</v>
          </cell>
          <cell r="E2918">
            <v>142.76</v>
          </cell>
          <cell r="F2918">
            <v>5148.54</v>
          </cell>
          <cell r="G2918">
            <v>-493.54</v>
          </cell>
          <cell r="H2918">
            <v>110.6</v>
          </cell>
          <cell r="I2918">
            <v>4900</v>
          </cell>
          <cell r="J2918">
            <v>5005.78</v>
          </cell>
        </row>
        <row r="2919">
          <cell r="A2919">
            <v>1782000512</v>
          </cell>
          <cell r="B2919" t="str">
            <v>נסיעות ואש"ל</v>
          </cell>
          <cell r="C2919">
            <v>0</v>
          </cell>
          <cell r="D2919">
            <v>0</v>
          </cell>
          <cell r="E2919">
            <v>0</v>
          </cell>
          <cell r="F2919">
            <v>0</v>
          </cell>
          <cell r="G2919">
            <v>0</v>
          </cell>
          <cell r="H2919">
            <v>0</v>
          </cell>
          <cell r="I2919">
            <v>0</v>
          </cell>
          <cell r="J2919">
            <v>0</v>
          </cell>
        </row>
        <row r="2920">
          <cell r="A2920">
            <v>1782000522</v>
          </cell>
          <cell r="B2920" t="str">
            <v>ספרים ועיתונים</v>
          </cell>
          <cell r="C2920">
            <v>570</v>
          </cell>
          <cell r="D2920">
            <v>0</v>
          </cell>
          <cell r="E2920">
            <v>0</v>
          </cell>
          <cell r="F2920">
            <v>0</v>
          </cell>
          <cell r="G2920">
            <v>570</v>
          </cell>
          <cell r="H2920">
            <v>0</v>
          </cell>
          <cell r="I2920">
            <v>600</v>
          </cell>
          <cell r="J2920">
            <v>0</v>
          </cell>
        </row>
        <row r="2921">
          <cell r="A2921">
            <v>1782000524</v>
          </cell>
          <cell r="B2921" t="str">
            <v>הדרכה</v>
          </cell>
          <cell r="C2921">
            <v>0</v>
          </cell>
          <cell r="D2921">
            <v>0</v>
          </cell>
          <cell r="E2921">
            <v>0</v>
          </cell>
          <cell r="F2921">
            <v>0</v>
          </cell>
          <cell r="G2921">
            <v>0</v>
          </cell>
          <cell r="H2921">
            <v>0</v>
          </cell>
          <cell r="I2921">
            <v>0</v>
          </cell>
          <cell r="J2921">
            <v>0</v>
          </cell>
        </row>
        <row r="2922">
          <cell r="A2922">
            <v>1782000540</v>
          </cell>
          <cell r="B2922" t="str">
            <v>הוצאות טלפון</v>
          </cell>
          <cell r="C2922">
            <v>1900</v>
          </cell>
          <cell r="D2922">
            <v>331.07</v>
          </cell>
          <cell r="E2922">
            <v>0</v>
          </cell>
          <cell r="F2922">
            <v>331.07</v>
          </cell>
          <cell r="G2922">
            <v>1568.93</v>
          </cell>
          <cell r="H2922">
            <v>17.420000000000002</v>
          </cell>
          <cell r="I2922">
            <v>2000</v>
          </cell>
          <cell r="J2922">
            <v>331.07</v>
          </cell>
        </row>
        <row r="2923">
          <cell r="A2923">
            <v>1782000544</v>
          </cell>
          <cell r="B2923" t="str">
            <v>הוצאות דאר</v>
          </cell>
          <cell r="C2923">
            <v>85500</v>
          </cell>
          <cell r="D2923">
            <v>2660.07</v>
          </cell>
          <cell r="E2923">
            <v>0</v>
          </cell>
          <cell r="F2923">
            <v>2660.07</v>
          </cell>
          <cell r="G2923">
            <v>82839.929999999993</v>
          </cell>
          <cell r="H2923">
            <v>3.11</v>
          </cell>
          <cell r="I2923">
            <v>90000</v>
          </cell>
          <cell r="J2923">
            <v>2660.07</v>
          </cell>
        </row>
        <row r="2924">
          <cell r="A2924">
            <v>1782000562</v>
          </cell>
          <cell r="B2924" t="str">
            <v>הדפסות</v>
          </cell>
          <cell r="C2924">
            <v>12825</v>
          </cell>
          <cell r="D2924">
            <v>0</v>
          </cell>
          <cell r="E2924">
            <v>0</v>
          </cell>
          <cell r="F2924">
            <v>0</v>
          </cell>
          <cell r="G2924">
            <v>12825</v>
          </cell>
          <cell r="H2924">
            <v>0</v>
          </cell>
          <cell r="I2924">
            <v>13500</v>
          </cell>
          <cell r="J2924">
            <v>0</v>
          </cell>
        </row>
        <row r="2925">
          <cell r="A2925">
            <v>1782000570</v>
          </cell>
          <cell r="B2925" t="str">
            <v>תשלום להנהלת בימ"ש</v>
          </cell>
          <cell r="C2925">
            <v>165300</v>
          </cell>
          <cell r="D2925">
            <v>0</v>
          </cell>
          <cell r="E2925">
            <v>0</v>
          </cell>
          <cell r="F2925">
            <v>0</v>
          </cell>
          <cell r="G2925">
            <v>165300</v>
          </cell>
          <cell r="H2925">
            <v>0</v>
          </cell>
          <cell r="I2925">
            <v>174000</v>
          </cell>
          <cell r="J2925">
            <v>0</v>
          </cell>
        </row>
        <row r="2926">
          <cell r="A2926">
            <v>1782000571</v>
          </cell>
          <cell r="B2926" t="str">
            <v>מיכון וענ"א</v>
          </cell>
          <cell r="C2926">
            <v>195320</v>
          </cell>
          <cell r="D2926">
            <v>205600</v>
          </cell>
          <cell r="E2926">
            <v>0</v>
          </cell>
          <cell r="F2926">
            <v>205600</v>
          </cell>
          <cell r="G2926">
            <v>-10280</v>
          </cell>
          <cell r="H2926">
            <v>105.26</v>
          </cell>
          <cell r="I2926">
            <v>205600</v>
          </cell>
          <cell r="J2926">
            <v>205600</v>
          </cell>
        </row>
        <row r="2927">
          <cell r="A2927">
            <v>1782000580</v>
          </cell>
          <cell r="B2927" t="str">
            <v>משטרה הוצ'לפועל</v>
          </cell>
          <cell r="C2927">
            <v>0</v>
          </cell>
          <cell r="D2927">
            <v>0</v>
          </cell>
          <cell r="E2927">
            <v>0</v>
          </cell>
          <cell r="F2927">
            <v>0</v>
          </cell>
          <cell r="G2927">
            <v>0</v>
          </cell>
          <cell r="H2927">
            <v>0</v>
          </cell>
          <cell r="I2927">
            <v>0</v>
          </cell>
          <cell r="J2927">
            <v>0</v>
          </cell>
        </row>
        <row r="2928">
          <cell r="A2928">
            <v>1782000721</v>
          </cell>
          <cell r="B2928" t="str">
            <v>חמרים-תחזוקת מבנים</v>
          </cell>
          <cell r="C2928">
            <v>475</v>
          </cell>
          <cell r="D2928">
            <v>0</v>
          </cell>
          <cell r="E2928">
            <v>0</v>
          </cell>
          <cell r="F2928">
            <v>0</v>
          </cell>
          <cell r="G2928">
            <v>475</v>
          </cell>
          <cell r="H2928">
            <v>0</v>
          </cell>
          <cell r="I2928">
            <v>500</v>
          </cell>
          <cell r="J2928">
            <v>0</v>
          </cell>
        </row>
        <row r="2929">
          <cell r="A2929">
            <v>1782000751</v>
          </cell>
          <cell r="B2929" t="str">
            <v>עבודות קבלניות</v>
          </cell>
          <cell r="C2929">
            <v>0</v>
          </cell>
          <cell r="D2929">
            <v>0</v>
          </cell>
          <cell r="E2929">
            <v>0</v>
          </cell>
          <cell r="F2929">
            <v>0</v>
          </cell>
          <cell r="G2929">
            <v>0</v>
          </cell>
          <cell r="H2929">
            <v>0</v>
          </cell>
          <cell r="I2929">
            <v>0</v>
          </cell>
          <cell r="J2929">
            <v>0</v>
          </cell>
        </row>
        <row r="2930">
          <cell r="A2930">
            <v>1782000752</v>
          </cell>
          <cell r="B2930" t="str">
            <v>נקיון בקבלנות</v>
          </cell>
          <cell r="C2930">
            <v>19000</v>
          </cell>
          <cell r="D2930">
            <v>19794.810000000001</v>
          </cell>
          <cell r="E2930">
            <v>0</v>
          </cell>
          <cell r="F2930">
            <v>19794.810000000001</v>
          </cell>
          <cell r="G2930">
            <v>-794.81</v>
          </cell>
          <cell r="H2930">
            <v>104.18</v>
          </cell>
          <cell r="I2930">
            <v>20000</v>
          </cell>
          <cell r="J2930">
            <v>19794.810000000001</v>
          </cell>
        </row>
        <row r="2931">
          <cell r="A2931">
            <v>1782000753</v>
          </cell>
          <cell r="B2931" t="str">
            <v>קלדנית לשופטים</v>
          </cell>
          <cell r="C2931">
            <v>44935</v>
          </cell>
          <cell r="D2931">
            <v>18620</v>
          </cell>
          <cell r="E2931">
            <v>0</v>
          </cell>
          <cell r="F2931">
            <v>18620</v>
          </cell>
          <cell r="G2931">
            <v>26315</v>
          </cell>
          <cell r="H2931">
            <v>41.43</v>
          </cell>
          <cell r="I2931">
            <v>47300</v>
          </cell>
          <cell r="J2931">
            <v>18620</v>
          </cell>
        </row>
        <row r="2932">
          <cell r="A2932">
            <v>1782000756</v>
          </cell>
          <cell r="B2932" t="str">
            <v>שמירה בקבלנות</v>
          </cell>
          <cell r="C2932">
            <v>148000</v>
          </cell>
          <cell r="D2932">
            <v>173353.07</v>
          </cell>
          <cell r="E2932">
            <v>0</v>
          </cell>
          <cell r="F2932">
            <v>173353.07</v>
          </cell>
          <cell r="G2932">
            <v>-25353.07</v>
          </cell>
          <cell r="H2932">
            <v>117.13</v>
          </cell>
          <cell r="I2932">
            <v>148000</v>
          </cell>
          <cell r="J2932">
            <v>173353.07</v>
          </cell>
        </row>
        <row r="2933">
          <cell r="A2933">
            <v>1782000780</v>
          </cell>
          <cell r="B2933" t="str">
            <v>השתתפות בשכר שופטים</v>
          </cell>
          <cell r="C2933">
            <v>456000</v>
          </cell>
          <cell r="D2933">
            <v>266198</v>
          </cell>
          <cell r="E2933">
            <v>0</v>
          </cell>
          <cell r="F2933">
            <v>266198</v>
          </cell>
          <cell r="G2933">
            <v>189802</v>
          </cell>
          <cell r="H2933">
            <v>58.37</v>
          </cell>
          <cell r="I2933">
            <v>480000</v>
          </cell>
          <cell r="J2933">
            <v>266198</v>
          </cell>
        </row>
        <row r="2934">
          <cell r="A2934">
            <v>1782000781</v>
          </cell>
          <cell r="B2934" t="str">
            <v>השתתפות בשכר עדים</v>
          </cell>
          <cell r="C2934">
            <v>0</v>
          </cell>
          <cell r="D2934">
            <v>0</v>
          </cell>
          <cell r="E2934">
            <v>0</v>
          </cell>
          <cell r="F2934">
            <v>0</v>
          </cell>
          <cell r="G2934">
            <v>0</v>
          </cell>
          <cell r="H2934">
            <v>0</v>
          </cell>
          <cell r="I2934">
            <v>0</v>
          </cell>
          <cell r="J2934">
            <v>0</v>
          </cell>
        </row>
        <row r="2935">
          <cell r="A2935">
            <v>1782000794</v>
          </cell>
          <cell r="B2935" t="str">
            <v>השתתפות בעזר 094</v>
          </cell>
          <cell r="C2935">
            <v>3135</v>
          </cell>
          <cell r="D2935">
            <v>3937</v>
          </cell>
          <cell r="E2935">
            <v>0</v>
          </cell>
          <cell r="F2935">
            <v>3937</v>
          </cell>
          <cell r="G2935">
            <v>-802</v>
          </cell>
          <cell r="H2935">
            <v>125.58</v>
          </cell>
          <cell r="I2935">
            <v>3300</v>
          </cell>
          <cell r="J2935">
            <v>3937</v>
          </cell>
        </row>
        <row r="2936">
          <cell r="A2936">
            <v>1782000870</v>
          </cell>
          <cell r="B2936" t="str">
            <v>השתת' בשכר שופטים</v>
          </cell>
          <cell r="C2936">
            <v>0</v>
          </cell>
          <cell r="D2936">
            <v>0</v>
          </cell>
          <cell r="E2936">
            <v>0</v>
          </cell>
          <cell r="F2936">
            <v>0</v>
          </cell>
          <cell r="G2936">
            <v>0</v>
          </cell>
          <cell r="H2936">
            <v>0</v>
          </cell>
          <cell r="I2936">
            <v>0</v>
          </cell>
          <cell r="J2936">
            <v>0</v>
          </cell>
        </row>
        <row r="2937">
          <cell r="A2937">
            <v>1782000871</v>
          </cell>
          <cell r="B2937" t="str">
            <v>השתתפות בשכר עדים</v>
          </cell>
          <cell r="C2937">
            <v>3420</v>
          </cell>
          <cell r="D2937">
            <v>0</v>
          </cell>
          <cell r="E2937">
            <v>0</v>
          </cell>
          <cell r="F2937">
            <v>0</v>
          </cell>
          <cell r="G2937">
            <v>3420</v>
          </cell>
          <cell r="H2937">
            <v>0</v>
          </cell>
          <cell r="I2937">
            <v>3600</v>
          </cell>
          <cell r="J2937">
            <v>0</v>
          </cell>
        </row>
        <row r="2938">
          <cell r="A2938">
            <v>1782000931</v>
          </cell>
          <cell r="B2938" t="str">
            <v>רכישות</v>
          </cell>
          <cell r="C2938">
            <v>1520</v>
          </cell>
          <cell r="D2938">
            <v>0</v>
          </cell>
          <cell r="E2938">
            <v>0</v>
          </cell>
          <cell r="F2938">
            <v>0</v>
          </cell>
          <cell r="G2938">
            <v>1520</v>
          </cell>
          <cell r="H2938">
            <v>0</v>
          </cell>
          <cell r="I2938">
            <v>1600</v>
          </cell>
          <cell r="J2938">
            <v>0</v>
          </cell>
        </row>
        <row r="2939">
          <cell r="A2939">
            <v>1782000981</v>
          </cell>
          <cell r="B2939" t="str">
            <v>הוצאות שנים קודמות</v>
          </cell>
          <cell r="C2939">
            <v>0</v>
          </cell>
          <cell r="D2939">
            <v>0</v>
          </cell>
          <cell r="E2939">
            <v>0</v>
          </cell>
          <cell r="F2939">
            <v>0</v>
          </cell>
          <cell r="G2939">
            <v>0</v>
          </cell>
          <cell r="H2939">
            <v>0</v>
          </cell>
          <cell r="I2939">
            <v>0</v>
          </cell>
          <cell r="J2939">
            <v>0</v>
          </cell>
        </row>
        <row r="2940">
          <cell r="A2940">
            <v>1782100000</v>
          </cell>
          <cell r="B2940" t="str">
            <v>בית הדין למשמעת</v>
          </cell>
          <cell r="C2940">
            <v>0</v>
          </cell>
          <cell r="D2940">
            <v>0</v>
          </cell>
          <cell r="E2940">
            <v>0</v>
          </cell>
          <cell r="F2940">
            <v>0</v>
          </cell>
          <cell r="G2940">
            <v>0</v>
          </cell>
          <cell r="H2940">
            <v>0</v>
          </cell>
          <cell r="I2940">
            <v>0</v>
          </cell>
          <cell r="J2940">
            <v>0</v>
          </cell>
        </row>
        <row r="2941">
          <cell r="A2941">
            <v>1782100410</v>
          </cell>
          <cell r="B2941" t="str">
            <v>שכירות</v>
          </cell>
          <cell r="C2941">
            <v>0</v>
          </cell>
          <cell r="D2941">
            <v>0</v>
          </cell>
          <cell r="E2941">
            <v>0</v>
          </cell>
          <cell r="F2941">
            <v>0</v>
          </cell>
          <cell r="G2941">
            <v>0</v>
          </cell>
          <cell r="H2941">
            <v>0</v>
          </cell>
          <cell r="I2941">
            <v>0</v>
          </cell>
          <cell r="J2941">
            <v>0</v>
          </cell>
        </row>
        <row r="2942">
          <cell r="A2942">
            <v>1782100412</v>
          </cell>
          <cell r="B2942" t="str">
            <v>ארנונה</v>
          </cell>
          <cell r="C2942">
            <v>0</v>
          </cell>
          <cell r="D2942">
            <v>0</v>
          </cell>
          <cell r="E2942">
            <v>0</v>
          </cell>
          <cell r="F2942">
            <v>0</v>
          </cell>
          <cell r="G2942">
            <v>0</v>
          </cell>
          <cell r="H2942">
            <v>0</v>
          </cell>
          <cell r="I2942">
            <v>0</v>
          </cell>
          <cell r="J2942">
            <v>0</v>
          </cell>
        </row>
        <row r="2943">
          <cell r="A2943">
            <v>1782100431</v>
          </cell>
          <cell r="B2943" t="str">
            <v>חשמל</v>
          </cell>
          <cell r="C2943">
            <v>0</v>
          </cell>
          <cell r="D2943">
            <v>0</v>
          </cell>
          <cell r="E2943">
            <v>0</v>
          </cell>
          <cell r="F2943">
            <v>0</v>
          </cell>
          <cell r="G2943">
            <v>0</v>
          </cell>
          <cell r="H2943">
            <v>0</v>
          </cell>
          <cell r="I2943">
            <v>0</v>
          </cell>
          <cell r="J2943">
            <v>0</v>
          </cell>
        </row>
        <row r="2944">
          <cell r="A2944">
            <v>1782100432</v>
          </cell>
          <cell r="B2944" t="str">
            <v>מים</v>
          </cell>
          <cell r="C2944">
            <v>0</v>
          </cell>
          <cell r="D2944">
            <v>0</v>
          </cell>
          <cell r="E2944">
            <v>0</v>
          </cell>
          <cell r="F2944">
            <v>0</v>
          </cell>
          <cell r="G2944">
            <v>0</v>
          </cell>
          <cell r="H2944">
            <v>0</v>
          </cell>
          <cell r="I2944">
            <v>0</v>
          </cell>
          <cell r="J2944">
            <v>0</v>
          </cell>
        </row>
        <row r="2945">
          <cell r="A2945">
            <v>1782100433</v>
          </cell>
          <cell r="B2945" t="str">
            <v>חומרי נקיון</v>
          </cell>
          <cell r="C2945">
            <v>0</v>
          </cell>
          <cell r="D2945">
            <v>0</v>
          </cell>
          <cell r="E2945">
            <v>0</v>
          </cell>
          <cell r="F2945">
            <v>0</v>
          </cell>
          <cell r="G2945">
            <v>0</v>
          </cell>
          <cell r="H2945">
            <v>0</v>
          </cell>
          <cell r="I2945">
            <v>0</v>
          </cell>
          <cell r="J2945">
            <v>0</v>
          </cell>
        </row>
        <row r="2946">
          <cell r="A2946">
            <v>1782100471</v>
          </cell>
          <cell r="B2946" t="str">
            <v>מכשירי כתיבה</v>
          </cell>
          <cell r="C2946">
            <v>0</v>
          </cell>
          <cell r="D2946">
            <v>0</v>
          </cell>
          <cell r="E2946">
            <v>0</v>
          </cell>
          <cell r="F2946">
            <v>0</v>
          </cell>
          <cell r="G2946">
            <v>0</v>
          </cell>
          <cell r="H2946">
            <v>0</v>
          </cell>
          <cell r="I2946">
            <v>0</v>
          </cell>
          <cell r="J2946">
            <v>0</v>
          </cell>
        </row>
        <row r="2947">
          <cell r="A2947">
            <v>1782100522</v>
          </cell>
          <cell r="B2947" t="str">
            <v>ספרים ועיתונים</v>
          </cell>
          <cell r="C2947">
            <v>0</v>
          </cell>
          <cell r="D2947">
            <v>0</v>
          </cell>
          <cell r="E2947">
            <v>0</v>
          </cell>
          <cell r="F2947">
            <v>0</v>
          </cell>
          <cell r="G2947">
            <v>0</v>
          </cell>
          <cell r="H2947">
            <v>0</v>
          </cell>
          <cell r="I2947">
            <v>0</v>
          </cell>
          <cell r="J2947">
            <v>0</v>
          </cell>
        </row>
        <row r="2948">
          <cell r="A2948">
            <v>1782100524</v>
          </cell>
          <cell r="B2948" t="str">
            <v>השתלמויות</v>
          </cell>
          <cell r="C2948">
            <v>0</v>
          </cell>
          <cell r="D2948">
            <v>0</v>
          </cell>
          <cell r="E2948">
            <v>0</v>
          </cell>
          <cell r="F2948">
            <v>0</v>
          </cell>
          <cell r="G2948">
            <v>0</v>
          </cell>
          <cell r="H2948">
            <v>0</v>
          </cell>
          <cell r="I2948">
            <v>0</v>
          </cell>
          <cell r="J2948">
            <v>0</v>
          </cell>
        </row>
        <row r="2949">
          <cell r="A2949">
            <v>1782100540</v>
          </cell>
          <cell r="B2949" t="str">
            <v>הוצאות טלפון</v>
          </cell>
          <cell r="C2949">
            <v>0</v>
          </cell>
          <cell r="D2949">
            <v>0</v>
          </cell>
          <cell r="E2949">
            <v>0</v>
          </cell>
          <cell r="F2949">
            <v>0</v>
          </cell>
          <cell r="G2949">
            <v>0</v>
          </cell>
          <cell r="H2949">
            <v>0</v>
          </cell>
          <cell r="I2949">
            <v>0</v>
          </cell>
          <cell r="J2949">
            <v>0</v>
          </cell>
        </row>
        <row r="2950">
          <cell r="A2950">
            <v>1782100550</v>
          </cell>
          <cell r="B2950" t="str">
            <v>פירסומים</v>
          </cell>
          <cell r="C2950">
            <v>0</v>
          </cell>
          <cell r="D2950">
            <v>0</v>
          </cell>
          <cell r="E2950">
            <v>0</v>
          </cell>
          <cell r="F2950">
            <v>0</v>
          </cell>
          <cell r="G2950">
            <v>0</v>
          </cell>
          <cell r="H2950">
            <v>0</v>
          </cell>
          <cell r="I2950">
            <v>0</v>
          </cell>
          <cell r="J2950">
            <v>0</v>
          </cell>
        </row>
        <row r="2951">
          <cell r="A2951">
            <v>1782100752</v>
          </cell>
          <cell r="B2951" t="str">
            <v>נקיון בקבלנות</v>
          </cell>
          <cell r="C2951">
            <v>0</v>
          </cell>
          <cell r="D2951">
            <v>0</v>
          </cell>
          <cell r="E2951">
            <v>0</v>
          </cell>
          <cell r="F2951">
            <v>0</v>
          </cell>
          <cell r="G2951">
            <v>0</v>
          </cell>
          <cell r="H2951">
            <v>0</v>
          </cell>
          <cell r="I2951">
            <v>0</v>
          </cell>
          <cell r="J2951">
            <v>0</v>
          </cell>
        </row>
        <row r="2952">
          <cell r="A2952">
            <v>1782100753</v>
          </cell>
          <cell r="B2952" t="str">
            <v>מזכירה חיצונית</v>
          </cell>
          <cell r="C2952">
            <v>0</v>
          </cell>
          <cell r="D2952">
            <v>0</v>
          </cell>
          <cell r="E2952">
            <v>0</v>
          </cell>
          <cell r="F2952">
            <v>0</v>
          </cell>
          <cell r="G2952">
            <v>0</v>
          </cell>
          <cell r="H2952">
            <v>0</v>
          </cell>
          <cell r="I2952">
            <v>0</v>
          </cell>
          <cell r="J2952">
            <v>0</v>
          </cell>
        </row>
        <row r="2953">
          <cell r="A2953">
            <v>1782100780</v>
          </cell>
          <cell r="B2953" t="str">
            <v>פעילות שוטפת</v>
          </cell>
          <cell r="C2953">
            <v>0</v>
          </cell>
          <cell r="D2953">
            <v>0</v>
          </cell>
          <cell r="E2953">
            <v>0</v>
          </cell>
          <cell r="F2953">
            <v>0</v>
          </cell>
          <cell r="G2953">
            <v>0</v>
          </cell>
          <cell r="H2953">
            <v>0</v>
          </cell>
          <cell r="I2953">
            <v>0</v>
          </cell>
          <cell r="J2953">
            <v>0</v>
          </cell>
        </row>
        <row r="2954">
          <cell r="A2954">
            <v>1782100781</v>
          </cell>
          <cell r="B2954" t="str">
            <v>קלדנות והקלטות</v>
          </cell>
          <cell r="C2954">
            <v>0</v>
          </cell>
          <cell r="D2954">
            <v>0</v>
          </cell>
          <cell r="E2954">
            <v>0</v>
          </cell>
          <cell r="F2954">
            <v>0</v>
          </cell>
          <cell r="G2954">
            <v>0</v>
          </cell>
          <cell r="H2954">
            <v>0</v>
          </cell>
          <cell r="I2954">
            <v>0</v>
          </cell>
          <cell r="J2954">
            <v>0</v>
          </cell>
        </row>
        <row r="2955">
          <cell r="A2955">
            <v>1811100110</v>
          </cell>
          <cell r="B2955" t="str">
            <v>השכר הקובע-תקציבית</v>
          </cell>
          <cell r="C2955">
            <v>304000</v>
          </cell>
          <cell r="D2955">
            <v>368427.29</v>
          </cell>
          <cell r="E2955">
            <v>0</v>
          </cell>
          <cell r="F2955">
            <v>368427.29</v>
          </cell>
          <cell r="G2955">
            <v>-64427.29</v>
          </cell>
          <cell r="H2955">
            <v>121.19</v>
          </cell>
          <cell r="I2955">
            <v>320000</v>
          </cell>
          <cell r="J2955">
            <v>368427.29</v>
          </cell>
        </row>
        <row r="2956">
          <cell r="A2956">
            <v>1811100118</v>
          </cell>
          <cell r="B2956" t="str">
            <v>החזר שחיקת שכר</v>
          </cell>
          <cell r="C2956">
            <v>0</v>
          </cell>
          <cell r="D2956">
            <v>0</v>
          </cell>
          <cell r="E2956">
            <v>0</v>
          </cell>
          <cell r="F2956">
            <v>0</v>
          </cell>
          <cell r="G2956">
            <v>0</v>
          </cell>
          <cell r="H2956">
            <v>0</v>
          </cell>
          <cell r="I2956">
            <v>0</v>
          </cell>
          <cell r="J2956">
            <v>0</v>
          </cell>
        </row>
        <row r="2957">
          <cell r="A2957">
            <v>1811100119</v>
          </cell>
          <cell r="B2957" t="str">
            <v>השכר הקובע-צוברת</v>
          </cell>
          <cell r="C2957">
            <v>12509790</v>
          </cell>
          <cell r="D2957">
            <v>12466983.369999999</v>
          </cell>
          <cell r="E2957">
            <v>202948.18</v>
          </cell>
          <cell r="F2957">
            <v>12669931.550000001</v>
          </cell>
          <cell r="G2957">
            <v>-160141.54999999999</v>
          </cell>
          <cell r="H2957">
            <v>101.28</v>
          </cell>
          <cell r="I2957">
            <v>13168200</v>
          </cell>
          <cell r="J2957">
            <v>12466983.369999999</v>
          </cell>
        </row>
        <row r="2958">
          <cell r="A2958">
            <v>1811100122</v>
          </cell>
          <cell r="B2958" t="str">
            <v>ביגוד</v>
          </cell>
          <cell r="C2958">
            <v>118940</v>
          </cell>
          <cell r="D2958">
            <v>135413.54</v>
          </cell>
          <cell r="E2958">
            <v>0</v>
          </cell>
          <cell r="F2958">
            <v>135413.54</v>
          </cell>
          <cell r="G2958">
            <v>-16473.54</v>
          </cell>
          <cell r="H2958">
            <v>113.85</v>
          </cell>
          <cell r="I2958">
            <v>125200</v>
          </cell>
          <cell r="J2958">
            <v>135413.54</v>
          </cell>
        </row>
        <row r="2959">
          <cell r="A2959">
            <v>1811100126</v>
          </cell>
          <cell r="B2959" t="str">
            <v>דמי הבראה</v>
          </cell>
          <cell r="C2959">
            <v>284050</v>
          </cell>
          <cell r="D2959">
            <v>315659.32</v>
          </cell>
          <cell r="E2959">
            <v>0</v>
          </cell>
          <cell r="F2959">
            <v>315659.32</v>
          </cell>
          <cell r="G2959">
            <v>-31609.32</v>
          </cell>
          <cell r="H2959">
            <v>111.12</v>
          </cell>
          <cell r="I2959">
            <v>299000</v>
          </cell>
          <cell r="J2959">
            <v>315659.32</v>
          </cell>
        </row>
        <row r="2960">
          <cell r="A2960">
            <v>1811100130</v>
          </cell>
          <cell r="B2960" t="str">
            <v>שעות נוספות</v>
          </cell>
          <cell r="C2960">
            <v>210805</v>
          </cell>
          <cell r="D2960">
            <v>364046.35</v>
          </cell>
          <cell r="E2960">
            <v>0</v>
          </cell>
          <cell r="F2960">
            <v>364046.35</v>
          </cell>
          <cell r="G2960">
            <v>-153241.35</v>
          </cell>
          <cell r="H2960">
            <v>172.69</v>
          </cell>
          <cell r="I2960">
            <v>221900</v>
          </cell>
          <cell r="J2960">
            <v>364046.35</v>
          </cell>
        </row>
        <row r="2961">
          <cell r="A2961">
            <v>1811100140</v>
          </cell>
          <cell r="B2961" t="str">
            <v>השתתפות באחזקת רכב</v>
          </cell>
          <cell r="C2961">
            <v>1315750</v>
          </cell>
          <cell r="D2961">
            <v>1661577.1</v>
          </cell>
          <cell r="E2961">
            <v>0</v>
          </cell>
          <cell r="F2961">
            <v>1661577.1</v>
          </cell>
          <cell r="G2961">
            <v>-345827.1</v>
          </cell>
          <cell r="H2961">
            <v>126.28</v>
          </cell>
          <cell r="I2961">
            <v>1385000</v>
          </cell>
          <cell r="J2961">
            <v>1661577.1</v>
          </cell>
        </row>
        <row r="2962">
          <cell r="A2962">
            <v>1811100210</v>
          </cell>
          <cell r="B2962" t="str">
            <v>השכר הקובע</v>
          </cell>
          <cell r="C2962">
            <v>0</v>
          </cell>
          <cell r="D2962">
            <v>218910.62</v>
          </cell>
          <cell r="E2962">
            <v>0</v>
          </cell>
          <cell r="F2962">
            <v>218910.62</v>
          </cell>
          <cell r="G2962">
            <v>-218910.62</v>
          </cell>
          <cell r="H2962">
            <v>0</v>
          </cell>
          <cell r="I2962">
            <v>0</v>
          </cell>
          <cell r="J2962">
            <v>218910.62</v>
          </cell>
        </row>
        <row r="2963">
          <cell r="A2963">
            <v>1811100250</v>
          </cell>
          <cell r="B2963" t="str">
            <v>שכר מושאלים</v>
          </cell>
          <cell r="C2963">
            <v>0</v>
          </cell>
          <cell r="D2963">
            <v>0</v>
          </cell>
          <cell r="E2963">
            <v>0</v>
          </cell>
          <cell r="F2963">
            <v>0</v>
          </cell>
          <cell r="G2963">
            <v>0</v>
          </cell>
          <cell r="H2963">
            <v>0</v>
          </cell>
          <cell r="I2963">
            <v>0</v>
          </cell>
          <cell r="J2963">
            <v>0</v>
          </cell>
        </row>
        <row r="2964">
          <cell r="A2964">
            <v>1811100263</v>
          </cell>
          <cell r="B2964" t="str">
            <v>עובדי חברה</v>
          </cell>
          <cell r="C2964">
            <v>200000</v>
          </cell>
          <cell r="D2964">
            <v>339342.41</v>
          </cell>
          <cell r="E2964">
            <v>0</v>
          </cell>
          <cell r="F2964">
            <v>339342.41</v>
          </cell>
          <cell r="G2964">
            <v>-139342.41</v>
          </cell>
          <cell r="H2964">
            <v>169.67</v>
          </cell>
          <cell r="I2964">
            <v>200000</v>
          </cell>
          <cell r="J2964">
            <v>339342.41</v>
          </cell>
        </row>
        <row r="2965">
          <cell r="A2965">
            <v>1811100264</v>
          </cell>
          <cell r="B2965" t="str">
            <v>אגף פרט</v>
          </cell>
          <cell r="C2965">
            <v>46000</v>
          </cell>
          <cell r="D2965">
            <v>58335.1</v>
          </cell>
          <cell r="E2965">
            <v>0</v>
          </cell>
          <cell r="F2965">
            <v>58335.1</v>
          </cell>
          <cell r="G2965">
            <v>-12335.1</v>
          </cell>
          <cell r="H2965">
            <v>126.81</v>
          </cell>
          <cell r="I2965">
            <v>46000</v>
          </cell>
          <cell r="J2965">
            <v>58335.1</v>
          </cell>
        </row>
        <row r="2966">
          <cell r="A2966">
            <v>1811100350</v>
          </cell>
          <cell r="B2966" t="str">
            <v>ליסינג לשני רכבים</v>
          </cell>
          <cell r="C2966">
            <v>83600</v>
          </cell>
          <cell r="D2966">
            <v>89791.38</v>
          </cell>
          <cell r="E2966">
            <v>0</v>
          </cell>
          <cell r="F2966">
            <v>89791.38</v>
          </cell>
          <cell r="G2966">
            <v>-6191.38</v>
          </cell>
          <cell r="H2966">
            <v>107.4</v>
          </cell>
          <cell r="I2966">
            <v>88000</v>
          </cell>
          <cell r="J2966">
            <v>89791.38</v>
          </cell>
        </row>
        <row r="2967">
          <cell r="A2967">
            <v>1811100351</v>
          </cell>
          <cell r="B2967" t="str">
            <v>הוצאות רכב לשני רכבים</v>
          </cell>
          <cell r="C2967">
            <v>79800</v>
          </cell>
          <cell r="D2967">
            <v>39507.660000000003</v>
          </cell>
          <cell r="E2967">
            <v>0</v>
          </cell>
          <cell r="F2967">
            <v>39507.660000000003</v>
          </cell>
          <cell r="G2967">
            <v>40292.339999999997</v>
          </cell>
          <cell r="H2967">
            <v>49.5</v>
          </cell>
          <cell r="I2967">
            <v>84000</v>
          </cell>
          <cell r="J2967">
            <v>39507.660000000003</v>
          </cell>
        </row>
        <row r="2968">
          <cell r="A2968">
            <v>1811100391</v>
          </cell>
          <cell r="B2968" t="str">
            <v>הפרשה לפנסיה</v>
          </cell>
          <cell r="C2968">
            <v>0</v>
          </cell>
          <cell r="D2968">
            <v>0</v>
          </cell>
          <cell r="E2968">
            <v>0</v>
          </cell>
          <cell r="F2968">
            <v>0</v>
          </cell>
          <cell r="G2968">
            <v>0</v>
          </cell>
          <cell r="H2968">
            <v>0</v>
          </cell>
          <cell r="I2968">
            <v>0</v>
          </cell>
          <cell r="J2968">
            <v>0</v>
          </cell>
        </row>
        <row r="2969">
          <cell r="A2969">
            <v>1811100431</v>
          </cell>
          <cell r="B2969" t="str">
            <v>חשמל</v>
          </cell>
          <cell r="C2969">
            <v>135850</v>
          </cell>
          <cell r="D2969">
            <v>-10000</v>
          </cell>
          <cell r="E2969">
            <v>0</v>
          </cell>
          <cell r="F2969">
            <v>-10000</v>
          </cell>
          <cell r="G2969">
            <v>145850</v>
          </cell>
          <cell r="H2969">
            <v>-7.36</v>
          </cell>
          <cell r="I2969">
            <v>143000</v>
          </cell>
          <cell r="J2969">
            <v>-10000</v>
          </cell>
        </row>
        <row r="2970">
          <cell r="A2970">
            <v>1811100432</v>
          </cell>
          <cell r="B2970" t="str">
            <v>מים</v>
          </cell>
          <cell r="C2970">
            <v>0</v>
          </cell>
          <cell r="D2970">
            <v>0</v>
          </cell>
          <cell r="E2970">
            <v>0</v>
          </cell>
          <cell r="F2970">
            <v>0</v>
          </cell>
          <cell r="G2970">
            <v>0</v>
          </cell>
          <cell r="H2970">
            <v>0</v>
          </cell>
          <cell r="I2970">
            <v>0</v>
          </cell>
          <cell r="J2970">
            <v>0</v>
          </cell>
        </row>
        <row r="2971">
          <cell r="A2971">
            <v>1811100435</v>
          </cell>
          <cell r="B2971" t="str">
            <v>השת' באחזקת מחשבים</v>
          </cell>
          <cell r="C2971">
            <v>812250</v>
          </cell>
          <cell r="D2971">
            <v>809201.78</v>
          </cell>
          <cell r="E2971">
            <v>0</v>
          </cell>
          <cell r="F2971">
            <v>809201.78</v>
          </cell>
          <cell r="G2971">
            <v>3048.22</v>
          </cell>
          <cell r="H2971">
            <v>99.62</v>
          </cell>
          <cell r="I2971">
            <v>855000</v>
          </cell>
          <cell r="J2971">
            <v>809201.78</v>
          </cell>
        </row>
        <row r="2972">
          <cell r="A2972">
            <v>1811100436</v>
          </cell>
          <cell r="B2972" t="str">
            <v>אחזקת מזגנים</v>
          </cell>
          <cell r="C2972">
            <v>90250</v>
          </cell>
          <cell r="D2972">
            <v>8596</v>
          </cell>
          <cell r="E2972">
            <v>0</v>
          </cell>
          <cell r="F2972">
            <v>8596</v>
          </cell>
          <cell r="G2972">
            <v>81654</v>
          </cell>
          <cell r="H2972">
            <v>9.52</v>
          </cell>
          <cell r="I2972">
            <v>95000</v>
          </cell>
          <cell r="J2972">
            <v>8596</v>
          </cell>
        </row>
        <row r="2973">
          <cell r="A2973">
            <v>1811100437</v>
          </cell>
          <cell r="B2973" t="str">
            <v>אחזקת אזעקה</v>
          </cell>
          <cell r="C2973">
            <v>1235</v>
          </cell>
          <cell r="D2973">
            <v>3053.7</v>
          </cell>
          <cell r="E2973">
            <v>0</v>
          </cell>
          <cell r="F2973">
            <v>3053.7</v>
          </cell>
          <cell r="G2973">
            <v>-1818.7</v>
          </cell>
          <cell r="H2973">
            <v>247.26</v>
          </cell>
          <cell r="I2973">
            <v>1300</v>
          </cell>
          <cell r="J2973">
            <v>3053.7</v>
          </cell>
        </row>
        <row r="2974">
          <cell r="A2974">
            <v>1811100438</v>
          </cell>
          <cell r="B2974" t="str">
            <v>ביטחון ובטיחות</v>
          </cell>
          <cell r="C2974">
            <v>0</v>
          </cell>
          <cell r="D2974">
            <v>0</v>
          </cell>
          <cell r="E2974">
            <v>0</v>
          </cell>
          <cell r="F2974">
            <v>0</v>
          </cell>
          <cell r="G2974">
            <v>0</v>
          </cell>
          <cell r="H2974">
            <v>0</v>
          </cell>
          <cell r="I2974">
            <v>0</v>
          </cell>
          <cell r="J2974">
            <v>0</v>
          </cell>
        </row>
        <row r="2975">
          <cell r="A2975">
            <v>1811100450</v>
          </cell>
          <cell r="B2975" t="str">
            <v>אחזקת תמי 4</v>
          </cell>
          <cell r="C2975">
            <v>4275</v>
          </cell>
          <cell r="D2975">
            <v>0</v>
          </cell>
          <cell r="E2975">
            <v>0</v>
          </cell>
          <cell r="F2975">
            <v>0</v>
          </cell>
          <cell r="G2975">
            <v>4275</v>
          </cell>
          <cell r="H2975">
            <v>0</v>
          </cell>
          <cell r="I2975">
            <v>4500</v>
          </cell>
          <cell r="J2975">
            <v>0</v>
          </cell>
        </row>
        <row r="2976">
          <cell r="A2976">
            <v>1811100451</v>
          </cell>
          <cell r="B2976" t="str">
            <v>אחזקת דפיברילטור</v>
          </cell>
          <cell r="C2976">
            <v>2850</v>
          </cell>
          <cell r="D2976">
            <v>0</v>
          </cell>
          <cell r="E2976">
            <v>2492.1</v>
          </cell>
          <cell r="F2976">
            <v>2492.1</v>
          </cell>
          <cell r="G2976">
            <v>357.9</v>
          </cell>
          <cell r="H2976">
            <v>87.44</v>
          </cell>
          <cell r="I2976">
            <v>3000</v>
          </cell>
          <cell r="J2976">
            <v>0</v>
          </cell>
        </row>
        <row r="2977">
          <cell r="A2977">
            <v>1811100470</v>
          </cell>
          <cell r="B2977" t="str">
            <v>אחזקת מכונות משרד</v>
          </cell>
          <cell r="C2977">
            <v>4845</v>
          </cell>
          <cell r="D2977">
            <v>1352.3</v>
          </cell>
          <cell r="E2977">
            <v>0</v>
          </cell>
          <cell r="F2977">
            <v>1352.3</v>
          </cell>
          <cell r="G2977">
            <v>3492.7</v>
          </cell>
          <cell r="H2977">
            <v>27.91</v>
          </cell>
          <cell r="I2977">
            <v>5100</v>
          </cell>
          <cell r="J2977">
            <v>1352.3</v>
          </cell>
        </row>
        <row r="2978">
          <cell r="A2978">
            <v>1811100471</v>
          </cell>
          <cell r="B2978" t="str">
            <v>מכשירי כתיבה</v>
          </cell>
          <cell r="C2978">
            <v>85500</v>
          </cell>
          <cell r="D2978">
            <v>83608.02</v>
          </cell>
          <cell r="E2978">
            <v>917.77</v>
          </cell>
          <cell r="F2978">
            <v>84525.79</v>
          </cell>
          <cell r="G2978">
            <v>974.21</v>
          </cell>
          <cell r="H2978">
            <v>98.86</v>
          </cell>
          <cell r="I2978">
            <v>85500</v>
          </cell>
          <cell r="J2978">
            <v>83608.02</v>
          </cell>
        </row>
        <row r="2979">
          <cell r="A2979">
            <v>1811100492</v>
          </cell>
          <cell r="B2979" t="str">
            <v>השתתפות בעזר 092</v>
          </cell>
          <cell r="C2979">
            <v>1316890</v>
          </cell>
          <cell r="D2979">
            <v>1607860.76</v>
          </cell>
          <cell r="E2979">
            <v>0</v>
          </cell>
          <cell r="F2979">
            <v>1607860.76</v>
          </cell>
          <cell r="G2979">
            <v>-290970.76</v>
          </cell>
          <cell r="H2979">
            <v>122.09</v>
          </cell>
          <cell r="I2979">
            <v>1386200</v>
          </cell>
          <cell r="J2979">
            <v>1607860.76</v>
          </cell>
        </row>
        <row r="2980">
          <cell r="A2980">
            <v>1811100511</v>
          </cell>
          <cell r="B2980" t="str">
            <v>אירוח וכיבוד</v>
          </cell>
          <cell r="C2980">
            <v>22100</v>
          </cell>
          <cell r="D2980">
            <v>21833.37</v>
          </cell>
          <cell r="E2980">
            <v>0</v>
          </cell>
          <cell r="F2980">
            <v>21833.37</v>
          </cell>
          <cell r="G2980">
            <v>266.63</v>
          </cell>
          <cell r="H2980">
            <v>98.79</v>
          </cell>
          <cell r="I2980">
            <v>22100</v>
          </cell>
          <cell r="J2980">
            <v>21833.37</v>
          </cell>
        </row>
        <row r="2981">
          <cell r="A2981">
            <v>1811100512</v>
          </cell>
          <cell r="B2981" t="str">
            <v>נסיעות ואש"ל</v>
          </cell>
          <cell r="C2981">
            <v>1615</v>
          </cell>
          <cell r="D2981">
            <v>428</v>
          </cell>
          <cell r="E2981">
            <v>0</v>
          </cell>
          <cell r="F2981">
            <v>428</v>
          </cell>
          <cell r="G2981">
            <v>1187</v>
          </cell>
          <cell r="H2981">
            <v>26.5</v>
          </cell>
          <cell r="I2981">
            <v>1700</v>
          </cell>
          <cell r="J2981">
            <v>428</v>
          </cell>
        </row>
        <row r="2982">
          <cell r="A2982">
            <v>1811100522</v>
          </cell>
          <cell r="B2982" t="str">
            <v>ספרים ועיתונים</v>
          </cell>
          <cell r="C2982">
            <v>2470</v>
          </cell>
          <cell r="D2982">
            <v>0</v>
          </cell>
          <cell r="E2982">
            <v>0</v>
          </cell>
          <cell r="F2982">
            <v>0</v>
          </cell>
          <cell r="G2982">
            <v>2470</v>
          </cell>
          <cell r="H2982">
            <v>0</v>
          </cell>
          <cell r="I2982">
            <v>2600</v>
          </cell>
          <cell r="J2982">
            <v>0</v>
          </cell>
        </row>
        <row r="2983">
          <cell r="A2983">
            <v>1811100540</v>
          </cell>
          <cell r="B2983" t="str">
            <v>הוצאות טלפון</v>
          </cell>
          <cell r="C2983">
            <v>0</v>
          </cell>
          <cell r="D2983">
            <v>0</v>
          </cell>
          <cell r="E2983">
            <v>0</v>
          </cell>
          <cell r="F2983">
            <v>0</v>
          </cell>
          <cell r="G2983">
            <v>0</v>
          </cell>
          <cell r="H2983">
            <v>0</v>
          </cell>
          <cell r="I2983">
            <v>0</v>
          </cell>
          <cell r="J2983">
            <v>0</v>
          </cell>
        </row>
        <row r="2984">
          <cell r="A2984">
            <v>1811100544</v>
          </cell>
          <cell r="B2984" t="str">
            <v>הוצאות דאר</v>
          </cell>
          <cell r="C2984">
            <v>56905</v>
          </cell>
          <cell r="D2984">
            <v>68641.899999999994</v>
          </cell>
          <cell r="E2984">
            <v>0</v>
          </cell>
          <cell r="F2984">
            <v>68641.899999999994</v>
          </cell>
          <cell r="G2984">
            <v>-11736.9</v>
          </cell>
          <cell r="H2984">
            <v>120.62</v>
          </cell>
          <cell r="I2984">
            <v>59900</v>
          </cell>
          <cell r="J2984">
            <v>68641.899999999994</v>
          </cell>
        </row>
        <row r="2985">
          <cell r="A2985">
            <v>1811100550</v>
          </cell>
          <cell r="B2985" t="str">
            <v>פירסומים</v>
          </cell>
          <cell r="C2985">
            <v>4750</v>
          </cell>
          <cell r="D2985">
            <v>2813.5</v>
          </cell>
          <cell r="E2985">
            <v>982.8</v>
          </cell>
          <cell r="F2985">
            <v>3796.3</v>
          </cell>
          <cell r="G2985">
            <v>953.7</v>
          </cell>
          <cell r="H2985">
            <v>79.92</v>
          </cell>
          <cell r="I2985">
            <v>5000</v>
          </cell>
          <cell r="J2985">
            <v>2813.5</v>
          </cell>
        </row>
        <row r="2986">
          <cell r="A2986">
            <v>1811100551</v>
          </cell>
          <cell r="B2986" t="str">
            <v>מודעות והדבקתן</v>
          </cell>
          <cell r="C2986">
            <v>0</v>
          </cell>
          <cell r="D2986">
            <v>0</v>
          </cell>
          <cell r="E2986">
            <v>0</v>
          </cell>
          <cell r="F2986">
            <v>0</v>
          </cell>
          <cell r="G2986">
            <v>0</v>
          </cell>
          <cell r="H2986">
            <v>0</v>
          </cell>
          <cell r="I2986">
            <v>0</v>
          </cell>
          <cell r="J2986">
            <v>0</v>
          </cell>
        </row>
        <row r="2987">
          <cell r="A2987">
            <v>1811100561</v>
          </cell>
          <cell r="B2987" t="str">
            <v>שיכפולים</v>
          </cell>
          <cell r="C2987">
            <v>0</v>
          </cell>
          <cell r="D2987">
            <v>0</v>
          </cell>
          <cell r="E2987">
            <v>0</v>
          </cell>
          <cell r="F2987">
            <v>0</v>
          </cell>
          <cell r="G2987">
            <v>0</v>
          </cell>
          <cell r="H2987">
            <v>0</v>
          </cell>
          <cell r="I2987">
            <v>0</v>
          </cell>
          <cell r="J2987">
            <v>0</v>
          </cell>
        </row>
        <row r="2988">
          <cell r="A2988">
            <v>1811100562</v>
          </cell>
          <cell r="B2988" t="str">
            <v>הדפסות</v>
          </cell>
          <cell r="C2988">
            <v>4465</v>
          </cell>
          <cell r="D2988">
            <v>2879.2</v>
          </cell>
          <cell r="E2988">
            <v>0</v>
          </cell>
          <cell r="F2988">
            <v>2879.2</v>
          </cell>
          <cell r="G2988">
            <v>1585.8</v>
          </cell>
          <cell r="H2988">
            <v>64.48</v>
          </cell>
          <cell r="I2988">
            <v>4700</v>
          </cell>
          <cell r="J2988">
            <v>2879.2</v>
          </cell>
        </row>
        <row r="2989">
          <cell r="A2989">
            <v>1811100566</v>
          </cell>
          <cell r="B2989" t="str">
            <v>.</v>
          </cell>
          <cell r="C2989">
            <v>0</v>
          </cell>
          <cell r="D2989">
            <v>0</v>
          </cell>
          <cell r="E2989">
            <v>0</v>
          </cell>
          <cell r="F2989">
            <v>0</v>
          </cell>
          <cell r="G2989">
            <v>0</v>
          </cell>
          <cell r="H2989">
            <v>0</v>
          </cell>
          <cell r="I2989">
            <v>0</v>
          </cell>
          <cell r="J2989">
            <v>0</v>
          </cell>
        </row>
        <row r="2990">
          <cell r="A2990">
            <v>1811100570</v>
          </cell>
          <cell r="B2990" t="str">
            <v>מערכות מידע ותקשוב-חינוך</v>
          </cell>
          <cell r="C2990">
            <v>0</v>
          </cell>
          <cell r="D2990">
            <v>0</v>
          </cell>
          <cell r="E2990">
            <v>0</v>
          </cell>
          <cell r="F2990">
            <v>0</v>
          </cell>
          <cell r="G2990">
            <v>0</v>
          </cell>
          <cell r="H2990">
            <v>0</v>
          </cell>
          <cell r="I2990">
            <v>0</v>
          </cell>
          <cell r="J2990">
            <v>0</v>
          </cell>
        </row>
        <row r="2991">
          <cell r="A2991">
            <v>1811100571</v>
          </cell>
          <cell r="B2991" t="str">
            <v>מיכון וענ"א</v>
          </cell>
          <cell r="C2991">
            <v>498845</v>
          </cell>
          <cell r="D2991">
            <v>525100</v>
          </cell>
          <cell r="E2991">
            <v>0</v>
          </cell>
          <cell r="F2991">
            <v>525100</v>
          </cell>
          <cell r="G2991">
            <v>-26255</v>
          </cell>
          <cell r="H2991">
            <v>105.26</v>
          </cell>
          <cell r="I2991">
            <v>525100</v>
          </cell>
          <cell r="J2991">
            <v>525100</v>
          </cell>
        </row>
        <row r="2992">
          <cell r="A2992">
            <v>1811100580</v>
          </cell>
          <cell r="B2992" t="str">
            <v>ממונה בטיחות מוסדות חינוך</v>
          </cell>
          <cell r="C2992">
            <v>350000</v>
          </cell>
          <cell r="D2992">
            <v>350000</v>
          </cell>
          <cell r="E2992">
            <v>0</v>
          </cell>
          <cell r="F2992">
            <v>350000</v>
          </cell>
          <cell r="G2992">
            <v>0</v>
          </cell>
          <cell r="H2992">
            <v>100</v>
          </cell>
          <cell r="I2992">
            <v>350000</v>
          </cell>
          <cell r="J2992">
            <v>350000</v>
          </cell>
        </row>
        <row r="2993">
          <cell r="A2993">
            <v>1811100583</v>
          </cell>
          <cell r="B2993" t="str">
            <v>שרותי הקלדה</v>
          </cell>
          <cell r="C2993">
            <v>42750</v>
          </cell>
          <cell r="D2993">
            <v>0</v>
          </cell>
          <cell r="E2993">
            <v>0</v>
          </cell>
          <cell r="F2993">
            <v>0</v>
          </cell>
          <cell r="G2993">
            <v>42750</v>
          </cell>
          <cell r="H2993">
            <v>0</v>
          </cell>
          <cell r="I2993">
            <v>45000</v>
          </cell>
          <cell r="J2993">
            <v>0</v>
          </cell>
        </row>
        <row r="2994">
          <cell r="A2994">
            <v>1811100596</v>
          </cell>
          <cell r="B2994" t="str">
            <v>השתתפות בעזר 096</v>
          </cell>
          <cell r="C2994">
            <v>21565</v>
          </cell>
          <cell r="D2994">
            <v>21217</v>
          </cell>
          <cell r="E2994">
            <v>0</v>
          </cell>
          <cell r="F2994">
            <v>21217</v>
          </cell>
          <cell r="G2994">
            <v>348</v>
          </cell>
          <cell r="H2994">
            <v>98.38</v>
          </cell>
          <cell r="I2994">
            <v>22700</v>
          </cell>
          <cell r="J2994">
            <v>21217</v>
          </cell>
        </row>
        <row r="2995">
          <cell r="A2995">
            <v>1811100710</v>
          </cell>
          <cell r="B2995" t="str">
            <v>הובלות אינוונטר</v>
          </cell>
          <cell r="C2995">
            <v>142975</v>
          </cell>
          <cell r="D2995">
            <v>150499.5</v>
          </cell>
          <cell r="E2995">
            <v>0</v>
          </cell>
          <cell r="F2995">
            <v>150499.5</v>
          </cell>
          <cell r="G2995">
            <v>-7524.5</v>
          </cell>
          <cell r="H2995">
            <v>105.26</v>
          </cell>
          <cell r="I2995">
            <v>150500</v>
          </cell>
          <cell r="J2995">
            <v>150499.5</v>
          </cell>
        </row>
        <row r="2996">
          <cell r="A2996">
            <v>1811100729</v>
          </cell>
          <cell r="B2996" t="str">
            <v>מרכז טכנולוגי</v>
          </cell>
          <cell r="C2996">
            <v>810000</v>
          </cell>
          <cell r="D2996">
            <v>681702.68</v>
          </cell>
          <cell r="E2996">
            <v>117342.3</v>
          </cell>
          <cell r="F2996">
            <v>799044.98</v>
          </cell>
          <cell r="G2996">
            <v>10955.02</v>
          </cell>
          <cell r="H2996">
            <v>98.64</v>
          </cell>
          <cell r="I2996">
            <v>810000</v>
          </cell>
          <cell r="J2996">
            <v>681702.68</v>
          </cell>
        </row>
        <row r="2997">
          <cell r="A2997">
            <v>1811100745</v>
          </cell>
          <cell r="B2997" t="str">
            <v>החזרי ביטוח שמשות</v>
          </cell>
          <cell r="C2997">
            <v>0</v>
          </cell>
          <cell r="D2997">
            <v>0</v>
          </cell>
          <cell r="E2997">
            <v>0</v>
          </cell>
          <cell r="F2997">
            <v>0</v>
          </cell>
          <cell r="G2997">
            <v>0</v>
          </cell>
          <cell r="H2997">
            <v>0</v>
          </cell>
          <cell r="I2997">
            <v>0</v>
          </cell>
          <cell r="J2997">
            <v>0</v>
          </cell>
        </row>
        <row r="2998">
          <cell r="A2998">
            <v>1811100750</v>
          </cell>
          <cell r="B2998" t="str">
            <v>אחזקת מוסדות-בית רותר</v>
          </cell>
          <cell r="C2998">
            <v>265000</v>
          </cell>
          <cell r="D2998">
            <v>256736.24</v>
          </cell>
          <cell r="E2998">
            <v>0</v>
          </cell>
          <cell r="F2998">
            <v>256736.24</v>
          </cell>
          <cell r="G2998">
            <v>8263.76</v>
          </cell>
          <cell r="H2998">
            <v>96.88</v>
          </cell>
          <cell r="I2998">
            <v>265000</v>
          </cell>
          <cell r="J2998">
            <v>256736.24</v>
          </cell>
        </row>
        <row r="2999">
          <cell r="A2999">
            <v>1811100751</v>
          </cell>
          <cell r="B2999" t="str">
            <v>עבודות קבלניות</v>
          </cell>
          <cell r="C2999">
            <v>51300</v>
          </cell>
          <cell r="D2999">
            <v>46231</v>
          </cell>
          <cell r="E2999">
            <v>0</v>
          </cell>
          <cell r="F2999">
            <v>46231</v>
          </cell>
          <cell r="G2999">
            <v>5069</v>
          </cell>
          <cell r="H2999">
            <v>90.11</v>
          </cell>
          <cell r="I2999">
            <v>51300</v>
          </cell>
          <cell r="J2999">
            <v>46231</v>
          </cell>
        </row>
        <row r="3000">
          <cell r="A3000">
            <v>1811100752</v>
          </cell>
          <cell r="B3000" t="str">
            <v>נקיון בקבלנות</v>
          </cell>
          <cell r="C3000">
            <v>300000</v>
          </cell>
          <cell r="D3000">
            <v>297027.84000000003</v>
          </cell>
          <cell r="E3000">
            <v>0</v>
          </cell>
          <cell r="F3000">
            <v>297027.84000000003</v>
          </cell>
          <cell r="G3000">
            <v>2972.16</v>
          </cell>
          <cell r="H3000">
            <v>99</v>
          </cell>
          <cell r="I3000">
            <v>300000</v>
          </cell>
          <cell r="J3000">
            <v>297027.84000000003</v>
          </cell>
        </row>
        <row r="3001">
          <cell r="A3001">
            <v>1811100753</v>
          </cell>
          <cell r="B3001" t="str">
            <v>עובדים חיצוניים</v>
          </cell>
          <cell r="C3001">
            <v>0</v>
          </cell>
          <cell r="D3001">
            <v>0</v>
          </cell>
          <cell r="E3001">
            <v>0</v>
          </cell>
          <cell r="F3001">
            <v>0</v>
          </cell>
          <cell r="G3001">
            <v>0</v>
          </cell>
          <cell r="H3001">
            <v>0</v>
          </cell>
          <cell r="I3001">
            <v>0</v>
          </cell>
          <cell r="J3001">
            <v>0</v>
          </cell>
        </row>
        <row r="3002">
          <cell r="A3002">
            <v>1811100754</v>
          </cell>
          <cell r="B3002" t="str">
            <v>עבודות איטום</v>
          </cell>
          <cell r="C3002">
            <v>0</v>
          </cell>
          <cell r="D3002">
            <v>0</v>
          </cell>
          <cell r="E3002">
            <v>0</v>
          </cell>
          <cell r="F3002">
            <v>0</v>
          </cell>
          <cell r="G3002">
            <v>0</v>
          </cell>
          <cell r="H3002">
            <v>0</v>
          </cell>
          <cell r="I3002">
            <v>0</v>
          </cell>
          <cell r="J3002">
            <v>0</v>
          </cell>
        </row>
        <row r="3003">
          <cell r="A3003">
            <v>1811100755</v>
          </cell>
          <cell r="B3003" t="str">
            <v>רכז מנהל תפעול ניקיון</v>
          </cell>
          <cell r="C3003">
            <v>0</v>
          </cell>
          <cell r="D3003">
            <v>0</v>
          </cell>
          <cell r="E3003">
            <v>0</v>
          </cell>
          <cell r="F3003">
            <v>0</v>
          </cell>
          <cell r="G3003">
            <v>0</v>
          </cell>
          <cell r="H3003">
            <v>0</v>
          </cell>
          <cell r="I3003">
            <v>0</v>
          </cell>
          <cell r="J3003">
            <v>0</v>
          </cell>
        </row>
        <row r="3004">
          <cell r="A3004">
            <v>1811100756</v>
          </cell>
          <cell r="B3004" t="str">
            <v>שמירה בקבלנות</v>
          </cell>
          <cell r="C3004">
            <v>220000</v>
          </cell>
          <cell r="D3004">
            <v>379247.11</v>
          </cell>
          <cell r="E3004">
            <v>0</v>
          </cell>
          <cell r="F3004">
            <v>379247.11</v>
          </cell>
          <cell r="G3004">
            <v>-159247.10999999999</v>
          </cell>
          <cell r="H3004">
            <v>172.38</v>
          </cell>
          <cell r="I3004">
            <v>220000</v>
          </cell>
          <cell r="J3004">
            <v>379247.11</v>
          </cell>
        </row>
        <row r="3005">
          <cell r="A3005">
            <v>1811100757</v>
          </cell>
          <cell r="B3005" t="str">
            <v>בד' מבנים מסוכנים</v>
          </cell>
          <cell r="C3005">
            <v>0</v>
          </cell>
          <cell r="D3005">
            <v>0</v>
          </cell>
          <cell r="E3005">
            <v>0</v>
          </cell>
          <cell r="F3005">
            <v>0</v>
          </cell>
          <cell r="G3005">
            <v>0</v>
          </cell>
          <cell r="H3005">
            <v>0</v>
          </cell>
          <cell r="I3005">
            <v>0</v>
          </cell>
          <cell r="J3005">
            <v>0</v>
          </cell>
        </row>
        <row r="3006">
          <cell r="A3006">
            <v>1811100758</v>
          </cell>
          <cell r="B3006" t="str">
            <v>עבודות חב' כלכלית</v>
          </cell>
          <cell r="C3006">
            <v>0</v>
          </cell>
          <cell r="D3006">
            <v>0</v>
          </cell>
          <cell r="E3006">
            <v>0</v>
          </cell>
          <cell r="F3006">
            <v>0</v>
          </cell>
          <cell r="G3006">
            <v>0</v>
          </cell>
          <cell r="H3006">
            <v>0</v>
          </cell>
          <cell r="I3006">
            <v>0</v>
          </cell>
          <cell r="J3006">
            <v>0</v>
          </cell>
        </row>
        <row r="3007">
          <cell r="A3007">
            <v>1811100759</v>
          </cell>
          <cell r="B3007" t="str">
            <v>טכנאים למחשבים בגנ"י ובבי"ס</v>
          </cell>
          <cell r="C3007">
            <v>1044050</v>
          </cell>
          <cell r="D3007">
            <v>993120</v>
          </cell>
          <cell r="E3007">
            <v>0</v>
          </cell>
          <cell r="F3007">
            <v>993120</v>
          </cell>
          <cell r="G3007">
            <v>50930</v>
          </cell>
          <cell r="H3007">
            <v>95.12</v>
          </cell>
          <cell r="I3007">
            <v>1099000</v>
          </cell>
          <cell r="J3007">
            <v>993120</v>
          </cell>
        </row>
        <row r="3008">
          <cell r="A3008">
            <v>1811100763</v>
          </cell>
          <cell r="B3008" t="str">
            <v>עובדי חברת מוסדות</v>
          </cell>
          <cell r="C3008">
            <v>0</v>
          </cell>
          <cell r="D3008">
            <v>0</v>
          </cell>
          <cell r="E3008">
            <v>0</v>
          </cell>
          <cell r="F3008">
            <v>0</v>
          </cell>
          <cell r="G3008">
            <v>0</v>
          </cell>
          <cell r="H3008">
            <v>0</v>
          </cell>
          <cell r="I3008">
            <v>0</v>
          </cell>
          <cell r="J3008">
            <v>0</v>
          </cell>
        </row>
        <row r="3009">
          <cell r="A3009">
            <v>1811100780</v>
          </cell>
          <cell r="B3009" t="str">
            <v>ארועים-מינהל חינוך</v>
          </cell>
          <cell r="C3009">
            <v>25700</v>
          </cell>
          <cell r="D3009">
            <v>25108.13</v>
          </cell>
          <cell r="E3009">
            <v>0</v>
          </cell>
          <cell r="F3009">
            <v>25108.13</v>
          </cell>
          <cell r="G3009">
            <v>591.87</v>
          </cell>
          <cell r="H3009">
            <v>97.69</v>
          </cell>
          <cell r="I3009">
            <v>25700</v>
          </cell>
          <cell r="J3009">
            <v>25108.13</v>
          </cell>
        </row>
        <row r="3010">
          <cell r="A3010">
            <v>1811100781</v>
          </cell>
          <cell r="B3010" t="str">
            <v>פעולות סמנכ"ל</v>
          </cell>
          <cell r="C3010">
            <v>38000</v>
          </cell>
          <cell r="D3010">
            <v>34829.51</v>
          </cell>
          <cell r="E3010">
            <v>1514.57</v>
          </cell>
          <cell r="F3010">
            <v>36344.080000000002</v>
          </cell>
          <cell r="G3010">
            <v>1655.92</v>
          </cell>
          <cell r="H3010">
            <v>95.64</v>
          </cell>
          <cell r="I3010">
            <v>40000</v>
          </cell>
          <cell r="J3010">
            <v>34829.51</v>
          </cell>
        </row>
        <row r="3011">
          <cell r="A3011">
            <v>1811100782</v>
          </cell>
          <cell r="B3011" t="str">
            <v>כנס חולון לחינוך</v>
          </cell>
          <cell r="C3011">
            <v>0</v>
          </cell>
          <cell r="D3011">
            <v>0</v>
          </cell>
          <cell r="E3011">
            <v>0</v>
          </cell>
          <cell r="F3011">
            <v>0</v>
          </cell>
          <cell r="G3011">
            <v>0</v>
          </cell>
          <cell r="H3011">
            <v>0</v>
          </cell>
          <cell r="I3011">
            <v>0</v>
          </cell>
          <cell r="J3011">
            <v>0</v>
          </cell>
        </row>
        <row r="3012">
          <cell r="A3012">
            <v>1811100783</v>
          </cell>
          <cell r="B3012" t="str">
            <v>פעילות ועד הורים</v>
          </cell>
          <cell r="C3012">
            <v>5890</v>
          </cell>
          <cell r="D3012">
            <v>0</v>
          </cell>
          <cell r="E3012">
            <v>0</v>
          </cell>
          <cell r="F3012">
            <v>0</v>
          </cell>
          <cell r="G3012">
            <v>5890</v>
          </cell>
          <cell r="H3012">
            <v>0</v>
          </cell>
          <cell r="I3012">
            <v>6200</v>
          </cell>
          <cell r="J3012">
            <v>0</v>
          </cell>
        </row>
        <row r="3013">
          <cell r="A3013">
            <v>1811100784</v>
          </cell>
          <cell r="B3013" t="str">
            <v>פעולות שונות</v>
          </cell>
          <cell r="C3013">
            <v>51300</v>
          </cell>
          <cell r="D3013">
            <v>40296.97</v>
          </cell>
          <cell r="E3013">
            <v>11000</v>
          </cell>
          <cell r="F3013">
            <v>51296.97</v>
          </cell>
          <cell r="G3013">
            <v>3.03</v>
          </cell>
          <cell r="H3013">
            <v>99.99</v>
          </cell>
          <cell r="I3013">
            <v>51300</v>
          </cell>
          <cell r="J3013">
            <v>40296.97</v>
          </cell>
        </row>
        <row r="3014">
          <cell r="A3014">
            <v>1811100785</v>
          </cell>
          <cell r="B3014" t="str">
            <v>דירת חיילים</v>
          </cell>
          <cell r="C3014">
            <v>12255</v>
          </cell>
          <cell r="D3014">
            <v>1755</v>
          </cell>
          <cell r="E3014">
            <v>0</v>
          </cell>
          <cell r="F3014">
            <v>1755</v>
          </cell>
          <cell r="G3014">
            <v>10500</v>
          </cell>
          <cell r="H3014">
            <v>14.32</v>
          </cell>
          <cell r="I3014">
            <v>12900</v>
          </cell>
          <cell r="J3014">
            <v>1755</v>
          </cell>
        </row>
        <row r="3015">
          <cell r="A3015">
            <v>1811100786</v>
          </cell>
          <cell r="B3015" t="str">
            <v>יועץ בטיחות למתקני ספורט</v>
          </cell>
          <cell r="C3015">
            <v>90000</v>
          </cell>
          <cell r="D3015">
            <v>90000</v>
          </cell>
          <cell r="E3015">
            <v>0</v>
          </cell>
          <cell r="F3015">
            <v>90000</v>
          </cell>
          <cell r="G3015">
            <v>0</v>
          </cell>
          <cell r="H3015">
            <v>100</v>
          </cell>
          <cell r="I3015">
            <v>90000</v>
          </cell>
          <cell r="J3015">
            <v>90000</v>
          </cell>
        </row>
        <row r="3016">
          <cell r="A3016">
            <v>1811100787</v>
          </cell>
          <cell r="B3016" t="str">
            <v>בדיקת ואחז' מתקני ספורט</v>
          </cell>
          <cell r="C3016">
            <v>110000</v>
          </cell>
          <cell r="D3016">
            <v>110000</v>
          </cell>
          <cell r="E3016">
            <v>0</v>
          </cell>
          <cell r="F3016">
            <v>110000</v>
          </cell>
          <cell r="G3016">
            <v>0</v>
          </cell>
          <cell r="H3016">
            <v>100</v>
          </cell>
          <cell r="I3016">
            <v>110000</v>
          </cell>
          <cell r="J3016">
            <v>110000</v>
          </cell>
        </row>
        <row r="3017">
          <cell r="A3017">
            <v>1811100788</v>
          </cell>
          <cell r="B3017" t="str">
            <v>חדשנות</v>
          </cell>
          <cell r="C3017">
            <v>386100</v>
          </cell>
          <cell r="D3017">
            <v>324727.94</v>
          </cell>
          <cell r="E3017">
            <v>74839</v>
          </cell>
          <cell r="F3017">
            <v>399566.94</v>
          </cell>
          <cell r="G3017">
            <v>-13466.94</v>
          </cell>
          <cell r="H3017">
            <v>103.48</v>
          </cell>
          <cell r="I3017">
            <v>386100</v>
          </cell>
          <cell r="J3017">
            <v>324727.94</v>
          </cell>
        </row>
        <row r="3018">
          <cell r="A3018">
            <v>1811100789</v>
          </cell>
          <cell r="B3018" t="str">
            <v>הוצאות יעוץ כנגד הכנסות</v>
          </cell>
          <cell r="C3018">
            <v>0</v>
          </cell>
          <cell r="D3018">
            <v>0</v>
          </cell>
          <cell r="E3018">
            <v>0</v>
          </cell>
          <cell r="F3018">
            <v>0</v>
          </cell>
          <cell r="G3018">
            <v>0</v>
          </cell>
          <cell r="H3018">
            <v>0</v>
          </cell>
          <cell r="I3018">
            <v>0</v>
          </cell>
          <cell r="J3018">
            <v>0</v>
          </cell>
        </row>
        <row r="3019">
          <cell r="A3019">
            <v>1811100790</v>
          </cell>
          <cell r="B3019" t="str">
            <v>חינוך חרדי</v>
          </cell>
          <cell r="C3019">
            <v>0</v>
          </cell>
          <cell r="D3019">
            <v>0</v>
          </cell>
          <cell r="E3019">
            <v>0</v>
          </cell>
          <cell r="F3019">
            <v>0</v>
          </cell>
          <cell r="G3019">
            <v>0</v>
          </cell>
          <cell r="H3019">
            <v>0</v>
          </cell>
          <cell r="I3019">
            <v>0</v>
          </cell>
          <cell r="J3019">
            <v>0</v>
          </cell>
        </row>
        <row r="3020">
          <cell r="A3020">
            <v>1811100791</v>
          </cell>
          <cell r="B3020" t="str">
            <v>חדשנות-כנגד הכנסות</v>
          </cell>
          <cell r="C3020">
            <v>61750</v>
          </cell>
          <cell r="D3020">
            <v>22978.59</v>
          </cell>
          <cell r="E3020">
            <v>20049.87</v>
          </cell>
          <cell r="F3020">
            <v>43028.46</v>
          </cell>
          <cell r="G3020">
            <v>18721.54</v>
          </cell>
          <cell r="H3020">
            <v>69.680000000000007</v>
          </cell>
          <cell r="I3020">
            <v>65000</v>
          </cell>
          <cell r="J3020">
            <v>22978.59</v>
          </cell>
        </row>
        <row r="3021">
          <cell r="A3021">
            <v>1811100792</v>
          </cell>
          <cell r="B3021" t="str">
            <v>מנהל מגמה מדעית הנסדאית</v>
          </cell>
          <cell r="C3021">
            <v>0</v>
          </cell>
          <cell r="D3021">
            <v>0</v>
          </cell>
          <cell r="E3021">
            <v>0</v>
          </cell>
          <cell r="F3021">
            <v>0</v>
          </cell>
          <cell r="G3021">
            <v>0</v>
          </cell>
          <cell r="H3021">
            <v>0</v>
          </cell>
          <cell r="I3021">
            <v>0</v>
          </cell>
          <cell r="J3021">
            <v>0</v>
          </cell>
        </row>
        <row r="3022">
          <cell r="A3022">
            <v>1811100794</v>
          </cell>
          <cell r="B3022" t="str">
            <v>השתתפות בעזר 094</v>
          </cell>
          <cell r="C3022">
            <v>59850</v>
          </cell>
          <cell r="D3022">
            <v>75141</v>
          </cell>
          <cell r="E3022">
            <v>0</v>
          </cell>
          <cell r="F3022">
            <v>75141</v>
          </cell>
          <cell r="G3022">
            <v>-15291</v>
          </cell>
          <cell r="H3022">
            <v>125.54</v>
          </cell>
          <cell r="I3022">
            <v>63000</v>
          </cell>
          <cell r="J3022">
            <v>75141</v>
          </cell>
        </row>
        <row r="3023">
          <cell r="A3023">
            <v>1811100810</v>
          </cell>
          <cell r="B3023" t="str">
            <v>מלגות פולין</v>
          </cell>
          <cell r="C3023">
            <v>38000</v>
          </cell>
          <cell r="D3023">
            <v>0</v>
          </cell>
          <cell r="E3023">
            <v>0</v>
          </cell>
          <cell r="F3023">
            <v>0</v>
          </cell>
          <cell r="G3023">
            <v>38000</v>
          </cell>
          <cell r="H3023">
            <v>0</v>
          </cell>
          <cell r="I3023">
            <v>40000</v>
          </cell>
          <cell r="J3023">
            <v>0</v>
          </cell>
        </row>
        <row r="3024">
          <cell r="A3024">
            <v>1811100850</v>
          </cell>
          <cell r="B3024" t="str">
            <v>מלגות</v>
          </cell>
          <cell r="C3024">
            <v>1245427</v>
          </cell>
          <cell r="D3024">
            <v>1007500</v>
          </cell>
          <cell r="E3024">
            <v>0</v>
          </cell>
          <cell r="F3024">
            <v>1007500</v>
          </cell>
          <cell r="G3024">
            <v>237927</v>
          </cell>
          <cell r="H3024">
            <v>80.89</v>
          </cell>
          <cell r="I3024">
            <v>1310976</v>
          </cell>
          <cell r="J3024">
            <v>1007500</v>
          </cell>
        </row>
        <row r="3025">
          <cell r="A3025">
            <v>1811100851</v>
          </cell>
          <cell r="B3025" t="str">
            <v>מלגות לתמידי בי"ס</v>
          </cell>
          <cell r="C3025">
            <v>0</v>
          </cell>
          <cell r="D3025">
            <v>0</v>
          </cell>
          <cell r="E3025">
            <v>0</v>
          </cell>
          <cell r="F3025">
            <v>0</v>
          </cell>
          <cell r="G3025">
            <v>0</v>
          </cell>
          <cell r="H3025">
            <v>0</v>
          </cell>
          <cell r="I3025">
            <v>0</v>
          </cell>
          <cell r="J3025">
            <v>0</v>
          </cell>
        </row>
        <row r="3026">
          <cell r="A3026">
            <v>1811100852</v>
          </cell>
          <cell r="B3026" t="str">
            <v>מלגות למצטיינים</v>
          </cell>
          <cell r="C3026">
            <v>279300</v>
          </cell>
          <cell r="D3026">
            <v>238000</v>
          </cell>
          <cell r="E3026">
            <v>0</v>
          </cell>
          <cell r="F3026">
            <v>238000</v>
          </cell>
          <cell r="G3026">
            <v>41300</v>
          </cell>
          <cell r="H3026">
            <v>85.21</v>
          </cell>
          <cell r="I3026">
            <v>294000</v>
          </cell>
          <cell r="J3026">
            <v>238000</v>
          </cell>
        </row>
        <row r="3027">
          <cell r="A3027">
            <v>1811100930</v>
          </cell>
          <cell r="B3027" t="str">
            <v>מחשב לכל ילד</v>
          </cell>
          <cell r="C3027">
            <v>118180</v>
          </cell>
          <cell r="D3027">
            <v>34486</v>
          </cell>
          <cell r="E3027">
            <v>0</v>
          </cell>
          <cell r="F3027">
            <v>34486</v>
          </cell>
          <cell r="G3027">
            <v>83694</v>
          </cell>
          <cell r="H3027">
            <v>29.18</v>
          </cell>
          <cell r="I3027">
            <v>124400</v>
          </cell>
          <cell r="J3027">
            <v>34486</v>
          </cell>
        </row>
        <row r="3028">
          <cell r="A3028">
            <v>1811100931</v>
          </cell>
          <cell r="B3028" t="str">
            <v>שבוע החינוך</v>
          </cell>
          <cell r="C3028">
            <v>48735</v>
          </cell>
          <cell r="D3028">
            <v>23750</v>
          </cell>
          <cell r="E3028">
            <v>0</v>
          </cell>
          <cell r="F3028">
            <v>23750</v>
          </cell>
          <cell r="G3028">
            <v>24985</v>
          </cell>
          <cell r="H3028">
            <v>48.73</v>
          </cell>
          <cell r="I3028">
            <v>51300</v>
          </cell>
          <cell r="J3028">
            <v>23750</v>
          </cell>
        </row>
        <row r="3029">
          <cell r="A3029">
            <v>1811100932</v>
          </cell>
          <cell r="B3029" t="str">
            <v>הוצ' כנגד ילדי חוץ</v>
          </cell>
          <cell r="C3029">
            <v>0</v>
          </cell>
          <cell r="D3029">
            <v>0</v>
          </cell>
          <cell r="E3029">
            <v>0</v>
          </cell>
          <cell r="F3029">
            <v>0</v>
          </cell>
          <cell r="G3029">
            <v>0</v>
          </cell>
          <cell r="H3029">
            <v>0</v>
          </cell>
          <cell r="I3029">
            <v>0</v>
          </cell>
          <cell r="J3029">
            <v>0</v>
          </cell>
        </row>
        <row r="3030">
          <cell r="A3030">
            <v>1811100933</v>
          </cell>
          <cell r="B3030" t="str">
            <v>שמ"ש - כללי</v>
          </cell>
          <cell r="C3030">
            <v>324900</v>
          </cell>
          <cell r="D3030">
            <v>247573.81</v>
          </cell>
          <cell r="E3030">
            <v>0</v>
          </cell>
          <cell r="F3030">
            <v>247573.81</v>
          </cell>
          <cell r="G3030">
            <v>77326.19</v>
          </cell>
          <cell r="H3030">
            <v>76.2</v>
          </cell>
          <cell r="I3030">
            <v>342000</v>
          </cell>
          <cell r="J3030">
            <v>247573.81</v>
          </cell>
        </row>
        <row r="3031">
          <cell r="A3031">
            <v>1811100934</v>
          </cell>
          <cell r="B3031" t="str">
            <v>מזנונים (מהכנסות)</v>
          </cell>
          <cell r="C3031">
            <v>42750</v>
          </cell>
          <cell r="D3031">
            <v>17166.59</v>
          </cell>
          <cell r="E3031">
            <v>0</v>
          </cell>
          <cell r="F3031">
            <v>17166.59</v>
          </cell>
          <cell r="G3031">
            <v>25583.41</v>
          </cell>
          <cell r="H3031">
            <v>40.15</v>
          </cell>
          <cell r="I3031">
            <v>45000</v>
          </cell>
          <cell r="J3031">
            <v>17166.59</v>
          </cell>
        </row>
        <row r="3032">
          <cell r="A3032">
            <v>1811100935</v>
          </cell>
          <cell r="B3032" t="str">
            <v>העברה לבי"ס-מזנונים</v>
          </cell>
          <cell r="C3032">
            <v>450000</v>
          </cell>
          <cell r="D3032">
            <v>436798.1</v>
          </cell>
          <cell r="E3032">
            <v>0</v>
          </cell>
          <cell r="F3032">
            <v>436798.1</v>
          </cell>
          <cell r="G3032">
            <v>13201.9</v>
          </cell>
          <cell r="H3032">
            <v>97.06</v>
          </cell>
          <cell r="I3032">
            <v>450000</v>
          </cell>
          <cell r="J3032">
            <v>436798.1</v>
          </cell>
        </row>
        <row r="3033">
          <cell r="A3033">
            <v>1811100936</v>
          </cell>
          <cell r="B3033" t="str">
            <v>מעליות</v>
          </cell>
          <cell r="C3033">
            <v>315000</v>
          </cell>
          <cell r="D3033">
            <v>283888.24</v>
          </cell>
          <cell r="E3033">
            <v>0</v>
          </cell>
          <cell r="F3033">
            <v>283888.24</v>
          </cell>
          <cell r="G3033">
            <v>31111.759999999998</v>
          </cell>
          <cell r="H3033">
            <v>90.12</v>
          </cell>
          <cell r="I3033">
            <v>315000</v>
          </cell>
          <cell r="J3033">
            <v>283888.24</v>
          </cell>
        </row>
        <row r="3034">
          <cell r="A3034">
            <v>1811100937</v>
          </cell>
          <cell r="B3034" t="str">
            <v>חינוך - הוצאות משנים קודמות</v>
          </cell>
          <cell r="C3034">
            <v>1500000</v>
          </cell>
          <cell r="D3034">
            <v>1537993.92</v>
          </cell>
          <cell r="E3034">
            <v>0</v>
          </cell>
          <cell r="F3034">
            <v>1537993.92</v>
          </cell>
          <cell r="G3034">
            <v>-37993.919999999998</v>
          </cell>
          <cell r="H3034">
            <v>102.53</v>
          </cell>
          <cell r="I3034">
            <v>1500000</v>
          </cell>
          <cell r="J3034">
            <v>1537993.92</v>
          </cell>
        </row>
        <row r="3035">
          <cell r="A3035">
            <v>1811100938</v>
          </cell>
          <cell r="B3035" t="str">
            <v>שמ"ש-ניהול עצמי</v>
          </cell>
          <cell r="C3035">
            <v>68400</v>
          </cell>
          <cell r="D3035">
            <v>74094</v>
          </cell>
          <cell r="E3035">
            <v>0</v>
          </cell>
          <cell r="F3035">
            <v>74094</v>
          </cell>
          <cell r="G3035">
            <v>-5694</v>
          </cell>
          <cell r="H3035">
            <v>108.32</v>
          </cell>
          <cell r="I3035">
            <v>72000</v>
          </cell>
          <cell r="J3035">
            <v>74094</v>
          </cell>
        </row>
        <row r="3036">
          <cell r="A3036">
            <v>1811100939</v>
          </cell>
          <cell r="B3036" t="str">
            <v>הסכם תוכנות בי"ס</v>
          </cell>
          <cell r="C3036">
            <v>0</v>
          </cell>
          <cell r="D3036">
            <v>0</v>
          </cell>
          <cell r="E3036">
            <v>0</v>
          </cell>
          <cell r="F3036">
            <v>0</v>
          </cell>
          <cell r="G3036">
            <v>0</v>
          </cell>
          <cell r="H3036">
            <v>0</v>
          </cell>
          <cell r="I3036">
            <v>0</v>
          </cell>
          <cell r="J3036">
            <v>0</v>
          </cell>
        </row>
        <row r="3037">
          <cell r="A3037">
            <v>1811100940</v>
          </cell>
          <cell r="B3037" t="str">
            <v>מנב"סים</v>
          </cell>
          <cell r="C3037">
            <v>21375</v>
          </cell>
          <cell r="D3037">
            <v>5512.76</v>
          </cell>
          <cell r="E3037">
            <v>0</v>
          </cell>
          <cell r="F3037">
            <v>5512.76</v>
          </cell>
          <cell r="G3037">
            <v>15862.24</v>
          </cell>
          <cell r="H3037">
            <v>25.79</v>
          </cell>
          <cell r="I3037">
            <v>22500</v>
          </cell>
          <cell r="J3037">
            <v>5512.76</v>
          </cell>
        </row>
        <row r="3038">
          <cell r="A3038">
            <v>1811100941</v>
          </cell>
          <cell r="B3038" t="str">
            <v>הוצאות כנגד הכנסות</v>
          </cell>
          <cell r="C3038">
            <v>1425000</v>
          </cell>
          <cell r="D3038">
            <v>1171359.6000000001</v>
          </cell>
          <cell r="E3038">
            <v>0</v>
          </cell>
          <cell r="F3038">
            <v>1171359.6000000001</v>
          </cell>
          <cell r="G3038">
            <v>253640.4</v>
          </cell>
          <cell r="H3038">
            <v>82.2</v>
          </cell>
          <cell r="I3038">
            <v>1500000</v>
          </cell>
          <cell r="J3038">
            <v>1171359.6000000001</v>
          </cell>
        </row>
        <row r="3039">
          <cell r="A3039">
            <v>1811100947</v>
          </cell>
          <cell r="B3039" t="str">
            <v>תכנית תיקשוב-קיזוז רשויות</v>
          </cell>
          <cell r="C3039">
            <v>0</v>
          </cell>
          <cell r="D3039">
            <v>0</v>
          </cell>
          <cell r="E3039">
            <v>0</v>
          </cell>
          <cell r="F3039">
            <v>0</v>
          </cell>
          <cell r="G3039">
            <v>0</v>
          </cell>
          <cell r="H3039">
            <v>0</v>
          </cell>
          <cell r="I3039">
            <v>0</v>
          </cell>
          <cell r="J3039">
            <v>0</v>
          </cell>
        </row>
        <row r="3040">
          <cell r="A3040">
            <v>1811100953</v>
          </cell>
          <cell r="B3040" t="str">
            <v>מערכת גפ"ן</v>
          </cell>
          <cell r="C3040">
            <v>0</v>
          </cell>
          <cell r="D3040">
            <v>0</v>
          </cell>
          <cell r="E3040">
            <v>0</v>
          </cell>
          <cell r="F3040">
            <v>0</v>
          </cell>
          <cell r="G3040">
            <v>0</v>
          </cell>
          <cell r="H3040">
            <v>0</v>
          </cell>
          <cell r="I3040">
            <v>0</v>
          </cell>
          <cell r="J3040">
            <v>0</v>
          </cell>
        </row>
        <row r="3041">
          <cell r="A3041">
            <v>1811100961</v>
          </cell>
          <cell r="B3041" t="str">
            <v>רז' פעולות ורכישות</v>
          </cell>
          <cell r="C3041">
            <v>24415</v>
          </cell>
          <cell r="D3041">
            <v>5402.14</v>
          </cell>
          <cell r="E3041">
            <v>0</v>
          </cell>
          <cell r="F3041">
            <v>5402.14</v>
          </cell>
          <cell r="G3041">
            <v>19012.86</v>
          </cell>
          <cell r="H3041">
            <v>22.12</v>
          </cell>
          <cell r="I3041">
            <v>25700</v>
          </cell>
          <cell r="J3041">
            <v>5402.14</v>
          </cell>
        </row>
        <row r="3042">
          <cell r="A3042">
            <v>1811200110</v>
          </cell>
          <cell r="B3042" t="str">
            <v>השכר הקובע-תקציבית</v>
          </cell>
          <cell r="C3042">
            <v>0</v>
          </cell>
          <cell r="D3042">
            <v>0</v>
          </cell>
          <cell r="E3042">
            <v>0</v>
          </cell>
          <cell r="F3042">
            <v>0</v>
          </cell>
          <cell r="G3042">
            <v>0</v>
          </cell>
          <cell r="H3042">
            <v>0</v>
          </cell>
          <cell r="I3042">
            <v>0</v>
          </cell>
          <cell r="J3042">
            <v>0</v>
          </cell>
        </row>
        <row r="3043">
          <cell r="A3043">
            <v>1811200119</v>
          </cell>
          <cell r="B3043" t="str">
            <v>פרוייקט ת"ג</v>
          </cell>
          <cell r="C3043">
            <v>0</v>
          </cell>
          <cell r="D3043">
            <v>0</v>
          </cell>
          <cell r="E3043">
            <v>0</v>
          </cell>
          <cell r="F3043">
            <v>0</v>
          </cell>
          <cell r="G3043">
            <v>0</v>
          </cell>
          <cell r="H3043">
            <v>0</v>
          </cell>
          <cell r="I3043">
            <v>0</v>
          </cell>
          <cell r="J3043">
            <v>0</v>
          </cell>
        </row>
        <row r="3044">
          <cell r="A3044">
            <v>1811200210</v>
          </cell>
          <cell r="B3044" t="str">
            <v>שכר יוזמות מתב"ר</v>
          </cell>
          <cell r="C3044">
            <v>0</v>
          </cell>
          <cell r="D3044">
            <v>0</v>
          </cell>
          <cell r="E3044">
            <v>0</v>
          </cell>
          <cell r="F3044">
            <v>0</v>
          </cell>
          <cell r="G3044">
            <v>0</v>
          </cell>
          <cell r="H3044">
            <v>0</v>
          </cell>
          <cell r="I3044">
            <v>0</v>
          </cell>
          <cell r="J3044">
            <v>0</v>
          </cell>
        </row>
        <row r="3045">
          <cell r="A3045">
            <v>1811200211</v>
          </cell>
          <cell r="B3045" t="str">
            <v>שכר מאו"ר</v>
          </cell>
          <cell r="C3045">
            <v>0</v>
          </cell>
          <cell r="D3045">
            <v>0</v>
          </cell>
          <cell r="E3045">
            <v>0</v>
          </cell>
          <cell r="F3045">
            <v>0</v>
          </cell>
          <cell r="G3045">
            <v>0</v>
          </cell>
          <cell r="H3045">
            <v>0</v>
          </cell>
          <cell r="I3045">
            <v>0</v>
          </cell>
          <cell r="J3045">
            <v>0</v>
          </cell>
        </row>
        <row r="3046">
          <cell r="A3046">
            <v>1811200220</v>
          </cell>
          <cell r="B3046" t="str">
            <v>העברה לתב"רים</v>
          </cell>
          <cell r="C3046">
            <v>0</v>
          </cell>
          <cell r="D3046">
            <v>0</v>
          </cell>
          <cell r="E3046">
            <v>0</v>
          </cell>
          <cell r="F3046">
            <v>0</v>
          </cell>
          <cell r="G3046">
            <v>0</v>
          </cell>
          <cell r="H3046">
            <v>0</v>
          </cell>
          <cell r="I3046">
            <v>0</v>
          </cell>
          <cell r="J3046">
            <v>0</v>
          </cell>
        </row>
        <row r="3047">
          <cell r="A3047">
            <v>1811200230</v>
          </cell>
          <cell r="B3047" t="str">
            <v>שכר פרט</v>
          </cell>
          <cell r="C3047">
            <v>0</v>
          </cell>
          <cell r="D3047">
            <v>0</v>
          </cell>
          <cell r="E3047">
            <v>0</v>
          </cell>
          <cell r="F3047">
            <v>0</v>
          </cell>
          <cell r="G3047">
            <v>0</v>
          </cell>
          <cell r="H3047">
            <v>0</v>
          </cell>
          <cell r="I3047">
            <v>0</v>
          </cell>
          <cell r="J3047">
            <v>0</v>
          </cell>
        </row>
        <row r="3048">
          <cell r="A3048">
            <v>1811200240</v>
          </cell>
          <cell r="B3048" t="str">
            <v>שכר על - יסודי</v>
          </cell>
          <cell r="C3048">
            <v>0</v>
          </cell>
          <cell r="D3048">
            <v>0</v>
          </cell>
          <cell r="E3048">
            <v>0</v>
          </cell>
          <cell r="F3048">
            <v>0</v>
          </cell>
          <cell r="G3048">
            <v>0</v>
          </cell>
          <cell r="H3048">
            <v>0</v>
          </cell>
          <cell r="I3048">
            <v>0</v>
          </cell>
          <cell r="J3048">
            <v>0</v>
          </cell>
        </row>
        <row r="3049">
          <cell r="A3049">
            <v>1811200391</v>
          </cell>
          <cell r="B3049" t="str">
            <v>הפרשה לפנסיה</v>
          </cell>
          <cell r="C3049">
            <v>0</v>
          </cell>
          <cell r="D3049">
            <v>0</v>
          </cell>
          <cell r="E3049">
            <v>0</v>
          </cell>
          <cell r="F3049">
            <v>0</v>
          </cell>
          <cell r="G3049">
            <v>0</v>
          </cell>
          <cell r="H3049">
            <v>0</v>
          </cell>
          <cell r="I3049">
            <v>0</v>
          </cell>
          <cell r="J3049">
            <v>0</v>
          </cell>
        </row>
        <row r="3050">
          <cell r="A3050">
            <v>1811200540</v>
          </cell>
          <cell r="B3050" t="str">
            <v>הוצאות טלפון</v>
          </cell>
          <cell r="C3050">
            <v>0</v>
          </cell>
          <cell r="D3050">
            <v>0</v>
          </cell>
          <cell r="E3050">
            <v>0</v>
          </cell>
          <cell r="F3050">
            <v>0</v>
          </cell>
          <cell r="G3050">
            <v>0</v>
          </cell>
          <cell r="H3050">
            <v>0</v>
          </cell>
          <cell r="I3050">
            <v>0</v>
          </cell>
          <cell r="J3050">
            <v>0</v>
          </cell>
        </row>
        <row r="3051">
          <cell r="A3051">
            <v>1811200580</v>
          </cell>
          <cell r="B3051" t="str">
            <v>ועדת היגוי וסקרים</v>
          </cell>
          <cell r="C3051">
            <v>0</v>
          </cell>
          <cell r="D3051">
            <v>0</v>
          </cell>
          <cell r="E3051">
            <v>0</v>
          </cell>
          <cell r="F3051">
            <v>0</v>
          </cell>
          <cell r="G3051">
            <v>0</v>
          </cell>
          <cell r="H3051">
            <v>0</v>
          </cell>
          <cell r="I3051">
            <v>0</v>
          </cell>
          <cell r="J3051">
            <v>0</v>
          </cell>
        </row>
        <row r="3052">
          <cell r="A3052">
            <v>1811200583</v>
          </cell>
          <cell r="B3052" t="str">
            <v>רכזות אקדמאיות</v>
          </cell>
          <cell r="C3052">
            <v>0</v>
          </cell>
          <cell r="D3052">
            <v>0</v>
          </cell>
          <cell r="E3052">
            <v>0</v>
          </cell>
          <cell r="F3052">
            <v>0</v>
          </cell>
          <cell r="G3052">
            <v>0</v>
          </cell>
          <cell r="H3052">
            <v>0</v>
          </cell>
          <cell r="I3052">
            <v>0</v>
          </cell>
          <cell r="J3052">
            <v>0</v>
          </cell>
        </row>
        <row r="3053">
          <cell r="A3053">
            <v>1811200585</v>
          </cell>
          <cell r="B3053" t="str">
            <v>מבדקים דיאגנוסטיים</v>
          </cell>
          <cell r="C3053">
            <v>0</v>
          </cell>
          <cell r="D3053">
            <v>0</v>
          </cell>
          <cell r="E3053">
            <v>0</v>
          </cell>
          <cell r="F3053">
            <v>0</v>
          </cell>
          <cell r="G3053">
            <v>0</v>
          </cell>
          <cell r="H3053">
            <v>0</v>
          </cell>
          <cell r="I3053">
            <v>0</v>
          </cell>
          <cell r="J3053">
            <v>0</v>
          </cell>
        </row>
        <row r="3054">
          <cell r="A3054">
            <v>1811200753</v>
          </cell>
          <cell r="B3054" t="str">
            <v>שכר יוזמות פרט</v>
          </cell>
          <cell r="C3054">
            <v>0</v>
          </cell>
          <cell r="D3054">
            <v>0</v>
          </cell>
          <cell r="E3054">
            <v>0</v>
          </cell>
          <cell r="F3054">
            <v>0</v>
          </cell>
          <cell r="G3054">
            <v>0</v>
          </cell>
          <cell r="H3054">
            <v>0</v>
          </cell>
          <cell r="I3054">
            <v>0</v>
          </cell>
          <cell r="J3054">
            <v>0</v>
          </cell>
        </row>
        <row r="3055">
          <cell r="A3055">
            <v>1811200755</v>
          </cell>
          <cell r="B3055" t="str">
            <v>שכר יוזמות מינהל</v>
          </cell>
          <cell r="C3055">
            <v>0</v>
          </cell>
          <cell r="D3055">
            <v>0</v>
          </cell>
          <cell r="E3055">
            <v>0</v>
          </cell>
          <cell r="F3055">
            <v>0</v>
          </cell>
          <cell r="G3055">
            <v>0</v>
          </cell>
          <cell r="H3055">
            <v>0</v>
          </cell>
          <cell r="I3055">
            <v>0</v>
          </cell>
          <cell r="J3055">
            <v>0</v>
          </cell>
        </row>
        <row r="3056">
          <cell r="A3056">
            <v>1811200763</v>
          </cell>
          <cell r="B3056" t="str">
            <v>שכר יוזמות ע"י</v>
          </cell>
          <cell r="C3056">
            <v>0</v>
          </cell>
          <cell r="D3056">
            <v>0</v>
          </cell>
          <cell r="E3056">
            <v>0</v>
          </cell>
          <cell r="F3056">
            <v>0</v>
          </cell>
          <cell r="G3056">
            <v>0</v>
          </cell>
          <cell r="H3056">
            <v>0</v>
          </cell>
          <cell r="I3056">
            <v>0</v>
          </cell>
          <cell r="J3056">
            <v>0</v>
          </cell>
        </row>
        <row r="3057">
          <cell r="A3057">
            <v>1811200764</v>
          </cell>
          <cell r="B3057" t="str">
            <v>שכר יוזמות יסודי</v>
          </cell>
          <cell r="C3057">
            <v>0</v>
          </cell>
          <cell r="D3057">
            <v>0</v>
          </cell>
          <cell r="E3057">
            <v>0</v>
          </cell>
          <cell r="F3057">
            <v>0</v>
          </cell>
          <cell r="G3057">
            <v>0</v>
          </cell>
          <cell r="H3057">
            <v>0</v>
          </cell>
          <cell r="I3057">
            <v>0</v>
          </cell>
          <cell r="J3057">
            <v>0</v>
          </cell>
        </row>
        <row r="3058">
          <cell r="A3058">
            <v>1811200780</v>
          </cell>
          <cell r="B3058" t="str">
            <v>עיר פעילה ובריאה</v>
          </cell>
          <cell r="C3058">
            <v>151335</v>
          </cell>
          <cell r="D3058">
            <v>0</v>
          </cell>
          <cell r="E3058">
            <v>0</v>
          </cell>
          <cell r="F3058">
            <v>0</v>
          </cell>
          <cell r="G3058">
            <v>151335</v>
          </cell>
          <cell r="H3058">
            <v>0</v>
          </cell>
          <cell r="I3058">
            <v>159300</v>
          </cell>
          <cell r="J3058">
            <v>0</v>
          </cell>
        </row>
        <row r="3059">
          <cell r="A3059">
            <v>1811200781</v>
          </cell>
          <cell r="B3059" t="str">
            <v>עיר בריאה ומקיימת</v>
          </cell>
          <cell r="C3059">
            <v>0</v>
          </cell>
          <cell r="D3059">
            <v>0</v>
          </cell>
          <cell r="E3059">
            <v>0</v>
          </cell>
          <cell r="F3059">
            <v>0</v>
          </cell>
          <cell r="G3059">
            <v>0</v>
          </cell>
          <cell r="H3059">
            <v>0</v>
          </cell>
          <cell r="I3059">
            <v>0</v>
          </cell>
          <cell r="J3059">
            <v>0</v>
          </cell>
        </row>
        <row r="3060">
          <cell r="A3060">
            <v>1811200782</v>
          </cell>
          <cell r="B3060" t="str">
            <v>עיר בריאה - הגנת הסביבה</v>
          </cell>
          <cell r="C3060">
            <v>0</v>
          </cell>
          <cell r="D3060">
            <v>0</v>
          </cell>
          <cell r="E3060">
            <v>0</v>
          </cell>
          <cell r="F3060">
            <v>0</v>
          </cell>
          <cell r="G3060">
            <v>0</v>
          </cell>
          <cell r="H3060">
            <v>0</v>
          </cell>
          <cell r="I3060">
            <v>0</v>
          </cell>
          <cell r="J3060">
            <v>0</v>
          </cell>
        </row>
        <row r="3061">
          <cell r="A3061">
            <v>1811200783</v>
          </cell>
          <cell r="B3061" t="str">
            <v>עיר בריאה - רשות ניקוז ירקון</v>
          </cell>
          <cell r="C3061">
            <v>0</v>
          </cell>
          <cell r="D3061">
            <v>0</v>
          </cell>
          <cell r="E3061">
            <v>0</v>
          </cell>
          <cell r="F3061">
            <v>0</v>
          </cell>
          <cell r="G3061">
            <v>0</v>
          </cell>
          <cell r="H3061">
            <v>0</v>
          </cell>
          <cell r="I3061">
            <v>0</v>
          </cell>
          <cell r="J3061">
            <v>0</v>
          </cell>
        </row>
        <row r="3062">
          <cell r="A3062">
            <v>1811200784</v>
          </cell>
          <cell r="B3062" t="str">
            <v>הס-קייטנה</v>
          </cell>
          <cell r="C3062">
            <v>0</v>
          </cell>
          <cell r="D3062">
            <v>0</v>
          </cell>
          <cell r="E3062">
            <v>0</v>
          </cell>
          <cell r="F3062">
            <v>0</v>
          </cell>
          <cell r="G3062">
            <v>0</v>
          </cell>
          <cell r="H3062">
            <v>0</v>
          </cell>
          <cell r="I3062">
            <v>0</v>
          </cell>
          <cell r="J3062">
            <v>0</v>
          </cell>
        </row>
        <row r="3063">
          <cell r="A3063">
            <v>1811200785</v>
          </cell>
          <cell r="B3063" t="str">
            <v>כצנלסון-קיטנה</v>
          </cell>
          <cell r="C3063">
            <v>0</v>
          </cell>
          <cell r="D3063">
            <v>0</v>
          </cell>
          <cell r="E3063">
            <v>0</v>
          </cell>
          <cell r="F3063">
            <v>0</v>
          </cell>
          <cell r="G3063">
            <v>0</v>
          </cell>
          <cell r="H3063">
            <v>0</v>
          </cell>
          <cell r="I3063">
            <v>0</v>
          </cell>
          <cell r="J3063">
            <v>0</v>
          </cell>
        </row>
        <row r="3064">
          <cell r="A3064">
            <v>1811200786</v>
          </cell>
          <cell r="B3064" t="str">
            <v>יוזמות יסודי</v>
          </cell>
          <cell r="C3064">
            <v>0</v>
          </cell>
          <cell r="D3064">
            <v>0</v>
          </cell>
          <cell r="E3064">
            <v>0</v>
          </cell>
          <cell r="F3064">
            <v>0</v>
          </cell>
          <cell r="G3064">
            <v>0</v>
          </cell>
          <cell r="H3064">
            <v>0</v>
          </cell>
          <cell r="I3064">
            <v>0</v>
          </cell>
          <cell r="J3064">
            <v>0</v>
          </cell>
        </row>
        <row r="3065">
          <cell r="A3065">
            <v>1811200787</v>
          </cell>
          <cell r="B3065" t="str">
            <v>ניצנים-קייטנה</v>
          </cell>
          <cell r="C3065">
            <v>0</v>
          </cell>
          <cell r="D3065">
            <v>0</v>
          </cell>
          <cell r="E3065">
            <v>0</v>
          </cell>
          <cell r="F3065">
            <v>0</v>
          </cell>
          <cell r="G3065">
            <v>0</v>
          </cell>
          <cell r="H3065">
            <v>0</v>
          </cell>
          <cell r="I3065">
            <v>0</v>
          </cell>
          <cell r="J3065">
            <v>0</v>
          </cell>
        </row>
        <row r="3066">
          <cell r="A3066">
            <v>1811200788</v>
          </cell>
          <cell r="B3066" t="str">
            <v>ניב-קיטנה</v>
          </cell>
          <cell r="C3066">
            <v>0</v>
          </cell>
          <cell r="D3066">
            <v>0</v>
          </cell>
          <cell r="E3066">
            <v>0</v>
          </cell>
          <cell r="F3066">
            <v>0</v>
          </cell>
          <cell r="G3066">
            <v>0</v>
          </cell>
          <cell r="H3066">
            <v>0</v>
          </cell>
          <cell r="I3066">
            <v>0</v>
          </cell>
          <cell r="J3066">
            <v>0</v>
          </cell>
        </row>
        <row r="3067">
          <cell r="A3067">
            <v>1811200789</v>
          </cell>
          <cell r="B3067" t="str">
            <v>עלומים-קיטנה</v>
          </cell>
          <cell r="C3067">
            <v>0</v>
          </cell>
          <cell r="D3067">
            <v>0</v>
          </cell>
          <cell r="E3067">
            <v>0</v>
          </cell>
          <cell r="F3067">
            <v>0</v>
          </cell>
          <cell r="G3067">
            <v>0</v>
          </cell>
          <cell r="H3067">
            <v>0</v>
          </cell>
          <cell r="I3067">
            <v>0</v>
          </cell>
          <cell r="J3067">
            <v>0</v>
          </cell>
        </row>
        <row r="3068">
          <cell r="A3068">
            <v>1811200811</v>
          </cell>
          <cell r="B3068" t="str">
            <v>השתתפות קרן דנקנר</v>
          </cell>
          <cell r="C3068">
            <v>0</v>
          </cell>
          <cell r="D3068">
            <v>0</v>
          </cell>
          <cell r="E3068">
            <v>0</v>
          </cell>
          <cell r="F3068">
            <v>0</v>
          </cell>
          <cell r="G3068">
            <v>0</v>
          </cell>
          <cell r="H3068">
            <v>0</v>
          </cell>
          <cell r="I3068">
            <v>0</v>
          </cell>
          <cell r="J3068">
            <v>0</v>
          </cell>
        </row>
        <row r="3069">
          <cell r="A3069">
            <v>1811200812</v>
          </cell>
          <cell r="B3069" t="str">
            <v>השתת' בפרוייקט קרב</v>
          </cell>
          <cell r="C3069">
            <v>0</v>
          </cell>
          <cell r="D3069">
            <v>0</v>
          </cell>
          <cell r="E3069">
            <v>0</v>
          </cell>
          <cell r="F3069">
            <v>0</v>
          </cell>
          <cell r="G3069">
            <v>0</v>
          </cell>
          <cell r="H3069">
            <v>0</v>
          </cell>
          <cell r="I3069">
            <v>0</v>
          </cell>
          <cell r="J3069">
            <v>0</v>
          </cell>
        </row>
        <row r="3070">
          <cell r="A3070">
            <v>1811200813</v>
          </cell>
          <cell r="B3070" t="str">
            <v>קרן רש"י</v>
          </cell>
          <cell r="C3070">
            <v>0</v>
          </cell>
          <cell r="D3070">
            <v>0</v>
          </cell>
          <cell r="E3070">
            <v>0</v>
          </cell>
          <cell r="F3070">
            <v>0</v>
          </cell>
          <cell r="G3070">
            <v>0</v>
          </cell>
          <cell r="H3070">
            <v>0</v>
          </cell>
          <cell r="I3070">
            <v>0</v>
          </cell>
          <cell r="J3070">
            <v>0</v>
          </cell>
        </row>
        <row r="3071">
          <cell r="A3071">
            <v>1811200814</v>
          </cell>
          <cell r="B3071" t="str">
            <v>השתתפות בפרוייקט תל"ן</v>
          </cell>
          <cell r="C3071">
            <v>1197000</v>
          </cell>
          <cell r="D3071">
            <v>794762.5</v>
          </cell>
          <cell r="E3071">
            <v>0</v>
          </cell>
          <cell r="F3071">
            <v>794762.5</v>
          </cell>
          <cell r="G3071">
            <v>402237.5</v>
          </cell>
          <cell r="H3071">
            <v>66.39</v>
          </cell>
          <cell r="I3071">
            <v>1260000</v>
          </cell>
          <cell r="J3071">
            <v>794762.5</v>
          </cell>
        </row>
        <row r="3072">
          <cell r="A3072">
            <v>1811200980</v>
          </cell>
          <cell r="B3072" t="str">
            <v>רביבים-קיטנה</v>
          </cell>
          <cell r="C3072">
            <v>0</v>
          </cell>
          <cell r="D3072">
            <v>0</v>
          </cell>
          <cell r="E3072">
            <v>0</v>
          </cell>
          <cell r="F3072">
            <v>0</v>
          </cell>
          <cell r="G3072">
            <v>0</v>
          </cell>
          <cell r="H3072">
            <v>0</v>
          </cell>
          <cell r="I3072">
            <v>0</v>
          </cell>
          <cell r="J3072">
            <v>0</v>
          </cell>
        </row>
        <row r="3073">
          <cell r="A3073">
            <v>1811200981</v>
          </cell>
          <cell r="B3073" t="str">
            <v>שנקר-קיטנה</v>
          </cell>
          <cell r="C3073">
            <v>0</v>
          </cell>
          <cell r="D3073">
            <v>0</v>
          </cell>
          <cell r="E3073">
            <v>0</v>
          </cell>
          <cell r="F3073">
            <v>0</v>
          </cell>
          <cell r="G3073">
            <v>0</v>
          </cell>
          <cell r="H3073">
            <v>0</v>
          </cell>
          <cell r="I3073">
            <v>0</v>
          </cell>
          <cell r="J3073">
            <v>0</v>
          </cell>
        </row>
        <row r="3074">
          <cell r="A3074">
            <v>1811200982</v>
          </cell>
          <cell r="B3074" t="str">
            <v>שער האריות-קיטנה</v>
          </cell>
          <cell r="C3074">
            <v>0</v>
          </cell>
          <cell r="D3074">
            <v>0</v>
          </cell>
          <cell r="E3074">
            <v>0</v>
          </cell>
          <cell r="F3074">
            <v>0</v>
          </cell>
          <cell r="G3074">
            <v>0</v>
          </cell>
          <cell r="H3074">
            <v>0</v>
          </cell>
          <cell r="I3074">
            <v>0</v>
          </cell>
          <cell r="J3074">
            <v>0</v>
          </cell>
        </row>
        <row r="3075">
          <cell r="A3075">
            <v>1811200983</v>
          </cell>
          <cell r="B3075" t="str">
            <v>ויצמן-קיטנה</v>
          </cell>
          <cell r="C3075">
            <v>0</v>
          </cell>
          <cell r="D3075">
            <v>0</v>
          </cell>
          <cell r="E3075">
            <v>0</v>
          </cell>
          <cell r="F3075">
            <v>0</v>
          </cell>
          <cell r="G3075">
            <v>0</v>
          </cell>
          <cell r="H3075">
            <v>0</v>
          </cell>
          <cell r="I3075">
            <v>0</v>
          </cell>
          <cell r="J3075">
            <v>0</v>
          </cell>
        </row>
        <row r="3076">
          <cell r="A3076">
            <v>1811200984</v>
          </cell>
          <cell r="B3076" t="str">
            <v>בית דוד-קיטנה</v>
          </cell>
          <cell r="C3076">
            <v>0</v>
          </cell>
          <cell r="D3076">
            <v>0</v>
          </cell>
          <cell r="E3076">
            <v>0</v>
          </cell>
          <cell r="F3076">
            <v>0</v>
          </cell>
          <cell r="G3076">
            <v>0</v>
          </cell>
          <cell r="H3076">
            <v>0</v>
          </cell>
          <cell r="I3076">
            <v>0</v>
          </cell>
          <cell r="J3076">
            <v>0</v>
          </cell>
        </row>
        <row r="3077">
          <cell r="A3077">
            <v>1811200985</v>
          </cell>
          <cell r="B3077" t="str">
            <v>מפי עוללים-קיטנה</v>
          </cell>
          <cell r="C3077">
            <v>0</v>
          </cell>
          <cell r="D3077">
            <v>0</v>
          </cell>
          <cell r="E3077">
            <v>0</v>
          </cell>
          <cell r="F3077">
            <v>0</v>
          </cell>
          <cell r="G3077">
            <v>0</v>
          </cell>
          <cell r="H3077">
            <v>0</v>
          </cell>
          <cell r="I3077">
            <v>0</v>
          </cell>
          <cell r="J3077">
            <v>0</v>
          </cell>
        </row>
        <row r="3078">
          <cell r="A3078">
            <v>1811300110</v>
          </cell>
          <cell r="B3078" t="str">
            <v>השכר הקובע-תקציבית</v>
          </cell>
          <cell r="C3078">
            <v>0</v>
          </cell>
          <cell r="D3078">
            <v>0</v>
          </cell>
          <cell r="E3078">
            <v>0</v>
          </cell>
          <cell r="F3078">
            <v>0</v>
          </cell>
          <cell r="G3078">
            <v>0</v>
          </cell>
          <cell r="H3078">
            <v>0</v>
          </cell>
          <cell r="I3078">
            <v>0</v>
          </cell>
          <cell r="J3078">
            <v>0</v>
          </cell>
        </row>
        <row r="3079">
          <cell r="A3079">
            <v>1811300111</v>
          </cell>
          <cell r="B3079" t="str">
            <v>יסודי</v>
          </cell>
          <cell r="C3079">
            <v>0</v>
          </cell>
          <cell r="D3079">
            <v>0</v>
          </cell>
          <cell r="E3079">
            <v>0</v>
          </cell>
          <cell r="F3079">
            <v>0</v>
          </cell>
          <cell r="G3079">
            <v>0</v>
          </cell>
          <cell r="H3079">
            <v>0</v>
          </cell>
          <cell r="I3079">
            <v>0</v>
          </cell>
          <cell r="J3079">
            <v>0</v>
          </cell>
        </row>
        <row r="3080">
          <cell r="A3080">
            <v>1811300112</v>
          </cell>
          <cell r="B3080" t="str">
            <v>פרט</v>
          </cell>
          <cell r="C3080">
            <v>0</v>
          </cell>
          <cell r="D3080">
            <v>0</v>
          </cell>
          <cell r="E3080">
            <v>0</v>
          </cell>
          <cell r="F3080">
            <v>0</v>
          </cell>
          <cell r="G3080">
            <v>0</v>
          </cell>
          <cell r="H3080">
            <v>0</v>
          </cell>
          <cell r="I3080">
            <v>0</v>
          </cell>
          <cell r="J3080">
            <v>0</v>
          </cell>
        </row>
        <row r="3081">
          <cell r="A3081">
            <v>1811300113</v>
          </cell>
          <cell r="B3081" t="str">
            <v>רווחה חינוכית</v>
          </cell>
          <cell r="C3081">
            <v>0</v>
          </cell>
          <cell r="D3081">
            <v>0</v>
          </cell>
          <cell r="E3081">
            <v>0</v>
          </cell>
          <cell r="F3081">
            <v>0</v>
          </cell>
          <cell r="G3081">
            <v>0</v>
          </cell>
          <cell r="H3081">
            <v>0</v>
          </cell>
          <cell r="I3081">
            <v>0</v>
          </cell>
          <cell r="J3081">
            <v>0</v>
          </cell>
        </row>
        <row r="3082">
          <cell r="A3082">
            <v>1811300119</v>
          </cell>
          <cell r="B3082" t="str">
            <v>השכר הקובע-צוברת</v>
          </cell>
          <cell r="C3082">
            <v>0</v>
          </cell>
          <cell r="D3082">
            <v>0</v>
          </cell>
          <cell r="E3082">
            <v>0</v>
          </cell>
          <cell r="F3082">
            <v>0</v>
          </cell>
          <cell r="G3082">
            <v>0</v>
          </cell>
          <cell r="H3082">
            <v>0</v>
          </cell>
          <cell r="I3082">
            <v>0</v>
          </cell>
          <cell r="J3082">
            <v>0</v>
          </cell>
        </row>
        <row r="3083">
          <cell r="A3083">
            <v>1811300210</v>
          </cell>
          <cell r="B3083" t="str">
            <v>השכר הקובע</v>
          </cell>
          <cell r="C3083">
            <v>0</v>
          </cell>
          <cell r="D3083">
            <v>0</v>
          </cell>
          <cell r="E3083">
            <v>0</v>
          </cell>
          <cell r="F3083">
            <v>0</v>
          </cell>
          <cell r="G3083">
            <v>0</v>
          </cell>
          <cell r="H3083">
            <v>0</v>
          </cell>
          <cell r="I3083">
            <v>0</v>
          </cell>
          <cell r="J3083">
            <v>0</v>
          </cell>
        </row>
        <row r="3084">
          <cell r="A3084">
            <v>1811300263</v>
          </cell>
          <cell r="B3084" t="str">
            <v>עובדי כח - אדם</v>
          </cell>
          <cell r="C3084">
            <v>0</v>
          </cell>
          <cell r="D3084">
            <v>0</v>
          </cell>
          <cell r="E3084">
            <v>0</v>
          </cell>
          <cell r="F3084">
            <v>0</v>
          </cell>
          <cell r="G3084">
            <v>0</v>
          </cell>
          <cell r="H3084">
            <v>0</v>
          </cell>
          <cell r="I3084">
            <v>0</v>
          </cell>
          <cell r="J3084">
            <v>0</v>
          </cell>
        </row>
        <row r="3085">
          <cell r="A3085">
            <v>1811300540</v>
          </cell>
          <cell r="B3085" t="str">
            <v>הוצאות טלפון</v>
          </cell>
          <cell r="C3085">
            <v>0</v>
          </cell>
          <cell r="D3085">
            <v>0</v>
          </cell>
          <cell r="E3085">
            <v>0</v>
          </cell>
          <cell r="F3085">
            <v>0</v>
          </cell>
          <cell r="G3085">
            <v>0</v>
          </cell>
          <cell r="H3085">
            <v>0</v>
          </cell>
          <cell r="I3085">
            <v>0</v>
          </cell>
          <cell r="J3085">
            <v>0</v>
          </cell>
        </row>
        <row r="3086">
          <cell r="A3086">
            <v>1811300759</v>
          </cell>
          <cell r="B3086" t="str">
            <v>שרותי סייעות</v>
          </cell>
          <cell r="C3086">
            <v>0</v>
          </cell>
          <cell r="D3086">
            <v>0</v>
          </cell>
          <cell r="E3086">
            <v>0</v>
          </cell>
          <cell r="F3086">
            <v>0</v>
          </cell>
          <cell r="G3086">
            <v>0</v>
          </cell>
          <cell r="H3086">
            <v>0</v>
          </cell>
          <cell r="I3086">
            <v>0</v>
          </cell>
          <cell r="J3086">
            <v>0</v>
          </cell>
        </row>
        <row r="3087">
          <cell r="A3087">
            <v>1811300780</v>
          </cell>
          <cell r="B3087" t="str">
            <v>פעולות</v>
          </cell>
          <cell r="C3087">
            <v>1067705</v>
          </cell>
          <cell r="D3087">
            <v>1030145.16</v>
          </cell>
          <cell r="E3087">
            <v>123249.7</v>
          </cell>
          <cell r="F3087">
            <v>1153394.8600000001</v>
          </cell>
          <cell r="G3087">
            <v>-85689.86</v>
          </cell>
          <cell r="H3087">
            <v>108.02</v>
          </cell>
          <cell r="I3087">
            <v>1123900</v>
          </cell>
          <cell r="J3087">
            <v>1030145.16</v>
          </cell>
        </row>
        <row r="3088">
          <cell r="A3088">
            <v>1811300781</v>
          </cell>
          <cell r="B3088" t="str">
            <v>התחייבות חב' מוסדות חינוך</v>
          </cell>
          <cell r="C3088">
            <v>108000</v>
          </cell>
          <cell r="D3088">
            <v>2100000.0099999998</v>
          </cell>
          <cell r="E3088">
            <v>0</v>
          </cell>
          <cell r="F3088">
            <v>2100000.0099999998</v>
          </cell>
          <cell r="G3088">
            <v>-1992000.01</v>
          </cell>
          <cell r="H3088">
            <v>1944.44</v>
          </cell>
          <cell r="I3088">
            <v>108000</v>
          </cell>
          <cell r="J3088">
            <v>2100000.0099999998</v>
          </cell>
        </row>
        <row r="3089">
          <cell r="A3089">
            <v>1811300782</v>
          </cell>
          <cell r="B3089" t="str">
            <v>הערכה ותהליכי למידה</v>
          </cell>
          <cell r="C3089">
            <v>112955</v>
          </cell>
          <cell r="D3089">
            <v>35100</v>
          </cell>
          <cell r="E3089">
            <v>0</v>
          </cell>
          <cell r="F3089">
            <v>35100</v>
          </cell>
          <cell r="G3089">
            <v>77855</v>
          </cell>
          <cell r="H3089">
            <v>31.07</v>
          </cell>
          <cell r="I3089">
            <v>118900</v>
          </cell>
          <cell r="J3089">
            <v>35100</v>
          </cell>
        </row>
        <row r="3090">
          <cell r="A3090">
            <v>1811300783</v>
          </cell>
          <cell r="B3090" t="str">
            <v>ספריות</v>
          </cell>
          <cell r="C3090">
            <v>0</v>
          </cell>
          <cell r="D3090">
            <v>0</v>
          </cell>
          <cell r="E3090">
            <v>0</v>
          </cell>
          <cell r="F3090">
            <v>0</v>
          </cell>
          <cell r="G3090">
            <v>0</v>
          </cell>
          <cell r="H3090">
            <v>0</v>
          </cell>
          <cell r="I3090">
            <v>0</v>
          </cell>
          <cell r="J3090">
            <v>0</v>
          </cell>
        </row>
        <row r="3091">
          <cell r="A3091">
            <v>1811300784</v>
          </cell>
          <cell r="B3091" t="str">
            <v>הכשרת מוסדות חינוך למ"פ</v>
          </cell>
          <cell r="C3091">
            <v>495900</v>
          </cell>
          <cell r="D3091">
            <v>476154.5</v>
          </cell>
          <cell r="E3091">
            <v>0</v>
          </cell>
          <cell r="F3091">
            <v>476154.5</v>
          </cell>
          <cell r="G3091">
            <v>19745.5</v>
          </cell>
          <cell r="H3091">
            <v>96.01</v>
          </cell>
          <cell r="I3091">
            <v>495900</v>
          </cell>
          <cell r="J3091">
            <v>476154.5</v>
          </cell>
        </row>
        <row r="3092">
          <cell r="A3092">
            <v>1811300785</v>
          </cell>
          <cell r="B3092" t="str">
            <v>קידום למידה SITC</v>
          </cell>
          <cell r="C3092">
            <v>0</v>
          </cell>
          <cell r="D3092">
            <v>0</v>
          </cell>
          <cell r="E3092">
            <v>0</v>
          </cell>
          <cell r="F3092">
            <v>0</v>
          </cell>
          <cell r="G3092">
            <v>0</v>
          </cell>
          <cell r="H3092">
            <v>0</v>
          </cell>
          <cell r="I3092">
            <v>0</v>
          </cell>
          <cell r="J3092">
            <v>0</v>
          </cell>
        </row>
        <row r="3093">
          <cell r="A3093">
            <v>1811300786</v>
          </cell>
          <cell r="B3093" t="str">
            <v>סביבות למידה גניות</v>
          </cell>
          <cell r="C3093">
            <v>0</v>
          </cell>
          <cell r="D3093">
            <v>0</v>
          </cell>
          <cell r="E3093">
            <v>0</v>
          </cell>
          <cell r="F3093">
            <v>0</v>
          </cell>
          <cell r="G3093">
            <v>0</v>
          </cell>
          <cell r="H3093">
            <v>0</v>
          </cell>
          <cell r="I3093">
            <v>0</v>
          </cell>
          <cell r="J3093">
            <v>0</v>
          </cell>
        </row>
        <row r="3094">
          <cell r="A3094">
            <v>1811300787</v>
          </cell>
          <cell r="B3094" t="str">
            <v>קידום יוזמות חדשניות</v>
          </cell>
          <cell r="C3094">
            <v>0</v>
          </cell>
          <cell r="D3094">
            <v>0</v>
          </cell>
          <cell r="E3094">
            <v>0</v>
          </cell>
          <cell r="F3094">
            <v>0</v>
          </cell>
          <cell r="G3094">
            <v>0</v>
          </cell>
          <cell r="H3094">
            <v>0</v>
          </cell>
          <cell r="I3094">
            <v>0</v>
          </cell>
          <cell r="J3094">
            <v>0</v>
          </cell>
        </row>
        <row r="3095">
          <cell r="A3095">
            <v>1811300788</v>
          </cell>
          <cell r="B3095" t="str">
            <v>רווחה חינוכית</v>
          </cell>
          <cell r="C3095">
            <v>0</v>
          </cell>
          <cell r="D3095">
            <v>0</v>
          </cell>
          <cell r="E3095">
            <v>0</v>
          </cell>
          <cell r="F3095">
            <v>0</v>
          </cell>
          <cell r="G3095">
            <v>0</v>
          </cell>
          <cell r="H3095">
            <v>0</v>
          </cell>
          <cell r="I3095">
            <v>0</v>
          </cell>
          <cell r="J3095">
            <v>0</v>
          </cell>
        </row>
        <row r="3096">
          <cell r="A3096">
            <v>1811300789</v>
          </cell>
          <cell r="B3096" t="str">
            <v>נוער</v>
          </cell>
          <cell r="C3096">
            <v>0</v>
          </cell>
          <cell r="D3096">
            <v>0</v>
          </cell>
          <cell r="E3096">
            <v>0</v>
          </cell>
          <cell r="F3096">
            <v>0</v>
          </cell>
          <cell r="G3096">
            <v>0</v>
          </cell>
          <cell r="H3096">
            <v>0</v>
          </cell>
          <cell r="I3096">
            <v>0</v>
          </cell>
          <cell r="J3096">
            <v>0</v>
          </cell>
        </row>
        <row r="3097">
          <cell r="A3097">
            <v>1811300950</v>
          </cell>
          <cell r="B3097" t="str">
            <v>יוזמות תשס"ד-2003</v>
          </cell>
          <cell r="C3097">
            <v>0</v>
          </cell>
          <cell r="D3097">
            <v>0</v>
          </cell>
          <cell r="E3097">
            <v>0</v>
          </cell>
          <cell r="F3097">
            <v>0</v>
          </cell>
          <cell r="G3097">
            <v>0</v>
          </cell>
          <cell r="H3097">
            <v>0</v>
          </cell>
          <cell r="I3097">
            <v>0</v>
          </cell>
          <cell r="J3097">
            <v>0</v>
          </cell>
        </row>
        <row r="3098">
          <cell r="A3098">
            <v>1811300951</v>
          </cell>
          <cell r="B3098" t="str">
            <v>יוזמות תשס"ט-2008</v>
          </cell>
          <cell r="C3098">
            <v>0</v>
          </cell>
          <cell r="D3098">
            <v>0</v>
          </cell>
          <cell r="E3098">
            <v>0</v>
          </cell>
          <cell r="F3098">
            <v>0</v>
          </cell>
          <cell r="G3098">
            <v>0</v>
          </cell>
          <cell r="H3098">
            <v>0</v>
          </cell>
          <cell r="I3098">
            <v>0</v>
          </cell>
          <cell r="J3098">
            <v>0</v>
          </cell>
        </row>
        <row r="3099">
          <cell r="A3099">
            <v>1811300952</v>
          </cell>
          <cell r="B3099" t="str">
            <v>יוזמות תשפ"ב</v>
          </cell>
          <cell r="C3099">
            <v>123500</v>
          </cell>
          <cell r="D3099">
            <v>123447.65</v>
          </cell>
          <cell r="E3099">
            <v>0</v>
          </cell>
          <cell r="F3099">
            <v>123447.65</v>
          </cell>
          <cell r="G3099">
            <v>52.35</v>
          </cell>
          <cell r="H3099">
            <v>99.95</v>
          </cell>
          <cell r="I3099">
            <v>130000</v>
          </cell>
          <cell r="J3099">
            <v>123447.65</v>
          </cell>
        </row>
        <row r="3100">
          <cell r="A3100">
            <v>1811300953</v>
          </cell>
          <cell r="B3100" t="str">
            <v>יוזמות תשע"ט</v>
          </cell>
          <cell r="C3100">
            <v>0</v>
          </cell>
          <cell r="D3100">
            <v>0</v>
          </cell>
          <cell r="E3100">
            <v>0</v>
          </cell>
          <cell r="F3100">
            <v>0</v>
          </cell>
          <cell r="G3100">
            <v>0</v>
          </cell>
          <cell r="H3100">
            <v>0</v>
          </cell>
          <cell r="I3100">
            <v>0</v>
          </cell>
          <cell r="J3100">
            <v>0</v>
          </cell>
        </row>
        <row r="3101">
          <cell r="A3101">
            <v>1811300961</v>
          </cell>
          <cell r="B3101" t="str">
            <v>רז' פעולות ורכישות</v>
          </cell>
          <cell r="C3101">
            <v>0</v>
          </cell>
          <cell r="D3101">
            <v>0</v>
          </cell>
          <cell r="E3101">
            <v>0</v>
          </cell>
          <cell r="F3101">
            <v>0</v>
          </cell>
          <cell r="G3101">
            <v>0</v>
          </cell>
          <cell r="H3101">
            <v>0</v>
          </cell>
          <cell r="I3101">
            <v>0</v>
          </cell>
          <cell r="J3101">
            <v>0</v>
          </cell>
        </row>
        <row r="3102">
          <cell r="A3102">
            <v>1811300980</v>
          </cell>
          <cell r="B3102" t="str">
            <v>קהילה ופנאי</v>
          </cell>
          <cell r="C3102">
            <v>0</v>
          </cell>
          <cell r="D3102">
            <v>0</v>
          </cell>
          <cell r="E3102">
            <v>0</v>
          </cell>
          <cell r="F3102">
            <v>0</v>
          </cell>
          <cell r="G3102">
            <v>0</v>
          </cell>
          <cell r="H3102">
            <v>0</v>
          </cell>
          <cell r="I3102">
            <v>0</v>
          </cell>
          <cell r="J3102">
            <v>0</v>
          </cell>
        </row>
        <row r="3103">
          <cell r="A3103">
            <v>1811300981</v>
          </cell>
          <cell r="B3103" t="str">
            <v>מרכז אבחון בוקר-טיפולים</v>
          </cell>
          <cell r="C3103">
            <v>1796070</v>
          </cell>
          <cell r="D3103">
            <v>1945609</v>
          </cell>
          <cell r="E3103">
            <v>0</v>
          </cell>
          <cell r="F3103">
            <v>1945609</v>
          </cell>
          <cell r="G3103">
            <v>-149539</v>
          </cell>
          <cell r="H3103">
            <v>108.32</v>
          </cell>
          <cell r="I3103">
            <v>1890600</v>
          </cell>
          <cell r="J3103">
            <v>1945609</v>
          </cell>
        </row>
        <row r="3104">
          <cell r="A3104">
            <v>1811300982</v>
          </cell>
          <cell r="B3104" t="str">
            <v>מרכז איבחון</v>
          </cell>
          <cell r="C3104">
            <v>1565200</v>
          </cell>
          <cell r="D3104">
            <v>1510200</v>
          </cell>
          <cell r="E3104">
            <v>0</v>
          </cell>
          <cell r="F3104">
            <v>1510200</v>
          </cell>
          <cell r="G3104">
            <v>55000</v>
          </cell>
          <cell r="H3104">
            <v>96.48</v>
          </cell>
          <cell r="I3104">
            <v>1565200</v>
          </cell>
          <cell r="J3104">
            <v>1510200</v>
          </cell>
        </row>
        <row r="3105">
          <cell r="A3105">
            <v>1811301110</v>
          </cell>
          <cell r="B3105" t="str">
            <v>השכר הקובע-תקציבית</v>
          </cell>
          <cell r="C3105">
            <v>0</v>
          </cell>
          <cell r="D3105">
            <v>0</v>
          </cell>
          <cell r="E3105">
            <v>0</v>
          </cell>
          <cell r="F3105">
            <v>0</v>
          </cell>
          <cell r="G3105">
            <v>0</v>
          </cell>
          <cell r="H3105">
            <v>0</v>
          </cell>
          <cell r="I3105">
            <v>0</v>
          </cell>
          <cell r="J3105">
            <v>0</v>
          </cell>
        </row>
        <row r="3106">
          <cell r="A3106">
            <v>1811301119</v>
          </cell>
          <cell r="B3106" t="str">
            <v>השכר הקובע-צוברת</v>
          </cell>
          <cell r="C3106">
            <v>0</v>
          </cell>
          <cell r="D3106">
            <v>0</v>
          </cell>
          <cell r="E3106">
            <v>0</v>
          </cell>
          <cell r="F3106">
            <v>0</v>
          </cell>
          <cell r="G3106">
            <v>0</v>
          </cell>
          <cell r="H3106">
            <v>0</v>
          </cell>
          <cell r="I3106">
            <v>0</v>
          </cell>
          <cell r="J3106">
            <v>0</v>
          </cell>
        </row>
        <row r="3107">
          <cell r="A3107">
            <v>1811301210</v>
          </cell>
          <cell r="B3107" t="str">
            <v>השכר הקובע</v>
          </cell>
          <cell r="C3107">
            <v>0</v>
          </cell>
          <cell r="D3107">
            <v>0</v>
          </cell>
          <cell r="E3107">
            <v>0</v>
          </cell>
          <cell r="F3107">
            <v>0</v>
          </cell>
          <cell r="G3107">
            <v>0</v>
          </cell>
          <cell r="H3107">
            <v>0</v>
          </cell>
          <cell r="I3107">
            <v>0</v>
          </cell>
          <cell r="J3107">
            <v>0</v>
          </cell>
        </row>
        <row r="3108">
          <cell r="A3108">
            <v>1811301263</v>
          </cell>
          <cell r="B3108" t="str">
            <v>עובדי כח - אדם</v>
          </cell>
          <cell r="C3108">
            <v>0</v>
          </cell>
          <cell r="D3108">
            <v>0</v>
          </cell>
          <cell r="E3108">
            <v>0</v>
          </cell>
          <cell r="F3108">
            <v>0</v>
          </cell>
          <cell r="G3108">
            <v>0</v>
          </cell>
          <cell r="H3108">
            <v>0</v>
          </cell>
          <cell r="I3108">
            <v>0</v>
          </cell>
          <cell r="J3108">
            <v>0</v>
          </cell>
        </row>
        <row r="3109">
          <cell r="A3109">
            <v>1811301759</v>
          </cell>
          <cell r="B3109" t="str">
            <v>שרותי סייעות</v>
          </cell>
          <cell r="C3109">
            <v>0</v>
          </cell>
          <cell r="D3109">
            <v>0</v>
          </cell>
          <cell r="E3109">
            <v>0</v>
          </cell>
          <cell r="F3109">
            <v>0</v>
          </cell>
          <cell r="G3109">
            <v>0</v>
          </cell>
          <cell r="H3109">
            <v>0</v>
          </cell>
          <cell r="I3109">
            <v>0</v>
          </cell>
          <cell r="J3109">
            <v>0</v>
          </cell>
        </row>
        <row r="3110">
          <cell r="A3110">
            <v>1811301780</v>
          </cell>
          <cell r="B3110" t="str">
            <v>פעולות</v>
          </cell>
          <cell r="C3110">
            <v>698000</v>
          </cell>
          <cell r="D3110">
            <v>691689.83</v>
          </cell>
          <cell r="E3110">
            <v>0</v>
          </cell>
          <cell r="F3110">
            <v>691689.83</v>
          </cell>
          <cell r="G3110">
            <v>6310.17</v>
          </cell>
          <cell r="H3110">
            <v>99.09</v>
          </cell>
          <cell r="I3110">
            <v>698000</v>
          </cell>
          <cell r="J3110">
            <v>691689.83</v>
          </cell>
        </row>
        <row r="3111">
          <cell r="A3111">
            <v>1811304110</v>
          </cell>
          <cell r="B3111" t="str">
            <v>השכר הקובע-תקציבית</v>
          </cell>
          <cell r="C3111">
            <v>0</v>
          </cell>
          <cell r="D3111">
            <v>0</v>
          </cell>
          <cell r="E3111">
            <v>0</v>
          </cell>
          <cell r="F3111">
            <v>0</v>
          </cell>
          <cell r="G3111">
            <v>0</v>
          </cell>
          <cell r="H3111">
            <v>0</v>
          </cell>
          <cell r="I3111">
            <v>0</v>
          </cell>
          <cell r="J3111">
            <v>0</v>
          </cell>
        </row>
        <row r="3112">
          <cell r="A3112">
            <v>1811304119</v>
          </cell>
          <cell r="B3112" t="str">
            <v>השכר הקובע-צוברת</v>
          </cell>
          <cell r="C3112">
            <v>0</v>
          </cell>
          <cell r="D3112">
            <v>0</v>
          </cell>
          <cell r="E3112">
            <v>0</v>
          </cell>
          <cell r="F3112">
            <v>0</v>
          </cell>
          <cell r="G3112">
            <v>0</v>
          </cell>
          <cell r="H3112">
            <v>0</v>
          </cell>
          <cell r="I3112">
            <v>0</v>
          </cell>
          <cell r="J3112">
            <v>0</v>
          </cell>
        </row>
        <row r="3113">
          <cell r="A3113">
            <v>1811304210</v>
          </cell>
          <cell r="B3113" t="str">
            <v>השכר הקובע</v>
          </cell>
          <cell r="C3113">
            <v>0</v>
          </cell>
          <cell r="D3113">
            <v>0</v>
          </cell>
          <cell r="E3113">
            <v>0</v>
          </cell>
          <cell r="F3113">
            <v>0</v>
          </cell>
          <cell r="G3113">
            <v>0</v>
          </cell>
          <cell r="H3113">
            <v>0</v>
          </cell>
          <cell r="I3113">
            <v>0</v>
          </cell>
          <cell r="J3113">
            <v>0</v>
          </cell>
        </row>
        <row r="3114">
          <cell r="A3114">
            <v>1811304263</v>
          </cell>
          <cell r="B3114" t="str">
            <v>עובדי כח - אדם</v>
          </cell>
          <cell r="C3114">
            <v>0</v>
          </cell>
          <cell r="D3114">
            <v>0</v>
          </cell>
          <cell r="E3114">
            <v>0</v>
          </cell>
          <cell r="F3114">
            <v>0</v>
          </cell>
          <cell r="G3114">
            <v>0</v>
          </cell>
          <cell r="H3114">
            <v>0</v>
          </cell>
          <cell r="I3114">
            <v>0</v>
          </cell>
          <cell r="J3114">
            <v>0</v>
          </cell>
        </row>
        <row r="3115">
          <cell r="A3115">
            <v>1811304759</v>
          </cell>
          <cell r="B3115" t="str">
            <v>שרותי סייעות</v>
          </cell>
          <cell r="C3115">
            <v>0</v>
          </cell>
          <cell r="D3115">
            <v>0</v>
          </cell>
          <cell r="E3115">
            <v>0</v>
          </cell>
          <cell r="F3115">
            <v>0</v>
          </cell>
          <cell r="G3115">
            <v>0</v>
          </cell>
          <cell r="H3115">
            <v>0</v>
          </cell>
          <cell r="I3115">
            <v>0</v>
          </cell>
          <cell r="J3115">
            <v>0</v>
          </cell>
        </row>
        <row r="3116">
          <cell r="A3116">
            <v>1811304780</v>
          </cell>
          <cell r="B3116" t="str">
            <v>פעולות</v>
          </cell>
          <cell r="C3116">
            <v>440800</v>
          </cell>
          <cell r="D3116">
            <v>433876.78</v>
          </cell>
          <cell r="E3116">
            <v>1154.79</v>
          </cell>
          <cell r="F3116">
            <v>435031.57</v>
          </cell>
          <cell r="G3116">
            <v>5768.43</v>
          </cell>
          <cell r="H3116">
            <v>98.69</v>
          </cell>
          <cell r="I3116">
            <v>440800</v>
          </cell>
          <cell r="J3116">
            <v>433876.78</v>
          </cell>
        </row>
        <row r="3117">
          <cell r="A3117">
            <v>1811304781</v>
          </cell>
          <cell r="B3117" t="str">
            <v>פעולות כנגד הכנסות</v>
          </cell>
          <cell r="C3117">
            <v>95000</v>
          </cell>
          <cell r="D3117">
            <v>296430.87</v>
          </cell>
          <cell r="E3117">
            <v>0</v>
          </cell>
          <cell r="F3117">
            <v>296430.87</v>
          </cell>
          <cell r="G3117">
            <v>-201430.87</v>
          </cell>
          <cell r="H3117">
            <v>312.02999999999997</v>
          </cell>
          <cell r="I3117">
            <v>100000</v>
          </cell>
          <cell r="J3117">
            <v>296430.87</v>
          </cell>
        </row>
        <row r="3118">
          <cell r="A3118">
            <v>1811304782</v>
          </cell>
          <cell r="B3118" t="str">
            <v>יוזמות - מובילות גנ"י</v>
          </cell>
          <cell r="C3118">
            <v>40500</v>
          </cell>
          <cell r="D3118">
            <v>40500</v>
          </cell>
          <cell r="E3118">
            <v>0</v>
          </cell>
          <cell r="F3118">
            <v>40500</v>
          </cell>
          <cell r="G3118">
            <v>0</v>
          </cell>
          <cell r="H3118">
            <v>100</v>
          </cell>
          <cell r="I3118">
            <v>40500</v>
          </cell>
          <cell r="J3118">
            <v>40500</v>
          </cell>
        </row>
        <row r="3119">
          <cell r="A3119">
            <v>1811304783</v>
          </cell>
          <cell r="B3119" t="str">
            <v>אילנות</v>
          </cell>
          <cell r="C3119">
            <v>0</v>
          </cell>
          <cell r="D3119">
            <v>0</v>
          </cell>
          <cell r="E3119">
            <v>0</v>
          </cell>
          <cell r="F3119">
            <v>0</v>
          </cell>
          <cell r="G3119">
            <v>0</v>
          </cell>
          <cell r="H3119">
            <v>0</v>
          </cell>
          <cell r="I3119">
            <v>0</v>
          </cell>
          <cell r="J3119">
            <v>0</v>
          </cell>
        </row>
        <row r="3120">
          <cell r="A3120">
            <v>1811305110</v>
          </cell>
          <cell r="B3120" t="str">
            <v>השכר הקובע-תקציבית</v>
          </cell>
          <cell r="C3120">
            <v>0</v>
          </cell>
          <cell r="D3120">
            <v>0</v>
          </cell>
          <cell r="E3120">
            <v>0</v>
          </cell>
          <cell r="F3120">
            <v>0</v>
          </cell>
          <cell r="G3120">
            <v>0</v>
          </cell>
          <cell r="H3120">
            <v>0</v>
          </cell>
          <cell r="I3120">
            <v>0</v>
          </cell>
          <cell r="J3120">
            <v>0</v>
          </cell>
        </row>
        <row r="3121">
          <cell r="A3121">
            <v>1811305118</v>
          </cell>
          <cell r="B3121" t="str">
            <v>מורים - כישורי שפה</v>
          </cell>
          <cell r="C3121">
            <v>380000</v>
          </cell>
          <cell r="D3121">
            <v>51200.81</v>
          </cell>
          <cell r="E3121">
            <v>0</v>
          </cell>
          <cell r="F3121">
            <v>51200.81</v>
          </cell>
          <cell r="G3121">
            <v>328799.19</v>
          </cell>
          <cell r="H3121">
            <v>13.47</v>
          </cell>
          <cell r="I3121">
            <v>400000</v>
          </cell>
          <cell r="J3121">
            <v>51200.81</v>
          </cell>
        </row>
        <row r="3122">
          <cell r="A3122">
            <v>1811305119</v>
          </cell>
          <cell r="B3122" t="str">
            <v>השכר הקובע-צוברת</v>
          </cell>
          <cell r="C3122">
            <v>1200000</v>
          </cell>
          <cell r="D3122">
            <v>1348488.16</v>
          </cell>
          <cell r="E3122">
            <v>7476.31</v>
          </cell>
          <cell r="F3122">
            <v>1355964.47</v>
          </cell>
          <cell r="G3122">
            <v>-155964.47</v>
          </cell>
          <cell r="H3122">
            <v>112.99</v>
          </cell>
          <cell r="I3122">
            <v>1200000</v>
          </cell>
          <cell r="J3122">
            <v>1348488.16</v>
          </cell>
        </row>
        <row r="3123">
          <cell r="A3123">
            <v>1811305122</v>
          </cell>
          <cell r="B3123" t="str">
            <v>ביגוד</v>
          </cell>
          <cell r="C3123">
            <v>16720</v>
          </cell>
          <cell r="D3123">
            <v>17712.2</v>
          </cell>
          <cell r="E3123">
            <v>0</v>
          </cell>
          <cell r="F3123">
            <v>17712.2</v>
          </cell>
          <cell r="G3123">
            <v>-992.2</v>
          </cell>
          <cell r="H3123">
            <v>105.93</v>
          </cell>
          <cell r="I3123">
            <v>17600</v>
          </cell>
          <cell r="J3123">
            <v>17712.2</v>
          </cell>
        </row>
        <row r="3124">
          <cell r="A3124">
            <v>1811305126</v>
          </cell>
          <cell r="B3124" t="str">
            <v>דמי הבראה</v>
          </cell>
          <cell r="C3124">
            <v>32300</v>
          </cell>
          <cell r="D3124">
            <v>38131.760000000002</v>
          </cell>
          <cell r="E3124">
            <v>0</v>
          </cell>
          <cell r="F3124">
            <v>38131.760000000002</v>
          </cell>
          <cell r="G3124">
            <v>-5831.76</v>
          </cell>
          <cell r="H3124">
            <v>118.05</v>
          </cell>
          <cell r="I3124">
            <v>34000</v>
          </cell>
          <cell r="J3124">
            <v>38131.760000000002</v>
          </cell>
        </row>
        <row r="3125">
          <cell r="A3125">
            <v>1811305210</v>
          </cell>
          <cell r="B3125" t="str">
            <v>השכר הקובע</v>
          </cell>
          <cell r="C3125">
            <v>0</v>
          </cell>
          <cell r="D3125">
            <v>77068.320000000007</v>
          </cell>
          <cell r="E3125">
            <v>0</v>
          </cell>
          <cell r="F3125">
            <v>77068.320000000007</v>
          </cell>
          <cell r="G3125">
            <v>-77068.320000000007</v>
          </cell>
          <cell r="H3125">
            <v>0</v>
          </cell>
          <cell r="I3125">
            <v>0</v>
          </cell>
          <cell r="J3125">
            <v>77068.320000000007</v>
          </cell>
        </row>
        <row r="3126">
          <cell r="A3126">
            <v>1811305263</v>
          </cell>
          <cell r="B3126" t="str">
            <v>עובדי כח - אדם</v>
          </cell>
          <cell r="C3126">
            <v>19000</v>
          </cell>
          <cell r="D3126">
            <v>20000</v>
          </cell>
          <cell r="E3126">
            <v>0</v>
          </cell>
          <cell r="F3126">
            <v>20000</v>
          </cell>
          <cell r="G3126">
            <v>-1000</v>
          </cell>
          <cell r="H3126">
            <v>105.26</v>
          </cell>
          <cell r="I3126">
            <v>20000</v>
          </cell>
          <cell r="J3126">
            <v>20000</v>
          </cell>
        </row>
        <row r="3127">
          <cell r="A3127">
            <v>1811305759</v>
          </cell>
          <cell r="B3127" t="str">
            <v>שרותי סייעות</v>
          </cell>
          <cell r="C3127">
            <v>1070000</v>
          </cell>
          <cell r="D3127">
            <v>957437.56</v>
          </cell>
          <cell r="E3127">
            <v>0</v>
          </cell>
          <cell r="F3127">
            <v>957437.56</v>
          </cell>
          <cell r="G3127">
            <v>112562.44</v>
          </cell>
          <cell r="H3127">
            <v>89.48</v>
          </cell>
          <cell r="I3127">
            <v>1070000</v>
          </cell>
          <cell r="J3127">
            <v>957437.56</v>
          </cell>
        </row>
        <row r="3128">
          <cell r="A3128">
            <v>1811305780</v>
          </cell>
          <cell r="B3128" t="str">
            <v>פעולות</v>
          </cell>
          <cell r="C3128">
            <v>562900</v>
          </cell>
          <cell r="D3128">
            <v>540491.65</v>
          </cell>
          <cell r="E3128">
            <v>19556.43</v>
          </cell>
          <cell r="F3128">
            <v>560048.07999999996</v>
          </cell>
          <cell r="G3128">
            <v>2851.92</v>
          </cell>
          <cell r="H3128">
            <v>99.49</v>
          </cell>
          <cell r="I3128">
            <v>562900</v>
          </cell>
          <cell r="J3128">
            <v>540491.65</v>
          </cell>
        </row>
        <row r="3129">
          <cell r="A3129">
            <v>1811305781</v>
          </cell>
          <cell r="B3129" t="str">
            <v>בתי"ס מוזיקליים</v>
          </cell>
          <cell r="C3129">
            <v>785460</v>
          </cell>
          <cell r="D3129">
            <v>683333</v>
          </cell>
          <cell r="E3129">
            <v>0</v>
          </cell>
          <cell r="F3129">
            <v>683333</v>
          </cell>
          <cell r="G3129">
            <v>102127</v>
          </cell>
          <cell r="H3129">
            <v>86.99</v>
          </cell>
          <cell r="I3129">
            <v>826800</v>
          </cell>
          <cell r="J3129">
            <v>683333</v>
          </cell>
        </row>
        <row r="3130">
          <cell r="A3130">
            <v>1811305782</v>
          </cell>
          <cell r="B3130" t="str">
            <v>אוריינות-בית ספר יחד</v>
          </cell>
          <cell r="C3130">
            <v>90000</v>
          </cell>
          <cell r="D3130">
            <v>90000</v>
          </cell>
          <cell r="E3130">
            <v>0</v>
          </cell>
          <cell r="F3130">
            <v>90000</v>
          </cell>
          <cell r="G3130">
            <v>0</v>
          </cell>
          <cell r="H3130">
            <v>100</v>
          </cell>
          <cell r="I3130">
            <v>90000</v>
          </cell>
          <cell r="J3130">
            <v>90000</v>
          </cell>
        </row>
        <row r="3131">
          <cell r="A3131">
            <v>1811305783</v>
          </cell>
          <cell r="B3131" t="str">
            <v>ייחודיות בית ספרית</v>
          </cell>
          <cell r="C3131">
            <v>171000</v>
          </cell>
          <cell r="D3131">
            <v>164117.23000000001</v>
          </cell>
          <cell r="E3131">
            <v>0</v>
          </cell>
          <cell r="F3131">
            <v>164117.23000000001</v>
          </cell>
          <cell r="G3131">
            <v>6882.77</v>
          </cell>
          <cell r="H3131">
            <v>95.97</v>
          </cell>
          <cell r="I3131">
            <v>171000</v>
          </cell>
          <cell r="J3131">
            <v>164117.23000000001</v>
          </cell>
        </row>
        <row r="3132">
          <cell r="A3132">
            <v>1811305784</v>
          </cell>
          <cell r="B3132" t="str">
            <v>יוזמות-יסודי-יחד</v>
          </cell>
          <cell r="C3132">
            <v>35910</v>
          </cell>
          <cell r="D3132">
            <v>30000</v>
          </cell>
          <cell r="E3132">
            <v>0</v>
          </cell>
          <cell r="F3132">
            <v>30000</v>
          </cell>
          <cell r="G3132">
            <v>5910</v>
          </cell>
          <cell r="H3132">
            <v>83.54</v>
          </cell>
          <cell r="I3132">
            <v>37800</v>
          </cell>
          <cell r="J3132">
            <v>30000</v>
          </cell>
        </row>
        <row r="3133">
          <cell r="A3133">
            <v>1811305785</v>
          </cell>
          <cell r="B3133" t="str">
            <v>יוזמות ניהול עצמני</v>
          </cell>
          <cell r="C3133">
            <v>410400</v>
          </cell>
          <cell r="D3133">
            <v>444566.01</v>
          </cell>
          <cell r="E3133">
            <v>0</v>
          </cell>
          <cell r="F3133">
            <v>444566.01</v>
          </cell>
          <cell r="G3133">
            <v>-34166.01</v>
          </cell>
          <cell r="H3133">
            <v>108.32</v>
          </cell>
          <cell r="I3133">
            <v>432000</v>
          </cell>
          <cell r="J3133">
            <v>444566.01</v>
          </cell>
        </row>
        <row r="3134">
          <cell r="A3134">
            <v>1811305786</v>
          </cell>
          <cell r="B3134" t="str">
            <v>מרכז מצטיינים</v>
          </cell>
          <cell r="C3134">
            <v>427500</v>
          </cell>
          <cell r="D3134">
            <v>180105.94</v>
          </cell>
          <cell r="E3134">
            <v>0</v>
          </cell>
          <cell r="F3134">
            <v>180105.94</v>
          </cell>
          <cell r="G3134">
            <v>247394.06</v>
          </cell>
          <cell r="H3134">
            <v>42.13</v>
          </cell>
          <cell r="I3134">
            <v>450000</v>
          </cell>
          <cell r="J3134">
            <v>180105.94</v>
          </cell>
        </row>
        <row r="3135">
          <cell r="A3135">
            <v>1811305787</v>
          </cell>
          <cell r="B3135" t="str">
            <v>תחרות האתגר</v>
          </cell>
          <cell r="C3135">
            <v>23750</v>
          </cell>
          <cell r="D3135">
            <v>0</v>
          </cell>
          <cell r="E3135">
            <v>0</v>
          </cell>
          <cell r="F3135">
            <v>0</v>
          </cell>
          <cell r="G3135">
            <v>23750</v>
          </cell>
          <cell r="H3135">
            <v>0</v>
          </cell>
          <cell r="I3135">
            <v>25000</v>
          </cell>
          <cell r="J3135">
            <v>0</v>
          </cell>
        </row>
        <row r="3136">
          <cell r="A3136">
            <v>1811306110</v>
          </cell>
          <cell r="B3136" t="str">
            <v>השכר הקובע-תקציבית</v>
          </cell>
          <cell r="C3136">
            <v>0</v>
          </cell>
          <cell r="D3136">
            <v>0</v>
          </cell>
          <cell r="E3136">
            <v>0</v>
          </cell>
          <cell r="F3136">
            <v>0</v>
          </cell>
          <cell r="G3136">
            <v>0</v>
          </cell>
          <cell r="H3136">
            <v>0</v>
          </cell>
          <cell r="I3136">
            <v>0</v>
          </cell>
          <cell r="J3136">
            <v>0</v>
          </cell>
        </row>
        <row r="3137">
          <cell r="A3137">
            <v>1811306119</v>
          </cell>
          <cell r="B3137" t="str">
            <v>השכר הקובע-צוברת</v>
          </cell>
          <cell r="C3137">
            <v>0</v>
          </cell>
          <cell r="D3137">
            <v>0</v>
          </cell>
          <cell r="E3137">
            <v>0</v>
          </cell>
          <cell r="F3137">
            <v>0</v>
          </cell>
          <cell r="G3137">
            <v>0</v>
          </cell>
          <cell r="H3137">
            <v>0</v>
          </cell>
          <cell r="I3137">
            <v>0</v>
          </cell>
          <cell r="J3137">
            <v>0</v>
          </cell>
        </row>
        <row r="3138">
          <cell r="A3138">
            <v>1811306210</v>
          </cell>
          <cell r="B3138" t="str">
            <v>השכר הקובע</v>
          </cell>
          <cell r="C3138">
            <v>0</v>
          </cell>
          <cell r="D3138">
            <v>0</v>
          </cell>
          <cell r="E3138">
            <v>0</v>
          </cell>
          <cell r="F3138">
            <v>0</v>
          </cell>
          <cell r="G3138">
            <v>0</v>
          </cell>
          <cell r="H3138">
            <v>0</v>
          </cell>
          <cell r="I3138">
            <v>0</v>
          </cell>
          <cell r="J3138">
            <v>0</v>
          </cell>
        </row>
        <row r="3139">
          <cell r="A3139">
            <v>1811306263</v>
          </cell>
          <cell r="B3139" t="str">
            <v>עובדי כח - אדם</v>
          </cell>
          <cell r="C3139">
            <v>0</v>
          </cell>
          <cell r="D3139">
            <v>0</v>
          </cell>
          <cell r="E3139">
            <v>0</v>
          </cell>
          <cell r="F3139">
            <v>0</v>
          </cell>
          <cell r="G3139">
            <v>0</v>
          </cell>
          <cell r="H3139">
            <v>0</v>
          </cell>
          <cell r="I3139">
            <v>0</v>
          </cell>
          <cell r="J3139">
            <v>0</v>
          </cell>
        </row>
        <row r="3140">
          <cell r="A3140">
            <v>1811306759</v>
          </cell>
          <cell r="B3140" t="str">
            <v>שרותי סייעות</v>
          </cell>
          <cell r="C3140">
            <v>0</v>
          </cell>
          <cell r="D3140">
            <v>0</v>
          </cell>
          <cell r="E3140">
            <v>0</v>
          </cell>
          <cell r="F3140">
            <v>0</v>
          </cell>
          <cell r="G3140">
            <v>0</v>
          </cell>
          <cell r="H3140">
            <v>0</v>
          </cell>
          <cell r="I3140">
            <v>0</v>
          </cell>
          <cell r="J3140">
            <v>0</v>
          </cell>
        </row>
        <row r="3141">
          <cell r="A3141">
            <v>1811306780</v>
          </cell>
          <cell r="B3141" t="str">
            <v>פעולות</v>
          </cell>
          <cell r="C3141">
            <v>284300</v>
          </cell>
          <cell r="D3141">
            <v>241508.03</v>
          </cell>
          <cell r="E3141">
            <v>42696</v>
          </cell>
          <cell r="F3141">
            <v>284204.03000000003</v>
          </cell>
          <cell r="G3141">
            <v>95.97</v>
          </cell>
          <cell r="H3141">
            <v>99.96</v>
          </cell>
          <cell r="I3141">
            <v>284300</v>
          </cell>
          <cell r="J3141">
            <v>241508.03</v>
          </cell>
        </row>
        <row r="3142">
          <cell r="A3142">
            <v>1811306781</v>
          </cell>
          <cell r="B3142" t="str">
            <v>כתת התנהגות בהרצוג</v>
          </cell>
          <cell r="C3142">
            <v>0</v>
          </cell>
          <cell r="D3142">
            <v>0</v>
          </cell>
          <cell r="E3142">
            <v>0</v>
          </cell>
          <cell r="F3142">
            <v>0</v>
          </cell>
          <cell r="G3142">
            <v>0</v>
          </cell>
          <cell r="H3142">
            <v>0</v>
          </cell>
          <cell r="I3142">
            <v>0</v>
          </cell>
          <cell r="J3142">
            <v>0</v>
          </cell>
        </row>
        <row r="3143">
          <cell r="A3143">
            <v>1811307110</v>
          </cell>
          <cell r="B3143" t="str">
            <v>השכר הקובע-תקציבית</v>
          </cell>
          <cell r="C3143">
            <v>0</v>
          </cell>
          <cell r="D3143">
            <v>0</v>
          </cell>
          <cell r="E3143">
            <v>0</v>
          </cell>
          <cell r="F3143">
            <v>0</v>
          </cell>
          <cell r="G3143">
            <v>0</v>
          </cell>
          <cell r="H3143">
            <v>0</v>
          </cell>
          <cell r="I3143">
            <v>0</v>
          </cell>
          <cell r="J3143">
            <v>0</v>
          </cell>
        </row>
        <row r="3144">
          <cell r="A3144">
            <v>1811307119</v>
          </cell>
          <cell r="B3144" t="str">
            <v>השכר הקובע-צוברת</v>
          </cell>
          <cell r="C3144">
            <v>0</v>
          </cell>
          <cell r="D3144">
            <v>0</v>
          </cell>
          <cell r="E3144">
            <v>0</v>
          </cell>
          <cell r="F3144">
            <v>0</v>
          </cell>
          <cell r="G3144">
            <v>0</v>
          </cell>
          <cell r="H3144">
            <v>0</v>
          </cell>
          <cell r="I3144">
            <v>0</v>
          </cell>
          <cell r="J3144">
            <v>0</v>
          </cell>
        </row>
        <row r="3145">
          <cell r="A3145">
            <v>1811307263</v>
          </cell>
          <cell r="B3145" t="str">
            <v>עובדי כח - אדם</v>
          </cell>
          <cell r="C3145">
            <v>0</v>
          </cell>
          <cell r="D3145">
            <v>0</v>
          </cell>
          <cell r="E3145">
            <v>0</v>
          </cell>
          <cell r="F3145">
            <v>0</v>
          </cell>
          <cell r="G3145">
            <v>0</v>
          </cell>
          <cell r="H3145">
            <v>0</v>
          </cell>
          <cell r="I3145">
            <v>0</v>
          </cell>
          <cell r="J3145">
            <v>0</v>
          </cell>
        </row>
        <row r="3146">
          <cell r="A3146">
            <v>1811307759</v>
          </cell>
          <cell r="B3146" t="str">
            <v>שרותי סייעות</v>
          </cell>
          <cell r="C3146">
            <v>0</v>
          </cell>
          <cell r="D3146">
            <v>0</v>
          </cell>
          <cell r="E3146">
            <v>0</v>
          </cell>
          <cell r="F3146">
            <v>0</v>
          </cell>
          <cell r="G3146">
            <v>0</v>
          </cell>
          <cell r="H3146">
            <v>0</v>
          </cell>
          <cell r="I3146">
            <v>0</v>
          </cell>
          <cell r="J3146">
            <v>0</v>
          </cell>
        </row>
        <row r="3147">
          <cell r="A3147">
            <v>1811307780</v>
          </cell>
          <cell r="B3147" t="str">
            <v>פעולות</v>
          </cell>
          <cell r="C3147">
            <v>0</v>
          </cell>
          <cell r="D3147">
            <v>0</v>
          </cell>
          <cell r="E3147">
            <v>0</v>
          </cell>
          <cell r="F3147">
            <v>0</v>
          </cell>
          <cell r="G3147">
            <v>0</v>
          </cell>
          <cell r="H3147">
            <v>0</v>
          </cell>
          <cell r="I3147">
            <v>0</v>
          </cell>
          <cell r="J3147">
            <v>0</v>
          </cell>
        </row>
        <row r="3148">
          <cell r="A3148">
            <v>1811308110</v>
          </cell>
          <cell r="B3148" t="str">
            <v>השכר הקובע-תקציבית</v>
          </cell>
          <cell r="C3148">
            <v>0</v>
          </cell>
          <cell r="D3148">
            <v>0</v>
          </cell>
          <cell r="E3148">
            <v>0</v>
          </cell>
          <cell r="F3148">
            <v>0</v>
          </cell>
          <cell r="G3148">
            <v>0</v>
          </cell>
          <cell r="H3148">
            <v>0</v>
          </cell>
          <cell r="I3148">
            <v>0</v>
          </cell>
          <cell r="J3148">
            <v>0</v>
          </cell>
        </row>
        <row r="3149">
          <cell r="A3149">
            <v>1811308119</v>
          </cell>
          <cell r="B3149" t="str">
            <v>השכר הקובע-צוברת</v>
          </cell>
          <cell r="C3149">
            <v>0</v>
          </cell>
          <cell r="D3149">
            <v>0</v>
          </cell>
          <cell r="E3149">
            <v>0</v>
          </cell>
          <cell r="F3149">
            <v>0</v>
          </cell>
          <cell r="G3149">
            <v>0</v>
          </cell>
          <cell r="H3149">
            <v>0</v>
          </cell>
          <cell r="I3149">
            <v>0</v>
          </cell>
          <cell r="J3149">
            <v>0</v>
          </cell>
        </row>
        <row r="3150">
          <cell r="A3150">
            <v>1811308210</v>
          </cell>
          <cell r="B3150" t="str">
            <v>השכר הקובע</v>
          </cell>
          <cell r="C3150">
            <v>0</v>
          </cell>
          <cell r="D3150">
            <v>0</v>
          </cell>
          <cell r="E3150">
            <v>0</v>
          </cell>
          <cell r="F3150">
            <v>0</v>
          </cell>
          <cell r="G3150">
            <v>0</v>
          </cell>
          <cell r="H3150">
            <v>0</v>
          </cell>
          <cell r="I3150">
            <v>0</v>
          </cell>
          <cell r="J3150">
            <v>0</v>
          </cell>
        </row>
        <row r="3151">
          <cell r="A3151">
            <v>1811308263</v>
          </cell>
          <cell r="B3151" t="str">
            <v>עובדי כח - אדם</v>
          </cell>
          <cell r="C3151">
            <v>0</v>
          </cell>
          <cell r="D3151">
            <v>0</v>
          </cell>
          <cell r="E3151">
            <v>0</v>
          </cell>
          <cell r="F3151">
            <v>0</v>
          </cell>
          <cell r="G3151">
            <v>0</v>
          </cell>
          <cell r="H3151">
            <v>0</v>
          </cell>
          <cell r="I3151">
            <v>0</v>
          </cell>
          <cell r="J3151">
            <v>0</v>
          </cell>
        </row>
        <row r="3152">
          <cell r="A3152">
            <v>1811308759</v>
          </cell>
          <cell r="B3152" t="str">
            <v>שרותי סייעות</v>
          </cell>
          <cell r="C3152">
            <v>0</v>
          </cell>
          <cell r="D3152">
            <v>0</v>
          </cell>
          <cell r="E3152">
            <v>0</v>
          </cell>
          <cell r="F3152">
            <v>0</v>
          </cell>
          <cell r="G3152">
            <v>0</v>
          </cell>
          <cell r="H3152">
            <v>0</v>
          </cell>
          <cell r="I3152">
            <v>0</v>
          </cell>
          <cell r="J3152">
            <v>0</v>
          </cell>
        </row>
        <row r="3153">
          <cell r="A3153">
            <v>1811308780</v>
          </cell>
          <cell r="B3153" t="str">
            <v>פעולות</v>
          </cell>
          <cell r="C3153">
            <v>0</v>
          </cell>
          <cell r="D3153">
            <v>0</v>
          </cell>
          <cell r="E3153">
            <v>0</v>
          </cell>
          <cell r="F3153">
            <v>0</v>
          </cell>
          <cell r="G3153">
            <v>0</v>
          </cell>
          <cell r="H3153">
            <v>0</v>
          </cell>
          <cell r="I3153">
            <v>0</v>
          </cell>
          <cell r="J3153">
            <v>0</v>
          </cell>
        </row>
        <row r="3154">
          <cell r="A3154">
            <v>1811309110</v>
          </cell>
          <cell r="B3154" t="str">
            <v>השכר הקובע תקציבית</v>
          </cell>
          <cell r="C3154">
            <v>0</v>
          </cell>
          <cell r="D3154">
            <v>0</v>
          </cell>
          <cell r="E3154">
            <v>0</v>
          </cell>
          <cell r="F3154">
            <v>0</v>
          </cell>
          <cell r="G3154">
            <v>0</v>
          </cell>
          <cell r="H3154">
            <v>0</v>
          </cell>
          <cell r="I3154">
            <v>0</v>
          </cell>
          <cell r="J3154">
            <v>0</v>
          </cell>
        </row>
        <row r="3155">
          <cell r="A3155">
            <v>1811309119</v>
          </cell>
          <cell r="B3155" t="str">
            <v>השכר הקובע-צוברת</v>
          </cell>
          <cell r="C3155">
            <v>0</v>
          </cell>
          <cell r="D3155">
            <v>0</v>
          </cell>
          <cell r="E3155">
            <v>0</v>
          </cell>
          <cell r="F3155">
            <v>0</v>
          </cell>
          <cell r="G3155">
            <v>0</v>
          </cell>
          <cell r="H3155">
            <v>0</v>
          </cell>
          <cell r="I3155">
            <v>0</v>
          </cell>
          <cell r="J3155">
            <v>0</v>
          </cell>
        </row>
        <row r="3156">
          <cell r="A3156">
            <v>1811309210</v>
          </cell>
          <cell r="B3156" t="str">
            <v>השכר הקובע</v>
          </cell>
          <cell r="C3156">
            <v>0</v>
          </cell>
          <cell r="D3156">
            <v>27682.95</v>
          </cell>
          <cell r="E3156">
            <v>0</v>
          </cell>
          <cell r="F3156">
            <v>27682.95</v>
          </cell>
          <cell r="G3156">
            <v>-27682.95</v>
          </cell>
          <cell r="H3156">
            <v>0</v>
          </cell>
          <cell r="I3156">
            <v>0</v>
          </cell>
          <cell r="J3156">
            <v>27682.95</v>
          </cell>
        </row>
        <row r="3157">
          <cell r="A3157">
            <v>1811309263</v>
          </cell>
          <cell r="B3157" t="str">
            <v>עובדי כח - אדם</v>
          </cell>
          <cell r="C3157">
            <v>0</v>
          </cell>
          <cell r="D3157">
            <v>0</v>
          </cell>
          <cell r="E3157">
            <v>0</v>
          </cell>
          <cell r="F3157">
            <v>0</v>
          </cell>
          <cell r="G3157">
            <v>0</v>
          </cell>
          <cell r="H3157">
            <v>0</v>
          </cell>
          <cell r="I3157">
            <v>0</v>
          </cell>
          <cell r="J3157">
            <v>0</v>
          </cell>
        </row>
        <row r="3158">
          <cell r="A3158">
            <v>1811309759</v>
          </cell>
          <cell r="B3158" t="str">
            <v>שרותי סייעות</v>
          </cell>
          <cell r="C3158">
            <v>0</v>
          </cell>
          <cell r="D3158">
            <v>0</v>
          </cell>
          <cell r="E3158">
            <v>0</v>
          </cell>
          <cell r="F3158">
            <v>0</v>
          </cell>
          <cell r="G3158">
            <v>0</v>
          </cell>
          <cell r="H3158">
            <v>0</v>
          </cell>
          <cell r="I3158">
            <v>0</v>
          </cell>
          <cell r="J3158">
            <v>0</v>
          </cell>
        </row>
        <row r="3159">
          <cell r="A3159">
            <v>1811309780</v>
          </cell>
          <cell r="B3159" t="str">
            <v>פעולות</v>
          </cell>
          <cell r="C3159">
            <v>129295</v>
          </cell>
          <cell r="D3159">
            <v>95130.21</v>
          </cell>
          <cell r="E3159">
            <v>20795.97</v>
          </cell>
          <cell r="F3159">
            <v>115926.18</v>
          </cell>
          <cell r="G3159">
            <v>13368.82</v>
          </cell>
          <cell r="H3159">
            <v>89.66</v>
          </cell>
          <cell r="I3159">
            <v>136100</v>
          </cell>
          <cell r="J3159">
            <v>95130.21</v>
          </cell>
        </row>
        <row r="3160">
          <cell r="A3160">
            <v>1811400110</v>
          </cell>
          <cell r="B3160" t="str">
            <v>השכר הקובע-תקציבית</v>
          </cell>
          <cell r="C3160">
            <v>241300</v>
          </cell>
          <cell r="D3160">
            <v>185320.32000000001</v>
          </cell>
          <cell r="E3160">
            <v>0</v>
          </cell>
          <cell r="F3160">
            <v>185320.32000000001</v>
          </cell>
          <cell r="G3160">
            <v>55979.68</v>
          </cell>
          <cell r="H3160">
            <v>76.8</v>
          </cell>
          <cell r="I3160">
            <v>254000</v>
          </cell>
          <cell r="J3160">
            <v>185320.32000000001</v>
          </cell>
        </row>
        <row r="3161">
          <cell r="A3161">
            <v>1811400119</v>
          </cell>
          <cell r="B3161" t="str">
            <v>השכר הקובע-צוברת</v>
          </cell>
          <cell r="C3161">
            <v>483075</v>
          </cell>
          <cell r="D3161">
            <v>426776.94</v>
          </cell>
          <cell r="E3161">
            <v>0</v>
          </cell>
          <cell r="F3161">
            <v>426776.94</v>
          </cell>
          <cell r="G3161">
            <v>56298.06</v>
          </cell>
          <cell r="H3161">
            <v>88.34</v>
          </cell>
          <cell r="I3161">
            <v>508500</v>
          </cell>
          <cell r="J3161">
            <v>426776.94</v>
          </cell>
        </row>
        <row r="3162">
          <cell r="A3162">
            <v>1811400122</v>
          </cell>
          <cell r="B3162" t="str">
            <v>ביגוד</v>
          </cell>
          <cell r="C3162">
            <v>5985</v>
          </cell>
          <cell r="D3162">
            <v>8014.47</v>
          </cell>
          <cell r="E3162">
            <v>0</v>
          </cell>
          <cell r="F3162">
            <v>8014.47</v>
          </cell>
          <cell r="G3162">
            <v>-2029.47</v>
          </cell>
          <cell r="H3162">
            <v>133.9</v>
          </cell>
          <cell r="I3162">
            <v>6300</v>
          </cell>
          <cell r="J3162">
            <v>8014.47</v>
          </cell>
        </row>
        <row r="3163">
          <cell r="A3163">
            <v>1811400126</v>
          </cell>
          <cell r="B3163" t="str">
            <v>דמי הבראה</v>
          </cell>
          <cell r="C3163">
            <v>12350</v>
          </cell>
          <cell r="D3163">
            <v>18213.150000000001</v>
          </cell>
          <cell r="E3163">
            <v>0</v>
          </cell>
          <cell r="F3163">
            <v>18213.150000000001</v>
          </cell>
          <cell r="G3163">
            <v>-5863.15</v>
          </cell>
          <cell r="H3163">
            <v>147.47</v>
          </cell>
          <cell r="I3163">
            <v>13000</v>
          </cell>
          <cell r="J3163">
            <v>18213.150000000001</v>
          </cell>
        </row>
        <row r="3164">
          <cell r="A3164">
            <v>1811400130</v>
          </cell>
          <cell r="B3164" t="str">
            <v>שעות נוספות</v>
          </cell>
          <cell r="C3164">
            <v>19000</v>
          </cell>
          <cell r="D3164">
            <v>16976.580000000002</v>
          </cell>
          <cell r="E3164">
            <v>0</v>
          </cell>
          <cell r="F3164">
            <v>16976.580000000002</v>
          </cell>
          <cell r="G3164">
            <v>2023.42</v>
          </cell>
          <cell r="H3164">
            <v>89.35</v>
          </cell>
          <cell r="I3164">
            <v>20000</v>
          </cell>
          <cell r="J3164">
            <v>16976.580000000002</v>
          </cell>
        </row>
        <row r="3165">
          <cell r="A3165">
            <v>1811400140</v>
          </cell>
          <cell r="B3165" t="str">
            <v>השתתפות באחזקת רכב</v>
          </cell>
          <cell r="C3165">
            <v>80085</v>
          </cell>
          <cell r="D3165">
            <v>62439.41</v>
          </cell>
          <cell r="E3165">
            <v>0</v>
          </cell>
          <cell r="F3165">
            <v>62439.41</v>
          </cell>
          <cell r="G3165">
            <v>17645.59</v>
          </cell>
          <cell r="H3165">
            <v>77.959999999999994</v>
          </cell>
          <cell r="I3165">
            <v>84300</v>
          </cell>
          <cell r="J3165">
            <v>62439.41</v>
          </cell>
        </row>
        <row r="3166">
          <cell r="A3166">
            <v>1811400210</v>
          </cell>
          <cell r="B3166" t="str">
            <v>שכר קובע-אוזן קשבת</v>
          </cell>
          <cell r="C3166">
            <v>0</v>
          </cell>
          <cell r="D3166">
            <v>0</v>
          </cell>
          <cell r="E3166">
            <v>0</v>
          </cell>
          <cell r="F3166">
            <v>0</v>
          </cell>
          <cell r="G3166">
            <v>0</v>
          </cell>
          <cell r="H3166">
            <v>0</v>
          </cell>
          <cell r="I3166">
            <v>0</v>
          </cell>
          <cell r="J3166">
            <v>0</v>
          </cell>
        </row>
        <row r="3167">
          <cell r="A3167">
            <v>1811400263</v>
          </cell>
          <cell r="B3167" t="str">
            <v>אוזן קשבת</v>
          </cell>
          <cell r="C3167">
            <v>0</v>
          </cell>
          <cell r="D3167">
            <v>0</v>
          </cell>
          <cell r="E3167">
            <v>0</v>
          </cell>
          <cell r="F3167">
            <v>0</v>
          </cell>
          <cell r="G3167">
            <v>0</v>
          </cell>
          <cell r="H3167">
            <v>0</v>
          </cell>
          <cell r="I3167">
            <v>0</v>
          </cell>
          <cell r="J3167">
            <v>0</v>
          </cell>
        </row>
        <row r="3168">
          <cell r="A3168">
            <v>1811400780</v>
          </cell>
          <cell r="B3168" t="str">
            <v>פעולות</v>
          </cell>
          <cell r="C3168">
            <v>801325</v>
          </cell>
          <cell r="D3168">
            <v>69736.95</v>
          </cell>
          <cell r="E3168">
            <v>0</v>
          </cell>
          <cell r="F3168">
            <v>69736.95</v>
          </cell>
          <cell r="G3168">
            <v>731588.05</v>
          </cell>
          <cell r="H3168">
            <v>8.6999999999999993</v>
          </cell>
          <cell r="I3168">
            <v>843500</v>
          </cell>
          <cell r="J3168">
            <v>69736.95</v>
          </cell>
        </row>
        <row r="3169">
          <cell r="A3169">
            <v>1811400781</v>
          </cell>
          <cell r="B3169" t="str">
            <v>עיר ללא אלימות</v>
          </cell>
          <cell r="C3169">
            <v>1530070</v>
          </cell>
          <cell r="D3169">
            <v>1515685.05</v>
          </cell>
          <cell r="E3169">
            <v>313.5</v>
          </cell>
          <cell r="F3169">
            <v>1515998.55</v>
          </cell>
          <cell r="G3169">
            <v>14071.45</v>
          </cell>
          <cell r="H3169">
            <v>99.08</v>
          </cell>
          <cell r="I3169">
            <v>1610600</v>
          </cell>
          <cell r="J3169">
            <v>1515685.05</v>
          </cell>
        </row>
        <row r="3170">
          <cell r="A3170">
            <v>1811400782</v>
          </cell>
          <cell r="B3170" t="str">
            <v>סמים משרד החינוך</v>
          </cell>
          <cell r="C3170">
            <v>0</v>
          </cell>
          <cell r="D3170">
            <v>0</v>
          </cell>
          <cell r="E3170">
            <v>0</v>
          </cell>
          <cell r="F3170">
            <v>0</v>
          </cell>
          <cell r="G3170">
            <v>0</v>
          </cell>
          <cell r="H3170">
            <v>0</v>
          </cell>
          <cell r="I3170">
            <v>0</v>
          </cell>
          <cell r="J3170">
            <v>0</v>
          </cell>
        </row>
        <row r="3171">
          <cell r="A3171">
            <v>1811400783</v>
          </cell>
          <cell r="B3171" t="str">
            <v>אפוטרופוס כללי</v>
          </cell>
          <cell r="C3171">
            <v>0</v>
          </cell>
          <cell r="D3171">
            <v>0</v>
          </cell>
          <cell r="E3171">
            <v>0</v>
          </cell>
          <cell r="F3171">
            <v>0</v>
          </cell>
          <cell r="G3171">
            <v>0</v>
          </cell>
          <cell r="H3171">
            <v>0</v>
          </cell>
          <cell r="I3171">
            <v>0</v>
          </cell>
          <cell r="J3171">
            <v>0</v>
          </cell>
        </row>
        <row r="3172">
          <cell r="A3172">
            <v>1812200081</v>
          </cell>
          <cell r="B3172" t="str">
            <v>לא פעיל</v>
          </cell>
          <cell r="C3172">
            <v>0</v>
          </cell>
          <cell r="D3172">
            <v>0</v>
          </cell>
          <cell r="E3172">
            <v>0</v>
          </cell>
          <cell r="F3172">
            <v>0</v>
          </cell>
          <cell r="G3172">
            <v>0</v>
          </cell>
          <cell r="H3172">
            <v>0</v>
          </cell>
          <cell r="I3172">
            <v>0</v>
          </cell>
          <cell r="J3172">
            <v>0</v>
          </cell>
        </row>
        <row r="3173">
          <cell r="A3173">
            <v>1812200110</v>
          </cell>
          <cell r="B3173" t="str">
            <v>השכר הקובע-תקציבית</v>
          </cell>
          <cell r="C3173">
            <v>183445</v>
          </cell>
          <cell r="D3173">
            <v>175680.61</v>
          </cell>
          <cell r="E3173">
            <v>0</v>
          </cell>
          <cell r="F3173">
            <v>175680.61</v>
          </cell>
          <cell r="G3173">
            <v>7764.39</v>
          </cell>
          <cell r="H3173">
            <v>95.76</v>
          </cell>
          <cell r="I3173">
            <v>193100</v>
          </cell>
          <cell r="J3173">
            <v>175680.61</v>
          </cell>
        </row>
        <row r="3174">
          <cell r="A3174">
            <v>1812200119</v>
          </cell>
          <cell r="B3174" t="str">
            <v>השכר הקובע-צוברת</v>
          </cell>
          <cell r="C3174">
            <v>206340</v>
          </cell>
          <cell r="D3174">
            <v>182109.43</v>
          </cell>
          <cell r="E3174">
            <v>0</v>
          </cell>
          <cell r="F3174">
            <v>182109.43</v>
          </cell>
          <cell r="G3174">
            <v>24230.57</v>
          </cell>
          <cell r="H3174">
            <v>88.25</v>
          </cell>
          <cell r="I3174">
            <v>217200</v>
          </cell>
          <cell r="J3174">
            <v>182109.43</v>
          </cell>
        </row>
        <row r="3175">
          <cell r="A3175">
            <v>1812200122</v>
          </cell>
          <cell r="B3175" t="str">
            <v>ביגוד</v>
          </cell>
          <cell r="C3175">
            <v>10640</v>
          </cell>
          <cell r="D3175">
            <v>1601.25</v>
          </cell>
          <cell r="E3175">
            <v>0</v>
          </cell>
          <cell r="F3175">
            <v>1601.25</v>
          </cell>
          <cell r="G3175">
            <v>9038.75</v>
          </cell>
          <cell r="H3175">
            <v>15.04</v>
          </cell>
          <cell r="I3175">
            <v>11200</v>
          </cell>
          <cell r="J3175">
            <v>1601.25</v>
          </cell>
        </row>
        <row r="3176">
          <cell r="A3176">
            <v>1812200126</v>
          </cell>
          <cell r="B3176" t="str">
            <v>דמי הבראה</v>
          </cell>
          <cell r="C3176">
            <v>53200</v>
          </cell>
          <cell r="D3176">
            <v>12256.4</v>
          </cell>
          <cell r="E3176">
            <v>0</v>
          </cell>
          <cell r="F3176">
            <v>12256.4</v>
          </cell>
          <cell r="G3176">
            <v>40943.599999999999</v>
          </cell>
          <cell r="H3176">
            <v>23.03</v>
          </cell>
          <cell r="I3176">
            <v>56000</v>
          </cell>
          <cell r="J3176">
            <v>12256.4</v>
          </cell>
        </row>
        <row r="3177">
          <cell r="A3177">
            <v>1812200130</v>
          </cell>
          <cell r="B3177" t="str">
            <v>שעות נוספות</v>
          </cell>
          <cell r="C3177">
            <v>0</v>
          </cell>
          <cell r="D3177">
            <v>800</v>
          </cell>
          <cell r="E3177">
            <v>0</v>
          </cell>
          <cell r="F3177">
            <v>800</v>
          </cell>
          <cell r="G3177">
            <v>-800</v>
          </cell>
          <cell r="H3177">
            <v>0</v>
          </cell>
          <cell r="I3177">
            <v>0</v>
          </cell>
          <cell r="J3177">
            <v>800</v>
          </cell>
        </row>
        <row r="3178">
          <cell r="A3178">
            <v>1812200210</v>
          </cell>
          <cell r="B3178" t="str">
            <v>השכר הקובע</v>
          </cell>
          <cell r="C3178">
            <v>0</v>
          </cell>
          <cell r="D3178">
            <v>0</v>
          </cell>
          <cell r="E3178">
            <v>0</v>
          </cell>
          <cell r="F3178">
            <v>0</v>
          </cell>
          <cell r="G3178">
            <v>0</v>
          </cell>
          <cell r="H3178">
            <v>0</v>
          </cell>
          <cell r="I3178">
            <v>0</v>
          </cell>
          <cell r="J3178">
            <v>0</v>
          </cell>
        </row>
        <row r="3179">
          <cell r="A3179">
            <v>1812200253</v>
          </cell>
          <cell r="B3179" t="str">
            <v>סייעות - קבלן</v>
          </cell>
          <cell r="C3179">
            <v>0</v>
          </cell>
          <cell r="D3179">
            <v>0</v>
          </cell>
          <cell r="E3179">
            <v>0</v>
          </cell>
          <cell r="F3179">
            <v>0</v>
          </cell>
          <cell r="G3179">
            <v>0</v>
          </cell>
          <cell r="H3179">
            <v>0</v>
          </cell>
          <cell r="I3179">
            <v>0</v>
          </cell>
          <cell r="J3179">
            <v>0</v>
          </cell>
        </row>
        <row r="3180">
          <cell r="A3180">
            <v>1812200255</v>
          </cell>
          <cell r="B3180" t="str">
            <v>מילוי מקום</v>
          </cell>
          <cell r="C3180">
            <v>0</v>
          </cell>
          <cell r="D3180">
            <v>0</v>
          </cell>
          <cell r="E3180">
            <v>0</v>
          </cell>
          <cell r="F3180">
            <v>0</v>
          </cell>
          <cell r="G3180">
            <v>0</v>
          </cell>
          <cell r="H3180">
            <v>0</v>
          </cell>
          <cell r="I3180">
            <v>0</v>
          </cell>
          <cell r="J3180">
            <v>0</v>
          </cell>
        </row>
        <row r="3181">
          <cell r="A3181">
            <v>1812200261</v>
          </cell>
          <cell r="B3181" t="str">
            <v>שכר לגננות</v>
          </cell>
          <cell r="C3181">
            <v>0</v>
          </cell>
          <cell r="D3181">
            <v>0</v>
          </cell>
          <cell r="E3181">
            <v>0</v>
          </cell>
          <cell r="F3181">
            <v>0</v>
          </cell>
          <cell r="G3181">
            <v>0</v>
          </cell>
          <cell r="H3181">
            <v>0</v>
          </cell>
          <cell r="I3181">
            <v>0</v>
          </cell>
          <cell r="J3181">
            <v>0</v>
          </cell>
        </row>
        <row r="3182">
          <cell r="A3182">
            <v>1812200263</v>
          </cell>
          <cell r="B3182" t="str">
            <v>משלימות ימי ו'</v>
          </cell>
          <cell r="C3182">
            <v>0</v>
          </cell>
          <cell r="D3182">
            <v>0</v>
          </cell>
          <cell r="E3182">
            <v>0</v>
          </cell>
          <cell r="F3182">
            <v>0</v>
          </cell>
          <cell r="G3182">
            <v>0</v>
          </cell>
          <cell r="H3182">
            <v>0</v>
          </cell>
          <cell r="I3182">
            <v>0</v>
          </cell>
          <cell r="J3182">
            <v>0</v>
          </cell>
        </row>
        <row r="3183">
          <cell r="A3183">
            <v>1812200264</v>
          </cell>
          <cell r="B3183" t="str">
            <v>תקן קבועים ממוסדות</v>
          </cell>
          <cell r="C3183">
            <v>0</v>
          </cell>
          <cell r="D3183">
            <v>0</v>
          </cell>
          <cell r="E3183">
            <v>0</v>
          </cell>
          <cell r="F3183">
            <v>0</v>
          </cell>
          <cell r="G3183">
            <v>0</v>
          </cell>
          <cell r="H3183">
            <v>0</v>
          </cell>
          <cell r="I3183">
            <v>0</v>
          </cell>
          <cell r="J3183">
            <v>0</v>
          </cell>
        </row>
        <row r="3184">
          <cell r="A3184">
            <v>1812200391</v>
          </cell>
          <cell r="B3184" t="str">
            <v>הפרשה לפנסיה</v>
          </cell>
          <cell r="C3184">
            <v>0</v>
          </cell>
          <cell r="D3184">
            <v>0</v>
          </cell>
          <cell r="E3184">
            <v>0</v>
          </cell>
          <cell r="F3184">
            <v>0</v>
          </cell>
          <cell r="G3184">
            <v>0</v>
          </cell>
          <cell r="H3184">
            <v>0</v>
          </cell>
          <cell r="I3184">
            <v>0</v>
          </cell>
          <cell r="J3184">
            <v>0</v>
          </cell>
        </row>
        <row r="3185">
          <cell r="A3185">
            <v>1812200420</v>
          </cell>
          <cell r="B3185" t="str">
            <v>כיבוי אש</v>
          </cell>
          <cell r="C3185">
            <v>80750</v>
          </cell>
          <cell r="D3185">
            <v>80596.38</v>
          </cell>
          <cell r="E3185">
            <v>0</v>
          </cell>
          <cell r="F3185">
            <v>80596.38</v>
          </cell>
          <cell r="G3185">
            <v>153.62</v>
          </cell>
          <cell r="H3185">
            <v>99.8</v>
          </cell>
          <cell r="I3185">
            <v>85000</v>
          </cell>
          <cell r="J3185">
            <v>80596.38</v>
          </cell>
        </row>
        <row r="3186">
          <cell r="A3186">
            <v>1812200423</v>
          </cell>
          <cell r="B3186" t="str">
            <v>תחזוקת מבנה</v>
          </cell>
          <cell r="C3186">
            <v>0</v>
          </cell>
          <cell r="D3186">
            <v>0</v>
          </cell>
          <cell r="E3186">
            <v>0</v>
          </cell>
          <cell r="F3186">
            <v>0</v>
          </cell>
          <cell r="G3186">
            <v>0</v>
          </cell>
          <cell r="H3186">
            <v>0</v>
          </cell>
          <cell r="I3186">
            <v>0</v>
          </cell>
          <cell r="J3186">
            <v>0</v>
          </cell>
        </row>
        <row r="3187">
          <cell r="A3187">
            <v>1812200430</v>
          </cell>
          <cell r="B3187" t="str">
            <v>גז לגנים</v>
          </cell>
          <cell r="C3187">
            <v>0</v>
          </cell>
          <cell r="D3187">
            <v>0</v>
          </cell>
          <cell r="E3187">
            <v>0</v>
          </cell>
          <cell r="F3187">
            <v>0</v>
          </cell>
          <cell r="G3187">
            <v>0</v>
          </cell>
          <cell r="H3187">
            <v>0</v>
          </cell>
          <cell r="I3187">
            <v>0</v>
          </cell>
          <cell r="J3187">
            <v>0</v>
          </cell>
        </row>
        <row r="3188">
          <cell r="A3188">
            <v>1812200431</v>
          </cell>
          <cell r="B3188" t="str">
            <v>חשמל</v>
          </cell>
          <cell r="C3188">
            <v>1692900</v>
          </cell>
          <cell r="D3188">
            <v>1687176.84</v>
          </cell>
          <cell r="E3188">
            <v>0</v>
          </cell>
          <cell r="F3188">
            <v>1687176.84</v>
          </cell>
          <cell r="G3188">
            <v>5723.16</v>
          </cell>
          <cell r="H3188">
            <v>99.66</v>
          </cell>
          <cell r="I3188">
            <v>1782000</v>
          </cell>
          <cell r="J3188">
            <v>1687176.84</v>
          </cell>
        </row>
        <row r="3189">
          <cell r="A3189">
            <v>1812200432</v>
          </cell>
          <cell r="B3189" t="str">
            <v>מים</v>
          </cell>
          <cell r="C3189">
            <v>726750</v>
          </cell>
          <cell r="D3189">
            <v>764999.63</v>
          </cell>
          <cell r="E3189">
            <v>0</v>
          </cell>
          <cell r="F3189">
            <v>764999.63</v>
          </cell>
          <cell r="G3189">
            <v>-38249.629999999997</v>
          </cell>
          <cell r="H3189">
            <v>105.26</v>
          </cell>
          <cell r="I3189">
            <v>765000</v>
          </cell>
          <cell r="J3189">
            <v>764999.63</v>
          </cell>
        </row>
        <row r="3190">
          <cell r="A3190">
            <v>1812200433</v>
          </cell>
          <cell r="B3190" t="str">
            <v>חומרי נקיון</v>
          </cell>
          <cell r="C3190">
            <v>165015</v>
          </cell>
          <cell r="D3190">
            <v>173250</v>
          </cell>
          <cell r="E3190">
            <v>0</v>
          </cell>
          <cell r="F3190">
            <v>173250</v>
          </cell>
          <cell r="G3190">
            <v>-8235</v>
          </cell>
          <cell r="H3190">
            <v>104.99</v>
          </cell>
          <cell r="I3190">
            <v>173700</v>
          </cell>
          <cell r="J3190">
            <v>173250</v>
          </cell>
        </row>
        <row r="3191">
          <cell r="A3191">
            <v>1812200434</v>
          </cell>
          <cell r="B3191" t="str">
            <v>חיטוי והדברה</v>
          </cell>
          <cell r="C3191">
            <v>25900</v>
          </cell>
          <cell r="D3191">
            <v>25123.06</v>
          </cell>
          <cell r="E3191">
            <v>0</v>
          </cell>
          <cell r="F3191">
            <v>25123.06</v>
          </cell>
          <cell r="G3191">
            <v>776.94</v>
          </cell>
          <cell r="H3191">
            <v>97</v>
          </cell>
          <cell r="I3191">
            <v>25900</v>
          </cell>
          <cell r="J3191">
            <v>25123.06</v>
          </cell>
        </row>
        <row r="3192">
          <cell r="A3192">
            <v>1812200437</v>
          </cell>
          <cell r="B3192" t="str">
            <v>אחזקת אזעקה</v>
          </cell>
          <cell r="C3192">
            <v>17955</v>
          </cell>
          <cell r="D3192">
            <v>5496.66</v>
          </cell>
          <cell r="E3192">
            <v>0</v>
          </cell>
          <cell r="F3192">
            <v>5496.66</v>
          </cell>
          <cell r="G3192">
            <v>12458.34</v>
          </cell>
          <cell r="H3192">
            <v>30.61</v>
          </cell>
          <cell r="I3192">
            <v>18900</v>
          </cell>
          <cell r="J3192">
            <v>5496.66</v>
          </cell>
        </row>
        <row r="3193">
          <cell r="A3193">
            <v>1812200441</v>
          </cell>
          <cell r="B3193" t="str">
            <v>ביטוח</v>
          </cell>
          <cell r="C3193">
            <v>0</v>
          </cell>
          <cell r="D3193">
            <v>0</v>
          </cell>
          <cell r="E3193">
            <v>0</v>
          </cell>
          <cell r="F3193">
            <v>0</v>
          </cell>
          <cell r="G3193">
            <v>0</v>
          </cell>
          <cell r="H3193">
            <v>0</v>
          </cell>
          <cell r="I3193">
            <v>0</v>
          </cell>
          <cell r="J3193">
            <v>0</v>
          </cell>
        </row>
        <row r="3194">
          <cell r="A3194">
            <v>1812200450</v>
          </cell>
          <cell r="B3194" t="str">
            <v>ריהוט ואחזקתו</v>
          </cell>
          <cell r="C3194">
            <v>0</v>
          </cell>
          <cell r="D3194">
            <v>0</v>
          </cell>
          <cell r="E3194">
            <v>0</v>
          </cell>
          <cell r="F3194">
            <v>0</v>
          </cell>
          <cell r="G3194">
            <v>0</v>
          </cell>
          <cell r="H3194">
            <v>0</v>
          </cell>
          <cell r="I3194">
            <v>0</v>
          </cell>
          <cell r="J3194">
            <v>0</v>
          </cell>
        </row>
        <row r="3195">
          <cell r="A3195">
            <v>1812200471</v>
          </cell>
          <cell r="B3195" t="str">
            <v>מכשרי כתיבה</v>
          </cell>
          <cell r="C3195">
            <v>5100</v>
          </cell>
          <cell r="D3195">
            <v>3741.32</v>
          </cell>
          <cell r="E3195">
            <v>65.56</v>
          </cell>
          <cell r="F3195">
            <v>3806.88</v>
          </cell>
          <cell r="G3195">
            <v>1293.1199999999999</v>
          </cell>
          <cell r="H3195">
            <v>74.64</v>
          </cell>
          <cell r="I3195">
            <v>5100</v>
          </cell>
          <cell r="J3195">
            <v>3741.32</v>
          </cell>
        </row>
        <row r="3196">
          <cell r="A3196">
            <v>1812200521</v>
          </cell>
          <cell r="B3196" t="str">
            <v>השת' השתלמות ע'לגנ</v>
          </cell>
          <cell r="C3196">
            <v>0</v>
          </cell>
          <cell r="D3196">
            <v>0</v>
          </cell>
          <cell r="E3196">
            <v>0</v>
          </cell>
          <cell r="F3196">
            <v>0</v>
          </cell>
          <cell r="G3196">
            <v>0</v>
          </cell>
          <cell r="H3196">
            <v>0</v>
          </cell>
          <cell r="I3196">
            <v>0</v>
          </cell>
          <cell r="J3196">
            <v>0</v>
          </cell>
        </row>
        <row r="3197">
          <cell r="A3197">
            <v>1812200540</v>
          </cell>
          <cell r="B3197" t="str">
            <v>הוצאות טלפון</v>
          </cell>
          <cell r="C3197">
            <v>125400</v>
          </cell>
          <cell r="D3197">
            <v>131050</v>
          </cell>
          <cell r="E3197">
            <v>0</v>
          </cell>
          <cell r="F3197">
            <v>131050</v>
          </cell>
          <cell r="G3197">
            <v>-5650</v>
          </cell>
          <cell r="H3197">
            <v>104.5</v>
          </cell>
          <cell r="I3197">
            <v>132000</v>
          </cell>
          <cell r="J3197">
            <v>131050</v>
          </cell>
        </row>
        <row r="3198">
          <cell r="A3198">
            <v>1812200541</v>
          </cell>
          <cell r="B3198" t="str">
            <v>משלוח דאר</v>
          </cell>
          <cell r="C3198">
            <v>0</v>
          </cell>
          <cell r="D3198">
            <v>0</v>
          </cell>
          <cell r="E3198">
            <v>0</v>
          </cell>
          <cell r="F3198">
            <v>0</v>
          </cell>
          <cell r="G3198">
            <v>0</v>
          </cell>
          <cell r="H3198">
            <v>0</v>
          </cell>
          <cell r="I3198">
            <v>0</v>
          </cell>
          <cell r="J3198">
            <v>0</v>
          </cell>
        </row>
        <row r="3199">
          <cell r="A3199">
            <v>1812200544</v>
          </cell>
          <cell r="B3199" t="str">
            <v>הוצאות דאר</v>
          </cell>
          <cell r="C3199">
            <v>4275</v>
          </cell>
          <cell r="D3199">
            <v>0</v>
          </cell>
          <cell r="E3199">
            <v>0</v>
          </cell>
          <cell r="F3199">
            <v>0</v>
          </cell>
          <cell r="G3199">
            <v>4275</v>
          </cell>
          <cell r="H3199">
            <v>0</v>
          </cell>
          <cell r="I3199">
            <v>4500</v>
          </cell>
          <cell r="J3199">
            <v>0</v>
          </cell>
        </row>
        <row r="3200">
          <cell r="A3200">
            <v>1812200551</v>
          </cell>
          <cell r="B3200" t="str">
            <v>מודעות והדבקתן</v>
          </cell>
          <cell r="C3200">
            <v>0</v>
          </cell>
          <cell r="D3200">
            <v>0</v>
          </cell>
          <cell r="E3200">
            <v>0</v>
          </cell>
          <cell r="F3200">
            <v>0</v>
          </cell>
          <cell r="G3200">
            <v>0</v>
          </cell>
          <cell r="H3200">
            <v>0</v>
          </cell>
          <cell r="I3200">
            <v>0</v>
          </cell>
          <cell r="J3200">
            <v>0</v>
          </cell>
        </row>
        <row r="3201">
          <cell r="A3201">
            <v>1812200561</v>
          </cell>
          <cell r="B3201" t="str">
            <v>שיכפולים</v>
          </cell>
          <cell r="C3201">
            <v>0</v>
          </cell>
          <cell r="D3201">
            <v>0</v>
          </cell>
          <cell r="E3201">
            <v>0</v>
          </cell>
          <cell r="F3201">
            <v>0</v>
          </cell>
          <cell r="G3201">
            <v>0</v>
          </cell>
          <cell r="H3201">
            <v>0</v>
          </cell>
          <cell r="I3201">
            <v>0</v>
          </cell>
          <cell r="J3201">
            <v>0</v>
          </cell>
        </row>
        <row r="3202">
          <cell r="A3202">
            <v>1812200562</v>
          </cell>
          <cell r="B3202" t="str">
            <v>הדפסות לרישום גנים</v>
          </cell>
          <cell r="C3202">
            <v>48735</v>
          </cell>
          <cell r="D3202">
            <v>180.5</v>
          </cell>
          <cell r="E3202">
            <v>0</v>
          </cell>
          <cell r="F3202">
            <v>180.5</v>
          </cell>
          <cell r="G3202">
            <v>48554.5</v>
          </cell>
          <cell r="H3202">
            <v>0.37</v>
          </cell>
          <cell r="I3202">
            <v>51300</v>
          </cell>
          <cell r="J3202">
            <v>180.5</v>
          </cell>
        </row>
        <row r="3203">
          <cell r="A3203">
            <v>1812200563</v>
          </cell>
          <cell r="B3203" t="str">
            <v>הדפסות  אוטומציה</v>
          </cell>
          <cell r="C3203">
            <v>316825</v>
          </cell>
          <cell r="D3203">
            <v>293300.05</v>
          </cell>
          <cell r="E3203">
            <v>0</v>
          </cell>
          <cell r="F3203">
            <v>293300.05</v>
          </cell>
          <cell r="G3203">
            <v>23524.95</v>
          </cell>
          <cell r="H3203">
            <v>92.57</v>
          </cell>
          <cell r="I3203">
            <v>333500</v>
          </cell>
          <cell r="J3203">
            <v>293300.05</v>
          </cell>
        </row>
        <row r="3204">
          <cell r="A3204">
            <v>1812200571</v>
          </cell>
          <cell r="B3204" t="str">
            <v>מיכון וענ"א</v>
          </cell>
          <cell r="C3204">
            <v>92340</v>
          </cell>
          <cell r="D3204">
            <v>97200</v>
          </cell>
          <cell r="E3204">
            <v>0</v>
          </cell>
          <cell r="F3204">
            <v>97200</v>
          </cell>
          <cell r="G3204">
            <v>-4860</v>
          </cell>
          <cell r="H3204">
            <v>105.26</v>
          </cell>
          <cell r="I3204">
            <v>97200</v>
          </cell>
          <cell r="J3204">
            <v>97200</v>
          </cell>
        </row>
        <row r="3205">
          <cell r="A3205">
            <v>1812200710</v>
          </cell>
          <cell r="B3205" t="str">
            <v>הובלות  והסעות</v>
          </cell>
          <cell r="C3205">
            <v>48735</v>
          </cell>
          <cell r="D3205">
            <v>51300</v>
          </cell>
          <cell r="E3205">
            <v>0</v>
          </cell>
          <cell r="F3205">
            <v>51300</v>
          </cell>
          <cell r="G3205">
            <v>-2565</v>
          </cell>
          <cell r="H3205">
            <v>105.26</v>
          </cell>
          <cell r="I3205">
            <v>51300</v>
          </cell>
          <cell r="J3205">
            <v>51300</v>
          </cell>
        </row>
        <row r="3206">
          <cell r="A3206">
            <v>1812200721</v>
          </cell>
          <cell r="B3206" t="str">
            <v>חמרים-תחזוקת מבנים</v>
          </cell>
          <cell r="C3206">
            <v>0</v>
          </cell>
          <cell r="D3206">
            <v>0</v>
          </cell>
          <cell r="E3206">
            <v>0</v>
          </cell>
          <cell r="F3206">
            <v>0</v>
          </cell>
          <cell r="G3206">
            <v>0</v>
          </cell>
          <cell r="H3206">
            <v>0</v>
          </cell>
          <cell r="I3206">
            <v>0</v>
          </cell>
          <cell r="J3206">
            <v>0</v>
          </cell>
        </row>
        <row r="3207">
          <cell r="A3207">
            <v>1812200722</v>
          </cell>
          <cell r="B3207" t="str">
            <v>חמרים-תחזוקה עצמית</v>
          </cell>
          <cell r="C3207">
            <v>0</v>
          </cell>
          <cell r="D3207">
            <v>0</v>
          </cell>
          <cell r="E3207">
            <v>0</v>
          </cell>
          <cell r="F3207">
            <v>0</v>
          </cell>
          <cell r="G3207">
            <v>0</v>
          </cell>
          <cell r="H3207">
            <v>0</v>
          </cell>
          <cell r="I3207">
            <v>0</v>
          </cell>
          <cell r="J3207">
            <v>0</v>
          </cell>
        </row>
        <row r="3208">
          <cell r="A3208">
            <v>1812200723</v>
          </cell>
          <cell r="B3208" t="str">
            <v>חומרים לגנים</v>
          </cell>
          <cell r="C3208">
            <v>437760</v>
          </cell>
          <cell r="D3208">
            <v>457800</v>
          </cell>
          <cell r="E3208">
            <v>0</v>
          </cell>
          <cell r="F3208">
            <v>457800</v>
          </cell>
          <cell r="G3208">
            <v>-20040</v>
          </cell>
          <cell r="H3208">
            <v>104.57</v>
          </cell>
          <cell r="I3208">
            <v>460800</v>
          </cell>
          <cell r="J3208">
            <v>457800</v>
          </cell>
        </row>
        <row r="3209">
          <cell r="A3209">
            <v>1812200724</v>
          </cell>
          <cell r="B3209" t="str">
            <v>חול לגנים</v>
          </cell>
          <cell r="C3209">
            <v>0</v>
          </cell>
          <cell r="D3209">
            <v>0</v>
          </cell>
          <cell r="E3209">
            <v>0</v>
          </cell>
          <cell r="F3209">
            <v>0</v>
          </cell>
          <cell r="G3209">
            <v>0</v>
          </cell>
          <cell r="H3209">
            <v>0</v>
          </cell>
          <cell r="I3209">
            <v>0</v>
          </cell>
          <cell r="J3209">
            <v>0</v>
          </cell>
        </row>
        <row r="3210">
          <cell r="A3210">
            <v>1812200742</v>
          </cell>
          <cell r="B3210" t="str">
            <v>כלים וציוד</v>
          </cell>
          <cell r="C3210">
            <v>0</v>
          </cell>
          <cell r="D3210">
            <v>0</v>
          </cell>
          <cell r="E3210">
            <v>0</v>
          </cell>
          <cell r="F3210">
            <v>0</v>
          </cell>
          <cell r="G3210">
            <v>0</v>
          </cell>
          <cell r="H3210">
            <v>0</v>
          </cell>
          <cell r="I3210">
            <v>0</v>
          </cell>
          <cell r="J3210">
            <v>0</v>
          </cell>
        </row>
        <row r="3211">
          <cell r="A3211">
            <v>1812200743</v>
          </cell>
          <cell r="B3211" t="str">
            <v>תחזוקת ציוד מחשבים</v>
          </cell>
          <cell r="C3211">
            <v>0</v>
          </cell>
          <cell r="D3211">
            <v>0</v>
          </cell>
          <cell r="E3211">
            <v>0</v>
          </cell>
          <cell r="F3211">
            <v>0</v>
          </cell>
          <cell r="G3211">
            <v>0</v>
          </cell>
          <cell r="H3211">
            <v>0</v>
          </cell>
          <cell r="I3211">
            <v>0</v>
          </cell>
          <cell r="J3211">
            <v>0</v>
          </cell>
        </row>
        <row r="3212">
          <cell r="A3212">
            <v>1812200745</v>
          </cell>
          <cell r="B3212" t="str">
            <v>דמי פריצה - תכולה</v>
          </cell>
          <cell r="C3212">
            <v>0</v>
          </cell>
          <cell r="D3212">
            <v>0</v>
          </cell>
          <cell r="E3212">
            <v>0</v>
          </cell>
          <cell r="F3212">
            <v>0</v>
          </cell>
          <cell r="G3212">
            <v>0</v>
          </cell>
          <cell r="H3212">
            <v>0</v>
          </cell>
          <cell r="I3212">
            <v>0</v>
          </cell>
          <cell r="J3212">
            <v>0</v>
          </cell>
        </row>
        <row r="3213">
          <cell r="A3213">
            <v>1812200746</v>
          </cell>
          <cell r="B3213" t="str">
            <v>דמי פריצה - מבנה</v>
          </cell>
          <cell r="C3213">
            <v>0</v>
          </cell>
          <cell r="D3213">
            <v>0</v>
          </cell>
          <cell r="E3213">
            <v>0</v>
          </cell>
          <cell r="F3213">
            <v>0</v>
          </cell>
          <cell r="G3213">
            <v>0</v>
          </cell>
          <cell r="H3213">
            <v>0</v>
          </cell>
          <cell r="I3213">
            <v>0</v>
          </cell>
          <cell r="J3213">
            <v>0</v>
          </cell>
        </row>
        <row r="3214">
          <cell r="A3214">
            <v>1812200750</v>
          </cell>
          <cell r="B3214" t="str">
            <v>אחזקת מוסדות</v>
          </cell>
          <cell r="C3214">
            <v>5108800</v>
          </cell>
          <cell r="D3214">
            <v>4784619</v>
          </cell>
          <cell r="E3214">
            <v>8000</v>
          </cell>
          <cell r="F3214">
            <v>4792619</v>
          </cell>
          <cell r="G3214">
            <v>316181</v>
          </cell>
          <cell r="H3214">
            <v>93.81</v>
          </cell>
          <cell r="I3214">
            <v>5108800</v>
          </cell>
          <cell r="J3214">
            <v>4784619</v>
          </cell>
        </row>
        <row r="3215">
          <cell r="A3215">
            <v>1812200751</v>
          </cell>
          <cell r="B3215" t="str">
            <v>עבודות קבלניות</v>
          </cell>
          <cell r="C3215">
            <v>0</v>
          </cell>
          <cell r="D3215">
            <v>0</v>
          </cell>
          <cell r="E3215">
            <v>0</v>
          </cell>
          <cell r="F3215">
            <v>0</v>
          </cell>
          <cell r="G3215">
            <v>0</v>
          </cell>
          <cell r="H3215">
            <v>0</v>
          </cell>
          <cell r="I3215">
            <v>0</v>
          </cell>
          <cell r="J3215">
            <v>0</v>
          </cell>
        </row>
        <row r="3216">
          <cell r="A3216">
            <v>1812200752</v>
          </cell>
          <cell r="B3216" t="str">
            <v>נקיון בקבלנות</v>
          </cell>
          <cell r="C3216">
            <v>41800</v>
          </cell>
          <cell r="D3216">
            <v>50555.35</v>
          </cell>
          <cell r="E3216">
            <v>0</v>
          </cell>
          <cell r="F3216">
            <v>50555.35</v>
          </cell>
          <cell r="G3216">
            <v>-8755.35</v>
          </cell>
          <cell r="H3216">
            <v>120.94</v>
          </cell>
          <cell r="I3216">
            <v>41800</v>
          </cell>
          <cell r="J3216">
            <v>50555.35</v>
          </cell>
        </row>
        <row r="3217">
          <cell r="A3217">
            <v>1812200753</v>
          </cell>
          <cell r="B3217" t="str">
            <v>סייעות - קבלן</v>
          </cell>
          <cell r="C3217">
            <v>0</v>
          </cell>
          <cell r="D3217">
            <v>0</v>
          </cell>
          <cell r="E3217">
            <v>0</v>
          </cell>
          <cell r="F3217">
            <v>0</v>
          </cell>
          <cell r="G3217">
            <v>0</v>
          </cell>
          <cell r="H3217">
            <v>0</v>
          </cell>
          <cell r="I3217">
            <v>0</v>
          </cell>
          <cell r="J3217">
            <v>0</v>
          </cell>
        </row>
        <row r="3218">
          <cell r="A3218">
            <v>1812200754</v>
          </cell>
          <cell r="B3218" t="str">
            <v>תוכנית תקשוב בגנ"י גוגלה</v>
          </cell>
          <cell r="C3218">
            <v>0</v>
          </cell>
          <cell r="D3218">
            <v>0</v>
          </cell>
          <cell r="E3218">
            <v>0</v>
          </cell>
          <cell r="F3218">
            <v>0</v>
          </cell>
          <cell r="G3218">
            <v>0</v>
          </cell>
          <cell r="H3218">
            <v>0</v>
          </cell>
          <cell r="I3218">
            <v>0</v>
          </cell>
          <cell r="J3218">
            <v>0</v>
          </cell>
        </row>
        <row r="3219">
          <cell r="A3219">
            <v>1812200755</v>
          </cell>
          <cell r="B3219" t="str">
            <v>מילוי מקום</v>
          </cell>
          <cell r="C3219">
            <v>0</v>
          </cell>
          <cell r="D3219">
            <v>0</v>
          </cell>
          <cell r="E3219">
            <v>0</v>
          </cell>
          <cell r="F3219">
            <v>0</v>
          </cell>
          <cell r="G3219">
            <v>0</v>
          </cell>
          <cell r="H3219">
            <v>0</v>
          </cell>
          <cell r="I3219">
            <v>0</v>
          </cell>
          <cell r="J3219">
            <v>0</v>
          </cell>
        </row>
        <row r="3220">
          <cell r="A3220">
            <v>1812200756</v>
          </cell>
          <cell r="B3220" t="str">
            <v>שמירה וסדרנות</v>
          </cell>
          <cell r="C3220">
            <v>33250</v>
          </cell>
          <cell r="D3220">
            <v>0</v>
          </cell>
          <cell r="E3220">
            <v>0</v>
          </cell>
          <cell r="F3220">
            <v>0</v>
          </cell>
          <cell r="G3220">
            <v>33250</v>
          </cell>
          <cell r="H3220">
            <v>0</v>
          </cell>
          <cell r="I3220">
            <v>35000</v>
          </cell>
          <cell r="J3220">
            <v>0</v>
          </cell>
        </row>
        <row r="3221">
          <cell r="A3221">
            <v>1812200757</v>
          </cell>
          <cell r="B3221" t="str">
            <v>ע' לגננות+משלימות</v>
          </cell>
          <cell r="C3221">
            <v>58503470</v>
          </cell>
          <cell r="D3221">
            <v>57779369.590000004</v>
          </cell>
          <cell r="E3221">
            <v>0</v>
          </cell>
          <cell r="F3221">
            <v>57779369.590000004</v>
          </cell>
          <cell r="G3221">
            <v>724100.41</v>
          </cell>
          <cell r="H3221">
            <v>98.76</v>
          </cell>
          <cell r="I3221">
            <v>61582600</v>
          </cell>
          <cell r="J3221">
            <v>57779369.590000004</v>
          </cell>
        </row>
        <row r="3222">
          <cell r="A3222">
            <v>1812200758</v>
          </cell>
          <cell r="B3222" t="str">
            <v>תחזוקת מתקני חצר</v>
          </cell>
          <cell r="C3222">
            <v>0</v>
          </cell>
          <cell r="D3222">
            <v>0</v>
          </cell>
          <cell r="E3222">
            <v>0</v>
          </cell>
          <cell r="F3222">
            <v>0</v>
          </cell>
          <cell r="G3222">
            <v>0</v>
          </cell>
          <cell r="H3222">
            <v>0</v>
          </cell>
          <cell r="I3222">
            <v>0</v>
          </cell>
          <cell r="J3222">
            <v>0</v>
          </cell>
        </row>
        <row r="3223">
          <cell r="A3223">
            <v>1812200759</v>
          </cell>
          <cell r="B3223" t="str">
            <v>שרותי סייעות</v>
          </cell>
          <cell r="C3223">
            <v>30357700</v>
          </cell>
          <cell r="D3223">
            <v>31711082.23</v>
          </cell>
          <cell r="E3223">
            <v>0</v>
          </cell>
          <cell r="F3223">
            <v>31711082.23</v>
          </cell>
          <cell r="G3223">
            <v>-1353382.23</v>
          </cell>
          <cell r="H3223">
            <v>104.45</v>
          </cell>
          <cell r="I3223">
            <v>30357700</v>
          </cell>
          <cell r="J3223">
            <v>31711082.23</v>
          </cell>
        </row>
        <row r="3224">
          <cell r="A3224">
            <v>1812200761</v>
          </cell>
          <cell r="B3224" t="str">
            <v>משכורות לגננות</v>
          </cell>
          <cell r="C3224">
            <v>43171800</v>
          </cell>
          <cell r="D3224">
            <v>44628192.390000001</v>
          </cell>
          <cell r="E3224">
            <v>0</v>
          </cell>
          <cell r="F3224">
            <v>44628192.390000001</v>
          </cell>
          <cell r="G3224">
            <v>-1456392.39</v>
          </cell>
          <cell r="H3224">
            <v>103.37</v>
          </cell>
          <cell r="I3224">
            <v>45444000</v>
          </cell>
          <cell r="J3224">
            <v>44628192.390000001</v>
          </cell>
        </row>
        <row r="3225">
          <cell r="A3225">
            <v>1812200763</v>
          </cell>
          <cell r="B3225" t="str">
            <v>משלימות ימי ו'</v>
          </cell>
          <cell r="C3225">
            <v>0</v>
          </cell>
          <cell r="D3225">
            <v>0</v>
          </cell>
          <cell r="E3225">
            <v>0</v>
          </cell>
          <cell r="F3225">
            <v>0</v>
          </cell>
          <cell r="G3225">
            <v>0</v>
          </cell>
          <cell r="H3225">
            <v>0</v>
          </cell>
          <cell r="I3225">
            <v>0</v>
          </cell>
          <cell r="J3225">
            <v>0</v>
          </cell>
        </row>
        <row r="3226">
          <cell r="A3226">
            <v>1812200764</v>
          </cell>
          <cell r="B3226" t="str">
            <v>תקן קבועים ממוסדות</v>
          </cell>
          <cell r="C3226">
            <v>0</v>
          </cell>
          <cell r="D3226">
            <v>0</v>
          </cell>
          <cell r="E3226">
            <v>0</v>
          </cell>
          <cell r="F3226">
            <v>0</v>
          </cell>
          <cell r="G3226">
            <v>0</v>
          </cell>
          <cell r="H3226">
            <v>0</v>
          </cell>
          <cell r="I3226">
            <v>0</v>
          </cell>
          <cell r="J3226">
            <v>0</v>
          </cell>
        </row>
        <row r="3227">
          <cell r="A3227">
            <v>1812200765</v>
          </cell>
          <cell r="B3227" t="str">
            <v>גננות מדינה בתקן</v>
          </cell>
          <cell r="C3227">
            <v>0</v>
          </cell>
          <cell r="D3227">
            <v>0</v>
          </cell>
          <cell r="E3227">
            <v>0</v>
          </cell>
          <cell r="F3227">
            <v>0</v>
          </cell>
          <cell r="G3227">
            <v>0</v>
          </cell>
          <cell r="H3227">
            <v>0</v>
          </cell>
          <cell r="I3227">
            <v>0</v>
          </cell>
          <cell r="J3227">
            <v>0</v>
          </cell>
        </row>
        <row r="3228">
          <cell r="A3228">
            <v>1812200780</v>
          </cell>
          <cell r="B3228" t="str">
            <v>השתתפות במרפ"ד</v>
          </cell>
          <cell r="C3228">
            <v>0</v>
          </cell>
          <cell r="D3228">
            <v>0</v>
          </cell>
          <cell r="E3228">
            <v>0</v>
          </cell>
          <cell r="F3228">
            <v>0</v>
          </cell>
          <cell r="G3228">
            <v>0</v>
          </cell>
          <cell r="H3228">
            <v>0</v>
          </cell>
          <cell r="I3228">
            <v>0</v>
          </cell>
          <cell r="J3228">
            <v>0</v>
          </cell>
        </row>
        <row r="3229">
          <cell r="A3229">
            <v>1812200781</v>
          </cell>
          <cell r="B3229" t="str">
            <v>ארועים</v>
          </cell>
          <cell r="C3229">
            <v>465785</v>
          </cell>
          <cell r="D3229">
            <v>372652.58</v>
          </cell>
          <cell r="E3229">
            <v>0</v>
          </cell>
          <cell r="F3229">
            <v>372652.58</v>
          </cell>
          <cell r="G3229">
            <v>93132.42</v>
          </cell>
          <cell r="H3229">
            <v>80</v>
          </cell>
          <cell r="I3229">
            <v>490300</v>
          </cell>
          <cell r="J3229">
            <v>372652.58</v>
          </cell>
        </row>
        <row r="3230">
          <cell r="A3230">
            <v>1812200782</v>
          </cell>
          <cell r="B3230" t="str">
            <v>הזנת גני ג'סי</v>
          </cell>
          <cell r="C3230">
            <v>0</v>
          </cell>
          <cell r="D3230">
            <v>0</v>
          </cell>
          <cell r="E3230">
            <v>0</v>
          </cell>
          <cell r="F3230">
            <v>0</v>
          </cell>
          <cell r="G3230">
            <v>0</v>
          </cell>
          <cell r="H3230">
            <v>0</v>
          </cell>
          <cell r="I3230">
            <v>0</v>
          </cell>
          <cell r="J3230">
            <v>0</v>
          </cell>
        </row>
        <row r="3231">
          <cell r="A3231">
            <v>1812200784</v>
          </cell>
          <cell r="B3231" t="str">
            <v>שחמט בגנ"י בג'סי כהן ובת"ג</v>
          </cell>
          <cell r="C3231">
            <v>379050</v>
          </cell>
          <cell r="D3231">
            <v>355080</v>
          </cell>
          <cell r="E3231">
            <v>0</v>
          </cell>
          <cell r="F3231">
            <v>355080</v>
          </cell>
          <cell r="G3231">
            <v>23970</v>
          </cell>
          <cell r="H3231">
            <v>93.67</v>
          </cell>
          <cell r="I3231">
            <v>399000</v>
          </cell>
          <cell r="J3231">
            <v>355080</v>
          </cell>
        </row>
        <row r="3232">
          <cell r="A3232">
            <v>1812200785</v>
          </cell>
          <cell r="B3232" t="str">
            <v>תכנית פאזל</v>
          </cell>
          <cell r="C3232">
            <v>0</v>
          </cell>
          <cell r="D3232">
            <v>0</v>
          </cell>
          <cell r="E3232">
            <v>0</v>
          </cell>
          <cell r="F3232">
            <v>0</v>
          </cell>
          <cell r="G3232">
            <v>0</v>
          </cell>
          <cell r="H3232">
            <v>0</v>
          </cell>
          <cell r="I3232">
            <v>0</v>
          </cell>
          <cell r="J3232">
            <v>0</v>
          </cell>
        </row>
        <row r="3233">
          <cell r="A3233">
            <v>1812200794</v>
          </cell>
          <cell r="B3233" t="str">
            <v>השתתפות בעזר 094</v>
          </cell>
          <cell r="C3233">
            <v>144020</v>
          </cell>
          <cell r="D3233">
            <v>180815</v>
          </cell>
          <cell r="E3233">
            <v>0</v>
          </cell>
          <cell r="F3233">
            <v>180815</v>
          </cell>
          <cell r="G3233">
            <v>-36795</v>
          </cell>
          <cell r="H3233">
            <v>125.54</v>
          </cell>
          <cell r="I3233">
            <v>151600</v>
          </cell>
          <cell r="J3233">
            <v>180815</v>
          </cell>
        </row>
        <row r="3234">
          <cell r="A3234">
            <v>1812200812</v>
          </cell>
          <cell r="B3234" t="str">
            <v>מסיבות כיתתיות</v>
          </cell>
          <cell r="C3234">
            <v>0</v>
          </cell>
          <cell r="D3234">
            <v>0</v>
          </cell>
          <cell r="E3234">
            <v>0</v>
          </cell>
          <cell r="F3234">
            <v>0</v>
          </cell>
          <cell r="G3234">
            <v>0</v>
          </cell>
          <cell r="H3234">
            <v>0</v>
          </cell>
          <cell r="I3234">
            <v>0</v>
          </cell>
          <cell r="J3234">
            <v>0</v>
          </cell>
        </row>
        <row r="3235">
          <cell r="A3235">
            <v>1812200931</v>
          </cell>
          <cell r="B3235" t="str">
            <v>רכ' כנגד מש' חינוך</v>
          </cell>
          <cell r="C3235">
            <v>23750</v>
          </cell>
          <cell r="D3235">
            <v>0</v>
          </cell>
          <cell r="E3235">
            <v>0</v>
          </cell>
          <cell r="F3235">
            <v>0</v>
          </cell>
          <cell r="G3235">
            <v>23750</v>
          </cell>
          <cell r="H3235">
            <v>0</v>
          </cell>
          <cell r="I3235">
            <v>25000</v>
          </cell>
          <cell r="J3235">
            <v>0</v>
          </cell>
        </row>
        <row r="3236">
          <cell r="A3236">
            <v>1812200932</v>
          </cell>
          <cell r="B3236" t="str">
            <v>העשרת הסביבה ( מהמשרד )</v>
          </cell>
          <cell r="C3236">
            <v>134900</v>
          </cell>
          <cell r="D3236">
            <v>226.1</v>
          </cell>
          <cell r="E3236">
            <v>0</v>
          </cell>
          <cell r="F3236">
            <v>226.1</v>
          </cell>
          <cell r="G3236">
            <v>134673.9</v>
          </cell>
          <cell r="H3236">
            <v>0.16</v>
          </cell>
          <cell r="I3236">
            <v>142000</v>
          </cell>
          <cell r="J3236">
            <v>226.1</v>
          </cell>
        </row>
        <row r="3237">
          <cell r="A3237">
            <v>1812200933</v>
          </cell>
          <cell r="B3237" t="str">
            <v>מתקני חצר</v>
          </cell>
          <cell r="C3237">
            <v>0</v>
          </cell>
          <cell r="D3237">
            <v>0</v>
          </cell>
          <cell r="E3237">
            <v>0</v>
          </cell>
          <cell r="F3237">
            <v>0</v>
          </cell>
          <cell r="G3237">
            <v>0</v>
          </cell>
          <cell r="H3237">
            <v>0</v>
          </cell>
          <cell r="I3237">
            <v>0</v>
          </cell>
          <cell r="J3237">
            <v>0</v>
          </cell>
        </row>
        <row r="3238">
          <cell r="A3238">
            <v>1812200934</v>
          </cell>
          <cell r="B3238" t="str">
            <v>חומרים-ח"מ חופשות</v>
          </cell>
          <cell r="C3238">
            <v>0</v>
          </cell>
          <cell r="D3238">
            <v>0</v>
          </cell>
          <cell r="E3238">
            <v>0</v>
          </cell>
          <cell r="F3238">
            <v>0</v>
          </cell>
          <cell r="G3238">
            <v>0</v>
          </cell>
          <cell r="H3238">
            <v>0</v>
          </cell>
          <cell r="I3238">
            <v>0</v>
          </cell>
          <cell r="J3238">
            <v>0</v>
          </cell>
        </row>
        <row r="3239">
          <cell r="A3239">
            <v>1812200944</v>
          </cell>
          <cell r="B3239" t="str">
            <v>מעונות יום ממונה + הדרכה</v>
          </cell>
          <cell r="C3239">
            <v>0</v>
          </cell>
          <cell r="D3239">
            <v>0</v>
          </cell>
          <cell r="E3239">
            <v>0</v>
          </cell>
          <cell r="F3239">
            <v>0</v>
          </cell>
          <cell r="G3239">
            <v>0</v>
          </cell>
          <cell r="H3239">
            <v>0</v>
          </cell>
          <cell r="I3239">
            <v>0</v>
          </cell>
          <cell r="J3239">
            <v>0</v>
          </cell>
        </row>
        <row r="3240">
          <cell r="A3240">
            <v>1812200980</v>
          </cell>
          <cell r="B3240" t="str">
            <v>כנגד קייטנות</v>
          </cell>
          <cell r="C3240">
            <v>0</v>
          </cell>
          <cell r="D3240">
            <v>0</v>
          </cell>
          <cell r="E3240">
            <v>0</v>
          </cell>
          <cell r="F3240">
            <v>0</v>
          </cell>
          <cell r="G3240">
            <v>0</v>
          </cell>
          <cell r="H3240">
            <v>0</v>
          </cell>
          <cell r="I3240">
            <v>0</v>
          </cell>
          <cell r="J3240">
            <v>0</v>
          </cell>
        </row>
        <row r="3241">
          <cell r="A3241">
            <v>1812210110</v>
          </cell>
          <cell r="B3241" t="str">
            <v>השכר הקובע-תקציבית</v>
          </cell>
          <cell r="C3241">
            <v>0</v>
          </cell>
          <cell r="D3241">
            <v>0</v>
          </cell>
          <cell r="E3241">
            <v>0</v>
          </cell>
          <cell r="F3241">
            <v>0</v>
          </cell>
          <cell r="G3241">
            <v>0</v>
          </cell>
          <cell r="H3241">
            <v>0</v>
          </cell>
          <cell r="I3241">
            <v>0</v>
          </cell>
          <cell r="J3241">
            <v>0</v>
          </cell>
        </row>
        <row r="3242">
          <cell r="A3242">
            <v>1812210119</v>
          </cell>
          <cell r="B3242" t="str">
            <v>השכר הקובע-צוברת</v>
          </cell>
          <cell r="C3242">
            <v>0</v>
          </cell>
          <cell r="D3242">
            <v>0</v>
          </cell>
          <cell r="E3242">
            <v>0</v>
          </cell>
          <cell r="F3242">
            <v>0</v>
          </cell>
          <cell r="G3242">
            <v>0</v>
          </cell>
          <cell r="H3242">
            <v>0</v>
          </cell>
          <cell r="I3242">
            <v>0</v>
          </cell>
          <cell r="J3242">
            <v>0</v>
          </cell>
        </row>
        <row r="3243">
          <cell r="A3243">
            <v>1812210122</v>
          </cell>
          <cell r="B3243" t="str">
            <v>ביגוד</v>
          </cell>
          <cell r="C3243">
            <v>2850</v>
          </cell>
          <cell r="D3243">
            <v>0</v>
          </cell>
          <cell r="E3243">
            <v>0</v>
          </cell>
          <cell r="F3243">
            <v>0</v>
          </cell>
          <cell r="G3243">
            <v>2850</v>
          </cell>
          <cell r="H3243">
            <v>0</v>
          </cell>
          <cell r="I3243">
            <v>3000</v>
          </cell>
          <cell r="J3243">
            <v>0</v>
          </cell>
        </row>
        <row r="3244">
          <cell r="A3244">
            <v>1812210126</v>
          </cell>
          <cell r="B3244" t="str">
            <v>דמי הבראה</v>
          </cell>
          <cell r="C3244">
            <v>0</v>
          </cell>
          <cell r="D3244">
            <v>0</v>
          </cell>
          <cell r="E3244">
            <v>0</v>
          </cell>
          <cell r="F3244">
            <v>0</v>
          </cell>
          <cell r="G3244">
            <v>0</v>
          </cell>
          <cell r="H3244">
            <v>0</v>
          </cell>
          <cell r="I3244">
            <v>0</v>
          </cell>
          <cell r="J3244">
            <v>0</v>
          </cell>
        </row>
        <row r="3245">
          <cell r="A3245">
            <v>1812210130</v>
          </cell>
          <cell r="B3245" t="str">
            <v>שעות נוספות</v>
          </cell>
          <cell r="C3245">
            <v>0</v>
          </cell>
          <cell r="D3245">
            <v>0</v>
          </cell>
          <cell r="E3245">
            <v>0</v>
          </cell>
          <cell r="F3245">
            <v>0</v>
          </cell>
          <cell r="G3245">
            <v>0</v>
          </cell>
          <cell r="H3245">
            <v>0</v>
          </cell>
          <cell r="I3245">
            <v>0</v>
          </cell>
          <cell r="J3245">
            <v>0</v>
          </cell>
        </row>
        <row r="3246">
          <cell r="A3246">
            <v>1812210140</v>
          </cell>
          <cell r="B3246" t="str">
            <v>השתתפות באחזקת רכב</v>
          </cell>
          <cell r="C3246">
            <v>0</v>
          </cell>
          <cell r="D3246">
            <v>0</v>
          </cell>
          <cell r="E3246">
            <v>0</v>
          </cell>
          <cell r="F3246">
            <v>0</v>
          </cell>
          <cell r="G3246">
            <v>0</v>
          </cell>
          <cell r="H3246">
            <v>0</v>
          </cell>
          <cell r="I3246">
            <v>0</v>
          </cell>
          <cell r="J3246">
            <v>0</v>
          </cell>
        </row>
        <row r="3247">
          <cell r="A3247">
            <v>1812210210</v>
          </cell>
          <cell r="B3247" t="str">
            <v>השכר הקובע</v>
          </cell>
          <cell r="C3247">
            <v>0</v>
          </cell>
          <cell r="D3247">
            <v>0</v>
          </cell>
          <cell r="E3247">
            <v>0</v>
          </cell>
          <cell r="F3247">
            <v>0</v>
          </cell>
          <cell r="G3247">
            <v>0</v>
          </cell>
          <cell r="H3247">
            <v>0</v>
          </cell>
          <cell r="I3247">
            <v>0</v>
          </cell>
          <cell r="J3247">
            <v>0</v>
          </cell>
        </row>
        <row r="3248">
          <cell r="A3248">
            <v>1812210253</v>
          </cell>
          <cell r="B3248" t="str">
            <v>סייעות - קבלן</v>
          </cell>
          <cell r="C3248">
            <v>0</v>
          </cell>
          <cell r="D3248">
            <v>0</v>
          </cell>
          <cell r="E3248">
            <v>0</v>
          </cell>
          <cell r="F3248">
            <v>0</v>
          </cell>
          <cell r="G3248">
            <v>0</v>
          </cell>
          <cell r="H3248">
            <v>0</v>
          </cell>
          <cell r="I3248">
            <v>0</v>
          </cell>
          <cell r="J3248">
            <v>0</v>
          </cell>
        </row>
        <row r="3249">
          <cell r="A3249">
            <v>1812210255</v>
          </cell>
          <cell r="B3249" t="str">
            <v>מילוי מקום</v>
          </cell>
          <cell r="C3249">
            <v>0</v>
          </cell>
          <cell r="D3249">
            <v>0</v>
          </cell>
          <cell r="E3249">
            <v>0</v>
          </cell>
          <cell r="F3249">
            <v>0</v>
          </cell>
          <cell r="G3249">
            <v>0</v>
          </cell>
          <cell r="H3249">
            <v>0</v>
          </cell>
          <cell r="I3249">
            <v>0</v>
          </cell>
          <cell r="J3249">
            <v>0</v>
          </cell>
        </row>
        <row r="3250">
          <cell r="A3250">
            <v>1812210263</v>
          </cell>
          <cell r="B3250" t="str">
            <v>משלימות ימי ו'</v>
          </cell>
          <cell r="C3250">
            <v>0</v>
          </cell>
          <cell r="D3250">
            <v>0</v>
          </cell>
          <cell r="E3250">
            <v>0</v>
          </cell>
          <cell r="F3250">
            <v>0</v>
          </cell>
          <cell r="G3250">
            <v>0</v>
          </cell>
          <cell r="H3250">
            <v>0</v>
          </cell>
          <cell r="I3250">
            <v>0</v>
          </cell>
          <cell r="J3250">
            <v>0</v>
          </cell>
        </row>
        <row r="3251">
          <cell r="A3251">
            <v>1812210264</v>
          </cell>
          <cell r="B3251" t="str">
            <v>תקן מחברת מוסדות</v>
          </cell>
          <cell r="C3251">
            <v>0</v>
          </cell>
          <cell r="D3251">
            <v>0</v>
          </cell>
          <cell r="E3251">
            <v>0</v>
          </cell>
          <cell r="F3251">
            <v>0</v>
          </cell>
          <cell r="G3251">
            <v>0</v>
          </cell>
          <cell r="H3251">
            <v>0</v>
          </cell>
          <cell r="I3251">
            <v>0</v>
          </cell>
          <cell r="J3251">
            <v>0</v>
          </cell>
        </row>
        <row r="3252">
          <cell r="A3252">
            <v>1812210391</v>
          </cell>
          <cell r="B3252" t="str">
            <v>הפרשה לפנסיה</v>
          </cell>
          <cell r="C3252">
            <v>0</v>
          </cell>
          <cell r="D3252">
            <v>0</v>
          </cell>
          <cell r="E3252">
            <v>0</v>
          </cell>
          <cell r="F3252">
            <v>0</v>
          </cell>
          <cell r="G3252">
            <v>0</v>
          </cell>
          <cell r="H3252">
            <v>0</v>
          </cell>
          <cell r="I3252">
            <v>0</v>
          </cell>
          <cell r="J3252">
            <v>0</v>
          </cell>
        </row>
        <row r="3253">
          <cell r="A3253">
            <v>1812210420</v>
          </cell>
          <cell r="B3253" t="str">
            <v>כיבוי אש</v>
          </cell>
          <cell r="C3253">
            <v>2850</v>
          </cell>
          <cell r="D3253">
            <v>554.72</v>
          </cell>
          <cell r="E3253">
            <v>0</v>
          </cell>
          <cell r="F3253">
            <v>554.72</v>
          </cell>
          <cell r="G3253">
            <v>2295.2800000000002</v>
          </cell>
          <cell r="H3253">
            <v>19.46</v>
          </cell>
          <cell r="I3253">
            <v>3000</v>
          </cell>
          <cell r="J3253">
            <v>554.72</v>
          </cell>
        </row>
        <row r="3254">
          <cell r="A3254">
            <v>1812210430</v>
          </cell>
          <cell r="B3254" t="str">
            <v>גז לגנים</v>
          </cell>
          <cell r="C3254">
            <v>0</v>
          </cell>
          <cell r="D3254">
            <v>0</v>
          </cell>
          <cell r="E3254">
            <v>0</v>
          </cell>
          <cell r="F3254">
            <v>0</v>
          </cell>
          <cell r="G3254">
            <v>0</v>
          </cell>
          <cell r="H3254">
            <v>0</v>
          </cell>
          <cell r="I3254">
            <v>0</v>
          </cell>
          <cell r="J3254">
            <v>0</v>
          </cell>
        </row>
        <row r="3255">
          <cell r="A3255">
            <v>1812210431</v>
          </cell>
          <cell r="B3255" t="str">
            <v>חשמל</v>
          </cell>
          <cell r="C3255">
            <v>0</v>
          </cell>
          <cell r="D3255">
            <v>0</v>
          </cell>
          <cell r="E3255">
            <v>0</v>
          </cell>
          <cell r="F3255">
            <v>0</v>
          </cell>
          <cell r="G3255">
            <v>0</v>
          </cell>
          <cell r="H3255">
            <v>0</v>
          </cell>
          <cell r="I3255">
            <v>0</v>
          </cell>
          <cell r="J3255">
            <v>0</v>
          </cell>
        </row>
        <row r="3256">
          <cell r="A3256">
            <v>1812210432</v>
          </cell>
          <cell r="B3256" t="str">
            <v>מים</v>
          </cell>
          <cell r="C3256">
            <v>0</v>
          </cell>
          <cell r="D3256">
            <v>0</v>
          </cell>
          <cell r="E3256">
            <v>0</v>
          </cell>
          <cell r="F3256">
            <v>0</v>
          </cell>
          <cell r="G3256">
            <v>0</v>
          </cell>
          <cell r="H3256">
            <v>0</v>
          </cell>
          <cell r="I3256">
            <v>0</v>
          </cell>
          <cell r="J3256">
            <v>0</v>
          </cell>
        </row>
        <row r="3257">
          <cell r="A3257">
            <v>1812210433</v>
          </cell>
          <cell r="B3257" t="str">
            <v>חומרי ניקיון</v>
          </cell>
          <cell r="C3257">
            <v>21375</v>
          </cell>
          <cell r="D3257">
            <v>22500</v>
          </cell>
          <cell r="E3257">
            <v>0</v>
          </cell>
          <cell r="F3257">
            <v>22500</v>
          </cell>
          <cell r="G3257">
            <v>-1125</v>
          </cell>
          <cell r="H3257">
            <v>105.26</v>
          </cell>
          <cell r="I3257">
            <v>22500</v>
          </cell>
          <cell r="J3257">
            <v>22500</v>
          </cell>
        </row>
        <row r="3258">
          <cell r="A3258">
            <v>1812210434</v>
          </cell>
          <cell r="B3258" t="str">
            <v>חיטוי והדברה</v>
          </cell>
          <cell r="C3258">
            <v>1710</v>
          </cell>
          <cell r="D3258">
            <v>1708.8</v>
          </cell>
          <cell r="E3258">
            <v>0</v>
          </cell>
          <cell r="F3258">
            <v>1708.8</v>
          </cell>
          <cell r="G3258">
            <v>1.2</v>
          </cell>
          <cell r="H3258">
            <v>99.92</v>
          </cell>
          <cell r="I3258">
            <v>1800</v>
          </cell>
          <cell r="J3258">
            <v>1708.8</v>
          </cell>
        </row>
        <row r="3259">
          <cell r="A3259">
            <v>1812210437</v>
          </cell>
          <cell r="B3259" t="str">
            <v>אחזקת אזעקה</v>
          </cell>
          <cell r="C3259">
            <v>0</v>
          </cell>
          <cell r="D3259">
            <v>0</v>
          </cell>
          <cell r="E3259">
            <v>0</v>
          </cell>
          <cell r="F3259">
            <v>0</v>
          </cell>
          <cell r="G3259">
            <v>0</v>
          </cell>
          <cell r="H3259">
            <v>0</v>
          </cell>
          <cell r="I3259">
            <v>0</v>
          </cell>
          <cell r="J3259">
            <v>0</v>
          </cell>
        </row>
        <row r="3260">
          <cell r="A3260">
            <v>1812210441</v>
          </cell>
          <cell r="B3260" t="str">
            <v>ביטוח</v>
          </cell>
          <cell r="C3260">
            <v>0</v>
          </cell>
          <cell r="D3260">
            <v>0</v>
          </cell>
          <cell r="E3260">
            <v>0</v>
          </cell>
          <cell r="F3260">
            <v>0</v>
          </cell>
          <cell r="G3260">
            <v>0</v>
          </cell>
          <cell r="H3260">
            <v>0</v>
          </cell>
          <cell r="I3260">
            <v>0</v>
          </cell>
          <cell r="J3260">
            <v>0</v>
          </cell>
        </row>
        <row r="3261">
          <cell r="A3261">
            <v>1812210450</v>
          </cell>
          <cell r="B3261" t="str">
            <v>ריהוט ואחזקתו</v>
          </cell>
          <cell r="C3261">
            <v>0</v>
          </cell>
          <cell r="D3261">
            <v>0</v>
          </cell>
          <cell r="E3261">
            <v>0</v>
          </cell>
          <cell r="F3261">
            <v>0</v>
          </cell>
          <cell r="G3261">
            <v>0</v>
          </cell>
          <cell r="H3261">
            <v>0</v>
          </cell>
          <cell r="I3261">
            <v>0</v>
          </cell>
          <cell r="J3261">
            <v>0</v>
          </cell>
        </row>
        <row r="3262">
          <cell r="A3262">
            <v>1812210540</v>
          </cell>
          <cell r="B3262" t="str">
            <v>הוצאות טלפון</v>
          </cell>
          <cell r="C3262">
            <v>19000</v>
          </cell>
          <cell r="D3262">
            <v>19900</v>
          </cell>
          <cell r="E3262">
            <v>0</v>
          </cell>
          <cell r="F3262">
            <v>19900</v>
          </cell>
          <cell r="G3262">
            <v>-900</v>
          </cell>
          <cell r="H3262">
            <v>104.73</v>
          </cell>
          <cell r="I3262">
            <v>20000</v>
          </cell>
          <cell r="J3262">
            <v>19900</v>
          </cell>
        </row>
        <row r="3263">
          <cell r="A3263">
            <v>1812210544</v>
          </cell>
          <cell r="B3263" t="str">
            <v>הוצאות דאר</v>
          </cell>
          <cell r="C3263">
            <v>0</v>
          </cell>
          <cell r="D3263">
            <v>0</v>
          </cell>
          <cell r="E3263">
            <v>0</v>
          </cell>
          <cell r="F3263">
            <v>0</v>
          </cell>
          <cell r="G3263">
            <v>0</v>
          </cell>
          <cell r="H3263">
            <v>0</v>
          </cell>
          <cell r="I3263">
            <v>0</v>
          </cell>
          <cell r="J3263">
            <v>0</v>
          </cell>
        </row>
        <row r="3264">
          <cell r="A3264">
            <v>1812210561</v>
          </cell>
          <cell r="B3264" t="str">
            <v>שיכפולים</v>
          </cell>
          <cell r="C3264">
            <v>0</v>
          </cell>
          <cell r="D3264">
            <v>0</v>
          </cell>
          <cell r="E3264">
            <v>0</v>
          </cell>
          <cell r="F3264">
            <v>0</v>
          </cell>
          <cell r="G3264">
            <v>0</v>
          </cell>
          <cell r="H3264">
            <v>0</v>
          </cell>
          <cell r="I3264">
            <v>0</v>
          </cell>
          <cell r="J3264">
            <v>0</v>
          </cell>
        </row>
        <row r="3265">
          <cell r="A3265">
            <v>1812210710</v>
          </cell>
          <cell r="B3265" t="str">
            <v>הובלות והסעות</v>
          </cell>
          <cell r="C3265">
            <v>0</v>
          </cell>
          <cell r="D3265">
            <v>0</v>
          </cell>
          <cell r="E3265">
            <v>0</v>
          </cell>
          <cell r="F3265">
            <v>0</v>
          </cell>
          <cell r="G3265">
            <v>0</v>
          </cell>
          <cell r="H3265">
            <v>0</v>
          </cell>
          <cell r="I3265">
            <v>0</v>
          </cell>
          <cell r="J3265">
            <v>0</v>
          </cell>
        </row>
        <row r="3266">
          <cell r="A3266">
            <v>1812210721</v>
          </cell>
          <cell r="B3266" t="str">
            <v>חמרים-תחזוקת מבנים</v>
          </cell>
          <cell r="C3266">
            <v>0</v>
          </cell>
          <cell r="D3266">
            <v>0</v>
          </cell>
          <cell r="E3266">
            <v>0</v>
          </cell>
          <cell r="F3266">
            <v>0</v>
          </cell>
          <cell r="G3266">
            <v>0</v>
          </cell>
          <cell r="H3266">
            <v>0</v>
          </cell>
          <cell r="I3266">
            <v>0</v>
          </cell>
          <cell r="J3266">
            <v>0</v>
          </cell>
        </row>
        <row r="3267">
          <cell r="A3267">
            <v>1812210723</v>
          </cell>
          <cell r="B3267" t="str">
            <v>חומרים לגנים</v>
          </cell>
          <cell r="C3267">
            <v>98325</v>
          </cell>
          <cell r="D3267">
            <v>103300</v>
          </cell>
          <cell r="E3267">
            <v>0</v>
          </cell>
          <cell r="F3267">
            <v>103300</v>
          </cell>
          <cell r="G3267">
            <v>-4975</v>
          </cell>
          <cell r="H3267">
            <v>105.05</v>
          </cell>
          <cell r="I3267">
            <v>103500</v>
          </cell>
          <cell r="J3267">
            <v>103300</v>
          </cell>
        </row>
        <row r="3268">
          <cell r="A3268">
            <v>1812210724</v>
          </cell>
          <cell r="B3268" t="str">
            <v>חול לגנים</v>
          </cell>
          <cell r="C3268">
            <v>0</v>
          </cell>
          <cell r="D3268">
            <v>0</v>
          </cell>
          <cell r="E3268">
            <v>0</v>
          </cell>
          <cell r="F3268">
            <v>0</v>
          </cell>
          <cell r="G3268">
            <v>0</v>
          </cell>
          <cell r="H3268">
            <v>0</v>
          </cell>
          <cell r="I3268">
            <v>0</v>
          </cell>
          <cell r="J3268">
            <v>0</v>
          </cell>
        </row>
        <row r="3269">
          <cell r="A3269">
            <v>1812210742</v>
          </cell>
          <cell r="B3269" t="str">
            <v>כלים וציוד</v>
          </cell>
          <cell r="C3269">
            <v>0</v>
          </cell>
          <cell r="D3269">
            <v>0</v>
          </cell>
          <cell r="E3269">
            <v>0</v>
          </cell>
          <cell r="F3269">
            <v>0</v>
          </cell>
          <cell r="G3269">
            <v>0</v>
          </cell>
          <cell r="H3269">
            <v>0</v>
          </cell>
          <cell r="I3269">
            <v>0</v>
          </cell>
          <cell r="J3269">
            <v>0</v>
          </cell>
        </row>
        <row r="3270">
          <cell r="A3270">
            <v>1812210745</v>
          </cell>
          <cell r="B3270" t="str">
            <v>דמי פריצה - תכולה</v>
          </cell>
          <cell r="C3270">
            <v>0</v>
          </cell>
          <cell r="D3270">
            <v>0</v>
          </cell>
          <cell r="E3270">
            <v>0</v>
          </cell>
          <cell r="F3270">
            <v>0</v>
          </cell>
          <cell r="G3270">
            <v>0</v>
          </cell>
          <cell r="H3270">
            <v>0</v>
          </cell>
          <cell r="I3270">
            <v>0</v>
          </cell>
          <cell r="J3270">
            <v>0</v>
          </cell>
        </row>
        <row r="3271">
          <cell r="A3271">
            <v>1812210750</v>
          </cell>
          <cell r="B3271" t="str">
            <v>אחזקת מוסדות</v>
          </cell>
          <cell r="C3271">
            <v>0</v>
          </cell>
          <cell r="D3271">
            <v>0</v>
          </cell>
          <cell r="E3271">
            <v>0</v>
          </cell>
          <cell r="F3271">
            <v>0</v>
          </cell>
          <cell r="G3271">
            <v>0</v>
          </cell>
          <cell r="H3271">
            <v>0</v>
          </cell>
          <cell r="I3271">
            <v>0</v>
          </cell>
          <cell r="J3271">
            <v>0</v>
          </cell>
        </row>
        <row r="3272">
          <cell r="A3272">
            <v>1812210751</v>
          </cell>
          <cell r="B3272" t="str">
            <v>עבודות קבלניות</v>
          </cell>
          <cell r="C3272">
            <v>0</v>
          </cell>
          <cell r="D3272">
            <v>0</v>
          </cell>
          <cell r="E3272">
            <v>0</v>
          </cell>
          <cell r="F3272">
            <v>0</v>
          </cell>
          <cell r="G3272">
            <v>0</v>
          </cell>
          <cell r="H3272">
            <v>0</v>
          </cell>
          <cell r="I3272">
            <v>0</v>
          </cell>
          <cell r="J3272">
            <v>0</v>
          </cell>
        </row>
        <row r="3273">
          <cell r="A3273">
            <v>1812210753</v>
          </cell>
          <cell r="B3273" t="str">
            <v>סייעות - קבלן</v>
          </cell>
          <cell r="C3273">
            <v>0</v>
          </cell>
          <cell r="D3273">
            <v>0</v>
          </cell>
          <cell r="E3273">
            <v>0</v>
          </cell>
          <cell r="F3273">
            <v>0</v>
          </cell>
          <cell r="G3273">
            <v>0</v>
          </cell>
          <cell r="H3273">
            <v>0</v>
          </cell>
          <cell r="I3273">
            <v>0</v>
          </cell>
          <cell r="J3273">
            <v>0</v>
          </cell>
        </row>
        <row r="3274">
          <cell r="A3274">
            <v>1812210755</v>
          </cell>
          <cell r="B3274" t="str">
            <v>מילוי מקום</v>
          </cell>
          <cell r="C3274">
            <v>0</v>
          </cell>
          <cell r="D3274">
            <v>0</v>
          </cell>
          <cell r="E3274">
            <v>0</v>
          </cell>
          <cell r="F3274">
            <v>0</v>
          </cell>
          <cell r="G3274">
            <v>0</v>
          </cell>
          <cell r="H3274">
            <v>0</v>
          </cell>
          <cell r="I3274">
            <v>0</v>
          </cell>
          <cell r="J3274">
            <v>0</v>
          </cell>
        </row>
        <row r="3275">
          <cell r="A3275">
            <v>1812210757</v>
          </cell>
          <cell r="B3275" t="str">
            <v>ע' לגננות+משלימות</v>
          </cell>
          <cell r="C3275">
            <v>8614315</v>
          </cell>
          <cell r="D3275">
            <v>8309893.9199999999</v>
          </cell>
          <cell r="E3275">
            <v>0</v>
          </cell>
          <cell r="F3275">
            <v>8309893.9199999999</v>
          </cell>
          <cell r="G3275">
            <v>304421.08</v>
          </cell>
          <cell r="H3275">
            <v>96.46</v>
          </cell>
          <cell r="I3275">
            <v>9067700</v>
          </cell>
          <cell r="J3275">
            <v>8309893.9199999999</v>
          </cell>
        </row>
        <row r="3276">
          <cell r="A3276">
            <v>1812210759</v>
          </cell>
          <cell r="B3276" t="str">
            <v>שרותי סייעות</v>
          </cell>
          <cell r="C3276">
            <v>6643300</v>
          </cell>
          <cell r="D3276">
            <v>8216749.5499999998</v>
          </cell>
          <cell r="E3276">
            <v>0</v>
          </cell>
          <cell r="F3276">
            <v>8216749.5499999998</v>
          </cell>
          <cell r="G3276">
            <v>-1573449.55</v>
          </cell>
          <cell r="H3276">
            <v>123.68</v>
          </cell>
          <cell r="I3276">
            <v>6643300</v>
          </cell>
          <cell r="J3276">
            <v>8216749.5499999998</v>
          </cell>
        </row>
        <row r="3277">
          <cell r="A3277">
            <v>1812210763</v>
          </cell>
          <cell r="B3277" t="str">
            <v>משלימות ימי ו'</v>
          </cell>
          <cell r="C3277">
            <v>0</v>
          </cell>
          <cell r="D3277">
            <v>0</v>
          </cell>
          <cell r="E3277">
            <v>0</v>
          </cell>
          <cell r="F3277">
            <v>0</v>
          </cell>
          <cell r="G3277">
            <v>0</v>
          </cell>
          <cell r="H3277">
            <v>0</v>
          </cell>
          <cell r="I3277">
            <v>0</v>
          </cell>
          <cell r="J3277">
            <v>0</v>
          </cell>
        </row>
        <row r="3278">
          <cell r="A3278">
            <v>1812210764</v>
          </cell>
          <cell r="B3278" t="str">
            <v>תקן מחברת מוסדות</v>
          </cell>
          <cell r="C3278">
            <v>0</v>
          </cell>
          <cell r="D3278">
            <v>0</v>
          </cell>
          <cell r="E3278">
            <v>0</v>
          </cell>
          <cell r="F3278">
            <v>0</v>
          </cell>
          <cell r="G3278">
            <v>0</v>
          </cell>
          <cell r="H3278">
            <v>0</v>
          </cell>
          <cell r="I3278">
            <v>0</v>
          </cell>
          <cell r="J3278">
            <v>0</v>
          </cell>
        </row>
        <row r="3279">
          <cell r="A3279">
            <v>1812210781</v>
          </cell>
          <cell r="B3279" t="str">
            <v>ארועים מהכנסות</v>
          </cell>
          <cell r="C3279">
            <v>0</v>
          </cell>
          <cell r="D3279">
            <v>0</v>
          </cell>
          <cell r="E3279">
            <v>0</v>
          </cell>
          <cell r="F3279">
            <v>0</v>
          </cell>
          <cell r="G3279">
            <v>0</v>
          </cell>
          <cell r="H3279">
            <v>0</v>
          </cell>
          <cell r="I3279">
            <v>0</v>
          </cell>
          <cell r="J3279">
            <v>0</v>
          </cell>
        </row>
        <row r="3280">
          <cell r="A3280">
            <v>1812210782</v>
          </cell>
          <cell r="B3280" t="str">
            <v>השתתפות בהזנה</v>
          </cell>
          <cell r="C3280">
            <v>767125</v>
          </cell>
          <cell r="D3280">
            <v>978381.88</v>
          </cell>
          <cell r="E3280">
            <v>0</v>
          </cell>
          <cell r="F3280">
            <v>978381.88</v>
          </cell>
          <cell r="G3280">
            <v>-211256.88</v>
          </cell>
          <cell r="H3280">
            <v>127.53</v>
          </cell>
          <cell r="I3280">
            <v>807500</v>
          </cell>
          <cell r="J3280">
            <v>978381.88</v>
          </cell>
        </row>
        <row r="3281">
          <cell r="A3281">
            <v>1812210783</v>
          </cell>
          <cell r="B3281" t="str">
            <v>גן אחי"ה</v>
          </cell>
          <cell r="C3281">
            <v>0</v>
          </cell>
          <cell r="D3281">
            <v>0</v>
          </cell>
          <cell r="E3281">
            <v>0</v>
          </cell>
          <cell r="F3281">
            <v>0</v>
          </cell>
          <cell r="G3281">
            <v>0</v>
          </cell>
          <cell r="H3281">
            <v>0</v>
          </cell>
          <cell r="I3281">
            <v>0</v>
          </cell>
          <cell r="J3281">
            <v>0</v>
          </cell>
        </row>
        <row r="3282">
          <cell r="A3282">
            <v>1812210931</v>
          </cell>
          <cell r="B3282" t="str">
            <v>רכ' כנגד מש' חינוך</v>
          </cell>
          <cell r="C3282">
            <v>28500</v>
          </cell>
          <cell r="D3282">
            <v>37717</v>
          </cell>
          <cell r="E3282">
            <v>0</v>
          </cell>
          <cell r="F3282">
            <v>37717</v>
          </cell>
          <cell r="G3282">
            <v>-9217</v>
          </cell>
          <cell r="H3282">
            <v>132.34</v>
          </cell>
          <cell r="I3282">
            <v>30000</v>
          </cell>
          <cell r="J3282">
            <v>37717</v>
          </cell>
        </row>
        <row r="3283">
          <cell r="A3283">
            <v>1812210933</v>
          </cell>
          <cell r="B3283" t="str">
            <v>מתקני חצר</v>
          </cell>
          <cell r="C3283">
            <v>0</v>
          </cell>
          <cell r="D3283">
            <v>0</v>
          </cell>
          <cell r="E3283">
            <v>0</v>
          </cell>
          <cell r="F3283">
            <v>0</v>
          </cell>
          <cell r="G3283">
            <v>0</v>
          </cell>
          <cell r="H3283">
            <v>0</v>
          </cell>
          <cell r="I3283">
            <v>0</v>
          </cell>
          <cell r="J3283">
            <v>0</v>
          </cell>
        </row>
        <row r="3284">
          <cell r="A3284">
            <v>1812210934</v>
          </cell>
          <cell r="B3284" t="str">
            <v>חומרים-ח"מ חופשות</v>
          </cell>
          <cell r="C3284">
            <v>200700</v>
          </cell>
          <cell r="D3284">
            <v>219261</v>
          </cell>
          <cell r="E3284">
            <v>0</v>
          </cell>
          <cell r="F3284">
            <v>219261</v>
          </cell>
          <cell r="G3284">
            <v>-18561</v>
          </cell>
          <cell r="H3284">
            <v>109.24</v>
          </cell>
          <cell r="I3284">
            <v>200700</v>
          </cell>
          <cell r="J3284">
            <v>219261</v>
          </cell>
        </row>
        <row r="3285">
          <cell r="A3285">
            <v>1812210935</v>
          </cell>
          <cell r="B3285" t="str">
            <v>גן לכיש - איל"ן</v>
          </cell>
          <cell r="C3285">
            <v>0</v>
          </cell>
          <cell r="D3285">
            <v>0</v>
          </cell>
          <cell r="E3285">
            <v>0</v>
          </cell>
          <cell r="F3285">
            <v>0</v>
          </cell>
          <cell r="G3285">
            <v>0</v>
          </cell>
          <cell r="H3285">
            <v>0</v>
          </cell>
          <cell r="I3285">
            <v>0</v>
          </cell>
          <cell r="J3285">
            <v>0</v>
          </cell>
        </row>
        <row r="3286">
          <cell r="A3286">
            <v>1812300110</v>
          </cell>
          <cell r="B3286" t="str">
            <v>יוזמות גנים-תקציב'</v>
          </cell>
          <cell r="C3286">
            <v>0</v>
          </cell>
          <cell r="D3286">
            <v>0</v>
          </cell>
          <cell r="E3286">
            <v>0</v>
          </cell>
          <cell r="F3286">
            <v>0</v>
          </cell>
          <cell r="G3286">
            <v>0</v>
          </cell>
          <cell r="H3286">
            <v>0</v>
          </cell>
          <cell r="I3286">
            <v>0</v>
          </cell>
          <cell r="J3286">
            <v>0</v>
          </cell>
        </row>
        <row r="3287">
          <cell r="A3287">
            <v>1812300782</v>
          </cell>
          <cell r="B3287" t="str">
            <v>העשרה אשכול</v>
          </cell>
          <cell r="C3287">
            <v>0</v>
          </cell>
          <cell r="D3287">
            <v>0</v>
          </cell>
          <cell r="E3287">
            <v>0</v>
          </cell>
          <cell r="F3287">
            <v>0</v>
          </cell>
          <cell r="G3287">
            <v>0</v>
          </cell>
          <cell r="H3287">
            <v>0</v>
          </cell>
          <cell r="I3287">
            <v>0</v>
          </cell>
          <cell r="J3287">
            <v>0</v>
          </cell>
        </row>
        <row r="3288">
          <cell r="A3288">
            <v>1812300783</v>
          </cell>
          <cell r="B3288" t="str">
            <v>גן דיגיטף</v>
          </cell>
          <cell r="C3288">
            <v>0</v>
          </cell>
          <cell r="D3288">
            <v>0</v>
          </cell>
          <cell r="E3288">
            <v>0</v>
          </cell>
          <cell r="F3288">
            <v>0</v>
          </cell>
          <cell r="G3288">
            <v>0</v>
          </cell>
          <cell r="H3288">
            <v>0</v>
          </cell>
          <cell r="I3288">
            <v>0</v>
          </cell>
          <cell r="J3288">
            <v>0</v>
          </cell>
        </row>
        <row r="3289">
          <cell r="A3289">
            <v>1812300784</v>
          </cell>
          <cell r="B3289" t="str">
            <v>מעטפ"ת</v>
          </cell>
          <cell r="C3289">
            <v>1182200</v>
          </cell>
          <cell r="D3289">
            <v>1167698</v>
          </cell>
          <cell r="E3289">
            <v>0</v>
          </cell>
          <cell r="F3289">
            <v>1167698</v>
          </cell>
          <cell r="G3289">
            <v>14502</v>
          </cell>
          <cell r="H3289">
            <v>98.77</v>
          </cell>
          <cell r="I3289">
            <v>1182200</v>
          </cell>
          <cell r="J3289">
            <v>1167698</v>
          </cell>
        </row>
        <row r="3290">
          <cell r="A3290">
            <v>1812300785</v>
          </cell>
          <cell r="B3290" t="str">
            <v>מעג"ן - קרן שטיינמינץ</v>
          </cell>
          <cell r="C3290">
            <v>0</v>
          </cell>
          <cell r="D3290">
            <v>0</v>
          </cell>
          <cell r="E3290">
            <v>0</v>
          </cell>
          <cell r="F3290">
            <v>0</v>
          </cell>
          <cell r="G3290">
            <v>0</v>
          </cell>
          <cell r="H3290">
            <v>0</v>
          </cell>
          <cell r="I3290">
            <v>0</v>
          </cell>
          <cell r="J3290">
            <v>0</v>
          </cell>
        </row>
        <row r="3291">
          <cell r="A3291">
            <v>1812310110</v>
          </cell>
          <cell r="B3291" t="str">
            <v>השכר הקובע-תקציבית</v>
          </cell>
          <cell r="C3291">
            <v>68495</v>
          </cell>
          <cell r="D3291">
            <v>85544.89</v>
          </cell>
          <cell r="E3291">
            <v>0</v>
          </cell>
          <cell r="F3291">
            <v>85544.89</v>
          </cell>
          <cell r="G3291">
            <v>-17049.89</v>
          </cell>
          <cell r="H3291">
            <v>124.89</v>
          </cell>
          <cell r="I3291">
            <v>72100</v>
          </cell>
          <cell r="J3291">
            <v>85544.89</v>
          </cell>
        </row>
        <row r="3292">
          <cell r="A3292">
            <v>1812310119</v>
          </cell>
          <cell r="B3292" t="str">
            <v>השכר הקובע-צוברת</v>
          </cell>
          <cell r="C3292">
            <v>86355</v>
          </cell>
          <cell r="D3292">
            <v>87425.13</v>
          </cell>
          <cell r="E3292">
            <v>0</v>
          </cell>
          <cell r="F3292">
            <v>87425.13</v>
          </cell>
          <cell r="G3292">
            <v>-1070.1300000000001</v>
          </cell>
          <cell r="H3292">
            <v>101.23</v>
          </cell>
          <cell r="I3292">
            <v>90900</v>
          </cell>
          <cell r="J3292">
            <v>87425.13</v>
          </cell>
        </row>
        <row r="3293">
          <cell r="A3293">
            <v>1812310122</v>
          </cell>
          <cell r="B3293" t="str">
            <v>ביגוד</v>
          </cell>
          <cell r="C3293">
            <v>2375</v>
          </cell>
          <cell r="D3293">
            <v>2390.8200000000002</v>
          </cell>
          <cell r="E3293">
            <v>0</v>
          </cell>
          <cell r="F3293">
            <v>2390.8200000000002</v>
          </cell>
          <cell r="G3293">
            <v>-15.82</v>
          </cell>
          <cell r="H3293">
            <v>100.66</v>
          </cell>
          <cell r="I3293">
            <v>2500</v>
          </cell>
          <cell r="J3293">
            <v>2390.8200000000002</v>
          </cell>
        </row>
        <row r="3294">
          <cell r="A3294">
            <v>1812310126</v>
          </cell>
          <cell r="B3294" t="str">
            <v>דמי הבראה</v>
          </cell>
          <cell r="C3294">
            <v>8930</v>
          </cell>
          <cell r="D3294">
            <v>6850.38</v>
          </cell>
          <cell r="E3294">
            <v>0</v>
          </cell>
          <cell r="F3294">
            <v>6850.38</v>
          </cell>
          <cell r="G3294">
            <v>2079.62</v>
          </cell>
          <cell r="H3294">
            <v>76.709999999999994</v>
          </cell>
          <cell r="I3294">
            <v>9400</v>
          </cell>
          <cell r="J3294">
            <v>6850.38</v>
          </cell>
        </row>
        <row r="3295">
          <cell r="A3295">
            <v>1812310210</v>
          </cell>
          <cell r="B3295" t="str">
            <v>השכר הקובע</v>
          </cell>
          <cell r="C3295">
            <v>0</v>
          </cell>
          <cell r="D3295">
            <v>0</v>
          </cell>
          <cell r="E3295">
            <v>0</v>
          </cell>
          <cell r="F3295">
            <v>0</v>
          </cell>
          <cell r="G3295">
            <v>0</v>
          </cell>
          <cell r="H3295">
            <v>0</v>
          </cell>
          <cell r="I3295">
            <v>0</v>
          </cell>
          <cell r="J3295">
            <v>0</v>
          </cell>
        </row>
        <row r="3296">
          <cell r="A3296">
            <v>1812310263</v>
          </cell>
          <cell r="B3296" t="str">
            <v>עובדי חברת מוסדות</v>
          </cell>
          <cell r="C3296">
            <v>0</v>
          </cell>
          <cell r="D3296">
            <v>0</v>
          </cell>
          <cell r="E3296">
            <v>0</v>
          </cell>
          <cell r="F3296">
            <v>0</v>
          </cell>
          <cell r="G3296">
            <v>0</v>
          </cell>
          <cell r="H3296">
            <v>0</v>
          </cell>
          <cell r="I3296">
            <v>0</v>
          </cell>
          <cell r="J3296">
            <v>0</v>
          </cell>
        </row>
        <row r="3297">
          <cell r="A3297">
            <v>1812310391</v>
          </cell>
          <cell r="B3297" t="str">
            <v>הפרשה לפנסיה</v>
          </cell>
          <cell r="C3297">
            <v>0</v>
          </cell>
          <cell r="D3297">
            <v>0</v>
          </cell>
          <cell r="E3297">
            <v>0</v>
          </cell>
          <cell r="F3297">
            <v>0</v>
          </cell>
          <cell r="G3297">
            <v>0</v>
          </cell>
          <cell r="H3297">
            <v>0</v>
          </cell>
          <cell r="I3297">
            <v>0</v>
          </cell>
          <cell r="J3297">
            <v>0</v>
          </cell>
        </row>
        <row r="3298">
          <cell r="A3298">
            <v>1812310763</v>
          </cell>
          <cell r="B3298" t="str">
            <v>עובדי חברת מוסדות</v>
          </cell>
          <cell r="C3298">
            <v>0</v>
          </cell>
          <cell r="D3298">
            <v>0</v>
          </cell>
          <cell r="E3298">
            <v>0</v>
          </cell>
          <cell r="F3298">
            <v>0</v>
          </cell>
          <cell r="G3298">
            <v>0</v>
          </cell>
          <cell r="H3298">
            <v>0</v>
          </cell>
          <cell r="I3298">
            <v>0</v>
          </cell>
          <cell r="J3298">
            <v>0</v>
          </cell>
        </row>
        <row r="3299">
          <cell r="A3299">
            <v>1812310781</v>
          </cell>
          <cell r="B3299" t="str">
            <v>פעולות</v>
          </cell>
          <cell r="C3299">
            <v>32490</v>
          </cell>
          <cell r="D3299">
            <v>34200</v>
          </cell>
          <cell r="E3299">
            <v>0</v>
          </cell>
          <cell r="F3299">
            <v>34200</v>
          </cell>
          <cell r="G3299">
            <v>-1710</v>
          </cell>
          <cell r="H3299">
            <v>105.26</v>
          </cell>
          <cell r="I3299">
            <v>34200</v>
          </cell>
          <cell r="J3299">
            <v>34200</v>
          </cell>
        </row>
        <row r="3300">
          <cell r="A3300">
            <v>1812310784</v>
          </cell>
          <cell r="B3300" t="str">
            <v>חוגים והרצאות</v>
          </cell>
          <cell r="C3300">
            <v>0</v>
          </cell>
          <cell r="D3300">
            <v>0</v>
          </cell>
          <cell r="E3300">
            <v>0</v>
          </cell>
          <cell r="F3300">
            <v>0</v>
          </cell>
          <cell r="G3300">
            <v>0</v>
          </cell>
          <cell r="H3300">
            <v>0</v>
          </cell>
          <cell r="I3300">
            <v>0</v>
          </cell>
          <cell r="J3300">
            <v>0</v>
          </cell>
        </row>
        <row r="3301">
          <cell r="A3301">
            <v>1812320110</v>
          </cell>
          <cell r="B3301" t="str">
            <v>השכר הקובע-תקציבית</v>
          </cell>
          <cell r="C3301">
            <v>0</v>
          </cell>
          <cell r="D3301">
            <v>0</v>
          </cell>
          <cell r="E3301">
            <v>0</v>
          </cell>
          <cell r="F3301">
            <v>0</v>
          </cell>
          <cell r="G3301">
            <v>0</v>
          </cell>
          <cell r="H3301">
            <v>0</v>
          </cell>
          <cell r="I3301">
            <v>0</v>
          </cell>
          <cell r="J3301">
            <v>0</v>
          </cell>
        </row>
        <row r="3302">
          <cell r="A3302">
            <v>1812320119</v>
          </cell>
          <cell r="B3302" t="str">
            <v>השכר הקובע-צוברת</v>
          </cell>
          <cell r="C3302">
            <v>0</v>
          </cell>
          <cell r="D3302">
            <v>0</v>
          </cell>
          <cell r="E3302">
            <v>0</v>
          </cell>
          <cell r="F3302">
            <v>0</v>
          </cell>
          <cell r="G3302">
            <v>0</v>
          </cell>
          <cell r="H3302">
            <v>0</v>
          </cell>
          <cell r="I3302">
            <v>0</v>
          </cell>
          <cell r="J3302">
            <v>0</v>
          </cell>
        </row>
        <row r="3303">
          <cell r="A3303">
            <v>1812320122</v>
          </cell>
          <cell r="B3303" t="str">
            <v>ביגוד</v>
          </cell>
          <cell r="C3303">
            <v>0</v>
          </cell>
          <cell r="D3303">
            <v>0</v>
          </cell>
          <cell r="E3303">
            <v>0</v>
          </cell>
          <cell r="F3303">
            <v>0</v>
          </cell>
          <cell r="G3303">
            <v>0</v>
          </cell>
          <cell r="H3303">
            <v>0</v>
          </cell>
          <cell r="I3303">
            <v>0</v>
          </cell>
          <cell r="J3303">
            <v>0</v>
          </cell>
        </row>
        <row r="3304">
          <cell r="A3304">
            <v>1812320126</v>
          </cell>
          <cell r="B3304" t="str">
            <v>דמי הבראה</v>
          </cell>
          <cell r="C3304">
            <v>0</v>
          </cell>
          <cell r="D3304">
            <v>0</v>
          </cell>
          <cell r="E3304">
            <v>0</v>
          </cell>
          <cell r="F3304">
            <v>0</v>
          </cell>
          <cell r="G3304">
            <v>0</v>
          </cell>
          <cell r="H3304">
            <v>0</v>
          </cell>
          <cell r="I3304">
            <v>0</v>
          </cell>
          <cell r="J3304">
            <v>0</v>
          </cell>
        </row>
        <row r="3305">
          <cell r="A3305">
            <v>1812320263</v>
          </cell>
          <cell r="B3305" t="str">
            <v>עובדי חברת מוסדות</v>
          </cell>
          <cell r="C3305">
            <v>0</v>
          </cell>
          <cell r="D3305">
            <v>0</v>
          </cell>
          <cell r="E3305">
            <v>0</v>
          </cell>
          <cell r="F3305">
            <v>0</v>
          </cell>
          <cell r="G3305">
            <v>0</v>
          </cell>
          <cell r="H3305">
            <v>0</v>
          </cell>
          <cell r="I3305">
            <v>0</v>
          </cell>
          <cell r="J3305">
            <v>0</v>
          </cell>
        </row>
        <row r="3306">
          <cell r="A3306">
            <v>1812320391</v>
          </cell>
          <cell r="B3306" t="str">
            <v>הפרשה לפנסיה</v>
          </cell>
          <cell r="C3306">
            <v>0</v>
          </cell>
          <cell r="D3306">
            <v>0</v>
          </cell>
          <cell r="E3306">
            <v>0</v>
          </cell>
          <cell r="F3306">
            <v>0</v>
          </cell>
          <cell r="G3306">
            <v>0</v>
          </cell>
          <cell r="H3306">
            <v>0</v>
          </cell>
          <cell r="I3306">
            <v>0</v>
          </cell>
          <cell r="J3306">
            <v>0</v>
          </cell>
        </row>
        <row r="3307">
          <cell r="A3307">
            <v>1812320763</v>
          </cell>
          <cell r="B3307" t="str">
            <v>עובדי חברת מוסדות</v>
          </cell>
          <cell r="C3307">
            <v>0</v>
          </cell>
          <cell r="D3307">
            <v>0</v>
          </cell>
          <cell r="E3307">
            <v>0</v>
          </cell>
          <cell r="F3307">
            <v>0</v>
          </cell>
          <cell r="G3307">
            <v>0</v>
          </cell>
          <cell r="H3307">
            <v>0</v>
          </cell>
          <cell r="I3307">
            <v>0</v>
          </cell>
          <cell r="J3307">
            <v>0</v>
          </cell>
        </row>
        <row r="3308">
          <cell r="A3308">
            <v>1812320764</v>
          </cell>
          <cell r="B3308" t="str">
            <v>שכר סקט"א</v>
          </cell>
          <cell r="C3308">
            <v>0</v>
          </cell>
          <cell r="D3308">
            <v>0</v>
          </cell>
          <cell r="E3308">
            <v>0</v>
          </cell>
          <cell r="F3308">
            <v>0</v>
          </cell>
          <cell r="G3308">
            <v>0</v>
          </cell>
          <cell r="H3308">
            <v>0</v>
          </cell>
          <cell r="I3308">
            <v>0</v>
          </cell>
          <cell r="J3308">
            <v>0</v>
          </cell>
        </row>
        <row r="3309">
          <cell r="A3309">
            <v>1812320780</v>
          </cell>
          <cell r="B3309" t="str">
            <v>פעולות סקט"א</v>
          </cell>
          <cell r="C3309">
            <v>0</v>
          </cell>
          <cell r="D3309">
            <v>0</v>
          </cell>
          <cell r="E3309">
            <v>0</v>
          </cell>
          <cell r="F3309">
            <v>0</v>
          </cell>
          <cell r="G3309">
            <v>0</v>
          </cell>
          <cell r="H3309">
            <v>0</v>
          </cell>
          <cell r="I3309">
            <v>0</v>
          </cell>
          <cell r="J3309">
            <v>0</v>
          </cell>
        </row>
        <row r="3310">
          <cell r="A3310">
            <v>1812330110</v>
          </cell>
          <cell r="B3310" t="str">
            <v>השכר הקובע-תקציבית</v>
          </cell>
          <cell r="C3310">
            <v>0</v>
          </cell>
          <cell r="D3310">
            <v>0</v>
          </cell>
          <cell r="E3310">
            <v>0</v>
          </cell>
          <cell r="F3310">
            <v>0</v>
          </cell>
          <cell r="G3310">
            <v>0</v>
          </cell>
          <cell r="H3310">
            <v>0</v>
          </cell>
          <cell r="I3310">
            <v>0</v>
          </cell>
          <cell r="J3310">
            <v>0</v>
          </cell>
        </row>
        <row r="3311">
          <cell r="A3311">
            <v>1812330119</v>
          </cell>
          <cell r="B3311" t="str">
            <v>השכר הקובע-צוברת</v>
          </cell>
          <cell r="C3311">
            <v>0</v>
          </cell>
          <cell r="D3311">
            <v>0</v>
          </cell>
          <cell r="E3311">
            <v>0</v>
          </cell>
          <cell r="F3311">
            <v>0</v>
          </cell>
          <cell r="G3311">
            <v>0</v>
          </cell>
          <cell r="H3311">
            <v>0</v>
          </cell>
          <cell r="I3311">
            <v>0</v>
          </cell>
          <cell r="J3311">
            <v>0</v>
          </cell>
        </row>
        <row r="3312">
          <cell r="A3312">
            <v>1812330122</v>
          </cell>
          <cell r="B3312" t="str">
            <v>ביגוד</v>
          </cell>
          <cell r="C3312">
            <v>0</v>
          </cell>
          <cell r="D3312">
            <v>0</v>
          </cell>
          <cell r="E3312">
            <v>0</v>
          </cell>
          <cell r="F3312">
            <v>0</v>
          </cell>
          <cell r="G3312">
            <v>0</v>
          </cell>
          <cell r="H3312">
            <v>0</v>
          </cell>
          <cell r="I3312">
            <v>0</v>
          </cell>
          <cell r="J3312">
            <v>0</v>
          </cell>
        </row>
        <row r="3313">
          <cell r="A3313">
            <v>1812330126</v>
          </cell>
          <cell r="B3313" t="str">
            <v>דמי הבראה</v>
          </cell>
          <cell r="C3313">
            <v>0</v>
          </cell>
          <cell r="D3313">
            <v>0</v>
          </cell>
          <cell r="E3313">
            <v>0</v>
          </cell>
          <cell r="F3313">
            <v>0</v>
          </cell>
          <cell r="G3313">
            <v>0</v>
          </cell>
          <cell r="H3313">
            <v>0</v>
          </cell>
          <cell r="I3313">
            <v>0</v>
          </cell>
          <cell r="J3313">
            <v>0</v>
          </cell>
        </row>
        <row r="3314">
          <cell r="A3314">
            <v>1812330263</v>
          </cell>
          <cell r="B3314" t="str">
            <v>עובדי חברת מוסדות</v>
          </cell>
          <cell r="C3314">
            <v>0</v>
          </cell>
          <cell r="D3314">
            <v>0</v>
          </cell>
          <cell r="E3314">
            <v>0</v>
          </cell>
          <cell r="F3314">
            <v>0</v>
          </cell>
          <cell r="G3314">
            <v>0</v>
          </cell>
          <cell r="H3314">
            <v>0</v>
          </cell>
          <cell r="I3314">
            <v>0</v>
          </cell>
          <cell r="J3314">
            <v>0</v>
          </cell>
        </row>
        <row r="3315">
          <cell r="A3315">
            <v>1812330391</v>
          </cell>
          <cell r="B3315" t="str">
            <v>הפרשה לפנסיה</v>
          </cell>
          <cell r="C3315">
            <v>0</v>
          </cell>
          <cell r="D3315">
            <v>0</v>
          </cell>
          <cell r="E3315">
            <v>0</v>
          </cell>
          <cell r="F3315">
            <v>0</v>
          </cell>
          <cell r="G3315">
            <v>0</v>
          </cell>
          <cell r="H3315">
            <v>0</v>
          </cell>
          <cell r="I3315">
            <v>0</v>
          </cell>
          <cell r="J3315">
            <v>0</v>
          </cell>
        </row>
        <row r="3316">
          <cell r="A3316">
            <v>1812330763</v>
          </cell>
          <cell r="B3316" t="str">
            <v>עובדי חברת מוסדות</v>
          </cell>
          <cell r="C3316">
            <v>0</v>
          </cell>
          <cell r="D3316">
            <v>0</v>
          </cell>
          <cell r="E3316">
            <v>0</v>
          </cell>
          <cell r="F3316">
            <v>0</v>
          </cell>
          <cell r="G3316">
            <v>0</v>
          </cell>
          <cell r="H3316">
            <v>0</v>
          </cell>
          <cell r="I3316">
            <v>0</v>
          </cell>
          <cell r="J3316">
            <v>0</v>
          </cell>
        </row>
        <row r="3317">
          <cell r="A3317">
            <v>1812330783</v>
          </cell>
          <cell r="B3317" t="str">
            <v>אוסישקין-מוזיאון</v>
          </cell>
          <cell r="C3317">
            <v>0</v>
          </cell>
          <cell r="D3317">
            <v>0</v>
          </cell>
          <cell r="E3317">
            <v>0</v>
          </cell>
          <cell r="F3317">
            <v>0</v>
          </cell>
          <cell r="G3317">
            <v>0</v>
          </cell>
          <cell r="H3317">
            <v>0</v>
          </cell>
          <cell r="I3317">
            <v>0</v>
          </cell>
          <cell r="J3317">
            <v>0</v>
          </cell>
        </row>
        <row r="3318">
          <cell r="A3318">
            <v>1812330870</v>
          </cell>
          <cell r="B3318" t="str">
            <v>אוסישקין-הפעלה</v>
          </cell>
          <cell r="C3318">
            <v>0</v>
          </cell>
          <cell r="D3318">
            <v>0</v>
          </cell>
          <cell r="E3318">
            <v>0</v>
          </cell>
          <cell r="F3318">
            <v>0</v>
          </cell>
          <cell r="G3318">
            <v>0</v>
          </cell>
          <cell r="H3318">
            <v>0</v>
          </cell>
          <cell r="I3318">
            <v>0</v>
          </cell>
          <cell r="J3318">
            <v>0</v>
          </cell>
        </row>
        <row r="3319">
          <cell r="A3319">
            <v>1812330872</v>
          </cell>
          <cell r="B3319" t="str">
            <v>בגובה העיניים (הורים)</v>
          </cell>
          <cell r="C3319">
            <v>237500</v>
          </cell>
          <cell r="D3319">
            <v>109763.17</v>
          </cell>
          <cell r="E3319">
            <v>0</v>
          </cell>
          <cell r="F3319">
            <v>109763.17</v>
          </cell>
          <cell r="G3319">
            <v>127736.83</v>
          </cell>
          <cell r="H3319">
            <v>46.21</v>
          </cell>
          <cell r="I3319">
            <v>250000</v>
          </cell>
          <cell r="J3319">
            <v>109763.17</v>
          </cell>
        </row>
        <row r="3320">
          <cell r="A3320">
            <v>1812340263</v>
          </cell>
          <cell r="B3320" t="str">
            <v>עובדי חברת מוסדות</v>
          </cell>
          <cell r="C3320">
            <v>0</v>
          </cell>
          <cell r="D3320">
            <v>0</v>
          </cell>
          <cell r="E3320">
            <v>0</v>
          </cell>
          <cell r="F3320">
            <v>0</v>
          </cell>
          <cell r="G3320">
            <v>0</v>
          </cell>
          <cell r="H3320">
            <v>0</v>
          </cell>
          <cell r="I3320">
            <v>0</v>
          </cell>
          <cell r="J3320">
            <v>0</v>
          </cell>
        </row>
        <row r="3321">
          <cell r="A3321">
            <v>1812340391</v>
          </cell>
          <cell r="B3321" t="str">
            <v>הפרשה לפנסיה</v>
          </cell>
          <cell r="C3321">
            <v>0</v>
          </cell>
          <cell r="D3321">
            <v>0</v>
          </cell>
          <cell r="E3321">
            <v>0</v>
          </cell>
          <cell r="F3321">
            <v>0</v>
          </cell>
          <cell r="G3321">
            <v>0</v>
          </cell>
          <cell r="H3321">
            <v>0</v>
          </cell>
          <cell r="I3321">
            <v>0</v>
          </cell>
          <cell r="J3321">
            <v>0</v>
          </cell>
        </row>
        <row r="3322">
          <cell r="A3322">
            <v>1812340763</v>
          </cell>
          <cell r="B3322" t="str">
            <v>עובדי חברת מוסדות</v>
          </cell>
          <cell r="C3322">
            <v>0</v>
          </cell>
          <cell r="D3322">
            <v>0</v>
          </cell>
          <cell r="E3322">
            <v>0</v>
          </cell>
          <cell r="F3322">
            <v>0</v>
          </cell>
          <cell r="G3322">
            <v>0</v>
          </cell>
          <cell r="H3322">
            <v>0</v>
          </cell>
          <cell r="I3322">
            <v>0</v>
          </cell>
          <cell r="J3322">
            <v>0</v>
          </cell>
        </row>
        <row r="3323">
          <cell r="A3323">
            <v>1812340786</v>
          </cell>
          <cell r="B3323" t="str">
            <v>חווידע-בילוי ובדור</v>
          </cell>
          <cell r="C3323">
            <v>0</v>
          </cell>
          <cell r="D3323">
            <v>0</v>
          </cell>
          <cell r="E3323">
            <v>0</v>
          </cell>
          <cell r="F3323">
            <v>0</v>
          </cell>
          <cell r="G3323">
            <v>0</v>
          </cell>
          <cell r="H3323">
            <v>0</v>
          </cell>
          <cell r="I3323">
            <v>0</v>
          </cell>
          <cell r="J3323">
            <v>0</v>
          </cell>
        </row>
        <row r="3324">
          <cell r="A3324">
            <v>1812350110</v>
          </cell>
          <cell r="B3324" t="str">
            <v>השכר הקובע-תקציבית</v>
          </cell>
          <cell r="C3324">
            <v>0</v>
          </cell>
          <cell r="D3324">
            <v>0</v>
          </cell>
          <cell r="E3324">
            <v>0</v>
          </cell>
          <cell r="F3324">
            <v>0</v>
          </cell>
          <cell r="G3324">
            <v>0</v>
          </cell>
          <cell r="H3324">
            <v>0</v>
          </cell>
          <cell r="I3324">
            <v>0</v>
          </cell>
          <cell r="J3324">
            <v>0</v>
          </cell>
        </row>
        <row r="3325">
          <cell r="A3325">
            <v>1812350263</v>
          </cell>
          <cell r="B3325" t="str">
            <v>עובדי חברת מוסדות</v>
          </cell>
          <cell r="C3325">
            <v>0</v>
          </cell>
          <cell r="D3325">
            <v>0</v>
          </cell>
          <cell r="E3325">
            <v>0</v>
          </cell>
          <cell r="F3325">
            <v>0</v>
          </cell>
          <cell r="G3325">
            <v>0</v>
          </cell>
          <cell r="H3325">
            <v>0</v>
          </cell>
          <cell r="I3325">
            <v>0</v>
          </cell>
          <cell r="J3325">
            <v>0</v>
          </cell>
        </row>
        <row r="3326">
          <cell r="A3326">
            <v>1812350391</v>
          </cell>
          <cell r="B3326" t="str">
            <v>הפרשה לפנסיה</v>
          </cell>
          <cell r="C3326">
            <v>0</v>
          </cell>
          <cell r="D3326">
            <v>0</v>
          </cell>
          <cell r="E3326">
            <v>0</v>
          </cell>
          <cell r="F3326">
            <v>0</v>
          </cell>
          <cell r="G3326">
            <v>0</v>
          </cell>
          <cell r="H3326">
            <v>0</v>
          </cell>
          <cell r="I3326">
            <v>0</v>
          </cell>
          <cell r="J3326">
            <v>0</v>
          </cell>
        </row>
        <row r="3327">
          <cell r="A3327">
            <v>1812350763</v>
          </cell>
          <cell r="B3327" t="str">
            <v>עובדי חברת מוסדות</v>
          </cell>
          <cell r="C3327">
            <v>0</v>
          </cell>
          <cell r="D3327">
            <v>0</v>
          </cell>
          <cell r="E3327">
            <v>0</v>
          </cell>
          <cell r="F3327">
            <v>0</v>
          </cell>
          <cell r="G3327">
            <v>0</v>
          </cell>
          <cell r="H3327">
            <v>0</v>
          </cell>
          <cell r="I3327">
            <v>0</v>
          </cell>
          <cell r="J3327">
            <v>0</v>
          </cell>
        </row>
        <row r="3328">
          <cell r="A3328">
            <v>1812350764</v>
          </cell>
          <cell r="B3328" t="str">
            <v>הדרכה אשכול</v>
          </cell>
          <cell r="C3328">
            <v>0</v>
          </cell>
          <cell r="D3328">
            <v>0</v>
          </cell>
          <cell r="E3328">
            <v>0</v>
          </cell>
          <cell r="F3328">
            <v>0</v>
          </cell>
          <cell r="G3328">
            <v>0</v>
          </cell>
          <cell r="H3328">
            <v>0</v>
          </cell>
          <cell r="I3328">
            <v>0</v>
          </cell>
          <cell r="J3328">
            <v>0</v>
          </cell>
        </row>
        <row r="3329">
          <cell r="A3329">
            <v>1812350781</v>
          </cell>
          <cell r="B3329" t="str">
            <v>הדרכה אשכול</v>
          </cell>
          <cell r="C3329">
            <v>0</v>
          </cell>
          <cell r="D3329">
            <v>0</v>
          </cell>
          <cell r="E3329">
            <v>0</v>
          </cell>
          <cell r="F3329">
            <v>0</v>
          </cell>
          <cell r="G3329">
            <v>0</v>
          </cell>
          <cell r="H3329">
            <v>0</v>
          </cell>
          <cell r="I3329">
            <v>0</v>
          </cell>
          <cell r="J3329">
            <v>0</v>
          </cell>
        </row>
        <row r="3330">
          <cell r="A3330">
            <v>1812350782</v>
          </cell>
          <cell r="B3330" t="str">
            <v>פעולות אשכול</v>
          </cell>
          <cell r="C3330">
            <v>0</v>
          </cell>
          <cell r="D3330">
            <v>0</v>
          </cell>
          <cell r="E3330">
            <v>0</v>
          </cell>
          <cell r="F3330">
            <v>0</v>
          </cell>
          <cell r="G3330">
            <v>0</v>
          </cell>
          <cell r="H3330">
            <v>0</v>
          </cell>
          <cell r="I3330">
            <v>0</v>
          </cell>
          <cell r="J3330">
            <v>0</v>
          </cell>
        </row>
        <row r="3331">
          <cell r="A3331">
            <v>1812360210</v>
          </cell>
          <cell r="B3331" t="str">
            <v>השכר הקובע</v>
          </cell>
          <cell r="C3331">
            <v>0</v>
          </cell>
          <cell r="D3331">
            <v>0</v>
          </cell>
          <cell r="E3331">
            <v>0</v>
          </cell>
          <cell r="F3331">
            <v>0</v>
          </cell>
          <cell r="G3331">
            <v>0</v>
          </cell>
          <cell r="H3331">
            <v>0</v>
          </cell>
          <cell r="I3331">
            <v>0</v>
          </cell>
          <cell r="J3331">
            <v>0</v>
          </cell>
        </row>
        <row r="3332">
          <cell r="A3332">
            <v>1812360263</v>
          </cell>
          <cell r="B3332" t="str">
            <v>עובדי חברת מוסדות</v>
          </cell>
          <cell r="C3332">
            <v>0</v>
          </cell>
          <cell r="D3332">
            <v>0</v>
          </cell>
          <cell r="E3332">
            <v>0</v>
          </cell>
          <cell r="F3332">
            <v>0</v>
          </cell>
          <cell r="G3332">
            <v>0</v>
          </cell>
          <cell r="H3332">
            <v>0</v>
          </cell>
          <cell r="I3332">
            <v>0</v>
          </cell>
          <cell r="J3332">
            <v>0</v>
          </cell>
        </row>
        <row r="3333">
          <cell r="A3333">
            <v>1812360763</v>
          </cell>
          <cell r="B3333" t="str">
            <v>עובדי חברת מוסדות</v>
          </cell>
          <cell r="C3333">
            <v>0</v>
          </cell>
          <cell r="D3333">
            <v>0</v>
          </cell>
          <cell r="E3333">
            <v>0</v>
          </cell>
          <cell r="F3333">
            <v>0</v>
          </cell>
          <cell r="G3333">
            <v>0</v>
          </cell>
          <cell r="H3333">
            <v>0</v>
          </cell>
          <cell r="I3333">
            <v>0</v>
          </cell>
          <cell r="J3333">
            <v>0</v>
          </cell>
        </row>
        <row r="3334">
          <cell r="A3334">
            <v>1812360785</v>
          </cell>
          <cell r="B3334" t="str">
            <v>ריתמ' בילוי ובדור</v>
          </cell>
          <cell r="C3334">
            <v>0</v>
          </cell>
          <cell r="D3334">
            <v>0</v>
          </cell>
          <cell r="E3334">
            <v>0</v>
          </cell>
          <cell r="F3334">
            <v>0</v>
          </cell>
          <cell r="G3334">
            <v>0</v>
          </cell>
          <cell r="H3334">
            <v>0</v>
          </cell>
          <cell r="I3334">
            <v>0</v>
          </cell>
          <cell r="J3334">
            <v>0</v>
          </cell>
        </row>
        <row r="3335">
          <cell r="A3335">
            <v>1812360872</v>
          </cell>
          <cell r="B3335" t="str">
            <v>ריתמוסיקה (הורים)</v>
          </cell>
          <cell r="C3335">
            <v>3500000</v>
          </cell>
          <cell r="D3335">
            <v>4129665.1</v>
          </cell>
          <cell r="E3335">
            <v>0</v>
          </cell>
          <cell r="F3335">
            <v>4129665.1</v>
          </cell>
          <cell r="G3335">
            <v>-629665.1</v>
          </cell>
          <cell r="H3335">
            <v>117.99</v>
          </cell>
          <cell r="I3335">
            <v>3500000</v>
          </cell>
          <cell r="J3335">
            <v>4129665.1</v>
          </cell>
        </row>
        <row r="3336">
          <cell r="A3336">
            <v>1812370782</v>
          </cell>
          <cell r="B3336" t="str">
            <v>תיאטרון בובות</v>
          </cell>
          <cell r="C3336">
            <v>0</v>
          </cell>
          <cell r="D3336">
            <v>0</v>
          </cell>
          <cell r="E3336">
            <v>0</v>
          </cell>
          <cell r="F3336">
            <v>0</v>
          </cell>
          <cell r="G3336">
            <v>0</v>
          </cell>
          <cell r="H3336">
            <v>0</v>
          </cell>
          <cell r="I3336">
            <v>0</v>
          </cell>
          <cell r="J3336">
            <v>0</v>
          </cell>
        </row>
        <row r="3337">
          <cell r="A3337">
            <v>1812370870</v>
          </cell>
          <cell r="B3337" t="str">
            <v>תיאטרון בובות</v>
          </cell>
          <cell r="C3337">
            <v>165300</v>
          </cell>
          <cell r="D3337">
            <v>174001.32</v>
          </cell>
          <cell r="E3337">
            <v>0</v>
          </cell>
          <cell r="F3337">
            <v>174001.32</v>
          </cell>
          <cell r="G3337">
            <v>-8701.32</v>
          </cell>
          <cell r="H3337">
            <v>105.26</v>
          </cell>
          <cell r="I3337">
            <v>174000</v>
          </cell>
          <cell r="J3337">
            <v>174001.32</v>
          </cell>
        </row>
        <row r="3338">
          <cell r="A3338">
            <v>1812370871</v>
          </cell>
          <cell r="B3338" t="str">
            <v>תיאט' בובות-הכ' מש</v>
          </cell>
          <cell r="C3338">
            <v>0</v>
          </cell>
          <cell r="D3338">
            <v>0</v>
          </cell>
          <cell r="E3338">
            <v>0</v>
          </cell>
          <cell r="F3338">
            <v>0</v>
          </cell>
          <cell r="G3338">
            <v>0</v>
          </cell>
          <cell r="H3338">
            <v>0</v>
          </cell>
          <cell r="I3338">
            <v>0</v>
          </cell>
          <cell r="J3338">
            <v>0</v>
          </cell>
        </row>
        <row r="3339">
          <cell r="A3339">
            <v>1812370872</v>
          </cell>
          <cell r="B3339" t="str">
            <v>תיאטרון בובות (הורים)</v>
          </cell>
          <cell r="C3339">
            <v>250000</v>
          </cell>
          <cell r="D3339">
            <v>212161.52</v>
          </cell>
          <cell r="E3339">
            <v>0</v>
          </cell>
          <cell r="F3339">
            <v>212161.52</v>
          </cell>
          <cell r="G3339">
            <v>37838.480000000003</v>
          </cell>
          <cell r="H3339">
            <v>84.86</v>
          </cell>
          <cell r="I3339">
            <v>250000</v>
          </cell>
          <cell r="J3339">
            <v>212161.52</v>
          </cell>
        </row>
        <row r="3340">
          <cell r="A3340">
            <v>1812500110</v>
          </cell>
          <cell r="B3340" t="str">
            <v>השכר הקובע-תקציבית</v>
          </cell>
          <cell r="C3340">
            <v>0</v>
          </cell>
          <cell r="D3340">
            <v>0</v>
          </cell>
          <cell r="E3340">
            <v>0</v>
          </cell>
          <cell r="F3340">
            <v>0</v>
          </cell>
          <cell r="G3340">
            <v>0</v>
          </cell>
          <cell r="H3340">
            <v>0</v>
          </cell>
          <cell r="I3340">
            <v>0</v>
          </cell>
          <cell r="J3340">
            <v>0</v>
          </cell>
        </row>
        <row r="3341">
          <cell r="A3341">
            <v>1812500119</v>
          </cell>
          <cell r="B3341" t="str">
            <v>השכר הקובע-צוברת</v>
          </cell>
          <cell r="C3341">
            <v>0</v>
          </cell>
          <cell r="D3341">
            <v>0</v>
          </cell>
          <cell r="E3341">
            <v>0</v>
          </cell>
          <cell r="F3341">
            <v>0</v>
          </cell>
          <cell r="G3341">
            <v>0</v>
          </cell>
          <cell r="H3341">
            <v>0</v>
          </cell>
          <cell r="I3341">
            <v>0</v>
          </cell>
          <cell r="J3341">
            <v>0</v>
          </cell>
        </row>
        <row r="3342">
          <cell r="A3342">
            <v>1812500122</v>
          </cell>
          <cell r="B3342" t="str">
            <v>ביגוד</v>
          </cell>
          <cell r="C3342">
            <v>0</v>
          </cell>
          <cell r="D3342">
            <v>0</v>
          </cell>
          <cell r="E3342">
            <v>0</v>
          </cell>
          <cell r="F3342">
            <v>0</v>
          </cell>
          <cell r="G3342">
            <v>0</v>
          </cell>
          <cell r="H3342">
            <v>0</v>
          </cell>
          <cell r="I3342">
            <v>0</v>
          </cell>
          <cell r="J3342">
            <v>0</v>
          </cell>
        </row>
        <row r="3343">
          <cell r="A3343">
            <v>1812500126</v>
          </cell>
          <cell r="B3343" t="str">
            <v>דמי הבראה</v>
          </cell>
          <cell r="C3343">
            <v>0</v>
          </cell>
          <cell r="D3343">
            <v>0</v>
          </cell>
          <cell r="E3343">
            <v>0</v>
          </cell>
          <cell r="F3343">
            <v>0</v>
          </cell>
          <cell r="G3343">
            <v>0</v>
          </cell>
          <cell r="H3343">
            <v>0</v>
          </cell>
          <cell r="I3343">
            <v>0</v>
          </cell>
          <cell r="J3343">
            <v>0</v>
          </cell>
        </row>
        <row r="3344">
          <cell r="A3344">
            <v>1812500264</v>
          </cell>
          <cell r="B3344" t="str">
            <v>יול"א חברת מוסדות</v>
          </cell>
          <cell r="C3344">
            <v>0</v>
          </cell>
          <cell r="D3344">
            <v>0</v>
          </cell>
          <cell r="E3344">
            <v>0</v>
          </cell>
          <cell r="F3344">
            <v>0</v>
          </cell>
          <cell r="G3344">
            <v>0</v>
          </cell>
          <cell r="H3344">
            <v>0</v>
          </cell>
          <cell r="I3344">
            <v>0</v>
          </cell>
          <cell r="J3344">
            <v>0</v>
          </cell>
        </row>
        <row r="3345">
          <cell r="A3345">
            <v>1812500391</v>
          </cell>
          <cell r="B3345" t="str">
            <v>הפרשה לפנסיה</v>
          </cell>
          <cell r="C3345">
            <v>0</v>
          </cell>
          <cell r="D3345">
            <v>0</v>
          </cell>
          <cell r="E3345">
            <v>0</v>
          </cell>
          <cell r="F3345">
            <v>0</v>
          </cell>
          <cell r="G3345">
            <v>0</v>
          </cell>
          <cell r="H3345">
            <v>0</v>
          </cell>
          <cell r="I3345">
            <v>0</v>
          </cell>
          <cell r="J3345">
            <v>0</v>
          </cell>
        </row>
        <row r="3346">
          <cell r="A3346">
            <v>1812500723</v>
          </cell>
          <cell r="B3346" t="str">
            <v>חומרי עבודה</v>
          </cell>
          <cell r="C3346">
            <v>0</v>
          </cell>
          <cell r="D3346">
            <v>0</v>
          </cell>
          <cell r="E3346">
            <v>0</v>
          </cell>
          <cell r="F3346">
            <v>0</v>
          </cell>
          <cell r="G3346">
            <v>0</v>
          </cell>
          <cell r="H3346">
            <v>0</v>
          </cell>
          <cell r="I3346">
            <v>0</v>
          </cell>
          <cell r="J3346">
            <v>0</v>
          </cell>
        </row>
        <row r="3347">
          <cell r="A3347">
            <v>1812500724</v>
          </cell>
          <cell r="B3347" t="str">
            <v>מזון ליום לימ'ארוך</v>
          </cell>
          <cell r="C3347">
            <v>0</v>
          </cell>
          <cell r="D3347">
            <v>0</v>
          </cell>
          <cell r="E3347">
            <v>0</v>
          </cell>
          <cell r="F3347">
            <v>0</v>
          </cell>
          <cell r="G3347">
            <v>0</v>
          </cell>
          <cell r="H3347">
            <v>0</v>
          </cell>
          <cell r="I3347">
            <v>0</v>
          </cell>
          <cell r="J3347">
            <v>0</v>
          </cell>
        </row>
        <row r="3348">
          <cell r="A3348">
            <v>1812500744</v>
          </cell>
          <cell r="B3348" t="str">
            <v>ביגוד קייטנה</v>
          </cell>
          <cell r="C3348">
            <v>0</v>
          </cell>
          <cell r="D3348">
            <v>0</v>
          </cell>
          <cell r="E3348">
            <v>0</v>
          </cell>
          <cell r="F3348">
            <v>0</v>
          </cell>
          <cell r="G3348">
            <v>0</v>
          </cell>
          <cell r="H3348">
            <v>0</v>
          </cell>
          <cell r="I3348">
            <v>0</v>
          </cell>
          <cell r="J3348">
            <v>0</v>
          </cell>
        </row>
        <row r="3349">
          <cell r="A3349">
            <v>1812500755</v>
          </cell>
          <cell r="B3349" t="str">
            <v>עוזרות לגננות-קבלן</v>
          </cell>
          <cell r="C3349">
            <v>0</v>
          </cell>
          <cell r="D3349">
            <v>0</v>
          </cell>
          <cell r="E3349">
            <v>0</v>
          </cell>
          <cell r="F3349">
            <v>0</v>
          </cell>
          <cell r="G3349">
            <v>0</v>
          </cell>
          <cell r="H3349">
            <v>0</v>
          </cell>
          <cell r="I3349">
            <v>0</v>
          </cell>
          <cell r="J3349">
            <v>0</v>
          </cell>
        </row>
        <row r="3350">
          <cell r="A3350">
            <v>1812500756</v>
          </cell>
          <cell r="B3350" t="str">
            <v>שמירה-קיטנות יול"א</v>
          </cell>
          <cell r="C3350">
            <v>0</v>
          </cell>
          <cell r="D3350">
            <v>0</v>
          </cell>
          <cell r="E3350">
            <v>0</v>
          </cell>
          <cell r="F3350">
            <v>0</v>
          </cell>
          <cell r="G3350">
            <v>0</v>
          </cell>
          <cell r="H3350">
            <v>0</v>
          </cell>
          <cell r="I3350">
            <v>0</v>
          </cell>
          <cell r="J3350">
            <v>0</v>
          </cell>
        </row>
        <row r="3351">
          <cell r="A3351">
            <v>1812500761</v>
          </cell>
          <cell r="B3351" t="str">
            <v>גביה מהורים-ניצנים</v>
          </cell>
          <cell r="C3351">
            <v>0</v>
          </cell>
          <cell r="D3351">
            <v>0</v>
          </cell>
          <cell r="E3351">
            <v>0</v>
          </cell>
          <cell r="F3351">
            <v>0</v>
          </cell>
          <cell r="G3351">
            <v>0</v>
          </cell>
          <cell r="H3351">
            <v>0</v>
          </cell>
          <cell r="I3351">
            <v>0</v>
          </cell>
          <cell r="J3351">
            <v>0</v>
          </cell>
        </row>
        <row r="3352">
          <cell r="A3352">
            <v>1812500764</v>
          </cell>
          <cell r="B3352" t="str">
            <v>יול"א-חברת מוסדות</v>
          </cell>
          <cell r="C3352">
            <v>0</v>
          </cell>
          <cell r="D3352">
            <v>0</v>
          </cell>
          <cell r="E3352">
            <v>0</v>
          </cell>
          <cell r="F3352">
            <v>0</v>
          </cell>
          <cell r="G3352">
            <v>0</v>
          </cell>
          <cell r="H3352">
            <v>0</v>
          </cell>
          <cell r="I3352">
            <v>0</v>
          </cell>
          <cell r="J3352">
            <v>0</v>
          </cell>
        </row>
        <row r="3353">
          <cell r="A3353">
            <v>1812500780</v>
          </cell>
          <cell r="B3353" t="str">
            <v>תקורה</v>
          </cell>
          <cell r="C3353">
            <v>0</v>
          </cell>
          <cell r="D3353">
            <v>0</v>
          </cell>
          <cell r="E3353">
            <v>0</v>
          </cell>
          <cell r="F3353">
            <v>0</v>
          </cell>
          <cell r="G3353">
            <v>0</v>
          </cell>
          <cell r="H3353">
            <v>0</v>
          </cell>
          <cell r="I3353">
            <v>0</v>
          </cell>
          <cell r="J3353">
            <v>0</v>
          </cell>
        </row>
        <row r="3354">
          <cell r="A3354">
            <v>1812500789</v>
          </cell>
          <cell r="B3354" t="str">
            <v>פעולות העשרה</v>
          </cell>
          <cell r="C3354">
            <v>0</v>
          </cell>
          <cell r="D3354">
            <v>0</v>
          </cell>
          <cell r="E3354">
            <v>0</v>
          </cell>
          <cell r="F3354">
            <v>0</v>
          </cell>
          <cell r="G3354">
            <v>0</v>
          </cell>
          <cell r="H3354">
            <v>0</v>
          </cell>
          <cell r="I3354">
            <v>0</v>
          </cell>
          <cell r="J3354">
            <v>0</v>
          </cell>
        </row>
        <row r="3355">
          <cell r="A3355">
            <v>1812500794</v>
          </cell>
          <cell r="B3355" t="str">
            <v>השתתפות בעזר 094</v>
          </cell>
          <cell r="C3355">
            <v>0</v>
          </cell>
          <cell r="D3355">
            <v>0</v>
          </cell>
          <cell r="E3355">
            <v>0</v>
          </cell>
          <cell r="F3355">
            <v>0</v>
          </cell>
          <cell r="G3355">
            <v>0</v>
          </cell>
          <cell r="H3355">
            <v>0</v>
          </cell>
          <cell r="I3355">
            <v>0</v>
          </cell>
          <cell r="J3355">
            <v>0</v>
          </cell>
        </row>
        <row r="3356">
          <cell r="A3356">
            <v>1812500871</v>
          </cell>
          <cell r="B3356" t="str">
            <v>צהרונים - פרוייקט ניצנים</v>
          </cell>
          <cell r="C3356">
            <v>0</v>
          </cell>
          <cell r="D3356">
            <v>0</v>
          </cell>
          <cell r="E3356">
            <v>0</v>
          </cell>
          <cell r="F3356">
            <v>0</v>
          </cell>
          <cell r="G3356">
            <v>0</v>
          </cell>
          <cell r="H3356">
            <v>0</v>
          </cell>
          <cell r="I3356">
            <v>0</v>
          </cell>
          <cell r="J3356">
            <v>0</v>
          </cell>
        </row>
        <row r="3357">
          <cell r="A3357">
            <v>1812500872</v>
          </cell>
          <cell r="B3357" t="str">
            <v>יול"א בגנים (הורים)</v>
          </cell>
          <cell r="C3357">
            <v>0</v>
          </cell>
          <cell r="D3357">
            <v>0</v>
          </cell>
          <cell r="E3357">
            <v>0</v>
          </cell>
          <cell r="F3357">
            <v>0</v>
          </cell>
          <cell r="G3357">
            <v>0</v>
          </cell>
          <cell r="H3357">
            <v>0</v>
          </cell>
          <cell r="I3357">
            <v>0</v>
          </cell>
          <cell r="J3357">
            <v>0</v>
          </cell>
        </row>
        <row r="3358">
          <cell r="A3358">
            <v>1812800219</v>
          </cell>
          <cell r="B3358" t="str">
            <v>שכר קיטנות גני-ילד</v>
          </cell>
          <cell r="C3358">
            <v>0</v>
          </cell>
          <cell r="D3358">
            <v>0</v>
          </cell>
          <cell r="E3358">
            <v>0</v>
          </cell>
          <cell r="F3358">
            <v>0</v>
          </cell>
          <cell r="G3358">
            <v>0</v>
          </cell>
          <cell r="H3358">
            <v>0</v>
          </cell>
          <cell r="I3358">
            <v>0</v>
          </cell>
          <cell r="J3358">
            <v>0</v>
          </cell>
        </row>
        <row r="3359">
          <cell r="A3359">
            <v>1812800263</v>
          </cell>
          <cell r="B3359" t="str">
            <v>עובדי מינהלה</v>
          </cell>
          <cell r="C3359">
            <v>0</v>
          </cell>
          <cell r="D3359">
            <v>0</v>
          </cell>
          <cell r="E3359">
            <v>0</v>
          </cell>
          <cell r="F3359">
            <v>0</v>
          </cell>
          <cell r="G3359">
            <v>0</v>
          </cell>
          <cell r="H3359">
            <v>0</v>
          </cell>
          <cell r="I3359">
            <v>0</v>
          </cell>
          <cell r="J3359">
            <v>0</v>
          </cell>
        </row>
        <row r="3360">
          <cell r="A3360">
            <v>1812800550</v>
          </cell>
          <cell r="B3360" t="str">
            <v>פירסומים</v>
          </cell>
          <cell r="C3360">
            <v>0</v>
          </cell>
          <cell r="D3360">
            <v>0</v>
          </cell>
          <cell r="E3360">
            <v>0</v>
          </cell>
          <cell r="F3360">
            <v>0</v>
          </cell>
          <cell r="G3360">
            <v>0</v>
          </cell>
          <cell r="H3360">
            <v>0</v>
          </cell>
          <cell r="I3360">
            <v>0</v>
          </cell>
          <cell r="J3360">
            <v>0</v>
          </cell>
        </row>
        <row r="3361">
          <cell r="A3361">
            <v>1812800722</v>
          </cell>
          <cell r="B3361" t="str">
            <v>חמרים-תחזוקה עצמית</v>
          </cell>
          <cell r="C3361">
            <v>0</v>
          </cell>
          <cell r="D3361">
            <v>0</v>
          </cell>
          <cell r="E3361">
            <v>0</v>
          </cell>
          <cell r="F3361">
            <v>0</v>
          </cell>
          <cell r="G3361">
            <v>0</v>
          </cell>
          <cell r="H3361">
            <v>0</v>
          </cell>
          <cell r="I3361">
            <v>0</v>
          </cell>
          <cell r="J3361">
            <v>0</v>
          </cell>
        </row>
        <row r="3362">
          <cell r="A3362">
            <v>1812800723</v>
          </cell>
          <cell r="B3362" t="str">
            <v>מזון</v>
          </cell>
          <cell r="C3362">
            <v>0</v>
          </cell>
          <cell r="D3362">
            <v>0</v>
          </cell>
          <cell r="E3362">
            <v>0</v>
          </cell>
          <cell r="F3362">
            <v>0</v>
          </cell>
          <cell r="G3362">
            <v>0</v>
          </cell>
          <cell r="H3362">
            <v>0</v>
          </cell>
          <cell r="I3362">
            <v>0</v>
          </cell>
          <cell r="J3362">
            <v>0</v>
          </cell>
        </row>
        <row r="3363">
          <cell r="A3363">
            <v>1812800744</v>
          </cell>
          <cell r="B3363" t="str">
            <v>תלבושות</v>
          </cell>
          <cell r="C3363">
            <v>0</v>
          </cell>
          <cell r="D3363">
            <v>0</v>
          </cell>
          <cell r="E3363">
            <v>0</v>
          </cell>
          <cell r="F3363">
            <v>0</v>
          </cell>
          <cell r="G3363">
            <v>0</v>
          </cell>
          <cell r="H3363">
            <v>0</v>
          </cell>
          <cell r="I3363">
            <v>0</v>
          </cell>
          <cell r="J3363">
            <v>0</v>
          </cell>
        </row>
        <row r="3364">
          <cell r="A3364">
            <v>1812800763</v>
          </cell>
          <cell r="B3364" t="str">
            <v>עובדי מינהלה</v>
          </cell>
          <cell r="C3364">
            <v>0</v>
          </cell>
          <cell r="D3364">
            <v>0</v>
          </cell>
          <cell r="E3364">
            <v>0</v>
          </cell>
          <cell r="F3364">
            <v>0</v>
          </cell>
          <cell r="G3364">
            <v>0</v>
          </cell>
          <cell r="H3364">
            <v>0</v>
          </cell>
          <cell r="I3364">
            <v>0</v>
          </cell>
          <cell r="J3364">
            <v>0</v>
          </cell>
        </row>
        <row r="3365">
          <cell r="A3365">
            <v>1812800781</v>
          </cell>
          <cell r="B3365" t="str">
            <v>ארועים</v>
          </cell>
          <cell r="C3365">
            <v>0</v>
          </cell>
          <cell r="D3365">
            <v>0</v>
          </cell>
          <cell r="E3365">
            <v>0</v>
          </cell>
          <cell r="F3365">
            <v>0</v>
          </cell>
          <cell r="G3365">
            <v>0</v>
          </cell>
          <cell r="H3365">
            <v>0</v>
          </cell>
          <cell r="I3365">
            <v>0</v>
          </cell>
          <cell r="J3365">
            <v>0</v>
          </cell>
        </row>
        <row r="3366">
          <cell r="A3366">
            <v>1813200110</v>
          </cell>
          <cell r="B3366" t="str">
            <v>השכר הקובע-תקציבית</v>
          </cell>
          <cell r="C3366">
            <v>798000</v>
          </cell>
          <cell r="D3366">
            <v>901909.25</v>
          </cell>
          <cell r="E3366">
            <v>0</v>
          </cell>
          <cell r="F3366">
            <v>901909.25</v>
          </cell>
          <cell r="G3366">
            <v>-103909.25</v>
          </cell>
          <cell r="H3366">
            <v>113.02</v>
          </cell>
          <cell r="I3366">
            <v>840000</v>
          </cell>
          <cell r="J3366">
            <v>901909.25</v>
          </cell>
        </row>
        <row r="3367">
          <cell r="A3367">
            <v>1813200119</v>
          </cell>
          <cell r="B3367" t="str">
            <v>השכר הקובע-צוברת</v>
          </cell>
          <cell r="C3367">
            <v>8342520</v>
          </cell>
          <cell r="D3367">
            <v>7396931.04</v>
          </cell>
          <cell r="E3367">
            <v>80809.37</v>
          </cell>
          <cell r="F3367">
            <v>7477740.4100000001</v>
          </cell>
          <cell r="G3367">
            <v>864779.59</v>
          </cell>
          <cell r="H3367">
            <v>89.63</v>
          </cell>
          <cell r="I3367">
            <v>8781600</v>
          </cell>
          <cell r="J3367">
            <v>7396931.04</v>
          </cell>
        </row>
        <row r="3368">
          <cell r="A3368">
            <v>1813200122</v>
          </cell>
          <cell r="B3368" t="str">
            <v>ביגוד</v>
          </cell>
          <cell r="C3368">
            <v>92245</v>
          </cell>
          <cell r="D3368">
            <v>114271.79</v>
          </cell>
          <cell r="E3368">
            <v>0</v>
          </cell>
          <cell r="F3368">
            <v>114271.79</v>
          </cell>
          <cell r="G3368">
            <v>-22026.79</v>
          </cell>
          <cell r="H3368">
            <v>123.87</v>
          </cell>
          <cell r="I3368">
            <v>97100</v>
          </cell>
          <cell r="J3368">
            <v>114271.79</v>
          </cell>
        </row>
        <row r="3369">
          <cell r="A3369">
            <v>1813200126</v>
          </cell>
          <cell r="B3369" t="str">
            <v>דמי הבראה</v>
          </cell>
          <cell r="C3369">
            <v>266950</v>
          </cell>
          <cell r="D3369">
            <v>282710.28000000003</v>
          </cell>
          <cell r="E3369">
            <v>0</v>
          </cell>
          <cell r="F3369">
            <v>282710.28000000003</v>
          </cell>
          <cell r="G3369">
            <v>-15760.28</v>
          </cell>
          <cell r="H3369">
            <v>105.9</v>
          </cell>
          <cell r="I3369">
            <v>281000</v>
          </cell>
          <cell r="J3369">
            <v>282710.28000000003</v>
          </cell>
        </row>
        <row r="3370">
          <cell r="A3370">
            <v>1813200130</v>
          </cell>
          <cell r="B3370" t="str">
            <v>שעות נוספות</v>
          </cell>
          <cell r="C3370">
            <v>170240</v>
          </cell>
          <cell r="D3370">
            <v>127030.85</v>
          </cell>
          <cell r="E3370">
            <v>0</v>
          </cell>
          <cell r="F3370">
            <v>127030.85</v>
          </cell>
          <cell r="G3370">
            <v>43209.15</v>
          </cell>
          <cell r="H3370">
            <v>74.61</v>
          </cell>
          <cell r="I3370">
            <v>179200</v>
          </cell>
          <cell r="J3370">
            <v>127030.85</v>
          </cell>
        </row>
        <row r="3371">
          <cell r="A3371">
            <v>1813200140</v>
          </cell>
          <cell r="B3371" t="str">
            <v>השתתפות באחזקת רכב</v>
          </cell>
          <cell r="C3371">
            <v>40470</v>
          </cell>
          <cell r="D3371">
            <v>38150.239999999998</v>
          </cell>
          <cell r="E3371">
            <v>0</v>
          </cell>
          <cell r="F3371">
            <v>38150.239999999998</v>
          </cell>
          <cell r="G3371">
            <v>2319.7600000000002</v>
          </cell>
          <cell r="H3371">
            <v>94.26</v>
          </cell>
          <cell r="I3371">
            <v>42600</v>
          </cell>
          <cell r="J3371">
            <v>38150.239999999998</v>
          </cell>
        </row>
        <row r="3372">
          <cell r="A3372">
            <v>1813200210</v>
          </cell>
          <cell r="B3372" t="str">
            <v>השכר הקובע</v>
          </cell>
          <cell r="C3372">
            <v>0</v>
          </cell>
          <cell r="D3372">
            <v>0</v>
          </cell>
          <cell r="E3372">
            <v>0</v>
          </cell>
          <cell r="F3372">
            <v>0</v>
          </cell>
          <cell r="G3372">
            <v>0</v>
          </cell>
          <cell r="H3372">
            <v>0</v>
          </cell>
          <cell r="I3372">
            <v>0</v>
          </cell>
          <cell r="J3372">
            <v>0</v>
          </cell>
        </row>
        <row r="3373">
          <cell r="A3373">
            <v>1813200213</v>
          </cell>
          <cell r="B3373" t="str">
            <v>קבוצות טיפוליות</v>
          </cell>
          <cell r="C3373">
            <v>80750</v>
          </cell>
          <cell r="D3373">
            <v>30802.32</v>
          </cell>
          <cell r="E3373">
            <v>0</v>
          </cell>
          <cell r="F3373">
            <v>30802.32</v>
          </cell>
          <cell r="G3373">
            <v>49947.68</v>
          </cell>
          <cell r="H3373">
            <v>38.14</v>
          </cell>
          <cell r="I3373">
            <v>85000</v>
          </cell>
          <cell r="J3373">
            <v>30802.32</v>
          </cell>
        </row>
        <row r="3374">
          <cell r="A3374">
            <v>1813200214</v>
          </cell>
          <cell r="B3374" t="str">
            <v>תל"ן דביר</v>
          </cell>
          <cell r="C3374">
            <v>0</v>
          </cell>
          <cell r="D3374">
            <v>0</v>
          </cell>
          <cell r="E3374">
            <v>0</v>
          </cell>
          <cell r="F3374">
            <v>0</v>
          </cell>
          <cell r="G3374">
            <v>0</v>
          </cell>
          <cell r="H3374">
            <v>0</v>
          </cell>
          <cell r="I3374">
            <v>0</v>
          </cell>
          <cell r="J3374">
            <v>0</v>
          </cell>
        </row>
        <row r="3375">
          <cell r="A3375">
            <v>1813200215</v>
          </cell>
          <cell r="B3375" t="str">
            <v>קייטנת קיץ בחטיבות ותיכוניים</v>
          </cell>
          <cell r="C3375">
            <v>0</v>
          </cell>
          <cell r="D3375">
            <v>0</v>
          </cell>
          <cell r="E3375">
            <v>0</v>
          </cell>
          <cell r="F3375">
            <v>0</v>
          </cell>
          <cell r="G3375">
            <v>0</v>
          </cell>
          <cell r="H3375">
            <v>0</v>
          </cell>
          <cell r="I3375">
            <v>0</v>
          </cell>
          <cell r="J3375">
            <v>0</v>
          </cell>
        </row>
        <row r="3376">
          <cell r="A3376">
            <v>1813200255</v>
          </cell>
          <cell r="B3376" t="str">
            <v>מ"מ מזכירה ושרתים</v>
          </cell>
          <cell r="C3376">
            <v>85500</v>
          </cell>
          <cell r="D3376">
            <v>90000</v>
          </cell>
          <cell r="E3376">
            <v>0</v>
          </cell>
          <cell r="F3376">
            <v>90000</v>
          </cell>
          <cell r="G3376">
            <v>-4500</v>
          </cell>
          <cell r="H3376">
            <v>105.26</v>
          </cell>
          <cell r="I3376">
            <v>90000</v>
          </cell>
          <cell r="J3376">
            <v>90000</v>
          </cell>
        </row>
        <row r="3377">
          <cell r="A3377">
            <v>1813200257</v>
          </cell>
          <cell r="B3377" t="str">
            <v>שרתים ו'-ח' כלכלית</v>
          </cell>
          <cell r="C3377">
            <v>0</v>
          </cell>
          <cell r="D3377">
            <v>0</v>
          </cell>
          <cell r="E3377">
            <v>0</v>
          </cell>
          <cell r="F3377">
            <v>0</v>
          </cell>
          <cell r="G3377">
            <v>0</v>
          </cell>
          <cell r="H3377">
            <v>0</v>
          </cell>
          <cell r="I3377">
            <v>0</v>
          </cell>
          <cell r="J3377">
            <v>0</v>
          </cell>
        </row>
        <row r="3378">
          <cell r="A3378">
            <v>1813200263</v>
          </cell>
          <cell r="B3378" t="str">
            <v>עובדי חב' מוסדות</v>
          </cell>
          <cell r="C3378">
            <v>200000</v>
          </cell>
          <cell r="D3378">
            <v>118999.26</v>
          </cell>
          <cell r="E3378">
            <v>32772.559999999998</v>
          </cell>
          <cell r="F3378">
            <v>151771.82</v>
          </cell>
          <cell r="G3378">
            <v>48228.18</v>
          </cell>
          <cell r="H3378">
            <v>75.88</v>
          </cell>
          <cell r="I3378">
            <v>200000</v>
          </cell>
          <cell r="J3378">
            <v>118999.26</v>
          </cell>
        </row>
        <row r="3379">
          <cell r="A3379">
            <v>1813200264</v>
          </cell>
          <cell r="B3379" t="str">
            <v>סייעות-מוסדות+חברה</v>
          </cell>
          <cell r="C3379">
            <v>0</v>
          </cell>
          <cell r="D3379">
            <v>0</v>
          </cell>
          <cell r="E3379">
            <v>0</v>
          </cell>
          <cell r="F3379">
            <v>0</v>
          </cell>
          <cell r="G3379">
            <v>0</v>
          </cell>
          <cell r="H3379">
            <v>0</v>
          </cell>
          <cell r="I3379">
            <v>0</v>
          </cell>
          <cell r="J3379">
            <v>0</v>
          </cell>
        </row>
        <row r="3380">
          <cell r="A3380">
            <v>1813200391</v>
          </cell>
          <cell r="B3380" t="str">
            <v>הפרשה לפנסיה</v>
          </cell>
          <cell r="C3380">
            <v>0</v>
          </cell>
          <cell r="D3380">
            <v>0</v>
          </cell>
          <cell r="E3380">
            <v>0</v>
          </cell>
          <cell r="F3380">
            <v>0</v>
          </cell>
          <cell r="G3380">
            <v>0</v>
          </cell>
          <cell r="H3380">
            <v>0</v>
          </cell>
          <cell r="I3380">
            <v>0</v>
          </cell>
          <cell r="J3380">
            <v>0</v>
          </cell>
        </row>
        <row r="3381">
          <cell r="A3381">
            <v>1813200411</v>
          </cell>
          <cell r="B3381" t="str">
            <v>שכירת אולמות</v>
          </cell>
          <cell r="C3381">
            <v>0</v>
          </cell>
          <cell r="D3381">
            <v>0</v>
          </cell>
          <cell r="E3381">
            <v>0</v>
          </cell>
          <cell r="F3381">
            <v>0</v>
          </cell>
          <cell r="G3381">
            <v>0</v>
          </cell>
          <cell r="H3381">
            <v>0</v>
          </cell>
          <cell r="I3381">
            <v>0</v>
          </cell>
          <cell r="J3381">
            <v>0</v>
          </cell>
        </row>
        <row r="3382">
          <cell r="A3382">
            <v>1813200413</v>
          </cell>
          <cell r="B3382" t="str">
            <v>דמי שימוש אולם שמיר</v>
          </cell>
          <cell r="C3382">
            <v>118750</v>
          </cell>
          <cell r="D3382">
            <v>125000</v>
          </cell>
          <cell r="E3382">
            <v>0</v>
          </cell>
          <cell r="F3382">
            <v>125000</v>
          </cell>
          <cell r="G3382">
            <v>-6250</v>
          </cell>
          <cell r="H3382">
            <v>105.26</v>
          </cell>
          <cell r="I3382">
            <v>125000</v>
          </cell>
          <cell r="J3382">
            <v>125000</v>
          </cell>
        </row>
        <row r="3383">
          <cell r="A3383">
            <v>1813200420</v>
          </cell>
          <cell r="B3383" t="str">
            <v>כיבוי אש</v>
          </cell>
          <cell r="C3383">
            <v>104500</v>
          </cell>
          <cell r="D3383">
            <v>87798.91</v>
          </cell>
          <cell r="E3383">
            <v>0</v>
          </cell>
          <cell r="F3383">
            <v>87798.91</v>
          </cell>
          <cell r="G3383">
            <v>16701.09</v>
          </cell>
          <cell r="H3383">
            <v>84.01</v>
          </cell>
          <cell r="I3383">
            <v>110000</v>
          </cell>
          <cell r="J3383">
            <v>87798.91</v>
          </cell>
        </row>
        <row r="3384">
          <cell r="A3384">
            <v>1813200423</v>
          </cell>
          <cell r="B3384" t="str">
            <v>תחזוקת מבנה</v>
          </cell>
          <cell r="C3384">
            <v>585580</v>
          </cell>
          <cell r="D3384">
            <v>616400</v>
          </cell>
          <cell r="E3384">
            <v>0</v>
          </cell>
          <cell r="F3384">
            <v>616400</v>
          </cell>
          <cell r="G3384">
            <v>-30820</v>
          </cell>
          <cell r="H3384">
            <v>105.26</v>
          </cell>
          <cell r="I3384">
            <v>616400</v>
          </cell>
          <cell r="J3384">
            <v>616400</v>
          </cell>
        </row>
        <row r="3385">
          <cell r="A3385">
            <v>1813200430</v>
          </cell>
          <cell r="B3385" t="str">
            <v>גז לכלכלת  בית</v>
          </cell>
          <cell r="C3385">
            <v>0</v>
          </cell>
          <cell r="D3385">
            <v>0</v>
          </cell>
          <cell r="E3385">
            <v>0</v>
          </cell>
          <cell r="F3385">
            <v>0</v>
          </cell>
          <cell r="G3385">
            <v>0</v>
          </cell>
          <cell r="H3385">
            <v>0</v>
          </cell>
          <cell r="I3385">
            <v>0</v>
          </cell>
          <cell r="J3385">
            <v>0</v>
          </cell>
        </row>
        <row r="3386">
          <cell r="A3386">
            <v>1813200431</v>
          </cell>
          <cell r="B3386" t="str">
            <v>חשמל</v>
          </cell>
          <cell r="C3386">
            <v>2317400</v>
          </cell>
          <cell r="D3386">
            <v>2317400</v>
          </cell>
          <cell r="E3386">
            <v>0</v>
          </cell>
          <cell r="F3386">
            <v>2317400</v>
          </cell>
          <cell r="G3386">
            <v>0</v>
          </cell>
          <cell r="H3386">
            <v>100</v>
          </cell>
          <cell r="I3386">
            <v>2317400</v>
          </cell>
          <cell r="J3386">
            <v>2317400</v>
          </cell>
        </row>
        <row r="3387">
          <cell r="A3387">
            <v>1813200432</v>
          </cell>
          <cell r="B3387" t="str">
            <v>מים</v>
          </cell>
          <cell r="C3387">
            <v>886065</v>
          </cell>
          <cell r="D3387">
            <v>932509.85</v>
          </cell>
          <cell r="E3387">
            <v>0</v>
          </cell>
          <cell r="F3387">
            <v>932509.85</v>
          </cell>
          <cell r="G3387">
            <v>-46444.85</v>
          </cell>
          <cell r="H3387">
            <v>105.24</v>
          </cell>
          <cell r="I3387">
            <v>932700</v>
          </cell>
          <cell r="J3387">
            <v>932509.85</v>
          </cell>
        </row>
        <row r="3388">
          <cell r="A3388">
            <v>1813200433</v>
          </cell>
          <cell r="B3388" t="str">
            <v>חומרי נקיון</v>
          </cell>
          <cell r="C3388">
            <v>0</v>
          </cell>
          <cell r="D3388">
            <v>0</v>
          </cell>
          <cell r="E3388">
            <v>0</v>
          </cell>
          <cell r="F3388">
            <v>0</v>
          </cell>
          <cell r="G3388">
            <v>0</v>
          </cell>
          <cell r="H3388">
            <v>0</v>
          </cell>
          <cell r="I3388">
            <v>0</v>
          </cell>
          <cell r="J3388">
            <v>0</v>
          </cell>
        </row>
        <row r="3389">
          <cell r="A3389">
            <v>1813200434</v>
          </cell>
          <cell r="B3389" t="str">
            <v>חיטוי והדברה</v>
          </cell>
          <cell r="C3389">
            <v>0</v>
          </cell>
          <cell r="D3389">
            <v>0</v>
          </cell>
          <cell r="E3389">
            <v>0</v>
          </cell>
          <cell r="F3389">
            <v>0</v>
          </cell>
          <cell r="G3389">
            <v>0</v>
          </cell>
          <cell r="H3389">
            <v>0</v>
          </cell>
          <cell r="I3389">
            <v>0</v>
          </cell>
          <cell r="J3389">
            <v>0</v>
          </cell>
        </row>
        <row r="3390">
          <cell r="A3390">
            <v>1813200437</v>
          </cell>
          <cell r="B3390" t="str">
            <v>אחזקת אזעקה</v>
          </cell>
          <cell r="C3390">
            <v>50255</v>
          </cell>
          <cell r="D3390">
            <v>52053.25</v>
          </cell>
          <cell r="E3390">
            <v>0</v>
          </cell>
          <cell r="F3390">
            <v>52053.25</v>
          </cell>
          <cell r="G3390">
            <v>-1798.25</v>
          </cell>
          <cell r="H3390">
            <v>103.57</v>
          </cell>
          <cell r="I3390">
            <v>52900</v>
          </cell>
          <cell r="J3390">
            <v>52053.25</v>
          </cell>
        </row>
        <row r="3391">
          <cell r="A3391">
            <v>1813200438</v>
          </cell>
          <cell r="B3391" t="str">
            <v>הש'באח' מחשב ויצמן</v>
          </cell>
          <cell r="C3391">
            <v>0</v>
          </cell>
          <cell r="D3391">
            <v>0</v>
          </cell>
          <cell r="E3391">
            <v>0</v>
          </cell>
          <cell r="F3391">
            <v>0</v>
          </cell>
          <cell r="G3391">
            <v>0</v>
          </cell>
          <cell r="H3391">
            <v>0</v>
          </cell>
          <cell r="I3391">
            <v>0</v>
          </cell>
          <cell r="J3391">
            <v>0</v>
          </cell>
        </row>
        <row r="3392">
          <cell r="A3392">
            <v>1813200441</v>
          </cell>
          <cell r="B3392" t="str">
            <v>ביטוח</v>
          </cell>
          <cell r="C3392">
            <v>0</v>
          </cell>
          <cell r="D3392">
            <v>0</v>
          </cell>
          <cell r="E3392">
            <v>0</v>
          </cell>
          <cell r="F3392">
            <v>0</v>
          </cell>
          <cell r="G3392">
            <v>0</v>
          </cell>
          <cell r="H3392">
            <v>0</v>
          </cell>
          <cell r="I3392">
            <v>0</v>
          </cell>
          <cell r="J3392">
            <v>0</v>
          </cell>
        </row>
        <row r="3393">
          <cell r="A3393">
            <v>1813200450</v>
          </cell>
          <cell r="B3393" t="str">
            <v>ריהוט ואחזקתו</v>
          </cell>
          <cell r="C3393">
            <v>0</v>
          </cell>
          <cell r="D3393">
            <v>0</v>
          </cell>
          <cell r="E3393">
            <v>0</v>
          </cell>
          <cell r="F3393">
            <v>0</v>
          </cell>
          <cell r="G3393">
            <v>0</v>
          </cell>
          <cell r="H3393">
            <v>0</v>
          </cell>
          <cell r="I3393">
            <v>0</v>
          </cell>
          <cell r="J3393">
            <v>0</v>
          </cell>
        </row>
        <row r="3394">
          <cell r="A3394">
            <v>1813200451</v>
          </cell>
          <cell r="B3394" t="str">
            <v>הוצאות גפ"ן בית ספרי</v>
          </cell>
          <cell r="C3394">
            <v>427500</v>
          </cell>
          <cell r="D3394">
            <v>449821.03</v>
          </cell>
          <cell r="E3394">
            <v>0</v>
          </cell>
          <cell r="F3394">
            <v>449821.03</v>
          </cell>
          <cell r="G3394">
            <v>-22321.03</v>
          </cell>
          <cell r="H3394">
            <v>105.22</v>
          </cell>
          <cell r="I3394">
            <v>450000</v>
          </cell>
          <cell r="J3394">
            <v>449821.03</v>
          </cell>
        </row>
        <row r="3395">
          <cell r="A3395">
            <v>1813200471</v>
          </cell>
          <cell r="B3395" t="str">
            <v>מכשירי כתיבה</v>
          </cell>
          <cell r="C3395">
            <v>0</v>
          </cell>
          <cell r="D3395">
            <v>0</v>
          </cell>
          <cell r="E3395">
            <v>0</v>
          </cell>
          <cell r="F3395">
            <v>0</v>
          </cell>
          <cell r="G3395">
            <v>0</v>
          </cell>
          <cell r="H3395">
            <v>0</v>
          </cell>
          <cell r="I3395">
            <v>0</v>
          </cell>
          <cell r="J3395">
            <v>0</v>
          </cell>
        </row>
        <row r="3396">
          <cell r="A3396">
            <v>1813200473</v>
          </cell>
          <cell r="B3396" t="str">
            <v>אחזקת מכשירים</v>
          </cell>
          <cell r="C3396">
            <v>0</v>
          </cell>
          <cell r="D3396">
            <v>0</v>
          </cell>
          <cell r="E3396">
            <v>0</v>
          </cell>
          <cell r="F3396">
            <v>0</v>
          </cell>
          <cell r="G3396">
            <v>0</v>
          </cell>
          <cell r="H3396">
            <v>0</v>
          </cell>
          <cell r="I3396">
            <v>0</v>
          </cell>
          <cell r="J3396">
            <v>0</v>
          </cell>
        </row>
        <row r="3397">
          <cell r="A3397">
            <v>1813200511</v>
          </cell>
          <cell r="B3397" t="str">
            <v>אירוח וכיבוד</v>
          </cell>
          <cell r="C3397">
            <v>77235</v>
          </cell>
          <cell r="D3397">
            <v>154962</v>
          </cell>
          <cell r="E3397">
            <v>0</v>
          </cell>
          <cell r="F3397">
            <v>154962</v>
          </cell>
          <cell r="G3397">
            <v>-77727</v>
          </cell>
          <cell r="H3397">
            <v>200.63</v>
          </cell>
          <cell r="I3397">
            <v>81300</v>
          </cell>
          <cell r="J3397">
            <v>154962</v>
          </cell>
        </row>
        <row r="3398">
          <cell r="A3398">
            <v>1813200512</v>
          </cell>
          <cell r="B3398" t="str">
            <v>נסיעות ואש"ל</v>
          </cell>
          <cell r="C3398">
            <v>0</v>
          </cell>
          <cell r="D3398">
            <v>0</v>
          </cell>
          <cell r="E3398">
            <v>0</v>
          </cell>
          <cell r="F3398">
            <v>0</v>
          </cell>
          <cell r="G3398">
            <v>0</v>
          </cell>
          <cell r="H3398">
            <v>0</v>
          </cell>
          <cell r="I3398">
            <v>0</v>
          </cell>
          <cell r="J3398">
            <v>0</v>
          </cell>
        </row>
        <row r="3399">
          <cell r="A3399">
            <v>1813200517</v>
          </cell>
          <cell r="B3399" t="str">
            <v>מסיבות מפקדים ושי</v>
          </cell>
          <cell r="C3399">
            <v>0</v>
          </cell>
          <cell r="D3399">
            <v>0</v>
          </cell>
          <cell r="E3399">
            <v>0</v>
          </cell>
          <cell r="F3399">
            <v>0</v>
          </cell>
          <cell r="G3399">
            <v>0</v>
          </cell>
          <cell r="H3399">
            <v>0</v>
          </cell>
          <cell r="I3399">
            <v>0</v>
          </cell>
          <cell r="J3399">
            <v>0</v>
          </cell>
        </row>
        <row r="3400">
          <cell r="A3400">
            <v>1813200530</v>
          </cell>
          <cell r="B3400" t="str">
            <v>אופניים לעובדים</v>
          </cell>
          <cell r="C3400">
            <v>0</v>
          </cell>
          <cell r="D3400">
            <v>0</v>
          </cell>
          <cell r="E3400">
            <v>0</v>
          </cell>
          <cell r="F3400">
            <v>0</v>
          </cell>
          <cell r="G3400">
            <v>0</v>
          </cell>
          <cell r="H3400">
            <v>0</v>
          </cell>
          <cell r="I3400">
            <v>0</v>
          </cell>
          <cell r="J3400">
            <v>0</v>
          </cell>
        </row>
        <row r="3401">
          <cell r="A3401">
            <v>1813200540</v>
          </cell>
          <cell r="B3401" t="str">
            <v>הוצאות טלפון</v>
          </cell>
          <cell r="C3401">
            <v>0</v>
          </cell>
          <cell r="D3401">
            <v>0</v>
          </cell>
          <cell r="E3401">
            <v>0</v>
          </cell>
          <cell r="F3401">
            <v>0</v>
          </cell>
          <cell r="G3401">
            <v>0</v>
          </cell>
          <cell r="H3401">
            <v>0</v>
          </cell>
          <cell r="I3401">
            <v>0</v>
          </cell>
          <cell r="J3401">
            <v>0</v>
          </cell>
        </row>
        <row r="3402">
          <cell r="A3402">
            <v>1813200544</v>
          </cell>
          <cell r="B3402" t="str">
            <v>הוצאות דאר</v>
          </cell>
          <cell r="C3402">
            <v>0</v>
          </cell>
          <cell r="D3402">
            <v>0</v>
          </cell>
          <cell r="E3402">
            <v>0</v>
          </cell>
          <cell r="F3402">
            <v>0</v>
          </cell>
          <cell r="G3402">
            <v>0</v>
          </cell>
          <cell r="H3402">
            <v>0</v>
          </cell>
          <cell r="I3402">
            <v>0</v>
          </cell>
          <cell r="J3402">
            <v>0</v>
          </cell>
        </row>
        <row r="3403">
          <cell r="A3403">
            <v>1813200551</v>
          </cell>
          <cell r="B3403" t="str">
            <v>פירסומים</v>
          </cell>
          <cell r="C3403">
            <v>4275</v>
          </cell>
          <cell r="D3403">
            <v>837.23</v>
          </cell>
          <cell r="E3403">
            <v>0</v>
          </cell>
          <cell r="F3403">
            <v>837.23</v>
          </cell>
          <cell r="G3403">
            <v>3437.77</v>
          </cell>
          <cell r="H3403">
            <v>19.579999999999998</v>
          </cell>
          <cell r="I3403">
            <v>4500</v>
          </cell>
          <cell r="J3403">
            <v>837.23</v>
          </cell>
        </row>
        <row r="3404">
          <cell r="A3404">
            <v>1813200561</v>
          </cell>
          <cell r="B3404" t="str">
            <v>שיכפולים</v>
          </cell>
          <cell r="C3404">
            <v>0</v>
          </cell>
          <cell r="D3404">
            <v>0</v>
          </cell>
          <cell r="E3404">
            <v>0</v>
          </cell>
          <cell r="F3404">
            <v>0</v>
          </cell>
          <cell r="G3404">
            <v>0</v>
          </cell>
          <cell r="H3404">
            <v>0</v>
          </cell>
          <cell r="I3404">
            <v>0</v>
          </cell>
          <cell r="J3404">
            <v>0</v>
          </cell>
        </row>
        <row r="3405">
          <cell r="A3405">
            <v>1813200562</v>
          </cell>
          <cell r="B3405" t="str">
            <v>הדפסות</v>
          </cell>
          <cell r="C3405">
            <v>11780</v>
          </cell>
          <cell r="D3405">
            <v>4329</v>
          </cell>
          <cell r="E3405">
            <v>0</v>
          </cell>
          <cell r="F3405">
            <v>4329</v>
          </cell>
          <cell r="G3405">
            <v>7451</v>
          </cell>
          <cell r="H3405">
            <v>36.74</v>
          </cell>
          <cell r="I3405">
            <v>12400</v>
          </cell>
          <cell r="J3405">
            <v>4329</v>
          </cell>
        </row>
        <row r="3406">
          <cell r="A3406">
            <v>1813200563</v>
          </cell>
          <cell r="B3406" t="str">
            <v>הדפסות אוטומציה</v>
          </cell>
          <cell r="C3406">
            <v>0</v>
          </cell>
          <cell r="D3406">
            <v>0</v>
          </cell>
          <cell r="E3406">
            <v>0</v>
          </cell>
          <cell r="F3406">
            <v>0</v>
          </cell>
          <cell r="G3406">
            <v>0</v>
          </cell>
          <cell r="H3406">
            <v>0</v>
          </cell>
          <cell r="I3406">
            <v>0</v>
          </cell>
          <cell r="J3406">
            <v>0</v>
          </cell>
        </row>
        <row r="3407">
          <cell r="A3407">
            <v>1813200570</v>
          </cell>
          <cell r="B3407" t="str">
            <v>שרות מערכת מנב"ס</v>
          </cell>
          <cell r="C3407">
            <v>142500</v>
          </cell>
          <cell r="D3407">
            <v>94723</v>
          </cell>
          <cell r="E3407">
            <v>0</v>
          </cell>
          <cell r="F3407">
            <v>94723</v>
          </cell>
          <cell r="G3407">
            <v>47777</v>
          </cell>
          <cell r="H3407">
            <v>66.47</v>
          </cell>
          <cell r="I3407">
            <v>150000</v>
          </cell>
          <cell r="J3407">
            <v>94723</v>
          </cell>
        </row>
        <row r="3408">
          <cell r="A3408">
            <v>1813200571</v>
          </cell>
          <cell r="B3408" t="str">
            <v>מיכון וענ"א</v>
          </cell>
          <cell r="C3408">
            <v>99940</v>
          </cell>
          <cell r="D3408">
            <v>105200</v>
          </cell>
          <cell r="E3408">
            <v>0</v>
          </cell>
          <cell r="F3408">
            <v>105200</v>
          </cell>
          <cell r="G3408">
            <v>-5260</v>
          </cell>
          <cell r="H3408">
            <v>105.26</v>
          </cell>
          <cell r="I3408">
            <v>105200</v>
          </cell>
          <cell r="J3408">
            <v>105200</v>
          </cell>
        </row>
        <row r="3409">
          <cell r="A3409">
            <v>1813200580</v>
          </cell>
          <cell r="B3409" t="str">
            <v>יעוץ נהול עצמי</v>
          </cell>
          <cell r="C3409">
            <v>180000</v>
          </cell>
          <cell r="D3409">
            <v>113850.36</v>
          </cell>
          <cell r="E3409">
            <v>0</v>
          </cell>
          <cell r="F3409">
            <v>113850.36</v>
          </cell>
          <cell r="G3409">
            <v>66149.64</v>
          </cell>
          <cell r="H3409">
            <v>63.25</v>
          </cell>
          <cell r="I3409">
            <v>180000</v>
          </cell>
          <cell r="J3409">
            <v>113850.36</v>
          </cell>
        </row>
        <row r="3410">
          <cell r="A3410">
            <v>1813200710</v>
          </cell>
          <cell r="B3410" t="str">
            <v>הובלות והסעות</v>
          </cell>
          <cell r="C3410">
            <v>42800</v>
          </cell>
          <cell r="D3410">
            <v>41761</v>
          </cell>
          <cell r="E3410">
            <v>0</v>
          </cell>
          <cell r="F3410">
            <v>41761</v>
          </cell>
          <cell r="G3410">
            <v>1039</v>
          </cell>
          <cell r="H3410">
            <v>97.57</v>
          </cell>
          <cell r="I3410">
            <v>42800</v>
          </cell>
          <cell r="J3410">
            <v>41761</v>
          </cell>
        </row>
        <row r="3411">
          <cell r="A3411">
            <v>1813200721</v>
          </cell>
          <cell r="B3411" t="str">
            <v>חמרים-תחזוקת מבנים</v>
          </cell>
          <cell r="C3411">
            <v>76950</v>
          </cell>
          <cell r="D3411">
            <v>45963.97</v>
          </cell>
          <cell r="E3411">
            <v>1053</v>
          </cell>
          <cell r="F3411">
            <v>47016.97</v>
          </cell>
          <cell r="G3411">
            <v>29933.03</v>
          </cell>
          <cell r="H3411">
            <v>61.1</v>
          </cell>
          <cell r="I3411">
            <v>81000</v>
          </cell>
          <cell r="J3411">
            <v>45963.97</v>
          </cell>
        </row>
        <row r="3412">
          <cell r="A3412">
            <v>1813200722</v>
          </cell>
          <cell r="B3412" t="str">
            <v>חמרים-תחזוקה עצמית</v>
          </cell>
          <cell r="C3412">
            <v>0</v>
          </cell>
          <cell r="D3412">
            <v>0</v>
          </cell>
          <cell r="E3412">
            <v>0</v>
          </cell>
          <cell r="F3412">
            <v>0</v>
          </cell>
          <cell r="G3412">
            <v>0</v>
          </cell>
          <cell r="H3412">
            <v>0</v>
          </cell>
          <cell r="I3412">
            <v>0</v>
          </cell>
          <cell r="J3412">
            <v>0</v>
          </cell>
        </row>
        <row r="3413">
          <cell r="A3413">
            <v>1813200723</v>
          </cell>
          <cell r="B3413" t="str">
            <v>אספקת חול וכורכר</v>
          </cell>
          <cell r="C3413">
            <v>0</v>
          </cell>
          <cell r="D3413">
            <v>0</v>
          </cell>
          <cell r="E3413">
            <v>0</v>
          </cell>
          <cell r="F3413">
            <v>0</v>
          </cell>
          <cell r="G3413">
            <v>0</v>
          </cell>
          <cell r="H3413">
            <v>0</v>
          </cell>
          <cell r="I3413">
            <v>0</v>
          </cell>
          <cell r="J3413">
            <v>0</v>
          </cell>
        </row>
        <row r="3414">
          <cell r="A3414">
            <v>1813200725</v>
          </cell>
          <cell r="B3414" t="str">
            <v>קבוצות טיפוליות-מניעת נשירה</v>
          </cell>
          <cell r="C3414">
            <v>23750</v>
          </cell>
          <cell r="D3414">
            <v>46721</v>
          </cell>
          <cell r="E3414">
            <v>0</v>
          </cell>
          <cell r="F3414">
            <v>46721</v>
          </cell>
          <cell r="G3414">
            <v>-22971</v>
          </cell>
          <cell r="H3414">
            <v>196.72</v>
          </cell>
          <cell r="I3414">
            <v>25000</v>
          </cell>
          <cell r="J3414">
            <v>46721</v>
          </cell>
        </row>
        <row r="3415">
          <cell r="A3415">
            <v>1813200727</v>
          </cell>
          <cell r="B3415" t="str">
            <v>הוצאות אפיק (הכנ')</v>
          </cell>
          <cell r="C3415">
            <v>0</v>
          </cell>
          <cell r="D3415">
            <v>0</v>
          </cell>
          <cell r="E3415">
            <v>0</v>
          </cell>
          <cell r="F3415">
            <v>0</v>
          </cell>
          <cell r="G3415">
            <v>0</v>
          </cell>
          <cell r="H3415">
            <v>0</v>
          </cell>
          <cell r="I3415">
            <v>0</v>
          </cell>
          <cell r="J3415">
            <v>0</v>
          </cell>
        </row>
        <row r="3416">
          <cell r="A3416">
            <v>1813200728</v>
          </cell>
          <cell r="B3416" t="str">
            <v>מרכז טיפולי אפיק</v>
          </cell>
          <cell r="C3416">
            <v>0</v>
          </cell>
          <cell r="D3416">
            <v>0</v>
          </cell>
          <cell r="E3416">
            <v>0</v>
          </cell>
          <cell r="F3416">
            <v>0</v>
          </cell>
          <cell r="G3416">
            <v>0</v>
          </cell>
          <cell r="H3416">
            <v>0</v>
          </cell>
          <cell r="I3416">
            <v>0</v>
          </cell>
          <cell r="J3416">
            <v>0</v>
          </cell>
        </row>
        <row r="3417">
          <cell r="A3417">
            <v>1813200729</v>
          </cell>
          <cell r="B3417" t="str">
            <v>החלפת נורות</v>
          </cell>
          <cell r="C3417">
            <v>0</v>
          </cell>
          <cell r="D3417">
            <v>0</v>
          </cell>
          <cell r="E3417">
            <v>0</v>
          </cell>
          <cell r="F3417">
            <v>0</v>
          </cell>
          <cell r="G3417">
            <v>0</v>
          </cell>
          <cell r="H3417">
            <v>0</v>
          </cell>
          <cell r="I3417">
            <v>0</v>
          </cell>
          <cell r="J3417">
            <v>0</v>
          </cell>
        </row>
        <row r="3418">
          <cell r="A3418">
            <v>1813200741</v>
          </cell>
          <cell r="B3418" t="str">
            <v>ציוד ספורט</v>
          </cell>
          <cell r="C3418">
            <v>0</v>
          </cell>
          <cell r="D3418">
            <v>0</v>
          </cell>
          <cell r="E3418">
            <v>0</v>
          </cell>
          <cell r="F3418">
            <v>0</v>
          </cell>
          <cell r="G3418">
            <v>0</v>
          </cell>
          <cell r="H3418">
            <v>0</v>
          </cell>
          <cell r="I3418">
            <v>0</v>
          </cell>
          <cell r="J3418">
            <v>0</v>
          </cell>
        </row>
        <row r="3419">
          <cell r="A3419">
            <v>1813200742</v>
          </cell>
          <cell r="B3419" t="str">
            <v>עזרי לימוד</v>
          </cell>
          <cell r="C3419">
            <v>0</v>
          </cell>
          <cell r="D3419">
            <v>0</v>
          </cell>
          <cell r="E3419">
            <v>0</v>
          </cell>
          <cell r="F3419">
            <v>0</v>
          </cell>
          <cell r="G3419">
            <v>0</v>
          </cell>
          <cell r="H3419">
            <v>0</v>
          </cell>
          <cell r="I3419">
            <v>0</v>
          </cell>
          <cell r="J3419">
            <v>0</v>
          </cell>
        </row>
        <row r="3420">
          <cell r="A3420">
            <v>1813200743</v>
          </cell>
          <cell r="B3420" t="str">
            <v>ציוד למרכז לטבע</v>
          </cell>
          <cell r="C3420">
            <v>0</v>
          </cell>
          <cell r="D3420">
            <v>0</v>
          </cell>
          <cell r="E3420">
            <v>0</v>
          </cell>
          <cell r="F3420">
            <v>0</v>
          </cell>
          <cell r="G3420">
            <v>0</v>
          </cell>
          <cell r="H3420">
            <v>0</v>
          </cell>
          <cell r="I3420">
            <v>0</v>
          </cell>
          <cell r="J3420">
            <v>0</v>
          </cell>
        </row>
        <row r="3421">
          <cell r="A3421">
            <v>1813200744</v>
          </cell>
          <cell r="B3421" t="str">
            <v>חקלאות</v>
          </cell>
          <cell r="C3421">
            <v>0</v>
          </cell>
          <cell r="D3421">
            <v>0</v>
          </cell>
          <cell r="E3421">
            <v>0</v>
          </cell>
          <cell r="F3421">
            <v>0</v>
          </cell>
          <cell r="G3421">
            <v>0</v>
          </cell>
          <cell r="H3421">
            <v>0</v>
          </cell>
          <cell r="I3421">
            <v>0</v>
          </cell>
          <cell r="J3421">
            <v>0</v>
          </cell>
        </row>
        <row r="3422">
          <cell r="A3422">
            <v>1813200745</v>
          </cell>
          <cell r="B3422" t="str">
            <v>דמי פריצה - תכולה</v>
          </cell>
          <cell r="C3422">
            <v>0</v>
          </cell>
          <cell r="D3422">
            <v>0</v>
          </cell>
          <cell r="E3422">
            <v>0</v>
          </cell>
          <cell r="F3422">
            <v>0</v>
          </cell>
          <cell r="G3422">
            <v>0</v>
          </cell>
          <cell r="H3422">
            <v>0</v>
          </cell>
          <cell r="I3422">
            <v>0</v>
          </cell>
          <cell r="J3422">
            <v>0</v>
          </cell>
        </row>
        <row r="3423">
          <cell r="A3423">
            <v>1813200746</v>
          </cell>
          <cell r="B3423" t="str">
            <v>דמי פריצה - מבנה</v>
          </cell>
          <cell r="C3423">
            <v>0</v>
          </cell>
          <cell r="D3423">
            <v>0</v>
          </cell>
          <cell r="E3423">
            <v>0</v>
          </cell>
          <cell r="F3423">
            <v>0</v>
          </cell>
          <cell r="G3423">
            <v>0</v>
          </cell>
          <cell r="H3423">
            <v>0</v>
          </cell>
          <cell r="I3423">
            <v>0</v>
          </cell>
          <cell r="J3423">
            <v>0</v>
          </cell>
        </row>
        <row r="3424">
          <cell r="A3424">
            <v>1813200747</v>
          </cell>
          <cell r="B3424" t="str">
            <v>ציוד בטיחות</v>
          </cell>
          <cell r="C3424">
            <v>0</v>
          </cell>
          <cell r="D3424">
            <v>0</v>
          </cell>
          <cell r="E3424">
            <v>0</v>
          </cell>
          <cell r="F3424">
            <v>0</v>
          </cell>
          <cell r="G3424">
            <v>0</v>
          </cell>
          <cell r="H3424">
            <v>0</v>
          </cell>
          <cell r="I3424">
            <v>0</v>
          </cell>
          <cell r="J3424">
            <v>0</v>
          </cell>
        </row>
        <row r="3425">
          <cell r="A3425">
            <v>1813200750</v>
          </cell>
          <cell r="B3425" t="str">
            <v>אחזקת מוסדות</v>
          </cell>
          <cell r="C3425">
            <v>8232500</v>
          </cell>
          <cell r="D3425">
            <v>8207421</v>
          </cell>
          <cell r="E3425">
            <v>24262</v>
          </cell>
          <cell r="F3425">
            <v>8231683</v>
          </cell>
          <cell r="G3425">
            <v>817</v>
          </cell>
          <cell r="H3425">
            <v>99.99</v>
          </cell>
          <cell r="I3425">
            <v>8232500</v>
          </cell>
          <cell r="J3425">
            <v>8207421</v>
          </cell>
        </row>
        <row r="3426">
          <cell r="A3426">
            <v>1813200751</v>
          </cell>
          <cell r="B3426" t="str">
            <v>עבודות קבלניות</v>
          </cell>
          <cell r="C3426">
            <v>0</v>
          </cell>
          <cell r="D3426">
            <v>0</v>
          </cell>
          <cell r="E3426">
            <v>0</v>
          </cell>
          <cell r="F3426">
            <v>0</v>
          </cell>
          <cell r="G3426">
            <v>0</v>
          </cell>
          <cell r="H3426">
            <v>0</v>
          </cell>
          <cell r="I3426">
            <v>0</v>
          </cell>
          <cell r="J3426">
            <v>0</v>
          </cell>
        </row>
        <row r="3427">
          <cell r="A3427">
            <v>1813200752</v>
          </cell>
          <cell r="B3427" t="str">
            <v>נקיון בקבלנות</v>
          </cell>
          <cell r="C3427">
            <v>10358400</v>
          </cell>
          <cell r="D3427">
            <v>10354275.68</v>
          </cell>
          <cell r="E3427">
            <v>4123.84</v>
          </cell>
          <cell r="F3427">
            <v>10358399.52</v>
          </cell>
          <cell r="G3427">
            <v>0.48</v>
          </cell>
          <cell r="H3427">
            <v>99.99</v>
          </cell>
          <cell r="I3427">
            <v>10358400</v>
          </cell>
          <cell r="J3427">
            <v>10354275.68</v>
          </cell>
        </row>
        <row r="3428">
          <cell r="A3428">
            <v>1813200753</v>
          </cell>
          <cell r="B3428" t="str">
            <v>מועדוניות שכונתיות</v>
          </cell>
          <cell r="C3428">
            <v>1122800</v>
          </cell>
          <cell r="D3428">
            <v>1319747.79</v>
          </cell>
          <cell r="E3428">
            <v>0</v>
          </cell>
          <cell r="F3428">
            <v>1319747.79</v>
          </cell>
          <cell r="G3428">
            <v>-196947.79</v>
          </cell>
          <cell r="H3428">
            <v>117.54</v>
          </cell>
          <cell r="I3428">
            <v>1122800</v>
          </cell>
          <cell r="J3428">
            <v>1319747.79</v>
          </cell>
        </row>
        <row r="3429">
          <cell r="A3429">
            <v>1813200755</v>
          </cell>
          <cell r="B3429" t="str">
            <v>מ"מ מזכירה ושרתים</v>
          </cell>
          <cell r="C3429">
            <v>85500</v>
          </cell>
          <cell r="D3429">
            <v>68499.22</v>
          </cell>
          <cell r="E3429">
            <v>0</v>
          </cell>
          <cell r="F3429">
            <v>68499.22</v>
          </cell>
          <cell r="G3429">
            <v>17000.78</v>
          </cell>
          <cell r="H3429">
            <v>80.11</v>
          </cell>
          <cell r="I3429">
            <v>90000</v>
          </cell>
          <cell r="J3429">
            <v>68499.22</v>
          </cell>
        </row>
        <row r="3430">
          <cell r="A3430">
            <v>1813200757</v>
          </cell>
          <cell r="B3430" t="str">
            <v>שרתים ו'-ח' כלכלית</v>
          </cell>
          <cell r="C3430">
            <v>0</v>
          </cell>
          <cell r="D3430">
            <v>0</v>
          </cell>
          <cell r="E3430">
            <v>0</v>
          </cell>
          <cell r="F3430">
            <v>0</v>
          </cell>
          <cell r="G3430">
            <v>0</v>
          </cell>
          <cell r="H3430">
            <v>0</v>
          </cell>
          <cell r="I3430">
            <v>0</v>
          </cell>
          <cell r="J3430">
            <v>0</v>
          </cell>
        </row>
        <row r="3431">
          <cell r="A3431">
            <v>1813200759</v>
          </cell>
          <cell r="B3431" t="str">
            <v>שרותי סייעות</v>
          </cell>
          <cell r="C3431">
            <v>46642900</v>
          </cell>
          <cell r="D3431">
            <v>56826727.200000003</v>
          </cell>
          <cell r="E3431">
            <v>0</v>
          </cell>
          <cell r="F3431">
            <v>56826727.200000003</v>
          </cell>
          <cell r="G3431">
            <v>-10183827.199999999</v>
          </cell>
          <cell r="H3431">
            <v>121.83</v>
          </cell>
          <cell r="I3431">
            <v>46642900</v>
          </cell>
          <cell r="J3431">
            <v>56826727.200000003</v>
          </cell>
        </row>
        <row r="3432">
          <cell r="A3432">
            <v>1813200763</v>
          </cell>
          <cell r="B3432" t="str">
            <v>עובדי חב' מוסדות</v>
          </cell>
          <cell r="C3432">
            <v>0</v>
          </cell>
          <cell r="D3432">
            <v>0</v>
          </cell>
          <cell r="E3432">
            <v>0</v>
          </cell>
          <cell r="F3432">
            <v>0</v>
          </cell>
          <cell r="G3432">
            <v>0</v>
          </cell>
          <cell r="H3432">
            <v>0</v>
          </cell>
          <cell r="I3432">
            <v>0</v>
          </cell>
          <cell r="J3432">
            <v>0</v>
          </cell>
        </row>
        <row r="3433">
          <cell r="A3433">
            <v>1813200764</v>
          </cell>
          <cell r="B3433" t="str">
            <v>סייעות-מוסדות+חברה</v>
          </cell>
          <cell r="C3433">
            <v>0</v>
          </cell>
          <cell r="D3433">
            <v>0</v>
          </cell>
          <cell r="E3433">
            <v>0</v>
          </cell>
          <cell r="F3433">
            <v>0</v>
          </cell>
          <cell r="G3433">
            <v>0</v>
          </cell>
          <cell r="H3433">
            <v>0</v>
          </cell>
          <cell r="I3433">
            <v>0</v>
          </cell>
          <cell r="J3433">
            <v>0</v>
          </cell>
        </row>
        <row r="3434">
          <cell r="A3434">
            <v>1813200780</v>
          </cell>
          <cell r="B3434" t="str">
            <v>השת' בניצן ובסרטן</v>
          </cell>
          <cell r="C3434">
            <v>0</v>
          </cell>
          <cell r="D3434">
            <v>0</v>
          </cell>
          <cell r="E3434">
            <v>0</v>
          </cell>
          <cell r="F3434">
            <v>0</v>
          </cell>
          <cell r="G3434">
            <v>0</v>
          </cell>
          <cell r="H3434">
            <v>0</v>
          </cell>
          <cell r="I3434">
            <v>0</v>
          </cell>
          <cell r="J3434">
            <v>0</v>
          </cell>
        </row>
        <row r="3435">
          <cell r="A3435">
            <v>1813200781</v>
          </cell>
          <cell r="B3435" t="str">
            <v>הזנה</v>
          </cell>
          <cell r="C3435">
            <v>0</v>
          </cell>
          <cell r="D3435">
            <v>0</v>
          </cell>
          <cell r="E3435">
            <v>0</v>
          </cell>
          <cell r="F3435">
            <v>0</v>
          </cell>
          <cell r="G3435">
            <v>0</v>
          </cell>
          <cell r="H3435">
            <v>0</v>
          </cell>
          <cell r="I3435">
            <v>0</v>
          </cell>
          <cell r="J3435">
            <v>0</v>
          </cell>
        </row>
        <row r="3436">
          <cell r="A3436">
            <v>1813200783</v>
          </cell>
          <cell r="B3436" t="str">
            <v>תגבור יהדות</v>
          </cell>
          <cell r="C3436">
            <v>0</v>
          </cell>
          <cell r="D3436">
            <v>0</v>
          </cell>
          <cell r="E3436">
            <v>0</v>
          </cell>
          <cell r="F3436">
            <v>0</v>
          </cell>
          <cell r="G3436">
            <v>0</v>
          </cell>
          <cell r="H3436">
            <v>0</v>
          </cell>
          <cell r="I3436">
            <v>0</v>
          </cell>
          <cell r="J3436">
            <v>0</v>
          </cell>
        </row>
        <row r="3437">
          <cell r="A3437">
            <v>1813200784</v>
          </cell>
          <cell r="B3437" t="str">
            <v>רכז קהילה - יחד</v>
          </cell>
          <cell r="C3437">
            <v>56905</v>
          </cell>
          <cell r="D3437">
            <v>0</v>
          </cell>
          <cell r="E3437">
            <v>0</v>
          </cell>
          <cell r="F3437">
            <v>0</v>
          </cell>
          <cell r="G3437">
            <v>56905</v>
          </cell>
          <cell r="H3437">
            <v>0</v>
          </cell>
          <cell r="I3437">
            <v>59900</v>
          </cell>
          <cell r="J3437">
            <v>0</v>
          </cell>
        </row>
        <row r="3438">
          <cell r="A3438">
            <v>1813200788</v>
          </cell>
          <cell r="B3438" t="str">
            <v>פרויקט פר"ח</v>
          </cell>
          <cell r="C3438">
            <v>129295</v>
          </cell>
          <cell r="D3438">
            <v>136012</v>
          </cell>
          <cell r="E3438">
            <v>0</v>
          </cell>
          <cell r="F3438">
            <v>136012</v>
          </cell>
          <cell r="G3438">
            <v>-6717</v>
          </cell>
          <cell r="H3438">
            <v>105.19</v>
          </cell>
          <cell r="I3438">
            <v>136100</v>
          </cell>
          <cell r="J3438">
            <v>136012</v>
          </cell>
        </row>
        <row r="3439">
          <cell r="A3439">
            <v>1813200789</v>
          </cell>
          <cell r="B3439" t="str">
            <v>תרומה-קרן אריסון</v>
          </cell>
          <cell r="C3439">
            <v>0</v>
          </cell>
          <cell r="D3439">
            <v>0</v>
          </cell>
          <cell r="E3439">
            <v>0</v>
          </cell>
          <cell r="F3439">
            <v>0</v>
          </cell>
          <cell r="G3439">
            <v>0</v>
          </cell>
          <cell r="H3439">
            <v>0</v>
          </cell>
          <cell r="I3439">
            <v>0</v>
          </cell>
          <cell r="J3439">
            <v>0</v>
          </cell>
        </row>
        <row r="3440">
          <cell r="A3440">
            <v>1813200794</v>
          </cell>
          <cell r="B3440" t="str">
            <v>השתתפות בעזר 094</v>
          </cell>
          <cell r="C3440">
            <v>463030</v>
          </cell>
          <cell r="D3440">
            <v>581317.39</v>
          </cell>
          <cell r="E3440">
            <v>0</v>
          </cell>
          <cell r="F3440">
            <v>581317.39</v>
          </cell>
          <cell r="G3440">
            <v>-118287.39</v>
          </cell>
          <cell r="H3440">
            <v>125.54</v>
          </cell>
          <cell r="I3440">
            <v>487400</v>
          </cell>
          <cell r="J3440">
            <v>581317.39</v>
          </cell>
        </row>
        <row r="3441">
          <cell r="A3441">
            <v>1813200810</v>
          </cell>
          <cell r="B3441" t="str">
            <v>הקצבות מינהל עצמי</v>
          </cell>
          <cell r="C3441">
            <v>635930</v>
          </cell>
          <cell r="D3441">
            <v>0</v>
          </cell>
          <cell r="E3441">
            <v>0</v>
          </cell>
          <cell r="F3441">
            <v>0</v>
          </cell>
          <cell r="G3441">
            <v>635930</v>
          </cell>
          <cell r="H3441">
            <v>0</v>
          </cell>
          <cell r="I3441">
            <v>669400</v>
          </cell>
          <cell r="J3441">
            <v>0</v>
          </cell>
        </row>
        <row r="3442">
          <cell r="A3442">
            <v>1813200811</v>
          </cell>
          <cell r="B3442" t="str">
            <v>העשרה למחוננים ( מש' החינוך )</v>
          </cell>
          <cell r="C3442">
            <v>114000</v>
          </cell>
          <cell r="D3442">
            <v>159612</v>
          </cell>
          <cell r="E3442">
            <v>0</v>
          </cell>
          <cell r="F3442">
            <v>159612</v>
          </cell>
          <cell r="G3442">
            <v>-45612</v>
          </cell>
          <cell r="H3442">
            <v>140.01</v>
          </cell>
          <cell r="I3442">
            <v>120000</v>
          </cell>
          <cell r="J3442">
            <v>159612</v>
          </cell>
        </row>
        <row r="3443">
          <cell r="A3443">
            <v>1813200812</v>
          </cell>
          <cell r="B3443" t="str">
            <v>מסיבות כיתתיות</v>
          </cell>
          <cell r="C3443">
            <v>285000</v>
          </cell>
          <cell r="D3443">
            <v>310002</v>
          </cell>
          <cell r="E3443">
            <v>0</v>
          </cell>
          <cell r="F3443">
            <v>310002</v>
          </cell>
          <cell r="G3443">
            <v>-25002</v>
          </cell>
          <cell r="H3443">
            <v>108.77</v>
          </cell>
          <cell r="I3443">
            <v>300000</v>
          </cell>
          <cell r="J3443">
            <v>310002</v>
          </cell>
        </row>
        <row r="3444">
          <cell r="A3444">
            <v>1813200816</v>
          </cell>
          <cell r="B3444" t="str">
            <v>יסודי-הכלה והשתלבות</v>
          </cell>
          <cell r="C3444">
            <v>0</v>
          </cell>
          <cell r="D3444">
            <v>0</v>
          </cell>
          <cell r="E3444">
            <v>0</v>
          </cell>
          <cell r="F3444">
            <v>0</v>
          </cell>
          <cell r="G3444">
            <v>0</v>
          </cell>
          <cell r="H3444">
            <v>0</v>
          </cell>
          <cell r="I3444">
            <v>0</v>
          </cell>
          <cell r="J3444">
            <v>0</v>
          </cell>
        </row>
        <row r="3445">
          <cell r="A3445">
            <v>1813200838</v>
          </cell>
          <cell r="B3445" t="str">
            <v>העברה כנגד הכנסות מש' החינוך</v>
          </cell>
          <cell r="C3445">
            <v>0</v>
          </cell>
          <cell r="D3445">
            <v>0</v>
          </cell>
          <cell r="E3445">
            <v>0</v>
          </cell>
          <cell r="F3445">
            <v>0</v>
          </cell>
          <cell r="G3445">
            <v>0</v>
          </cell>
          <cell r="H3445">
            <v>0</v>
          </cell>
          <cell r="I3445">
            <v>0</v>
          </cell>
          <cell r="J3445">
            <v>0</v>
          </cell>
        </row>
        <row r="3446">
          <cell r="A3446">
            <v>1813200870</v>
          </cell>
          <cell r="B3446" t="str">
            <v>בני מנחם חב"ד</v>
          </cell>
          <cell r="C3446">
            <v>0</v>
          </cell>
          <cell r="D3446">
            <v>0</v>
          </cell>
          <cell r="E3446">
            <v>0</v>
          </cell>
          <cell r="F3446">
            <v>0</v>
          </cell>
          <cell r="G3446">
            <v>0</v>
          </cell>
          <cell r="H3446">
            <v>0</v>
          </cell>
          <cell r="I3446">
            <v>0</v>
          </cell>
          <cell r="J3446">
            <v>0</v>
          </cell>
        </row>
        <row r="3447">
          <cell r="A3447">
            <v>1813200871</v>
          </cell>
          <cell r="B3447" t="str">
            <v>בנות מנחם חב"ד</v>
          </cell>
          <cell r="C3447">
            <v>0</v>
          </cell>
          <cell r="D3447">
            <v>0</v>
          </cell>
          <cell r="E3447">
            <v>0</v>
          </cell>
          <cell r="F3447">
            <v>0</v>
          </cell>
          <cell r="G3447">
            <v>0</v>
          </cell>
          <cell r="H3447">
            <v>0</v>
          </cell>
          <cell r="I3447">
            <v>0</v>
          </cell>
          <cell r="J3447">
            <v>0</v>
          </cell>
        </row>
        <row r="3448">
          <cell r="A3448">
            <v>1813200872</v>
          </cell>
          <cell r="B3448" t="str">
            <v>מפי עוללים</v>
          </cell>
          <cell r="C3448">
            <v>171000</v>
          </cell>
          <cell r="D3448">
            <v>147173.5</v>
          </cell>
          <cell r="E3448">
            <v>0</v>
          </cell>
          <cell r="F3448">
            <v>147173.5</v>
          </cell>
          <cell r="G3448">
            <v>23826.5</v>
          </cell>
          <cell r="H3448">
            <v>86.06</v>
          </cell>
          <cell r="I3448">
            <v>180000</v>
          </cell>
          <cell r="J3448">
            <v>147173.5</v>
          </cell>
        </row>
        <row r="3449">
          <cell r="A3449">
            <v>1813200873</v>
          </cell>
          <cell r="B3449" t="str">
            <v>בית יוסף</v>
          </cell>
          <cell r="C3449">
            <v>350550</v>
          </cell>
          <cell r="D3449">
            <v>324061.76</v>
          </cell>
          <cell r="E3449">
            <v>0</v>
          </cell>
          <cell r="F3449">
            <v>324061.76</v>
          </cell>
          <cell r="G3449">
            <v>26488.240000000002</v>
          </cell>
          <cell r="H3449">
            <v>92.44</v>
          </cell>
          <cell r="I3449">
            <v>369000</v>
          </cell>
          <cell r="J3449">
            <v>324061.76</v>
          </cell>
        </row>
        <row r="3450">
          <cell r="A3450">
            <v>1813200874</v>
          </cell>
          <cell r="B3450" t="str">
            <v>בית דוד תיכון ט'</v>
          </cell>
          <cell r="C3450">
            <v>35150</v>
          </cell>
          <cell r="D3450">
            <v>17908.34</v>
          </cell>
          <cell r="E3450">
            <v>0</v>
          </cell>
          <cell r="F3450">
            <v>17908.34</v>
          </cell>
          <cell r="G3450">
            <v>17241.66</v>
          </cell>
          <cell r="H3450">
            <v>50.94</v>
          </cell>
          <cell r="I3450">
            <v>37000</v>
          </cell>
          <cell r="J3450">
            <v>17908.34</v>
          </cell>
        </row>
        <row r="3451">
          <cell r="A3451">
            <v>1813200875</v>
          </cell>
          <cell r="B3451" t="str">
            <v>בית דוד בנות</v>
          </cell>
          <cell r="C3451">
            <v>456000</v>
          </cell>
          <cell r="D3451">
            <v>467693.08</v>
          </cell>
          <cell r="E3451">
            <v>0</v>
          </cell>
          <cell r="F3451">
            <v>467693.08</v>
          </cell>
          <cell r="G3451">
            <v>-11693.08</v>
          </cell>
          <cell r="H3451">
            <v>102.56</v>
          </cell>
          <cell r="I3451">
            <v>480000</v>
          </cell>
          <cell r="J3451">
            <v>467693.08</v>
          </cell>
        </row>
        <row r="3452">
          <cell r="A3452">
            <v>1813200876</v>
          </cell>
          <cell r="B3452" t="str">
            <v>בית דוד בנים</v>
          </cell>
          <cell r="C3452">
            <v>109250</v>
          </cell>
          <cell r="D3452">
            <v>103769.67</v>
          </cell>
          <cell r="E3452">
            <v>0</v>
          </cell>
          <cell r="F3452">
            <v>103769.67</v>
          </cell>
          <cell r="G3452">
            <v>5480.33</v>
          </cell>
          <cell r="H3452">
            <v>94.98</v>
          </cell>
          <cell r="I3452">
            <v>115000</v>
          </cell>
          <cell r="J3452">
            <v>103769.67</v>
          </cell>
        </row>
        <row r="3453">
          <cell r="A3453">
            <v>1813200877</v>
          </cell>
          <cell r="B3453" t="str">
            <v>בנות ציון</v>
          </cell>
          <cell r="C3453">
            <v>100000</v>
          </cell>
          <cell r="D3453">
            <v>97690.83</v>
          </cell>
          <cell r="E3453">
            <v>0</v>
          </cell>
          <cell r="F3453">
            <v>97690.83</v>
          </cell>
          <cell r="G3453">
            <v>2309.17</v>
          </cell>
          <cell r="H3453">
            <v>97.69</v>
          </cell>
          <cell r="I3453">
            <v>100000</v>
          </cell>
          <cell r="J3453">
            <v>97690.83</v>
          </cell>
        </row>
        <row r="3454">
          <cell r="A3454">
            <v>1813200878</v>
          </cell>
          <cell r="B3454" t="str">
            <v>תלמוד תורה רבי</v>
          </cell>
          <cell r="C3454">
            <v>85500</v>
          </cell>
          <cell r="D3454">
            <v>68365.33</v>
          </cell>
          <cell r="E3454">
            <v>0</v>
          </cell>
          <cell r="F3454">
            <v>68365.33</v>
          </cell>
          <cell r="G3454">
            <v>17134.669999999998</v>
          </cell>
          <cell r="H3454">
            <v>79.95</v>
          </cell>
          <cell r="I3454">
            <v>90000</v>
          </cell>
          <cell r="J3454">
            <v>68365.33</v>
          </cell>
        </row>
        <row r="3455">
          <cell r="A3455">
            <v>1813200923</v>
          </cell>
          <cell r="B3455" t="str">
            <v>לימודי יהדות</v>
          </cell>
          <cell r="C3455">
            <v>0</v>
          </cell>
          <cell r="D3455">
            <v>0</v>
          </cell>
          <cell r="E3455">
            <v>0</v>
          </cell>
          <cell r="F3455">
            <v>0</v>
          </cell>
          <cell r="G3455">
            <v>0</v>
          </cell>
          <cell r="H3455">
            <v>0</v>
          </cell>
          <cell r="I3455">
            <v>0</v>
          </cell>
          <cell r="J3455">
            <v>0</v>
          </cell>
        </row>
        <row r="3456">
          <cell r="A3456">
            <v>1813200931</v>
          </cell>
          <cell r="B3456" t="str">
            <v>שלטים לבי"ס</v>
          </cell>
          <cell r="C3456">
            <v>8100</v>
          </cell>
          <cell r="D3456">
            <v>1873.2</v>
          </cell>
          <cell r="E3456">
            <v>0</v>
          </cell>
          <cell r="F3456">
            <v>1873.2</v>
          </cell>
          <cell r="G3456">
            <v>6226.8</v>
          </cell>
          <cell r="H3456">
            <v>23.12</v>
          </cell>
          <cell r="I3456">
            <v>8100</v>
          </cell>
          <cell r="J3456">
            <v>1873.2</v>
          </cell>
        </row>
        <row r="3457">
          <cell r="A3457">
            <v>1813200932</v>
          </cell>
          <cell r="B3457" t="str">
            <v>תוס' דיפרנציאלית נ' עצמי מהכנ'</v>
          </cell>
          <cell r="C3457">
            <v>733020</v>
          </cell>
          <cell r="D3457">
            <v>724201</v>
          </cell>
          <cell r="E3457">
            <v>0</v>
          </cell>
          <cell r="F3457">
            <v>724201</v>
          </cell>
          <cell r="G3457">
            <v>8819</v>
          </cell>
          <cell r="H3457">
            <v>98.79</v>
          </cell>
          <cell r="I3457">
            <v>771600</v>
          </cell>
          <cell r="J3457">
            <v>724201</v>
          </cell>
        </row>
        <row r="3458">
          <cell r="A3458">
            <v>1813200933</v>
          </cell>
          <cell r="B3458" t="str">
            <v>פרויקטים בהשת.מ.חנ</v>
          </cell>
          <cell r="C3458">
            <v>237500</v>
          </cell>
          <cell r="D3458">
            <v>7576</v>
          </cell>
          <cell r="E3458">
            <v>0</v>
          </cell>
          <cell r="F3458">
            <v>7576</v>
          </cell>
          <cell r="G3458">
            <v>229924</v>
          </cell>
          <cell r="H3458">
            <v>3.18</v>
          </cell>
          <cell r="I3458">
            <v>250000</v>
          </cell>
          <cell r="J3458">
            <v>7576</v>
          </cell>
        </row>
        <row r="3459">
          <cell r="A3459">
            <v>1813200934</v>
          </cell>
          <cell r="B3459" t="str">
            <v>עוזרי חינוך - קורונה</v>
          </cell>
          <cell r="C3459">
            <v>0</v>
          </cell>
          <cell r="D3459">
            <v>0</v>
          </cell>
          <cell r="E3459">
            <v>0</v>
          </cell>
          <cell r="F3459">
            <v>0</v>
          </cell>
          <cell r="G3459">
            <v>0</v>
          </cell>
          <cell r="H3459">
            <v>0</v>
          </cell>
          <cell r="I3459">
            <v>0</v>
          </cell>
          <cell r="J3459">
            <v>0</v>
          </cell>
        </row>
        <row r="3460">
          <cell r="A3460">
            <v>1813200935</v>
          </cell>
          <cell r="B3460" t="str">
            <v>שגרירי הל"ב מפתח הל"ב</v>
          </cell>
          <cell r="C3460">
            <v>25650</v>
          </cell>
          <cell r="D3460">
            <v>0</v>
          </cell>
          <cell r="E3460">
            <v>0</v>
          </cell>
          <cell r="F3460">
            <v>0</v>
          </cell>
          <cell r="G3460">
            <v>25650</v>
          </cell>
          <cell r="H3460">
            <v>0</v>
          </cell>
          <cell r="I3460">
            <v>27000</v>
          </cell>
          <cell r="J3460">
            <v>0</v>
          </cell>
        </row>
        <row r="3461">
          <cell r="A3461">
            <v>1813200936</v>
          </cell>
          <cell r="B3461" t="str">
            <v>רכישות דרך מחסן</v>
          </cell>
          <cell r="C3461">
            <v>0</v>
          </cell>
          <cell r="D3461">
            <v>0</v>
          </cell>
          <cell r="E3461">
            <v>0</v>
          </cell>
          <cell r="F3461">
            <v>0</v>
          </cell>
          <cell r="G3461">
            <v>0</v>
          </cell>
          <cell r="H3461">
            <v>0</v>
          </cell>
          <cell r="I3461">
            <v>0</v>
          </cell>
          <cell r="J3461">
            <v>0</v>
          </cell>
        </row>
        <row r="3462">
          <cell r="A3462">
            <v>1813200937</v>
          </cell>
          <cell r="B3462" t="str">
            <v>סיוע לניהול עצמי</v>
          </cell>
          <cell r="C3462">
            <v>0</v>
          </cell>
          <cell r="D3462">
            <v>0</v>
          </cell>
          <cell r="E3462">
            <v>0</v>
          </cell>
          <cell r="F3462">
            <v>0</v>
          </cell>
          <cell r="G3462">
            <v>0</v>
          </cell>
          <cell r="H3462">
            <v>0</v>
          </cell>
          <cell r="I3462">
            <v>0</v>
          </cell>
          <cell r="J3462">
            <v>0</v>
          </cell>
        </row>
        <row r="3463">
          <cell r="A3463">
            <v>1813200951</v>
          </cell>
          <cell r="B3463" t="str">
            <v>ציוד ומכשירי חנ"ג(כנגד הכנסות)</v>
          </cell>
          <cell r="C3463">
            <v>0</v>
          </cell>
          <cell r="D3463">
            <v>0</v>
          </cell>
          <cell r="E3463">
            <v>0</v>
          </cell>
          <cell r="F3463">
            <v>0</v>
          </cell>
          <cell r="G3463">
            <v>0</v>
          </cell>
          <cell r="H3463">
            <v>0</v>
          </cell>
          <cell r="I3463">
            <v>0</v>
          </cell>
          <cell r="J3463">
            <v>0</v>
          </cell>
        </row>
        <row r="3464">
          <cell r="A3464">
            <v>1813200953</v>
          </cell>
          <cell r="B3464" t="str">
            <v>מערכת גפ"ן</v>
          </cell>
          <cell r="C3464">
            <v>3990000</v>
          </cell>
          <cell r="D3464">
            <v>4346626.3099999996</v>
          </cell>
          <cell r="E3464">
            <v>0</v>
          </cell>
          <cell r="F3464">
            <v>4346626.3099999996</v>
          </cell>
          <cell r="G3464">
            <v>-356626.31</v>
          </cell>
          <cell r="H3464">
            <v>108.93</v>
          </cell>
          <cell r="I3464">
            <v>4200000</v>
          </cell>
          <cell r="J3464">
            <v>4346626.3099999996</v>
          </cell>
        </row>
        <row r="3465">
          <cell r="A3465">
            <v>1813200954</v>
          </cell>
          <cell r="B3465" t="str">
            <v>גפ"ן בית ספרי יסודי</v>
          </cell>
          <cell r="C3465">
            <v>19000000</v>
          </cell>
          <cell r="D3465">
            <v>16465579.869999999</v>
          </cell>
          <cell r="E3465">
            <v>0</v>
          </cell>
          <cell r="F3465">
            <v>16465579.869999999</v>
          </cell>
          <cell r="G3465">
            <v>2534420.13</v>
          </cell>
          <cell r="H3465">
            <v>86.66</v>
          </cell>
          <cell r="I3465">
            <v>20000000</v>
          </cell>
          <cell r="J3465">
            <v>16465579.869999999</v>
          </cell>
        </row>
        <row r="3466">
          <cell r="A3466">
            <v>1813200960</v>
          </cell>
          <cell r="B3466" t="str">
            <v>השלמה לתקן ניהול עצמי</v>
          </cell>
          <cell r="C3466">
            <v>0</v>
          </cell>
          <cell r="D3466">
            <v>0</v>
          </cell>
          <cell r="E3466">
            <v>0</v>
          </cell>
          <cell r="F3466">
            <v>0</v>
          </cell>
          <cell r="G3466">
            <v>0</v>
          </cell>
          <cell r="H3466">
            <v>0</v>
          </cell>
          <cell r="I3466">
            <v>0</v>
          </cell>
          <cell r="J3466">
            <v>0</v>
          </cell>
        </row>
        <row r="3467">
          <cell r="A3467">
            <v>1813200961</v>
          </cell>
          <cell r="B3467" t="str">
            <v>רז' פעולות ורכישות</v>
          </cell>
          <cell r="C3467">
            <v>48735</v>
          </cell>
          <cell r="D3467">
            <v>46949.1</v>
          </cell>
          <cell r="E3467">
            <v>0</v>
          </cell>
          <cell r="F3467">
            <v>46949.1</v>
          </cell>
          <cell r="G3467">
            <v>1785.9</v>
          </cell>
          <cell r="H3467">
            <v>96.33</v>
          </cell>
          <cell r="I3467">
            <v>51300</v>
          </cell>
          <cell r="J3467">
            <v>46949.1</v>
          </cell>
        </row>
        <row r="3468">
          <cell r="A3468">
            <v>1813201210</v>
          </cell>
          <cell r="B3468" t="str">
            <v>השכר הקובע</v>
          </cell>
          <cell r="C3468">
            <v>0</v>
          </cell>
          <cell r="D3468">
            <v>0</v>
          </cell>
          <cell r="E3468">
            <v>0</v>
          </cell>
          <cell r="F3468">
            <v>0</v>
          </cell>
          <cell r="G3468">
            <v>0</v>
          </cell>
          <cell r="H3468">
            <v>0</v>
          </cell>
          <cell r="I3468">
            <v>0</v>
          </cell>
          <cell r="J3468">
            <v>0</v>
          </cell>
        </row>
        <row r="3469">
          <cell r="A3469">
            <v>1813201263</v>
          </cell>
          <cell r="B3469" t="str">
            <v>שרתים ומזכירות-כ"א</v>
          </cell>
          <cell r="C3469">
            <v>0</v>
          </cell>
          <cell r="D3469">
            <v>0</v>
          </cell>
          <cell r="E3469">
            <v>0</v>
          </cell>
          <cell r="F3469">
            <v>0</v>
          </cell>
          <cell r="G3469">
            <v>0</v>
          </cell>
          <cell r="H3469">
            <v>0</v>
          </cell>
          <cell r="I3469">
            <v>0</v>
          </cell>
          <cell r="J3469">
            <v>0</v>
          </cell>
        </row>
        <row r="3470">
          <cell r="A3470">
            <v>1813201264</v>
          </cell>
          <cell r="B3470" t="str">
            <v>סייעות - כ"א</v>
          </cell>
          <cell r="C3470">
            <v>0</v>
          </cell>
          <cell r="D3470">
            <v>0</v>
          </cell>
          <cell r="E3470">
            <v>0</v>
          </cell>
          <cell r="F3470">
            <v>0</v>
          </cell>
          <cell r="G3470">
            <v>0</v>
          </cell>
          <cell r="H3470">
            <v>0</v>
          </cell>
          <cell r="I3470">
            <v>0</v>
          </cell>
          <cell r="J3470">
            <v>0</v>
          </cell>
        </row>
        <row r="3471">
          <cell r="A3471">
            <v>1813201431</v>
          </cell>
          <cell r="B3471" t="str">
            <v>חשמל</v>
          </cell>
          <cell r="C3471">
            <v>0</v>
          </cell>
          <cell r="D3471">
            <v>0</v>
          </cell>
          <cell r="E3471">
            <v>0</v>
          </cell>
          <cell r="F3471">
            <v>0</v>
          </cell>
          <cell r="G3471">
            <v>0</v>
          </cell>
          <cell r="H3471">
            <v>0</v>
          </cell>
          <cell r="I3471">
            <v>0</v>
          </cell>
          <cell r="J3471">
            <v>0</v>
          </cell>
        </row>
        <row r="3472">
          <cell r="A3472">
            <v>1813201432</v>
          </cell>
          <cell r="B3472" t="str">
            <v>מים</v>
          </cell>
          <cell r="C3472">
            <v>0</v>
          </cell>
          <cell r="D3472">
            <v>0</v>
          </cell>
          <cell r="E3472">
            <v>0</v>
          </cell>
          <cell r="F3472">
            <v>0</v>
          </cell>
          <cell r="G3472">
            <v>0</v>
          </cell>
          <cell r="H3472">
            <v>0</v>
          </cell>
          <cell r="I3472">
            <v>0</v>
          </cell>
          <cell r="J3472">
            <v>0</v>
          </cell>
        </row>
        <row r="3473">
          <cell r="A3473">
            <v>1813201723</v>
          </cell>
          <cell r="B3473" t="str">
            <v>חומרים</v>
          </cell>
          <cell r="C3473">
            <v>0</v>
          </cell>
          <cell r="D3473">
            <v>0</v>
          </cell>
          <cell r="E3473">
            <v>0</v>
          </cell>
          <cell r="F3473">
            <v>0</v>
          </cell>
          <cell r="G3473">
            <v>0</v>
          </cell>
          <cell r="H3473">
            <v>0</v>
          </cell>
          <cell r="I3473">
            <v>0</v>
          </cell>
          <cell r="J3473">
            <v>0</v>
          </cell>
        </row>
        <row r="3474">
          <cell r="A3474">
            <v>1813201752</v>
          </cell>
          <cell r="B3474" t="str">
            <v>נקיון בקבלנות</v>
          </cell>
          <cell r="C3474">
            <v>0</v>
          </cell>
          <cell r="D3474">
            <v>0</v>
          </cell>
          <cell r="E3474">
            <v>0</v>
          </cell>
          <cell r="F3474">
            <v>0</v>
          </cell>
          <cell r="G3474">
            <v>0</v>
          </cell>
          <cell r="H3474">
            <v>0</v>
          </cell>
          <cell r="I3474">
            <v>0</v>
          </cell>
          <cell r="J3474">
            <v>0</v>
          </cell>
        </row>
        <row r="3475">
          <cell r="A3475">
            <v>1813201756</v>
          </cell>
          <cell r="B3475" t="str">
            <v>שמירה בקבלנות</v>
          </cell>
          <cell r="C3475">
            <v>0</v>
          </cell>
          <cell r="D3475">
            <v>0</v>
          </cell>
          <cell r="E3475">
            <v>0</v>
          </cell>
          <cell r="F3475">
            <v>0</v>
          </cell>
          <cell r="G3475">
            <v>0</v>
          </cell>
          <cell r="H3475">
            <v>0</v>
          </cell>
          <cell r="I3475">
            <v>0</v>
          </cell>
          <cell r="J3475">
            <v>0</v>
          </cell>
        </row>
        <row r="3476">
          <cell r="A3476">
            <v>1813201759</v>
          </cell>
          <cell r="B3476" t="str">
            <v>שרותי סייעות</v>
          </cell>
          <cell r="C3476">
            <v>0</v>
          </cell>
          <cell r="D3476">
            <v>0</v>
          </cell>
          <cell r="E3476">
            <v>0</v>
          </cell>
          <cell r="F3476">
            <v>0</v>
          </cell>
          <cell r="G3476">
            <v>0</v>
          </cell>
          <cell r="H3476">
            <v>0</v>
          </cell>
          <cell r="I3476">
            <v>0</v>
          </cell>
          <cell r="J3476">
            <v>0</v>
          </cell>
        </row>
        <row r="3477">
          <cell r="A3477">
            <v>1813201761</v>
          </cell>
          <cell r="B3477" t="str">
            <v>ניצנים יסודי-גביה מהורים</v>
          </cell>
          <cell r="C3477">
            <v>12350000</v>
          </cell>
          <cell r="D3477">
            <v>8155542</v>
          </cell>
          <cell r="E3477">
            <v>0</v>
          </cell>
          <cell r="F3477">
            <v>8155542</v>
          </cell>
          <cell r="G3477">
            <v>4194458</v>
          </cell>
          <cell r="H3477">
            <v>66.03</v>
          </cell>
          <cell r="I3477">
            <v>13000000</v>
          </cell>
          <cell r="J3477">
            <v>8155542</v>
          </cell>
        </row>
        <row r="3478">
          <cell r="A3478">
            <v>1813201762</v>
          </cell>
          <cell r="B3478" t="str">
            <v>שכר מורים - משה"ח</v>
          </cell>
          <cell r="C3478">
            <v>0</v>
          </cell>
          <cell r="D3478">
            <v>0</v>
          </cell>
          <cell r="E3478">
            <v>0</v>
          </cell>
          <cell r="F3478">
            <v>0</v>
          </cell>
          <cell r="G3478">
            <v>0</v>
          </cell>
          <cell r="H3478">
            <v>0</v>
          </cell>
          <cell r="I3478">
            <v>0</v>
          </cell>
          <cell r="J3478">
            <v>0</v>
          </cell>
        </row>
        <row r="3479">
          <cell r="A3479">
            <v>1813201780</v>
          </cell>
          <cell r="B3479" t="str">
            <v>פעולות ביה"ס בחופשה הגדולה</v>
          </cell>
          <cell r="C3479">
            <v>630000</v>
          </cell>
          <cell r="D3479">
            <v>599858.93999999994</v>
          </cell>
          <cell r="E3479">
            <v>0</v>
          </cell>
          <cell r="F3479">
            <v>599858.93999999994</v>
          </cell>
          <cell r="G3479">
            <v>30141.06</v>
          </cell>
          <cell r="H3479">
            <v>95.21</v>
          </cell>
          <cell r="I3479">
            <v>630000</v>
          </cell>
          <cell r="J3479">
            <v>599858.93999999994</v>
          </cell>
        </row>
        <row r="3480">
          <cell r="A3480">
            <v>1813201782</v>
          </cell>
          <cell r="B3480" t="str">
            <v>הזנה</v>
          </cell>
          <cell r="C3480">
            <v>0</v>
          </cell>
          <cell r="D3480">
            <v>0</v>
          </cell>
          <cell r="E3480">
            <v>0</v>
          </cell>
          <cell r="F3480">
            <v>0</v>
          </cell>
          <cell r="G3480">
            <v>0</v>
          </cell>
          <cell r="H3480">
            <v>0</v>
          </cell>
          <cell r="I3480">
            <v>0</v>
          </cell>
          <cell r="J3480">
            <v>0</v>
          </cell>
        </row>
        <row r="3481">
          <cell r="A3481">
            <v>1813201783</v>
          </cell>
          <cell r="B3481" t="str">
            <v>שיכפולים</v>
          </cell>
          <cell r="C3481">
            <v>0</v>
          </cell>
          <cell r="D3481">
            <v>0</v>
          </cell>
          <cell r="E3481">
            <v>0</v>
          </cell>
          <cell r="F3481">
            <v>0</v>
          </cell>
          <cell r="G3481">
            <v>0</v>
          </cell>
          <cell r="H3481">
            <v>0</v>
          </cell>
          <cell r="I3481">
            <v>0</v>
          </cell>
          <cell r="J3481">
            <v>0</v>
          </cell>
        </row>
        <row r="3482">
          <cell r="A3482">
            <v>1813201810</v>
          </cell>
          <cell r="B3482" t="str">
            <v>צהרונים - ניצנים ממשה"ח</v>
          </cell>
          <cell r="C3482">
            <v>8600000</v>
          </cell>
          <cell r="D3482">
            <v>10490643.65</v>
          </cell>
          <cell r="E3482">
            <v>0</v>
          </cell>
          <cell r="F3482">
            <v>10490643.65</v>
          </cell>
          <cell r="G3482">
            <v>-1890643.65</v>
          </cell>
          <cell r="H3482">
            <v>121.98</v>
          </cell>
          <cell r="I3482">
            <v>8600000</v>
          </cell>
          <cell r="J3482">
            <v>10490643.65</v>
          </cell>
        </row>
        <row r="3483">
          <cell r="A3483">
            <v>1813201812</v>
          </cell>
          <cell r="B3483" t="str">
            <v>תשלומים לקרן קרב</v>
          </cell>
          <cell r="C3483">
            <v>0</v>
          </cell>
          <cell r="D3483">
            <v>0</v>
          </cell>
          <cell r="E3483">
            <v>0</v>
          </cell>
          <cell r="F3483">
            <v>0</v>
          </cell>
          <cell r="G3483">
            <v>0</v>
          </cell>
          <cell r="H3483">
            <v>0</v>
          </cell>
          <cell r="I3483">
            <v>0</v>
          </cell>
          <cell r="J3483">
            <v>0</v>
          </cell>
        </row>
        <row r="3484">
          <cell r="A3484">
            <v>1813201813</v>
          </cell>
          <cell r="B3484" t="str">
            <v>תשלומים לקרן רש"י</v>
          </cell>
          <cell r="C3484">
            <v>0</v>
          </cell>
          <cell r="D3484">
            <v>0</v>
          </cell>
          <cell r="E3484">
            <v>0</v>
          </cell>
          <cell r="F3484">
            <v>0</v>
          </cell>
          <cell r="G3484">
            <v>0</v>
          </cell>
          <cell r="H3484">
            <v>0</v>
          </cell>
          <cell r="I3484">
            <v>0</v>
          </cell>
          <cell r="J3484">
            <v>0</v>
          </cell>
        </row>
        <row r="3485">
          <cell r="A3485">
            <v>1813201840</v>
          </cell>
          <cell r="B3485" t="str">
            <v>השתתפות עירונית בקייטנות</v>
          </cell>
          <cell r="C3485">
            <v>5719000</v>
          </cell>
          <cell r="D3485">
            <v>6019999.2000000002</v>
          </cell>
          <cell r="E3485">
            <v>0</v>
          </cell>
          <cell r="F3485">
            <v>6019999.2000000002</v>
          </cell>
          <cell r="G3485">
            <v>-300999.2</v>
          </cell>
          <cell r="H3485">
            <v>105.26</v>
          </cell>
          <cell r="I3485">
            <v>6020000</v>
          </cell>
          <cell r="J3485">
            <v>6019999.2000000002</v>
          </cell>
        </row>
        <row r="3486">
          <cell r="A3486">
            <v>1813201841</v>
          </cell>
          <cell r="B3486" t="str">
            <v>מסגרות קיץ (לרשת) ממשה"ח</v>
          </cell>
          <cell r="C3486">
            <v>4878000</v>
          </cell>
          <cell r="D3486">
            <v>6972187.9100000001</v>
          </cell>
          <cell r="E3486">
            <v>0</v>
          </cell>
          <cell r="F3486">
            <v>6972187.9100000001</v>
          </cell>
          <cell r="G3486">
            <v>-2094187.91</v>
          </cell>
          <cell r="H3486">
            <v>142.93</v>
          </cell>
          <cell r="I3486">
            <v>4878000</v>
          </cell>
          <cell r="J3486">
            <v>6972187.9100000001</v>
          </cell>
        </row>
        <row r="3487">
          <cell r="A3487">
            <v>1813201842</v>
          </cell>
          <cell r="B3487" t="str">
            <v>מסגרות קיץ - מוכש"ר</v>
          </cell>
          <cell r="C3487">
            <v>142500</v>
          </cell>
          <cell r="D3487">
            <v>0</v>
          </cell>
          <cell r="E3487">
            <v>0</v>
          </cell>
          <cell r="F3487">
            <v>0</v>
          </cell>
          <cell r="G3487">
            <v>142500</v>
          </cell>
          <cell r="H3487">
            <v>0</v>
          </cell>
          <cell r="I3487">
            <v>150000</v>
          </cell>
          <cell r="J3487">
            <v>0</v>
          </cell>
        </row>
        <row r="3488">
          <cell r="A3488">
            <v>1813201843</v>
          </cell>
          <cell r="B3488" t="str">
            <v>ניקיון בצהרונים</v>
          </cell>
          <cell r="C3488">
            <v>170000</v>
          </cell>
          <cell r="D3488">
            <v>159340.20000000001</v>
          </cell>
          <cell r="E3488">
            <v>0</v>
          </cell>
          <cell r="F3488">
            <v>159340.20000000001</v>
          </cell>
          <cell r="G3488">
            <v>10659.8</v>
          </cell>
          <cell r="H3488">
            <v>93.72</v>
          </cell>
          <cell r="I3488">
            <v>170000</v>
          </cell>
          <cell r="J3488">
            <v>159340.20000000001</v>
          </cell>
        </row>
        <row r="3489">
          <cell r="A3489">
            <v>1813202210</v>
          </cell>
          <cell r="B3489" t="str">
            <v>השכר הקובע</v>
          </cell>
          <cell r="C3489">
            <v>0</v>
          </cell>
          <cell r="D3489">
            <v>0</v>
          </cell>
          <cell r="E3489">
            <v>0</v>
          </cell>
          <cell r="F3489">
            <v>0</v>
          </cell>
          <cell r="G3489">
            <v>0</v>
          </cell>
          <cell r="H3489">
            <v>0</v>
          </cell>
          <cell r="I3489">
            <v>0</v>
          </cell>
          <cell r="J3489">
            <v>0</v>
          </cell>
        </row>
        <row r="3490">
          <cell r="A3490">
            <v>1813202263</v>
          </cell>
          <cell r="B3490" t="str">
            <v>שרתים ומזכירות-כ"א</v>
          </cell>
          <cell r="C3490">
            <v>0</v>
          </cell>
          <cell r="D3490">
            <v>0</v>
          </cell>
          <cell r="E3490">
            <v>0</v>
          </cell>
          <cell r="F3490">
            <v>0</v>
          </cell>
          <cell r="G3490">
            <v>0</v>
          </cell>
          <cell r="H3490">
            <v>0</v>
          </cell>
          <cell r="I3490">
            <v>0</v>
          </cell>
          <cell r="J3490">
            <v>0</v>
          </cell>
        </row>
        <row r="3491">
          <cell r="A3491">
            <v>1813202264</v>
          </cell>
          <cell r="B3491" t="str">
            <v>סייעות - כ"א</v>
          </cell>
          <cell r="C3491">
            <v>0</v>
          </cell>
          <cell r="D3491">
            <v>0</v>
          </cell>
          <cell r="E3491">
            <v>0</v>
          </cell>
          <cell r="F3491">
            <v>0</v>
          </cell>
          <cell r="G3491">
            <v>0</v>
          </cell>
          <cell r="H3491">
            <v>0</v>
          </cell>
          <cell r="I3491">
            <v>0</v>
          </cell>
          <cell r="J3491">
            <v>0</v>
          </cell>
        </row>
        <row r="3492">
          <cell r="A3492">
            <v>1813202431</v>
          </cell>
          <cell r="B3492" t="str">
            <v>חשמל</v>
          </cell>
          <cell r="C3492">
            <v>0</v>
          </cell>
          <cell r="D3492">
            <v>0</v>
          </cell>
          <cell r="E3492">
            <v>0</v>
          </cell>
          <cell r="F3492">
            <v>0</v>
          </cell>
          <cell r="G3492">
            <v>0</v>
          </cell>
          <cell r="H3492">
            <v>0</v>
          </cell>
          <cell r="I3492">
            <v>0</v>
          </cell>
          <cell r="J3492">
            <v>0</v>
          </cell>
        </row>
        <row r="3493">
          <cell r="A3493">
            <v>1813202432</v>
          </cell>
          <cell r="B3493" t="str">
            <v>מים</v>
          </cell>
          <cell r="C3493">
            <v>0</v>
          </cell>
          <cell r="D3493">
            <v>0</v>
          </cell>
          <cell r="E3493">
            <v>0</v>
          </cell>
          <cell r="F3493">
            <v>0</v>
          </cell>
          <cell r="G3493">
            <v>0</v>
          </cell>
          <cell r="H3493">
            <v>0</v>
          </cell>
          <cell r="I3493">
            <v>0</v>
          </cell>
          <cell r="J3493">
            <v>0</v>
          </cell>
        </row>
        <row r="3494">
          <cell r="A3494">
            <v>1813202723</v>
          </cell>
          <cell r="B3494" t="str">
            <v>חומרים</v>
          </cell>
          <cell r="C3494">
            <v>0</v>
          </cell>
          <cell r="D3494">
            <v>0</v>
          </cell>
          <cell r="E3494">
            <v>0</v>
          </cell>
          <cell r="F3494">
            <v>0</v>
          </cell>
          <cell r="G3494">
            <v>0</v>
          </cell>
          <cell r="H3494">
            <v>0</v>
          </cell>
          <cell r="I3494">
            <v>0</v>
          </cell>
          <cell r="J3494">
            <v>0</v>
          </cell>
        </row>
        <row r="3495">
          <cell r="A3495">
            <v>1813202752</v>
          </cell>
          <cell r="B3495" t="str">
            <v>נקיון בקבלנות</v>
          </cell>
          <cell r="C3495">
            <v>0</v>
          </cell>
          <cell r="D3495">
            <v>0</v>
          </cell>
          <cell r="E3495">
            <v>0</v>
          </cell>
          <cell r="F3495">
            <v>0</v>
          </cell>
          <cell r="G3495">
            <v>0</v>
          </cell>
          <cell r="H3495">
            <v>0</v>
          </cell>
          <cell r="I3495">
            <v>0</v>
          </cell>
          <cell r="J3495">
            <v>0</v>
          </cell>
        </row>
        <row r="3496">
          <cell r="A3496">
            <v>1813202756</v>
          </cell>
          <cell r="B3496" t="str">
            <v>שמירה בקבלנות</v>
          </cell>
          <cell r="C3496">
            <v>0</v>
          </cell>
          <cell r="D3496">
            <v>0</v>
          </cell>
          <cell r="E3496">
            <v>0</v>
          </cell>
          <cell r="F3496">
            <v>0</v>
          </cell>
          <cell r="G3496">
            <v>0</v>
          </cell>
          <cell r="H3496">
            <v>0</v>
          </cell>
          <cell r="I3496">
            <v>0</v>
          </cell>
          <cell r="J3496">
            <v>0</v>
          </cell>
        </row>
        <row r="3497">
          <cell r="A3497">
            <v>1813202762</v>
          </cell>
          <cell r="B3497" t="str">
            <v>שכר מורים - משה"ח</v>
          </cell>
          <cell r="C3497">
            <v>0</v>
          </cell>
          <cell r="D3497">
            <v>0</v>
          </cell>
          <cell r="E3497">
            <v>0</v>
          </cell>
          <cell r="F3497">
            <v>0</v>
          </cell>
          <cell r="G3497">
            <v>0</v>
          </cell>
          <cell r="H3497">
            <v>0</v>
          </cell>
          <cell r="I3497">
            <v>0</v>
          </cell>
          <cell r="J3497">
            <v>0</v>
          </cell>
        </row>
        <row r="3498">
          <cell r="A3498">
            <v>1813202780</v>
          </cell>
          <cell r="B3498" t="str">
            <v>פעולות משה"ח</v>
          </cell>
          <cell r="C3498">
            <v>0</v>
          </cell>
          <cell r="D3498">
            <v>0</v>
          </cell>
          <cell r="E3498">
            <v>0</v>
          </cell>
          <cell r="F3498">
            <v>0</v>
          </cell>
          <cell r="G3498">
            <v>0</v>
          </cell>
          <cell r="H3498">
            <v>0</v>
          </cell>
          <cell r="I3498">
            <v>0</v>
          </cell>
          <cell r="J3498">
            <v>0</v>
          </cell>
        </row>
        <row r="3499">
          <cell r="A3499">
            <v>1813202782</v>
          </cell>
          <cell r="B3499" t="str">
            <v>הזנה</v>
          </cell>
          <cell r="C3499">
            <v>0</v>
          </cell>
          <cell r="D3499">
            <v>0</v>
          </cell>
          <cell r="E3499">
            <v>0</v>
          </cell>
          <cell r="F3499">
            <v>0</v>
          </cell>
          <cell r="G3499">
            <v>0</v>
          </cell>
          <cell r="H3499">
            <v>0</v>
          </cell>
          <cell r="I3499">
            <v>0</v>
          </cell>
          <cell r="J3499">
            <v>0</v>
          </cell>
        </row>
        <row r="3500">
          <cell r="A3500">
            <v>1813202783</v>
          </cell>
          <cell r="B3500" t="str">
            <v>שיכפולים</v>
          </cell>
          <cell r="C3500">
            <v>0</v>
          </cell>
          <cell r="D3500">
            <v>0</v>
          </cell>
          <cell r="E3500">
            <v>0</v>
          </cell>
          <cell r="F3500">
            <v>0</v>
          </cell>
          <cell r="G3500">
            <v>0</v>
          </cell>
          <cell r="H3500">
            <v>0</v>
          </cell>
          <cell r="I3500">
            <v>0</v>
          </cell>
          <cell r="J3500">
            <v>0</v>
          </cell>
        </row>
        <row r="3501">
          <cell r="A3501">
            <v>1813202810</v>
          </cell>
          <cell r="B3501" t="str">
            <v>הקצבה שוטפת</v>
          </cell>
          <cell r="C3501">
            <v>0</v>
          </cell>
          <cell r="D3501">
            <v>0</v>
          </cell>
          <cell r="E3501">
            <v>0</v>
          </cell>
          <cell r="F3501">
            <v>0</v>
          </cell>
          <cell r="G3501">
            <v>0</v>
          </cell>
          <cell r="H3501">
            <v>0</v>
          </cell>
          <cell r="I3501">
            <v>0</v>
          </cell>
          <cell r="J3501">
            <v>0</v>
          </cell>
        </row>
        <row r="3502">
          <cell r="A3502">
            <v>1813202812</v>
          </cell>
          <cell r="B3502" t="str">
            <v>תשלומים לקרן קרב</v>
          </cell>
          <cell r="C3502">
            <v>0</v>
          </cell>
          <cell r="D3502">
            <v>0</v>
          </cell>
          <cell r="E3502">
            <v>0</v>
          </cell>
          <cell r="F3502">
            <v>0</v>
          </cell>
          <cell r="G3502">
            <v>0</v>
          </cell>
          <cell r="H3502">
            <v>0</v>
          </cell>
          <cell r="I3502">
            <v>0</v>
          </cell>
          <cell r="J3502">
            <v>0</v>
          </cell>
        </row>
        <row r="3503">
          <cell r="A3503">
            <v>1813202813</v>
          </cell>
          <cell r="B3503" t="str">
            <v>תשלומים לקרן רש"י</v>
          </cell>
          <cell r="C3503">
            <v>0</v>
          </cell>
          <cell r="D3503">
            <v>0</v>
          </cell>
          <cell r="E3503">
            <v>0</v>
          </cell>
          <cell r="F3503">
            <v>0</v>
          </cell>
          <cell r="G3503">
            <v>0</v>
          </cell>
          <cell r="H3503">
            <v>0</v>
          </cell>
          <cell r="I3503">
            <v>0</v>
          </cell>
          <cell r="J3503">
            <v>0</v>
          </cell>
        </row>
        <row r="3504">
          <cell r="A3504">
            <v>1813203210</v>
          </cell>
          <cell r="B3504" t="str">
            <v>השכר הקובע</v>
          </cell>
          <cell r="C3504">
            <v>0</v>
          </cell>
          <cell r="D3504">
            <v>0</v>
          </cell>
          <cell r="E3504">
            <v>0</v>
          </cell>
          <cell r="F3504">
            <v>0</v>
          </cell>
          <cell r="G3504">
            <v>0</v>
          </cell>
          <cell r="H3504">
            <v>0</v>
          </cell>
          <cell r="I3504">
            <v>0</v>
          </cell>
          <cell r="J3504">
            <v>0</v>
          </cell>
        </row>
        <row r="3505">
          <cell r="A3505">
            <v>1813203263</v>
          </cell>
          <cell r="B3505" t="str">
            <v>שרתים ומזכירות-כ"א</v>
          </cell>
          <cell r="C3505">
            <v>0</v>
          </cell>
          <cell r="D3505">
            <v>0</v>
          </cell>
          <cell r="E3505">
            <v>0</v>
          </cell>
          <cell r="F3505">
            <v>0</v>
          </cell>
          <cell r="G3505">
            <v>0</v>
          </cell>
          <cell r="H3505">
            <v>0</v>
          </cell>
          <cell r="I3505">
            <v>0</v>
          </cell>
          <cell r="J3505">
            <v>0</v>
          </cell>
        </row>
        <row r="3506">
          <cell r="A3506">
            <v>1813203264</v>
          </cell>
          <cell r="B3506" t="str">
            <v>סייעות - כ"א</v>
          </cell>
          <cell r="C3506">
            <v>0</v>
          </cell>
          <cell r="D3506">
            <v>0</v>
          </cell>
          <cell r="E3506">
            <v>0</v>
          </cell>
          <cell r="F3506">
            <v>0</v>
          </cell>
          <cell r="G3506">
            <v>0</v>
          </cell>
          <cell r="H3506">
            <v>0</v>
          </cell>
          <cell r="I3506">
            <v>0</v>
          </cell>
          <cell r="J3506">
            <v>0</v>
          </cell>
        </row>
        <row r="3507">
          <cell r="A3507">
            <v>1813203431</v>
          </cell>
          <cell r="B3507" t="str">
            <v>חשמל</v>
          </cell>
          <cell r="C3507">
            <v>0</v>
          </cell>
          <cell r="D3507">
            <v>0</v>
          </cell>
          <cell r="E3507">
            <v>0</v>
          </cell>
          <cell r="F3507">
            <v>0</v>
          </cell>
          <cell r="G3507">
            <v>0</v>
          </cell>
          <cell r="H3507">
            <v>0</v>
          </cell>
          <cell r="I3507">
            <v>0</v>
          </cell>
          <cell r="J3507">
            <v>0</v>
          </cell>
        </row>
        <row r="3508">
          <cell r="A3508">
            <v>1813203432</v>
          </cell>
          <cell r="B3508" t="str">
            <v>מים</v>
          </cell>
          <cell r="C3508">
            <v>0</v>
          </cell>
          <cell r="D3508">
            <v>0</v>
          </cell>
          <cell r="E3508">
            <v>0</v>
          </cell>
          <cell r="F3508">
            <v>0</v>
          </cell>
          <cell r="G3508">
            <v>0</v>
          </cell>
          <cell r="H3508">
            <v>0</v>
          </cell>
          <cell r="I3508">
            <v>0</v>
          </cell>
          <cell r="J3508">
            <v>0</v>
          </cell>
        </row>
        <row r="3509">
          <cell r="A3509">
            <v>1813203723</v>
          </cell>
          <cell r="B3509" t="str">
            <v>חומרים</v>
          </cell>
          <cell r="C3509">
            <v>0</v>
          </cell>
          <cell r="D3509">
            <v>0</v>
          </cell>
          <cell r="E3509">
            <v>0</v>
          </cell>
          <cell r="F3509">
            <v>0</v>
          </cell>
          <cell r="G3509">
            <v>0</v>
          </cell>
          <cell r="H3509">
            <v>0</v>
          </cell>
          <cell r="I3509">
            <v>0</v>
          </cell>
          <cell r="J3509">
            <v>0</v>
          </cell>
        </row>
        <row r="3510">
          <cell r="A3510">
            <v>1813203752</v>
          </cell>
          <cell r="B3510" t="str">
            <v>נקיון בקבלנות</v>
          </cell>
          <cell r="C3510">
            <v>0</v>
          </cell>
          <cell r="D3510">
            <v>0</v>
          </cell>
          <cell r="E3510">
            <v>0</v>
          </cell>
          <cell r="F3510">
            <v>0</v>
          </cell>
          <cell r="G3510">
            <v>0</v>
          </cell>
          <cell r="H3510">
            <v>0</v>
          </cell>
          <cell r="I3510">
            <v>0</v>
          </cell>
          <cell r="J3510">
            <v>0</v>
          </cell>
        </row>
        <row r="3511">
          <cell r="A3511">
            <v>1813203756</v>
          </cell>
          <cell r="B3511" t="str">
            <v>שמירה בקבלנות</v>
          </cell>
          <cell r="C3511">
            <v>0</v>
          </cell>
          <cell r="D3511">
            <v>0</v>
          </cell>
          <cell r="E3511">
            <v>0</v>
          </cell>
          <cell r="F3511">
            <v>0</v>
          </cell>
          <cell r="G3511">
            <v>0</v>
          </cell>
          <cell r="H3511">
            <v>0</v>
          </cell>
          <cell r="I3511">
            <v>0</v>
          </cell>
          <cell r="J3511">
            <v>0</v>
          </cell>
        </row>
        <row r="3512">
          <cell r="A3512">
            <v>1813203762</v>
          </cell>
          <cell r="B3512" t="str">
            <v>שכר מורים - משה"ח</v>
          </cell>
          <cell r="C3512">
            <v>0</v>
          </cell>
          <cell r="D3512">
            <v>0</v>
          </cell>
          <cell r="E3512">
            <v>0</v>
          </cell>
          <cell r="F3512">
            <v>0</v>
          </cell>
          <cell r="G3512">
            <v>0</v>
          </cell>
          <cell r="H3512">
            <v>0</v>
          </cell>
          <cell r="I3512">
            <v>0</v>
          </cell>
          <cell r="J3512">
            <v>0</v>
          </cell>
        </row>
        <row r="3513">
          <cell r="A3513">
            <v>1813203780</v>
          </cell>
          <cell r="B3513" t="str">
            <v>פעולות משה"ח</v>
          </cell>
          <cell r="C3513">
            <v>0</v>
          </cell>
          <cell r="D3513">
            <v>0</v>
          </cell>
          <cell r="E3513">
            <v>0</v>
          </cell>
          <cell r="F3513">
            <v>0</v>
          </cell>
          <cell r="G3513">
            <v>0</v>
          </cell>
          <cell r="H3513">
            <v>0</v>
          </cell>
          <cell r="I3513">
            <v>0</v>
          </cell>
          <cell r="J3513">
            <v>0</v>
          </cell>
        </row>
        <row r="3514">
          <cell r="A3514">
            <v>1813203782</v>
          </cell>
          <cell r="B3514" t="str">
            <v>הזנה</v>
          </cell>
          <cell r="C3514">
            <v>0</v>
          </cell>
          <cell r="D3514">
            <v>0</v>
          </cell>
          <cell r="E3514">
            <v>0</v>
          </cell>
          <cell r="F3514">
            <v>0</v>
          </cell>
          <cell r="G3514">
            <v>0</v>
          </cell>
          <cell r="H3514">
            <v>0</v>
          </cell>
          <cell r="I3514">
            <v>0</v>
          </cell>
          <cell r="J3514">
            <v>0</v>
          </cell>
        </row>
        <row r="3515">
          <cell r="A3515">
            <v>1813203783</v>
          </cell>
          <cell r="B3515" t="str">
            <v>שיכפולים</v>
          </cell>
          <cell r="C3515">
            <v>0</v>
          </cell>
          <cell r="D3515">
            <v>0</v>
          </cell>
          <cell r="E3515">
            <v>0</v>
          </cell>
          <cell r="F3515">
            <v>0</v>
          </cell>
          <cell r="G3515">
            <v>0</v>
          </cell>
          <cell r="H3515">
            <v>0</v>
          </cell>
          <cell r="I3515">
            <v>0</v>
          </cell>
          <cell r="J3515">
            <v>0</v>
          </cell>
        </row>
        <row r="3516">
          <cell r="A3516">
            <v>1813203810</v>
          </cell>
          <cell r="B3516" t="str">
            <v>הקצבה שוטפת</v>
          </cell>
          <cell r="C3516">
            <v>0</v>
          </cell>
          <cell r="D3516">
            <v>0</v>
          </cell>
          <cell r="E3516">
            <v>0</v>
          </cell>
          <cell r="F3516">
            <v>0</v>
          </cell>
          <cell r="G3516">
            <v>0</v>
          </cell>
          <cell r="H3516">
            <v>0</v>
          </cell>
          <cell r="I3516">
            <v>0</v>
          </cell>
          <cell r="J3516">
            <v>0</v>
          </cell>
        </row>
        <row r="3517">
          <cell r="A3517">
            <v>1813203812</v>
          </cell>
          <cell r="B3517" t="str">
            <v>תשלומים לקרן קרב</v>
          </cell>
          <cell r="C3517">
            <v>0</v>
          </cell>
          <cell r="D3517">
            <v>0</v>
          </cell>
          <cell r="E3517">
            <v>0</v>
          </cell>
          <cell r="F3517">
            <v>0</v>
          </cell>
          <cell r="G3517">
            <v>0</v>
          </cell>
          <cell r="H3517">
            <v>0</v>
          </cell>
          <cell r="I3517">
            <v>0</v>
          </cell>
          <cell r="J3517">
            <v>0</v>
          </cell>
        </row>
        <row r="3518">
          <cell r="A3518">
            <v>1813203813</v>
          </cell>
          <cell r="B3518" t="str">
            <v>תשלומים לקרן רש"י</v>
          </cell>
          <cell r="C3518">
            <v>0</v>
          </cell>
          <cell r="D3518">
            <v>0</v>
          </cell>
          <cell r="E3518">
            <v>0</v>
          </cell>
          <cell r="F3518">
            <v>0</v>
          </cell>
          <cell r="G3518">
            <v>0</v>
          </cell>
          <cell r="H3518">
            <v>0</v>
          </cell>
          <cell r="I3518">
            <v>0</v>
          </cell>
          <cell r="J3518">
            <v>0</v>
          </cell>
        </row>
        <row r="3519">
          <cell r="A3519">
            <v>1813204210</v>
          </cell>
          <cell r="B3519" t="str">
            <v>השכר הקובע</v>
          </cell>
          <cell r="C3519">
            <v>0</v>
          </cell>
          <cell r="D3519">
            <v>0</v>
          </cell>
          <cell r="E3519">
            <v>0</v>
          </cell>
          <cell r="F3519">
            <v>0</v>
          </cell>
          <cell r="G3519">
            <v>0</v>
          </cell>
          <cell r="H3519">
            <v>0</v>
          </cell>
          <cell r="I3519">
            <v>0</v>
          </cell>
          <cell r="J3519">
            <v>0</v>
          </cell>
        </row>
        <row r="3520">
          <cell r="A3520">
            <v>1813204263</v>
          </cell>
          <cell r="B3520" t="str">
            <v>שרתים ומזכירות-כ"א</v>
          </cell>
          <cell r="C3520">
            <v>0</v>
          </cell>
          <cell r="D3520">
            <v>0</v>
          </cell>
          <cell r="E3520">
            <v>0</v>
          </cell>
          <cell r="F3520">
            <v>0</v>
          </cell>
          <cell r="G3520">
            <v>0</v>
          </cell>
          <cell r="H3520">
            <v>0</v>
          </cell>
          <cell r="I3520">
            <v>0</v>
          </cell>
          <cell r="J3520">
            <v>0</v>
          </cell>
        </row>
        <row r="3521">
          <cell r="A3521">
            <v>1813204264</v>
          </cell>
          <cell r="B3521" t="str">
            <v>סייעות - כ"א</v>
          </cell>
          <cell r="C3521">
            <v>0</v>
          </cell>
          <cell r="D3521">
            <v>0</v>
          </cell>
          <cell r="E3521">
            <v>0</v>
          </cell>
          <cell r="F3521">
            <v>0</v>
          </cell>
          <cell r="G3521">
            <v>0</v>
          </cell>
          <cell r="H3521">
            <v>0</v>
          </cell>
          <cell r="I3521">
            <v>0</v>
          </cell>
          <cell r="J3521">
            <v>0</v>
          </cell>
        </row>
        <row r="3522">
          <cell r="A3522">
            <v>1813204431</v>
          </cell>
          <cell r="B3522" t="str">
            <v>חשמל</v>
          </cell>
          <cell r="C3522">
            <v>0</v>
          </cell>
          <cell r="D3522">
            <v>0</v>
          </cell>
          <cell r="E3522">
            <v>0</v>
          </cell>
          <cell r="F3522">
            <v>0</v>
          </cell>
          <cell r="G3522">
            <v>0</v>
          </cell>
          <cell r="H3522">
            <v>0</v>
          </cell>
          <cell r="I3522">
            <v>0</v>
          </cell>
          <cell r="J3522">
            <v>0</v>
          </cell>
        </row>
        <row r="3523">
          <cell r="A3523">
            <v>1813204432</v>
          </cell>
          <cell r="B3523" t="str">
            <v>מים</v>
          </cell>
          <cell r="C3523">
            <v>0</v>
          </cell>
          <cell r="D3523">
            <v>0</v>
          </cell>
          <cell r="E3523">
            <v>0</v>
          </cell>
          <cell r="F3523">
            <v>0</v>
          </cell>
          <cell r="G3523">
            <v>0</v>
          </cell>
          <cell r="H3523">
            <v>0</v>
          </cell>
          <cell r="I3523">
            <v>0</v>
          </cell>
          <cell r="J3523">
            <v>0</v>
          </cell>
        </row>
        <row r="3524">
          <cell r="A3524">
            <v>1813204723</v>
          </cell>
          <cell r="B3524" t="str">
            <v>תומרים</v>
          </cell>
          <cell r="C3524">
            <v>0</v>
          </cell>
          <cell r="D3524">
            <v>0</v>
          </cell>
          <cell r="E3524">
            <v>0</v>
          </cell>
          <cell r="F3524">
            <v>0</v>
          </cell>
          <cell r="G3524">
            <v>0</v>
          </cell>
          <cell r="H3524">
            <v>0</v>
          </cell>
          <cell r="I3524">
            <v>0</v>
          </cell>
          <cell r="J3524">
            <v>0</v>
          </cell>
        </row>
        <row r="3525">
          <cell r="A3525">
            <v>1813204752</v>
          </cell>
          <cell r="B3525" t="str">
            <v>נקיון בקבלנות</v>
          </cell>
          <cell r="C3525">
            <v>0</v>
          </cell>
          <cell r="D3525">
            <v>0</v>
          </cell>
          <cell r="E3525">
            <v>0</v>
          </cell>
          <cell r="F3525">
            <v>0</v>
          </cell>
          <cell r="G3525">
            <v>0</v>
          </cell>
          <cell r="H3525">
            <v>0</v>
          </cell>
          <cell r="I3525">
            <v>0</v>
          </cell>
          <cell r="J3525">
            <v>0</v>
          </cell>
        </row>
        <row r="3526">
          <cell r="A3526">
            <v>1813204756</v>
          </cell>
          <cell r="B3526" t="str">
            <v>שמירה בקבלנות</v>
          </cell>
          <cell r="C3526">
            <v>0</v>
          </cell>
          <cell r="D3526">
            <v>0</v>
          </cell>
          <cell r="E3526">
            <v>0</v>
          </cell>
          <cell r="F3526">
            <v>0</v>
          </cell>
          <cell r="G3526">
            <v>0</v>
          </cell>
          <cell r="H3526">
            <v>0</v>
          </cell>
          <cell r="I3526">
            <v>0</v>
          </cell>
          <cell r="J3526">
            <v>0</v>
          </cell>
        </row>
        <row r="3527">
          <cell r="A3527">
            <v>1813204762</v>
          </cell>
          <cell r="B3527" t="str">
            <v>שכר מורים - משה"ח</v>
          </cell>
          <cell r="C3527">
            <v>0</v>
          </cell>
          <cell r="D3527">
            <v>0</v>
          </cell>
          <cell r="E3527">
            <v>0</v>
          </cell>
          <cell r="F3527">
            <v>0</v>
          </cell>
          <cell r="G3527">
            <v>0</v>
          </cell>
          <cell r="H3527">
            <v>0</v>
          </cell>
          <cell r="I3527">
            <v>0</v>
          </cell>
          <cell r="J3527">
            <v>0</v>
          </cell>
        </row>
        <row r="3528">
          <cell r="A3528">
            <v>1813204780</v>
          </cell>
          <cell r="B3528" t="str">
            <v>פעולות משה"ח</v>
          </cell>
          <cell r="C3528">
            <v>0</v>
          </cell>
          <cell r="D3528">
            <v>0</v>
          </cell>
          <cell r="E3528">
            <v>0</v>
          </cell>
          <cell r="F3528">
            <v>0</v>
          </cell>
          <cell r="G3528">
            <v>0</v>
          </cell>
          <cell r="H3528">
            <v>0</v>
          </cell>
          <cell r="I3528">
            <v>0</v>
          </cell>
          <cell r="J3528">
            <v>0</v>
          </cell>
        </row>
        <row r="3529">
          <cell r="A3529">
            <v>1813204782</v>
          </cell>
          <cell r="B3529" t="str">
            <v>הזנה</v>
          </cell>
          <cell r="C3529">
            <v>0</v>
          </cell>
          <cell r="D3529">
            <v>0</v>
          </cell>
          <cell r="E3529">
            <v>0</v>
          </cell>
          <cell r="F3529">
            <v>0</v>
          </cell>
          <cell r="G3529">
            <v>0</v>
          </cell>
          <cell r="H3529">
            <v>0</v>
          </cell>
          <cell r="I3529">
            <v>0</v>
          </cell>
          <cell r="J3529">
            <v>0</v>
          </cell>
        </row>
        <row r="3530">
          <cell r="A3530">
            <v>1813204783</v>
          </cell>
          <cell r="B3530" t="str">
            <v>שיכפולים</v>
          </cell>
          <cell r="C3530">
            <v>0</v>
          </cell>
          <cell r="D3530">
            <v>0</v>
          </cell>
          <cell r="E3530">
            <v>0</v>
          </cell>
          <cell r="F3530">
            <v>0</v>
          </cell>
          <cell r="G3530">
            <v>0</v>
          </cell>
          <cell r="H3530">
            <v>0</v>
          </cell>
          <cell r="I3530">
            <v>0</v>
          </cell>
          <cell r="J3530">
            <v>0</v>
          </cell>
        </row>
        <row r="3531">
          <cell r="A3531">
            <v>1813204810</v>
          </cell>
          <cell r="B3531" t="str">
            <v>הקצבה שוטפת</v>
          </cell>
          <cell r="C3531">
            <v>0</v>
          </cell>
          <cell r="D3531">
            <v>0</v>
          </cell>
          <cell r="E3531">
            <v>0</v>
          </cell>
          <cell r="F3531">
            <v>0</v>
          </cell>
          <cell r="G3531">
            <v>0</v>
          </cell>
          <cell r="H3531">
            <v>0</v>
          </cell>
          <cell r="I3531">
            <v>0</v>
          </cell>
          <cell r="J3531">
            <v>0</v>
          </cell>
        </row>
        <row r="3532">
          <cell r="A3532">
            <v>1813204812</v>
          </cell>
          <cell r="B3532" t="str">
            <v>תשלומים לקרן קרב</v>
          </cell>
          <cell r="C3532">
            <v>0</v>
          </cell>
          <cell r="D3532">
            <v>0</v>
          </cell>
          <cell r="E3532">
            <v>0</v>
          </cell>
          <cell r="F3532">
            <v>0</v>
          </cell>
          <cell r="G3532">
            <v>0</v>
          </cell>
          <cell r="H3532">
            <v>0</v>
          </cell>
          <cell r="I3532">
            <v>0</v>
          </cell>
          <cell r="J3532">
            <v>0</v>
          </cell>
        </row>
        <row r="3533">
          <cell r="A3533">
            <v>1813204813</v>
          </cell>
          <cell r="B3533" t="str">
            <v>תשלומים לקרן רש"י</v>
          </cell>
          <cell r="C3533">
            <v>0</v>
          </cell>
          <cell r="D3533">
            <v>0</v>
          </cell>
          <cell r="E3533">
            <v>0</v>
          </cell>
          <cell r="F3533">
            <v>0</v>
          </cell>
          <cell r="G3533">
            <v>0</v>
          </cell>
          <cell r="H3533">
            <v>0</v>
          </cell>
          <cell r="I3533">
            <v>0</v>
          </cell>
          <cell r="J3533">
            <v>0</v>
          </cell>
        </row>
        <row r="3534">
          <cell r="A3534">
            <v>1813205210</v>
          </cell>
          <cell r="B3534" t="str">
            <v>השכר הקובע</v>
          </cell>
          <cell r="C3534">
            <v>0</v>
          </cell>
          <cell r="D3534">
            <v>0</v>
          </cell>
          <cell r="E3534">
            <v>0</v>
          </cell>
          <cell r="F3534">
            <v>0</v>
          </cell>
          <cell r="G3534">
            <v>0</v>
          </cell>
          <cell r="H3534">
            <v>0</v>
          </cell>
          <cell r="I3534">
            <v>0</v>
          </cell>
          <cell r="J3534">
            <v>0</v>
          </cell>
        </row>
        <row r="3535">
          <cell r="A3535">
            <v>1813205263</v>
          </cell>
          <cell r="B3535" t="str">
            <v>שרתים ומזכירות-כ"א</v>
          </cell>
          <cell r="C3535">
            <v>0</v>
          </cell>
          <cell r="D3535">
            <v>0</v>
          </cell>
          <cell r="E3535">
            <v>0</v>
          </cell>
          <cell r="F3535">
            <v>0</v>
          </cell>
          <cell r="G3535">
            <v>0</v>
          </cell>
          <cell r="H3535">
            <v>0</v>
          </cell>
          <cell r="I3535">
            <v>0</v>
          </cell>
          <cell r="J3535">
            <v>0</v>
          </cell>
        </row>
        <row r="3536">
          <cell r="A3536">
            <v>1813205264</v>
          </cell>
          <cell r="B3536" t="str">
            <v>סייעות - כ"א</v>
          </cell>
          <cell r="C3536">
            <v>0</v>
          </cell>
          <cell r="D3536">
            <v>0</v>
          </cell>
          <cell r="E3536">
            <v>0</v>
          </cell>
          <cell r="F3536">
            <v>0</v>
          </cell>
          <cell r="G3536">
            <v>0</v>
          </cell>
          <cell r="H3536">
            <v>0</v>
          </cell>
          <cell r="I3536">
            <v>0</v>
          </cell>
          <cell r="J3536">
            <v>0</v>
          </cell>
        </row>
        <row r="3537">
          <cell r="A3537">
            <v>1813205431</v>
          </cell>
          <cell r="B3537" t="str">
            <v>חשמל</v>
          </cell>
          <cell r="C3537">
            <v>0</v>
          </cell>
          <cell r="D3537">
            <v>0</v>
          </cell>
          <cell r="E3537">
            <v>0</v>
          </cell>
          <cell r="F3537">
            <v>0</v>
          </cell>
          <cell r="G3537">
            <v>0</v>
          </cell>
          <cell r="H3537">
            <v>0</v>
          </cell>
          <cell r="I3537">
            <v>0</v>
          </cell>
          <cell r="J3537">
            <v>0</v>
          </cell>
        </row>
        <row r="3538">
          <cell r="A3538">
            <v>1813205432</v>
          </cell>
          <cell r="B3538" t="str">
            <v>מים</v>
          </cell>
          <cell r="C3538">
            <v>0</v>
          </cell>
          <cell r="D3538">
            <v>0</v>
          </cell>
          <cell r="E3538">
            <v>0</v>
          </cell>
          <cell r="F3538">
            <v>0</v>
          </cell>
          <cell r="G3538">
            <v>0</v>
          </cell>
          <cell r="H3538">
            <v>0</v>
          </cell>
          <cell r="I3538">
            <v>0</v>
          </cell>
          <cell r="J3538">
            <v>0</v>
          </cell>
        </row>
        <row r="3539">
          <cell r="A3539">
            <v>1813205723</v>
          </cell>
          <cell r="B3539" t="str">
            <v>חומרים</v>
          </cell>
          <cell r="C3539">
            <v>0</v>
          </cell>
          <cell r="D3539">
            <v>0</v>
          </cell>
          <cell r="E3539">
            <v>0</v>
          </cell>
          <cell r="F3539">
            <v>0</v>
          </cell>
          <cell r="G3539">
            <v>0</v>
          </cell>
          <cell r="H3539">
            <v>0</v>
          </cell>
          <cell r="I3539">
            <v>0</v>
          </cell>
          <cell r="J3539">
            <v>0</v>
          </cell>
        </row>
        <row r="3540">
          <cell r="A3540">
            <v>1813205752</v>
          </cell>
          <cell r="B3540" t="str">
            <v>נקיון בקבלנות</v>
          </cell>
          <cell r="C3540">
            <v>0</v>
          </cell>
          <cell r="D3540">
            <v>0</v>
          </cell>
          <cell r="E3540">
            <v>0</v>
          </cell>
          <cell r="F3540">
            <v>0</v>
          </cell>
          <cell r="G3540">
            <v>0</v>
          </cell>
          <cell r="H3540">
            <v>0</v>
          </cell>
          <cell r="I3540">
            <v>0</v>
          </cell>
          <cell r="J3540">
            <v>0</v>
          </cell>
        </row>
        <row r="3541">
          <cell r="A3541">
            <v>1813205756</v>
          </cell>
          <cell r="B3541" t="str">
            <v>שמירה בקבלנות</v>
          </cell>
          <cell r="C3541">
            <v>0</v>
          </cell>
          <cell r="D3541">
            <v>0</v>
          </cell>
          <cell r="E3541">
            <v>0</v>
          </cell>
          <cell r="F3541">
            <v>0</v>
          </cell>
          <cell r="G3541">
            <v>0</v>
          </cell>
          <cell r="H3541">
            <v>0</v>
          </cell>
          <cell r="I3541">
            <v>0</v>
          </cell>
          <cell r="J3541">
            <v>0</v>
          </cell>
        </row>
        <row r="3542">
          <cell r="A3542">
            <v>1813205759</v>
          </cell>
          <cell r="B3542" t="str">
            <v>שרותי סייעות</v>
          </cell>
          <cell r="C3542">
            <v>0</v>
          </cell>
          <cell r="D3542">
            <v>0</v>
          </cell>
          <cell r="E3542">
            <v>0</v>
          </cell>
          <cell r="F3542">
            <v>0</v>
          </cell>
          <cell r="G3542">
            <v>0</v>
          </cell>
          <cell r="H3542">
            <v>0</v>
          </cell>
          <cell r="I3542">
            <v>0</v>
          </cell>
          <cell r="J3542">
            <v>0</v>
          </cell>
        </row>
        <row r="3543">
          <cell r="A3543">
            <v>1813205762</v>
          </cell>
          <cell r="B3543" t="str">
            <v>שכר מורים - משה"ח</v>
          </cell>
          <cell r="C3543">
            <v>0</v>
          </cell>
          <cell r="D3543">
            <v>0</v>
          </cell>
          <cell r="E3543">
            <v>0</v>
          </cell>
          <cell r="F3543">
            <v>0</v>
          </cell>
          <cell r="G3543">
            <v>0</v>
          </cell>
          <cell r="H3543">
            <v>0</v>
          </cell>
          <cell r="I3543">
            <v>0</v>
          </cell>
          <cell r="J3543">
            <v>0</v>
          </cell>
        </row>
        <row r="3544">
          <cell r="A3544">
            <v>1813205780</v>
          </cell>
          <cell r="B3544" t="str">
            <v>פעולות משה"ח</v>
          </cell>
          <cell r="C3544">
            <v>0</v>
          </cell>
          <cell r="D3544">
            <v>0</v>
          </cell>
          <cell r="E3544">
            <v>0</v>
          </cell>
          <cell r="F3544">
            <v>0</v>
          </cell>
          <cell r="G3544">
            <v>0</v>
          </cell>
          <cell r="H3544">
            <v>0</v>
          </cell>
          <cell r="I3544">
            <v>0</v>
          </cell>
          <cell r="J3544">
            <v>0</v>
          </cell>
        </row>
        <row r="3545">
          <cell r="A3545">
            <v>1813205782</v>
          </cell>
          <cell r="B3545" t="str">
            <v>הזנה</v>
          </cell>
          <cell r="C3545">
            <v>0</v>
          </cell>
          <cell r="D3545">
            <v>0</v>
          </cell>
          <cell r="E3545">
            <v>0</v>
          </cell>
          <cell r="F3545">
            <v>0</v>
          </cell>
          <cell r="G3545">
            <v>0</v>
          </cell>
          <cell r="H3545">
            <v>0</v>
          </cell>
          <cell r="I3545">
            <v>0</v>
          </cell>
          <cell r="J3545">
            <v>0</v>
          </cell>
        </row>
        <row r="3546">
          <cell r="A3546">
            <v>1813205783</v>
          </cell>
          <cell r="B3546" t="str">
            <v>שיכפולים</v>
          </cell>
          <cell r="C3546">
            <v>0</v>
          </cell>
          <cell r="D3546">
            <v>0</v>
          </cell>
          <cell r="E3546">
            <v>0</v>
          </cell>
          <cell r="F3546">
            <v>0</v>
          </cell>
          <cell r="G3546">
            <v>0</v>
          </cell>
          <cell r="H3546">
            <v>0</v>
          </cell>
          <cell r="I3546">
            <v>0</v>
          </cell>
          <cell r="J3546">
            <v>0</v>
          </cell>
        </row>
        <row r="3547">
          <cell r="A3547">
            <v>1813205810</v>
          </cell>
          <cell r="B3547" t="str">
            <v>הקצבה שוטפת</v>
          </cell>
          <cell r="C3547">
            <v>0</v>
          </cell>
          <cell r="D3547">
            <v>0</v>
          </cell>
          <cell r="E3547">
            <v>0</v>
          </cell>
          <cell r="F3547">
            <v>0</v>
          </cell>
          <cell r="G3547">
            <v>0</v>
          </cell>
          <cell r="H3547">
            <v>0</v>
          </cell>
          <cell r="I3547">
            <v>0</v>
          </cell>
          <cell r="J3547">
            <v>0</v>
          </cell>
        </row>
        <row r="3548">
          <cell r="A3548">
            <v>1813205812</v>
          </cell>
          <cell r="B3548" t="str">
            <v>תשלומים לקרן קרב</v>
          </cell>
          <cell r="C3548">
            <v>0</v>
          </cell>
          <cell r="D3548">
            <v>0</v>
          </cell>
          <cell r="E3548">
            <v>0</v>
          </cell>
          <cell r="F3548">
            <v>0</v>
          </cell>
          <cell r="G3548">
            <v>0</v>
          </cell>
          <cell r="H3548">
            <v>0</v>
          </cell>
          <cell r="I3548">
            <v>0</v>
          </cell>
          <cell r="J3548">
            <v>0</v>
          </cell>
        </row>
        <row r="3549">
          <cell r="A3549">
            <v>1813205813</v>
          </cell>
          <cell r="B3549" t="str">
            <v>תשלומים לקרן רש"י</v>
          </cell>
          <cell r="C3549">
            <v>0</v>
          </cell>
          <cell r="D3549">
            <v>0</v>
          </cell>
          <cell r="E3549">
            <v>0</v>
          </cell>
          <cell r="F3549">
            <v>0</v>
          </cell>
          <cell r="G3549">
            <v>0</v>
          </cell>
          <cell r="H3549">
            <v>0</v>
          </cell>
          <cell r="I3549">
            <v>0</v>
          </cell>
          <cell r="J3549">
            <v>0</v>
          </cell>
        </row>
        <row r="3550">
          <cell r="A3550">
            <v>1813206210</v>
          </cell>
          <cell r="B3550" t="str">
            <v>השכר הקובע</v>
          </cell>
          <cell r="C3550">
            <v>0</v>
          </cell>
          <cell r="D3550">
            <v>0</v>
          </cell>
          <cell r="E3550">
            <v>0</v>
          </cell>
          <cell r="F3550">
            <v>0</v>
          </cell>
          <cell r="G3550">
            <v>0</v>
          </cell>
          <cell r="H3550">
            <v>0</v>
          </cell>
          <cell r="I3550">
            <v>0</v>
          </cell>
          <cell r="J3550">
            <v>0</v>
          </cell>
        </row>
        <row r="3551">
          <cell r="A3551">
            <v>1813206263</v>
          </cell>
          <cell r="B3551" t="str">
            <v>שרתים ומזכירות-כ"א</v>
          </cell>
          <cell r="C3551">
            <v>0</v>
          </cell>
          <cell r="D3551">
            <v>0</v>
          </cell>
          <cell r="E3551">
            <v>0</v>
          </cell>
          <cell r="F3551">
            <v>0</v>
          </cell>
          <cell r="G3551">
            <v>0</v>
          </cell>
          <cell r="H3551">
            <v>0</v>
          </cell>
          <cell r="I3551">
            <v>0</v>
          </cell>
          <cell r="J3551">
            <v>0</v>
          </cell>
        </row>
        <row r="3552">
          <cell r="A3552">
            <v>1813206264</v>
          </cell>
          <cell r="B3552" t="str">
            <v>סייעות - כ"א</v>
          </cell>
          <cell r="C3552">
            <v>0</v>
          </cell>
          <cell r="D3552">
            <v>0</v>
          </cell>
          <cell r="E3552">
            <v>0</v>
          </cell>
          <cell r="F3552">
            <v>0</v>
          </cell>
          <cell r="G3552">
            <v>0</v>
          </cell>
          <cell r="H3552">
            <v>0</v>
          </cell>
          <cell r="I3552">
            <v>0</v>
          </cell>
          <cell r="J3552">
            <v>0</v>
          </cell>
        </row>
        <row r="3553">
          <cell r="A3553">
            <v>1813206431</v>
          </cell>
          <cell r="B3553" t="str">
            <v>חשמל</v>
          </cell>
          <cell r="C3553">
            <v>0</v>
          </cell>
          <cell r="D3553">
            <v>0</v>
          </cell>
          <cell r="E3553">
            <v>0</v>
          </cell>
          <cell r="F3553">
            <v>0</v>
          </cell>
          <cell r="G3553">
            <v>0</v>
          </cell>
          <cell r="H3553">
            <v>0</v>
          </cell>
          <cell r="I3553">
            <v>0</v>
          </cell>
          <cell r="J3553">
            <v>0</v>
          </cell>
        </row>
        <row r="3554">
          <cell r="A3554">
            <v>1813206432</v>
          </cell>
          <cell r="B3554" t="str">
            <v>מים</v>
          </cell>
          <cell r="C3554">
            <v>0</v>
          </cell>
          <cell r="D3554">
            <v>0</v>
          </cell>
          <cell r="E3554">
            <v>0</v>
          </cell>
          <cell r="F3554">
            <v>0</v>
          </cell>
          <cell r="G3554">
            <v>0</v>
          </cell>
          <cell r="H3554">
            <v>0</v>
          </cell>
          <cell r="I3554">
            <v>0</v>
          </cell>
          <cell r="J3554">
            <v>0</v>
          </cell>
        </row>
        <row r="3555">
          <cell r="A3555">
            <v>1813206723</v>
          </cell>
          <cell r="B3555" t="str">
            <v>חומרים</v>
          </cell>
          <cell r="C3555">
            <v>0</v>
          </cell>
          <cell r="D3555">
            <v>0</v>
          </cell>
          <cell r="E3555">
            <v>0</v>
          </cell>
          <cell r="F3555">
            <v>0</v>
          </cell>
          <cell r="G3555">
            <v>0</v>
          </cell>
          <cell r="H3555">
            <v>0</v>
          </cell>
          <cell r="I3555">
            <v>0</v>
          </cell>
          <cell r="J3555">
            <v>0</v>
          </cell>
        </row>
        <row r="3556">
          <cell r="A3556">
            <v>1813206752</v>
          </cell>
          <cell r="B3556" t="str">
            <v>נקיון בקבלנות</v>
          </cell>
          <cell r="C3556">
            <v>0</v>
          </cell>
          <cell r="D3556">
            <v>0</v>
          </cell>
          <cell r="E3556">
            <v>0</v>
          </cell>
          <cell r="F3556">
            <v>0</v>
          </cell>
          <cell r="G3556">
            <v>0</v>
          </cell>
          <cell r="H3556">
            <v>0</v>
          </cell>
          <cell r="I3556">
            <v>0</v>
          </cell>
          <cell r="J3556">
            <v>0</v>
          </cell>
        </row>
        <row r="3557">
          <cell r="A3557">
            <v>1813206756</v>
          </cell>
          <cell r="B3557" t="str">
            <v>שמירה בקבלנות</v>
          </cell>
          <cell r="C3557">
            <v>0</v>
          </cell>
          <cell r="D3557">
            <v>0</v>
          </cell>
          <cell r="E3557">
            <v>0</v>
          </cell>
          <cell r="F3557">
            <v>0</v>
          </cell>
          <cell r="G3557">
            <v>0</v>
          </cell>
          <cell r="H3557">
            <v>0</v>
          </cell>
          <cell r="I3557">
            <v>0</v>
          </cell>
          <cell r="J3557">
            <v>0</v>
          </cell>
        </row>
        <row r="3558">
          <cell r="A3558">
            <v>1813206762</v>
          </cell>
          <cell r="B3558" t="str">
            <v>שכר מורים - משה"ח</v>
          </cell>
          <cell r="C3558">
            <v>0</v>
          </cell>
          <cell r="D3558">
            <v>0</v>
          </cell>
          <cell r="E3558">
            <v>0</v>
          </cell>
          <cell r="F3558">
            <v>0</v>
          </cell>
          <cell r="G3558">
            <v>0</v>
          </cell>
          <cell r="H3558">
            <v>0</v>
          </cell>
          <cell r="I3558">
            <v>0</v>
          </cell>
          <cell r="J3558">
            <v>0</v>
          </cell>
        </row>
        <row r="3559">
          <cell r="A3559">
            <v>1813206780</v>
          </cell>
          <cell r="B3559" t="str">
            <v>פעולות משה"ח</v>
          </cell>
          <cell r="C3559">
            <v>0</v>
          </cell>
          <cell r="D3559">
            <v>0</v>
          </cell>
          <cell r="E3559">
            <v>0</v>
          </cell>
          <cell r="F3559">
            <v>0</v>
          </cell>
          <cell r="G3559">
            <v>0</v>
          </cell>
          <cell r="H3559">
            <v>0</v>
          </cell>
          <cell r="I3559">
            <v>0</v>
          </cell>
          <cell r="J3559">
            <v>0</v>
          </cell>
        </row>
        <row r="3560">
          <cell r="A3560">
            <v>1813206782</v>
          </cell>
          <cell r="B3560" t="str">
            <v>הזנה</v>
          </cell>
          <cell r="C3560">
            <v>0</v>
          </cell>
          <cell r="D3560">
            <v>0</v>
          </cell>
          <cell r="E3560">
            <v>0</v>
          </cell>
          <cell r="F3560">
            <v>0</v>
          </cell>
          <cell r="G3560">
            <v>0</v>
          </cell>
          <cell r="H3560">
            <v>0</v>
          </cell>
          <cell r="I3560">
            <v>0</v>
          </cell>
          <cell r="J3560">
            <v>0</v>
          </cell>
        </row>
        <row r="3561">
          <cell r="A3561">
            <v>1813206783</v>
          </cell>
          <cell r="B3561" t="str">
            <v>שיכפולים</v>
          </cell>
          <cell r="C3561">
            <v>0</v>
          </cell>
          <cell r="D3561">
            <v>0</v>
          </cell>
          <cell r="E3561">
            <v>0</v>
          </cell>
          <cell r="F3561">
            <v>0</v>
          </cell>
          <cell r="G3561">
            <v>0</v>
          </cell>
          <cell r="H3561">
            <v>0</v>
          </cell>
          <cell r="I3561">
            <v>0</v>
          </cell>
          <cell r="J3561">
            <v>0</v>
          </cell>
        </row>
        <row r="3562">
          <cell r="A3562">
            <v>1813206810</v>
          </cell>
          <cell r="B3562" t="str">
            <v>הקצבה שוטפת</v>
          </cell>
          <cell r="C3562">
            <v>0</v>
          </cell>
          <cell r="D3562">
            <v>0</v>
          </cell>
          <cell r="E3562">
            <v>0</v>
          </cell>
          <cell r="F3562">
            <v>0</v>
          </cell>
          <cell r="G3562">
            <v>0</v>
          </cell>
          <cell r="H3562">
            <v>0</v>
          </cell>
          <cell r="I3562">
            <v>0</v>
          </cell>
          <cell r="J3562">
            <v>0</v>
          </cell>
        </row>
        <row r="3563">
          <cell r="A3563">
            <v>1813206812</v>
          </cell>
          <cell r="B3563" t="str">
            <v>תשלומים לקרן קרב</v>
          </cell>
          <cell r="C3563">
            <v>0</v>
          </cell>
          <cell r="D3563">
            <v>0</v>
          </cell>
          <cell r="E3563">
            <v>0</v>
          </cell>
          <cell r="F3563">
            <v>0</v>
          </cell>
          <cell r="G3563">
            <v>0</v>
          </cell>
          <cell r="H3563">
            <v>0</v>
          </cell>
          <cell r="I3563">
            <v>0</v>
          </cell>
          <cell r="J3563">
            <v>0</v>
          </cell>
        </row>
        <row r="3564">
          <cell r="A3564">
            <v>1813206813</v>
          </cell>
          <cell r="B3564" t="str">
            <v>תשלוחים לקרן רש"י</v>
          </cell>
          <cell r="C3564">
            <v>0</v>
          </cell>
          <cell r="D3564">
            <v>0</v>
          </cell>
          <cell r="E3564">
            <v>0</v>
          </cell>
          <cell r="F3564">
            <v>0</v>
          </cell>
          <cell r="G3564">
            <v>0</v>
          </cell>
          <cell r="H3564">
            <v>0</v>
          </cell>
          <cell r="I3564">
            <v>0</v>
          </cell>
          <cell r="J3564">
            <v>0</v>
          </cell>
        </row>
        <row r="3565">
          <cell r="A3565">
            <v>1813210000</v>
          </cell>
          <cell r="B3565" t="str">
            <v>בית יוסף</v>
          </cell>
          <cell r="C3565">
            <v>0</v>
          </cell>
          <cell r="D3565">
            <v>0</v>
          </cell>
          <cell r="E3565">
            <v>0</v>
          </cell>
          <cell r="F3565">
            <v>0</v>
          </cell>
          <cell r="G3565">
            <v>0</v>
          </cell>
          <cell r="H3565">
            <v>0</v>
          </cell>
          <cell r="I3565">
            <v>0</v>
          </cell>
          <cell r="J3565">
            <v>0</v>
          </cell>
        </row>
        <row r="3566">
          <cell r="A3566">
            <v>1813210810</v>
          </cell>
          <cell r="B3566" t="str">
            <v>הקצבת חינוך</v>
          </cell>
          <cell r="C3566">
            <v>0</v>
          </cell>
          <cell r="D3566">
            <v>0</v>
          </cell>
          <cell r="E3566">
            <v>0</v>
          </cell>
          <cell r="F3566">
            <v>0</v>
          </cell>
          <cell r="G3566">
            <v>0</v>
          </cell>
          <cell r="H3566">
            <v>0</v>
          </cell>
          <cell r="I3566">
            <v>0</v>
          </cell>
          <cell r="J3566">
            <v>0</v>
          </cell>
        </row>
        <row r="3567">
          <cell r="A3567">
            <v>1813210811</v>
          </cell>
          <cell r="B3567" t="str">
            <v>הקצבת שמירה</v>
          </cell>
          <cell r="C3567">
            <v>0</v>
          </cell>
          <cell r="D3567">
            <v>0</v>
          </cell>
          <cell r="E3567">
            <v>0</v>
          </cell>
          <cell r="F3567">
            <v>0</v>
          </cell>
          <cell r="G3567">
            <v>0</v>
          </cell>
          <cell r="H3567">
            <v>0</v>
          </cell>
          <cell r="I3567">
            <v>0</v>
          </cell>
          <cell r="J3567">
            <v>0</v>
          </cell>
        </row>
        <row r="3568">
          <cell r="A3568">
            <v>1813210812</v>
          </cell>
          <cell r="B3568" t="str">
            <v>הקצבת מ' אזעקה</v>
          </cell>
          <cell r="C3568">
            <v>0</v>
          </cell>
          <cell r="D3568">
            <v>0</v>
          </cell>
          <cell r="E3568">
            <v>0</v>
          </cell>
          <cell r="F3568">
            <v>0</v>
          </cell>
          <cell r="G3568">
            <v>0</v>
          </cell>
          <cell r="H3568">
            <v>0</v>
          </cell>
          <cell r="I3568">
            <v>0</v>
          </cell>
          <cell r="J3568">
            <v>0</v>
          </cell>
        </row>
        <row r="3569">
          <cell r="A3569">
            <v>1813210813</v>
          </cell>
          <cell r="B3569" t="str">
            <v>הקצבת גינון</v>
          </cell>
          <cell r="C3569">
            <v>0</v>
          </cell>
          <cell r="D3569">
            <v>0</v>
          </cell>
          <cell r="E3569">
            <v>0</v>
          </cell>
          <cell r="F3569">
            <v>0</v>
          </cell>
          <cell r="G3569">
            <v>0</v>
          </cell>
          <cell r="H3569">
            <v>0</v>
          </cell>
          <cell r="I3569">
            <v>0</v>
          </cell>
          <cell r="J3569">
            <v>0</v>
          </cell>
        </row>
        <row r="3570">
          <cell r="A3570">
            <v>1813211000</v>
          </cell>
          <cell r="B3570" t="str">
            <v>בנות ציון</v>
          </cell>
          <cell r="C3570">
            <v>0</v>
          </cell>
          <cell r="D3570">
            <v>0</v>
          </cell>
          <cell r="E3570">
            <v>0</v>
          </cell>
          <cell r="F3570">
            <v>0</v>
          </cell>
          <cell r="G3570">
            <v>0</v>
          </cell>
          <cell r="H3570">
            <v>0</v>
          </cell>
          <cell r="I3570">
            <v>0</v>
          </cell>
          <cell r="J3570">
            <v>0</v>
          </cell>
        </row>
        <row r="3571">
          <cell r="A3571">
            <v>1813211810</v>
          </cell>
          <cell r="B3571" t="str">
            <v>הקצבת חינוך</v>
          </cell>
          <cell r="C3571">
            <v>0</v>
          </cell>
          <cell r="D3571">
            <v>0</v>
          </cell>
          <cell r="E3571">
            <v>0</v>
          </cell>
          <cell r="F3571">
            <v>0</v>
          </cell>
          <cell r="G3571">
            <v>0</v>
          </cell>
          <cell r="H3571">
            <v>0</v>
          </cell>
          <cell r="I3571">
            <v>0</v>
          </cell>
          <cell r="J3571">
            <v>0</v>
          </cell>
        </row>
        <row r="3572">
          <cell r="A3572">
            <v>1813211811</v>
          </cell>
          <cell r="B3572" t="str">
            <v>הקצבת שמירה</v>
          </cell>
          <cell r="C3572">
            <v>0</v>
          </cell>
          <cell r="D3572">
            <v>0</v>
          </cell>
          <cell r="E3572">
            <v>0</v>
          </cell>
          <cell r="F3572">
            <v>0</v>
          </cell>
          <cell r="G3572">
            <v>0</v>
          </cell>
          <cell r="H3572">
            <v>0</v>
          </cell>
          <cell r="I3572">
            <v>0</v>
          </cell>
          <cell r="J3572">
            <v>0</v>
          </cell>
        </row>
        <row r="3573">
          <cell r="A3573">
            <v>1813211812</v>
          </cell>
          <cell r="B3573" t="str">
            <v>הקצבת מ' הזעקה</v>
          </cell>
          <cell r="C3573">
            <v>0</v>
          </cell>
          <cell r="D3573">
            <v>0</v>
          </cell>
          <cell r="E3573">
            <v>0</v>
          </cell>
          <cell r="F3573">
            <v>0</v>
          </cell>
          <cell r="G3573">
            <v>0</v>
          </cell>
          <cell r="H3573">
            <v>0</v>
          </cell>
          <cell r="I3573">
            <v>0</v>
          </cell>
          <cell r="J3573">
            <v>0</v>
          </cell>
        </row>
        <row r="3574">
          <cell r="A3574">
            <v>1813211813</v>
          </cell>
          <cell r="B3574" t="str">
            <v>הקצבת גינון</v>
          </cell>
          <cell r="C3574">
            <v>0</v>
          </cell>
          <cell r="D3574">
            <v>0</v>
          </cell>
          <cell r="E3574">
            <v>0</v>
          </cell>
          <cell r="F3574">
            <v>0</v>
          </cell>
          <cell r="G3574">
            <v>0</v>
          </cell>
          <cell r="H3574">
            <v>0</v>
          </cell>
          <cell r="I3574">
            <v>0</v>
          </cell>
          <cell r="J3574">
            <v>0</v>
          </cell>
        </row>
        <row r="3575">
          <cell r="A3575">
            <v>1813212000</v>
          </cell>
          <cell r="B3575" t="str">
            <v>מפי עוללים</v>
          </cell>
          <cell r="C3575">
            <v>0</v>
          </cell>
          <cell r="D3575">
            <v>0</v>
          </cell>
          <cell r="E3575">
            <v>0</v>
          </cell>
          <cell r="F3575">
            <v>0</v>
          </cell>
          <cell r="G3575">
            <v>0</v>
          </cell>
          <cell r="H3575">
            <v>0</v>
          </cell>
          <cell r="I3575">
            <v>0</v>
          </cell>
          <cell r="J3575">
            <v>0</v>
          </cell>
        </row>
        <row r="3576">
          <cell r="A3576">
            <v>1813212810</v>
          </cell>
          <cell r="B3576" t="str">
            <v>הקצבת חינוך</v>
          </cell>
          <cell r="C3576">
            <v>0</v>
          </cell>
          <cell r="D3576">
            <v>0</v>
          </cell>
          <cell r="E3576">
            <v>0</v>
          </cell>
          <cell r="F3576">
            <v>0</v>
          </cell>
          <cell r="G3576">
            <v>0</v>
          </cell>
          <cell r="H3576">
            <v>0</v>
          </cell>
          <cell r="I3576">
            <v>0</v>
          </cell>
          <cell r="J3576">
            <v>0</v>
          </cell>
        </row>
        <row r="3577">
          <cell r="A3577">
            <v>1813212811</v>
          </cell>
          <cell r="B3577" t="str">
            <v>הקצבת שמירה</v>
          </cell>
          <cell r="C3577">
            <v>0</v>
          </cell>
          <cell r="D3577">
            <v>0</v>
          </cell>
          <cell r="E3577">
            <v>0</v>
          </cell>
          <cell r="F3577">
            <v>0</v>
          </cell>
          <cell r="G3577">
            <v>0</v>
          </cell>
          <cell r="H3577">
            <v>0</v>
          </cell>
          <cell r="I3577">
            <v>0</v>
          </cell>
          <cell r="J3577">
            <v>0</v>
          </cell>
        </row>
        <row r="3578">
          <cell r="A3578">
            <v>1813212812</v>
          </cell>
          <cell r="B3578" t="str">
            <v>הקצבת מ' אזעקה</v>
          </cell>
          <cell r="C3578">
            <v>0</v>
          </cell>
          <cell r="D3578">
            <v>0</v>
          </cell>
          <cell r="E3578">
            <v>0</v>
          </cell>
          <cell r="F3578">
            <v>0</v>
          </cell>
          <cell r="G3578">
            <v>0</v>
          </cell>
          <cell r="H3578">
            <v>0</v>
          </cell>
          <cell r="I3578">
            <v>0</v>
          </cell>
          <cell r="J3578">
            <v>0</v>
          </cell>
        </row>
        <row r="3579">
          <cell r="A3579">
            <v>1813212813</v>
          </cell>
          <cell r="B3579" t="str">
            <v>הקצבת גינון</v>
          </cell>
          <cell r="C3579">
            <v>0</v>
          </cell>
          <cell r="D3579">
            <v>0</v>
          </cell>
          <cell r="E3579">
            <v>0</v>
          </cell>
          <cell r="F3579">
            <v>0</v>
          </cell>
          <cell r="G3579">
            <v>0</v>
          </cell>
          <cell r="H3579">
            <v>0</v>
          </cell>
          <cell r="I3579">
            <v>0</v>
          </cell>
          <cell r="J3579">
            <v>0</v>
          </cell>
        </row>
        <row r="3580">
          <cell r="A3580">
            <v>1813213000</v>
          </cell>
          <cell r="B3580" t="str">
            <v>בית דוד-בנים</v>
          </cell>
          <cell r="C3580">
            <v>0</v>
          </cell>
          <cell r="D3580">
            <v>0</v>
          </cell>
          <cell r="E3580">
            <v>0</v>
          </cell>
          <cell r="F3580">
            <v>0</v>
          </cell>
          <cell r="G3580">
            <v>0</v>
          </cell>
          <cell r="H3580">
            <v>0</v>
          </cell>
          <cell r="I3580">
            <v>0</v>
          </cell>
          <cell r="J3580">
            <v>0</v>
          </cell>
        </row>
        <row r="3581">
          <cell r="A3581">
            <v>1813213810</v>
          </cell>
          <cell r="B3581" t="str">
            <v>הקצבת חינוך</v>
          </cell>
          <cell r="C3581">
            <v>0</v>
          </cell>
          <cell r="D3581">
            <v>0</v>
          </cell>
          <cell r="E3581">
            <v>0</v>
          </cell>
          <cell r="F3581">
            <v>0</v>
          </cell>
          <cell r="G3581">
            <v>0</v>
          </cell>
          <cell r="H3581">
            <v>0</v>
          </cell>
          <cell r="I3581">
            <v>0</v>
          </cell>
          <cell r="J3581">
            <v>0</v>
          </cell>
        </row>
        <row r="3582">
          <cell r="A3582">
            <v>1813213811</v>
          </cell>
          <cell r="B3582" t="str">
            <v>הקצבת שמירה</v>
          </cell>
          <cell r="C3582">
            <v>0</v>
          </cell>
          <cell r="D3582">
            <v>0</v>
          </cell>
          <cell r="E3582">
            <v>0</v>
          </cell>
          <cell r="F3582">
            <v>0</v>
          </cell>
          <cell r="G3582">
            <v>0</v>
          </cell>
          <cell r="H3582">
            <v>0</v>
          </cell>
          <cell r="I3582">
            <v>0</v>
          </cell>
          <cell r="J3582">
            <v>0</v>
          </cell>
        </row>
        <row r="3583">
          <cell r="A3583">
            <v>1813213812</v>
          </cell>
          <cell r="B3583" t="str">
            <v>הקצבת מ' הזעקה</v>
          </cell>
          <cell r="C3583">
            <v>0</v>
          </cell>
          <cell r="D3583">
            <v>0</v>
          </cell>
          <cell r="E3583">
            <v>0</v>
          </cell>
          <cell r="F3583">
            <v>0</v>
          </cell>
          <cell r="G3583">
            <v>0</v>
          </cell>
          <cell r="H3583">
            <v>0</v>
          </cell>
          <cell r="I3583">
            <v>0</v>
          </cell>
          <cell r="J3583">
            <v>0</v>
          </cell>
        </row>
        <row r="3584">
          <cell r="A3584">
            <v>1813213813</v>
          </cell>
          <cell r="B3584" t="str">
            <v>הקצבת גינון</v>
          </cell>
          <cell r="C3584">
            <v>0</v>
          </cell>
          <cell r="D3584">
            <v>0</v>
          </cell>
          <cell r="E3584">
            <v>0</v>
          </cell>
          <cell r="F3584">
            <v>0</v>
          </cell>
          <cell r="G3584">
            <v>0</v>
          </cell>
          <cell r="H3584">
            <v>0</v>
          </cell>
          <cell r="I3584">
            <v>0</v>
          </cell>
          <cell r="J3584">
            <v>0</v>
          </cell>
        </row>
        <row r="3585">
          <cell r="A3585">
            <v>1813214000</v>
          </cell>
          <cell r="B3585" t="str">
            <v>בית דוד-בנות</v>
          </cell>
          <cell r="C3585">
            <v>0</v>
          </cell>
          <cell r="D3585">
            <v>0</v>
          </cell>
          <cell r="E3585">
            <v>0</v>
          </cell>
          <cell r="F3585">
            <v>0</v>
          </cell>
          <cell r="G3585">
            <v>0</v>
          </cell>
          <cell r="H3585">
            <v>0</v>
          </cell>
          <cell r="I3585">
            <v>0</v>
          </cell>
          <cell r="J3585">
            <v>0</v>
          </cell>
        </row>
        <row r="3586">
          <cell r="A3586">
            <v>1813214810</v>
          </cell>
          <cell r="B3586" t="str">
            <v>הקצבת חינוך</v>
          </cell>
          <cell r="C3586">
            <v>0</v>
          </cell>
          <cell r="D3586">
            <v>0</v>
          </cell>
          <cell r="E3586">
            <v>0</v>
          </cell>
          <cell r="F3586">
            <v>0</v>
          </cell>
          <cell r="G3586">
            <v>0</v>
          </cell>
          <cell r="H3586">
            <v>0</v>
          </cell>
          <cell r="I3586">
            <v>0</v>
          </cell>
          <cell r="J3586">
            <v>0</v>
          </cell>
        </row>
        <row r="3587">
          <cell r="A3587">
            <v>1813214811</v>
          </cell>
          <cell r="B3587" t="str">
            <v>הקצבת שמירה</v>
          </cell>
          <cell r="C3587">
            <v>0</v>
          </cell>
          <cell r="D3587">
            <v>0</v>
          </cell>
          <cell r="E3587">
            <v>0</v>
          </cell>
          <cell r="F3587">
            <v>0</v>
          </cell>
          <cell r="G3587">
            <v>0</v>
          </cell>
          <cell r="H3587">
            <v>0</v>
          </cell>
          <cell r="I3587">
            <v>0</v>
          </cell>
          <cell r="J3587">
            <v>0</v>
          </cell>
        </row>
        <row r="3588">
          <cell r="A3588">
            <v>1813214812</v>
          </cell>
          <cell r="B3588" t="str">
            <v>הקצבת מ' אזעקה</v>
          </cell>
          <cell r="C3588">
            <v>0</v>
          </cell>
          <cell r="D3588">
            <v>0</v>
          </cell>
          <cell r="E3588">
            <v>0</v>
          </cell>
          <cell r="F3588">
            <v>0</v>
          </cell>
          <cell r="G3588">
            <v>0</v>
          </cell>
          <cell r="H3588">
            <v>0</v>
          </cell>
          <cell r="I3588">
            <v>0</v>
          </cell>
          <cell r="J3588">
            <v>0</v>
          </cell>
        </row>
        <row r="3589">
          <cell r="A3589">
            <v>1813214813</v>
          </cell>
          <cell r="B3589" t="str">
            <v>הקצבת גינון</v>
          </cell>
          <cell r="C3589">
            <v>0</v>
          </cell>
          <cell r="D3589">
            <v>0</v>
          </cell>
          <cell r="E3589">
            <v>0</v>
          </cell>
          <cell r="F3589">
            <v>0</v>
          </cell>
          <cell r="G3589">
            <v>0</v>
          </cell>
          <cell r="H3589">
            <v>0</v>
          </cell>
          <cell r="I3589">
            <v>0</v>
          </cell>
          <cell r="J3589">
            <v>0</v>
          </cell>
        </row>
        <row r="3590">
          <cell r="A3590">
            <v>1813300110</v>
          </cell>
          <cell r="B3590" t="str">
            <v>השכר הקובע-תקציבית</v>
          </cell>
          <cell r="C3590">
            <v>229900</v>
          </cell>
          <cell r="D3590">
            <v>305844.47999999998</v>
          </cell>
          <cell r="E3590">
            <v>0</v>
          </cell>
          <cell r="F3590">
            <v>305844.47999999998</v>
          </cell>
          <cell r="G3590">
            <v>-75944.479999999996</v>
          </cell>
          <cell r="H3590">
            <v>133.03</v>
          </cell>
          <cell r="I3590">
            <v>242000</v>
          </cell>
          <cell r="J3590">
            <v>305844.47999999998</v>
          </cell>
        </row>
        <row r="3591">
          <cell r="A3591">
            <v>1813300119</v>
          </cell>
          <cell r="B3591" t="str">
            <v>השכר הקובע-צוברת</v>
          </cell>
          <cell r="C3591">
            <v>1360970</v>
          </cell>
          <cell r="D3591">
            <v>1223376.6000000001</v>
          </cell>
          <cell r="E3591">
            <v>0</v>
          </cell>
          <cell r="F3591">
            <v>1223376.6000000001</v>
          </cell>
          <cell r="G3591">
            <v>137593.4</v>
          </cell>
          <cell r="H3591">
            <v>89.89</v>
          </cell>
          <cell r="I3591">
            <v>1432600</v>
          </cell>
          <cell r="J3591">
            <v>1223376.6000000001</v>
          </cell>
        </row>
        <row r="3592">
          <cell r="A3592">
            <v>1813300122</v>
          </cell>
          <cell r="B3592" t="str">
            <v>ביגוד</v>
          </cell>
          <cell r="C3592">
            <v>22230</v>
          </cell>
          <cell r="D3592">
            <v>21703.68</v>
          </cell>
          <cell r="E3592">
            <v>0</v>
          </cell>
          <cell r="F3592">
            <v>21703.68</v>
          </cell>
          <cell r="G3592">
            <v>526.32000000000005</v>
          </cell>
          <cell r="H3592">
            <v>97.63</v>
          </cell>
          <cell r="I3592">
            <v>23400</v>
          </cell>
          <cell r="J3592">
            <v>21703.68</v>
          </cell>
        </row>
        <row r="3593">
          <cell r="A3593">
            <v>1813300126</v>
          </cell>
          <cell r="B3593" t="str">
            <v>דמי הבראה</v>
          </cell>
          <cell r="C3593">
            <v>44650</v>
          </cell>
          <cell r="D3593">
            <v>62786.239999999998</v>
          </cell>
          <cell r="E3593">
            <v>0</v>
          </cell>
          <cell r="F3593">
            <v>62786.239999999998</v>
          </cell>
          <cell r="G3593">
            <v>-18136.240000000002</v>
          </cell>
          <cell r="H3593">
            <v>140.61000000000001</v>
          </cell>
          <cell r="I3593">
            <v>47000</v>
          </cell>
          <cell r="J3593">
            <v>62786.239999999998</v>
          </cell>
        </row>
        <row r="3594">
          <cell r="A3594">
            <v>1813300130</v>
          </cell>
          <cell r="B3594" t="str">
            <v>שעות נוספות</v>
          </cell>
          <cell r="C3594">
            <v>4750</v>
          </cell>
          <cell r="D3594">
            <v>4063.7</v>
          </cell>
          <cell r="E3594">
            <v>0</v>
          </cell>
          <cell r="F3594">
            <v>4063.7</v>
          </cell>
          <cell r="G3594">
            <v>686.3</v>
          </cell>
          <cell r="H3594">
            <v>85.55</v>
          </cell>
          <cell r="I3594">
            <v>5000</v>
          </cell>
          <cell r="J3594">
            <v>4063.7</v>
          </cell>
        </row>
        <row r="3595">
          <cell r="A3595">
            <v>1813300140</v>
          </cell>
          <cell r="B3595" t="str">
            <v>השתתפות באחזקת רכב</v>
          </cell>
          <cell r="C3595">
            <v>119795</v>
          </cell>
          <cell r="D3595">
            <v>117642.6</v>
          </cell>
          <cell r="E3595">
            <v>0</v>
          </cell>
          <cell r="F3595">
            <v>117642.6</v>
          </cell>
          <cell r="G3595">
            <v>2152.4</v>
          </cell>
          <cell r="H3595">
            <v>98.2</v>
          </cell>
          <cell r="I3595">
            <v>126100</v>
          </cell>
          <cell r="J3595">
            <v>117642.6</v>
          </cell>
        </row>
        <row r="3596">
          <cell r="A3596">
            <v>1813300210</v>
          </cell>
          <cell r="B3596" t="str">
            <v>השכר הקובע</v>
          </cell>
          <cell r="C3596">
            <v>66500</v>
          </cell>
          <cell r="D3596">
            <v>41303.71</v>
          </cell>
          <cell r="E3596">
            <v>0</v>
          </cell>
          <cell r="F3596">
            <v>41303.71</v>
          </cell>
          <cell r="G3596">
            <v>25196.29</v>
          </cell>
          <cell r="H3596">
            <v>62.11</v>
          </cell>
          <cell r="I3596">
            <v>70000</v>
          </cell>
          <cell r="J3596">
            <v>41303.71</v>
          </cell>
        </row>
        <row r="3597">
          <cell r="A3597">
            <v>1813300212</v>
          </cell>
          <cell r="B3597" t="str">
            <v>חינוך תעבורתי-חלץ</v>
          </cell>
          <cell r="C3597">
            <v>0</v>
          </cell>
          <cell r="D3597">
            <v>0</v>
          </cell>
          <cell r="E3597">
            <v>0</v>
          </cell>
          <cell r="F3597">
            <v>0</v>
          </cell>
          <cell r="G3597">
            <v>0</v>
          </cell>
          <cell r="H3597">
            <v>0</v>
          </cell>
          <cell r="I3597">
            <v>0</v>
          </cell>
          <cell r="J3597">
            <v>0</v>
          </cell>
        </row>
        <row r="3598">
          <cell r="A3598">
            <v>1813300253</v>
          </cell>
          <cell r="B3598" t="str">
            <v>עובדי מתי"א</v>
          </cell>
          <cell r="C3598">
            <v>0</v>
          </cell>
          <cell r="D3598">
            <v>0</v>
          </cell>
          <cell r="E3598">
            <v>0</v>
          </cell>
          <cell r="F3598">
            <v>0</v>
          </cell>
          <cell r="G3598">
            <v>0</v>
          </cell>
          <cell r="H3598">
            <v>0</v>
          </cell>
          <cell r="I3598">
            <v>0</v>
          </cell>
          <cell r="J3598">
            <v>0</v>
          </cell>
        </row>
        <row r="3599">
          <cell r="A3599">
            <v>1813300263</v>
          </cell>
          <cell r="B3599" t="str">
            <v>עובדי מינהלה</v>
          </cell>
          <cell r="C3599">
            <v>0</v>
          </cell>
          <cell r="D3599">
            <v>30892.75</v>
          </cell>
          <cell r="E3599">
            <v>0</v>
          </cell>
          <cell r="F3599">
            <v>30892.75</v>
          </cell>
          <cell r="G3599">
            <v>-30892.75</v>
          </cell>
          <cell r="H3599">
            <v>0</v>
          </cell>
          <cell r="I3599">
            <v>0</v>
          </cell>
          <cell r="J3599">
            <v>30892.75</v>
          </cell>
        </row>
        <row r="3600">
          <cell r="A3600">
            <v>1813300264</v>
          </cell>
          <cell r="B3600" t="str">
            <v>סייעות-מוסדות+חברה</v>
          </cell>
          <cell r="C3600">
            <v>0</v>
          </cell>
          <cell r="D3600">
            <v>0</v>
          </cell>
          <cell r="E3600">
            <v>0</v>
          </cell>
          <cell r="F3600">
            <v>0</v>
          </cell>
          <cell r="G3600">
            <v>0</v>
          </cell>
          <cell r="H3600">
            <v>0</v>
          </cell>
          <cell r="I3600">
            <v>0</v>
          </cell>
          <cell r="J3600">
            <v>0</v>
          </cell>
        </row>
        <row r="3601">
          <cell r="A3601">
            <v>1813300391</v>
          </cell>
          <cell r="B3601" t="str">
            <v>הפרשה לפנסיה</v>
          </cell>
          <cell r="C3601">
            <v>0</v>
          </cell>
          <cell r="D3601">
            <v>0</v>
          </cell>
          <cell r="E3601">
            <v>0</v>
          </cell>
          <cell r="F3601">
            <v>0</v>
          </cell>
          <cell r="G3601">
            <v>0</v>
          </cell>
          <cell r="H3601">
            <v>0</v>
          </cell>
          <cell r="I3601">
            <v>0</v>
          </cell>
          <cell r="J3601">
            <v>0</v>
          </cell>
        </row>
        <row r="3602">
          <cell r="A3602">
            <v>1813300411</v>
          </cell>
          <cell r="B3602" t="str">
            <v>שכירת אולמות</v>
          </cell>
          <cell r="C3602">
            <v>0</v>
          </cell>
          <cell r="D3602">
            <v>0</v>
          </cell>
          <cell r="E3602">
            <v>0</v>
          </cell>
          <cell r="F3602">
            <v>0</v>
          </cell>
          <cell r="G3602">
            <v>0</v>
          </cell>
          <cell r="H3602">
            <v>0</v>
          </cell>
          <cell r="I3602">
            <v>0</v>
          </cell>
          <cell r="J3602">
            <v>0</v>
          </cell>
        </row>
        <row r="3603">
          <cell r="A3603">
            <v>1813300420</v>
          </cell>
          <cell r="B3603" t="str">
            <v>כיבוי אש</v>
          </cell>
          <cell r="C3603">
            <v>15200</v>
          </cell>
          <cell r="D3603">
            <v>14201.12</v>
          </cell>
          <cell r="E3603">
            <v>0</v>
          </cell>
          <cell r="F3603">
            <v>14201.12</v>
          </cell>
          <cell r="G3603">
            <v>998.88</v>
          </cell>
          <cell r="H3603">
            <v>93.42</v>
          </cell>
          <cell r="I3603">
            <v>16000</v>
          </cell>
          <cell r="J3603">
            <v>14201.12</v>
          </cell>
        </row>
        <row r="3604">
          <cell r="A3604">
            <v>1813300423</v>
          </cell>
          <cell r="B3604" t="str">
            <v>תחזוקת מבנה</v>
          </cell>
          <cell r="C3604">
            <v>114000</v>
          </cell>
          <cell r="D3604">
            <v>120000</v>
          </cell>
          <cell r="E3604">
            <v>0</v>
          </cell>
          <cell r="F3604">
            <v>120000</v>
          </cell>
          <cell r="G3604">
            <v>-6000</v>
          </cell>
          <cell r="H3604">
            <v>105.26</v>
          </cell>
          <cell r="I3604">
            <v>120000</v>
          </cell>
          <cell r="J3604">
            <v>120000</v>
          </cell>
        </row>
        <row r="3605">
          <cell r="A3605">
            <v>1813300431</v>
          </cell>
          <cell r="B3605" t="str">
            <v>חשמל</v>
          </cell>
          <cell r="C3605">
            <v>209000</v>
          </cell>
          <cell r="D3605">
            <v>137114.19</v>
          </cell>
          <cell r="E3605">
            <v>0</v>
          </cell>
          <cell r="F3605">
            <v>137114.19</v>
          </cell>
          <cell r="G3605">
            <v>71885.81</v>
          </cell>
          <cell r="H3605">
            <v>65.599999999999994</v>
          </cell>
          <cell r="I3605">
            <v>220000</v>
          </cell>
          <cell r="J3605">
            <v>137114.19</v>
          </cell>
        </row>
        <row r="3606">
          <cell r="A3606">
            <v>1813300432</v>
          </cell>
          <cell r="B3606" t="str">
            <v>מים</v>
          </cell>
          <cell r="C3606">
            <v>116280</v>
          </cell>
          <cell r="D3606">
            <v>122399.23</v>
          </cell>
          <cell r="E3606">
            <v>0</v>
          </cell>
          <cell r="F3606">
            <v>122399.23</v>
          </cell>
          <cell r="G3606">
            <v>-6119.23</v>
          </cell>
          <cell r="H3606">
            <v>105.26</v>
          </cell>
          <cell r="I3606">
            <v>122400</v>
          </cell>
          <cell r="J3606">
            <v>122399.23</v>
          </cell>
        </row>
        <row r="3607">
          <cell r="A3607">
            <v>1813300433</v>
          </cell>
          <cell r="B3607" t="str">
            <v>חומרי נקיון</v>
          </cell>
          <cell r="C3607">
            <v>0</v>
          </cell>
          <cell r="D3607">
            <v>0</v>
          </cell>
          <cell r="E3607">
            <v>0</v>
          </cell>
          <cell r="F3607">
            <v>0</v>
          </cell>
          <cell r="G3607">
            <v>0</v>
          </cell>
          <cell r="H3607">
            <v>0</v>
          </cell>
          <cell r="I3607">
            <v>0</v>
          </cell>
          <cell r="J3607">
            <v>0</v>
          </cell>
        </row>
        <row r="3608">
          <cell r="A3608">
            <v>1813300434</v>
          </cell>
          <cell r="B3608" t="str">
            <v>חיטוי והדברה</v>
          </cell>
          <cell r="C3608">
            <v>475</v>
          </cell>
          <cell r="D3608">
            <v>0</v>
          </cell>
          <cell r="E3608">
            <v>0</v>
          </cell>
          <cell r="F3608">
            <v>0</v>
          </cell>
          <cell r="G3608">
            <v>475</v>
          </cell>
          <cell r="H3608">
            <v>0</v>
          </cell>
          <cell r="I3608">
            <v>500</v>
          </cell>
          <cell r="J3608">
            <v>0</v>
          </cell>
        </row>
        <row r="3609">
          <cell r="A3609">
            <v>1813300437</v>
          </cell>
          <cell r="B3609" t="str">
            <v>אחזקת אזעקה</v>
          </cell>
          <cell r="C3609">
            <v>7980</v>
          </cell>
          <cell r="D3609">
            <v>6107.4</v>
          </cell>
          <cell r="E3609">
            <v>0</v>
          </cell>
          <cell r="F3609">
            <v>6107.4</v>
          </cell>
          <cell r="G3609">
            <v>1872.6</v>
          </cell>
          <cell r="H3609">
            <v>76.53</v>
          </cell>
          <cell r="I3609">
            <v>8400</v>
          </cell>
          <cell r="J3609">
            <v>6107.4</v>
          </cell>
        </row>
        <row r="3610">
          <cell r="A3610">
            <v>1813300441</v>
          </cell>
          <cell r="B3610" t="str">
            <v>ביטוח</v>
          </cell>
          <cell r="C3610">
            <v>0</v>
          </cell>
          <cell r="D3610">
            <v>0</v>
          </cell>
          <cell r="E3610">
            <v>0</v>
          </cell>
          <cell r="F3610">
            <v>0</v>
          </cell>
          <cell r="G3610">
            <v>0</v>
          </cell>
          <cell r="H3610">
            <v>0</v>
          </cell>
          <cell r="I3610">
            <v>0</v>
          </cell>
          <cell r="J3610">
            <v>0</v>
          </cell>
        </row>
        <row r="3611">
          <cell r="A3611">
            <v>1813300450</v>
          </cell>
          <cell r="B3611" t="str">
            <v>אחזקת תמי 4</v>
          </cell>
          <cell r="C3611">
            <v>1140</v>
          </cell>
          <cell r="D3611">
            <v>0</v>
          </cell>
          <cell r="E3611">
            <v>0</v>
          </cell>
          <cell r="F3611">
            <v>0</v>
          </cell>
          <cell r="G3611">
            <v>1140</v>
          </cell>
          <cell r="H3611">
            <v>0</v>
          </cell>
          <cell r="I3611">
            <v>1200</v>
          </cell>
          <cell r="J3611">
            <v>0</v>
          </cell>
        </row>
        <row r="3612">
          <cell r="A3612">
            <v>1813300470</v>
          </cell>
          <cell r="B3612" t="str">
            <v>אחזקת מכונות משרד</v>
          </cell>
          <cell r="C3612">
            <v>0</v>
          </cell>
          <cell r="D3612">
            <v>0</v>
          </cell>
          <cell r="E3612">
            <v>0</v>
          </cell>
          <cell r="F3612">
            <v>0</v>
          </cell>
          <cell r="G3612">
            <v>0</v>
          </cell>
          <cell r="H3612">
            <v>0</v>
          </cell>
          <cell r="I3612">
            <v>0</v>
          </cell>
          <cell r="J3612">
            <v>0</v>
          </cell>
        </row>
        <row r="3613">
          <cell r="A3613">
            <v>1813300471</v>
          </cell>
          <cell r="B3613" t="str">
            <v>מכשירי כתיבה</v>
          </cell>
          <cell r="C3613">
            <v>0</v>
          </cell>
          <cell r="D3613">
            <v>0</v>
          </cell>
          <cell r="E3613">
            <v>0</v>
          </cell>
          <cell r="F3613">
            <v>0</v>
          </cell>
          <cell r="G3613">
            <v>0</v>
          </cell>
          <cell r="H3613">
            <v>0</v>
          </cell>
          <cell r="I3613">
            <v>0</v>
          </cell>
          <cell r="J3613">
            <v>0</v>
          </cell>
        </row>
        <row r="3614">
          <cell r="A3614">
            <v>1813300511</v>
          </cell>
          <cell r="B3614" t="str">
            <v>אירוח וכיבוד</v>
          </cell>
          <cell r="C3614">
            <v>28500</v>
          </cell>
          <cell r="D3614">
            <v>36381.31</v>
          </cell>
          <cell r="E3614">
            <v>0</v>
          </cell>
          <cell r="F3614">
            <v>36381.31</v>
          </cell>
          <cell r="G3614">
            <v>-7881.31</v>
          </cell>
          <cell r="H3614">
            <v>127.65</v>
          </cell>
          <cell r="I3614">
            <v>30000</v>
          </cell>
          <cell r="J3614">
            <v>36381.31</v>
          </cell>
        </row>
        <row r="3615">
          <cell r="A3615">
            <v>1813300512</v>
          </cell>
          <cell r="B3615" t="str">
            <v>נסיעות ואש"ל</v>
          </cell>
          <cell r="C3615">
            <v>0</v>
          </cell>
          <cell r="D3615">
            <v>0</v>
          </cell>
          <cell r="E3615">
            <v>0</v>
          </cell>
          <cell r="F3615">
            <v>0</v>
          </cell>
          <cell r="G3615">
            <v>0</v>
          </cell>
          <cell r="H3615">
            <v>0</v>
          </cell>
          <cell r="I3615">
            <v>0</v>
          </cell>
          <cell r="J3615">
            <v>0</v>
          </cell>
        </row>
        <row r="3616">
          <cell r="A3616">
            <v>1813300530</v>
          </cell>
          <cell r="B3616" t="str">
            <v>אופניים לעובדים</v>
          </cell>
          <cell r="C3616">
            <v>0</v>
          </cell>
          <cell r="D3616">
            <v>0</v>
          </cell>
          <cell r="E3616">
            <v>0</v>
          </cell>
          <cell r="F3616">
            <v>0</v>
          </cell>
          <cell r="G3616">
            <v>0</v>
          </cell>
          <cell r="H3616">
            <v>0</v>
          </cell>
          <cell r="I3616">
            <v>0</v>
          </cell>
          <cell r="J3616">
            <v>0</v>
          </cell>
        </row>
        <row r="3617">
          <cell r="A3617">
            <v>1813300540</v>
          </cell>
          <cell r="B3617" t="str">
            <v>הוצאות טלפון</v>
          </cell>
          <cell r="C3617">
            <v>0</v>
          </cell>
          <cell r="D3617">
            <v>0</v>
          </cell>
          <cell r="E3617">
            <v>0</v>
          </cell>
          <cell r="F3617">
            <v>0</v>
          </cell>
          <cell r="G3617">
            <v>0</v>
          </cell>
          <cell r="H3617">
            <v>0</v>
          </cell>
          <cell r="I3617">
            <v>0</v>
          </cell>
          <cell r="J3617">
            <v>0</v>
          </cell>
        </row>
        <row r="3618">
          <cell r="A3618">
            <v>1813300544</v>
          </cell>
          <cell r="B3618" t="str">
            <v>הוצאות דאר</v>
          </cell>
          <cell r="C3618">
            <v>0</v>
          </cell>
          <cell r="D3618">
            <v>0</v>
          </cell>
          <cell r="E3618">
            <v>0</v>
          </cell>
          <cell r="F3618">
            <v>0</v>
          </cell>
          <cell r="G3618">
            <v>0</v>
          </cell>
          <cell r="H3618">
            <v>0</v>
          </cell>
          <cell r="I3618">
            <v>0</v>
          </cell>
          <cell r="J3618">
            <v>0</v>
          </cell>
        </row>
        <row r="3619">
          <cell r="A3619">
            <v>1813300561</v>
          </cell>
          <cell r="B3619" t="str">
            <v>שיכפולים</v>
          </cell>
          <cell r="C3619">
            <v>0</v>
          </cell>
          <cell r="D3619">
            <v>0</v>
          </cell>
          <cell r="E3619">
            <v>0</v>
          </cell>
          <cell r="F3619">
            <v>0</v>
          </cell>
          <cell r="G3619">
            <v>0</v>
          </cell>
          <cell r="H3619">
            <v>0</v>
          </cell>
          <cell r="I3619">
            <v>0</v>
          </cell>
          <cell r="J3619">
            <v>0</v>
          </cell>
        </row>
        <row r="3620">
          <cell r="A3620">
            <v>1813300563</v>
          </cell>
          <cell r="B3620" t="str">
            <v>תשלום לאוטומציה</v>
          </cell>
          <cell r="C3620">
            <v>0</v>
          </cell>
          <cell r="D3620">
            <v>0</v>
          </cell>
          <cell r="E3620">
            <v>0</v>
          </cell>
          <cell r="F3620">
            <v>0</v>
          </cell>
          <cell r="G3620">
            <v>0</v>
          </cell>
          <cell r="H3620">
            <v>0</v>
          </cell>
          <cell r="I3620">
            <v>0</v>
          </cell>
          <cell r="J3620">
            <v>0</v>
          </cell>
        </row>
        <row r="3621">
          <cell r="A3621">
            <v>1813300580</v>
          </cell>
          <cell r="B3621" t="str">
            <v>בי"ס לבעיות התנהגות+שחקים</v>
          </cell>
          <cell r="C3621">
            <v>100000</v>
          </cell>
          <cell r="D3621">
            <v>96593.81</v>
          </cell>
          <cell r="E3621">
            <v>0</v>
          </cell>
          <cell r="F3621">
            <v>96593.81</v>
          </cell>
          <cell r="G3621">
            <v>3406.19</v>
          </cell>
          <cell r="H3621">
            <v>96.59</v>
          </cell>
          <cell r="I3621">
            <v>100000</v>
          </cell>
          <cell r="J3621">
            <v>96593.81</v>
          </cell>
        </row>
        <row r="3622">
          <cell r="A3622">
            <v>1813300585</v>
          </cell>
          <cell r="B3622" t="str">
            <v>אחות לבי"ס  חלץ</v>
          </cell>
          <cell r="C3622">
            <v>0</v>
          </cell>
          <cell r="D3622">
            <v>0</v>
          </cell>
          <cell r="E3622">
            <v>0</v>
          </cell>
          <cell r="F3622">
            <v>0</v>
          </cell>
          <cell r="G3622">
            <v>0</v>
          </cell>
          <cell r="H3622">
            <v>0</v>
          </cell>
          <cell r="I3622">
            <v>0</v>
          </cell>
          <cell r="J3622">
            <v>0</v>
          </cell>
        </row>
        <row r="3623">
          <cell r="A3623">
            <v>1813300721</v>
          </cell>
          <cell r="B3623" t="str">
            <v>חמרים-תחזוקת מבנים</v>
          </cell>
          <cell r="C3623">
            <v>6650</v>
          </cell>
          <cell r="D3623">
            <v>0</v>
          </cell>
          <cell r="E3623">
            <v>0</v>
          </cell>
          <cell r="F3623">
            <v>0</v>
          </cell>
          <cell r="G3623">
            <v>6650</v>
          </cell>
          <cell r="H3623">
            <v>0</v>
          </cell>
          <cell r="I3623">
            <v>7000</v>
          </cell>
          <cell r="J3623">
            <v>0</v>
          </cell>
        </row>
        <row r="3624">
          <cell r="A3624">
            <v>1813300722</v>
          </cell>
          <cell r="B3624" t="str">
            <v>חמרים-תחזוקה עצמית</v>
          </cell>
          <cell r="C3624">
            <v>0</v>
          </cell>
          <cell r="D3624">
            <v>0</v>
          </cell>
          <cell r="E3624">
            <v>0</v>
          </cell>
          <cell r="F3624">
            <v>0</v>
          </cell>
          <cell r="G3624">
            <v>0</v>
          </cell>
          <cell r="H3624">
            <v>0</v>
          </cell>
          <cell r="I3624">
            <v>0</v>
          </cell>
          <cell r="J3624">
            <v>0</v>
          </cell>
        </row>
        <row r="3625">
          <cell r="A3625">
            <v>1813300723</v>
          </cell>
          <cell r="B3625" t="str">
            <v>חומרים למלאכה</v>
          </cell>
          <cell r="C3625">
            <v>0</v>
          </cell>
          <cell r="D3625">
            <v>0</v>
          </cell>
          <cell r="E3625">
            <v>0</v>
          </cell>
          <cell r="F3625">
            <v>0</v>
          </cell>
          <cell r="G3625">
            <v>0</v>
          </cell>
          <cell r="H3625">
            <v>0</v>
          </cell>
          <cell r="I3625">
            <v>0</v>
          </cell>
          <cell r="J3625">
            <v>0</v>
          </cell>
        </row>
        <row r="3626">
          <cell r="A3626">
            <v>1813300724</v>
          </cell>
          <cell r="B3626" t="str">
            <v>הוצאות ייצור חלץ</v>
          </cell>
          <cell r="C3626">
            <v>104500</v>
          </cell>
          <cell r="D3626">
            <v>110000</v>
          </cell>
          <cell r="E3626">
            <v>0</v>
          </cell>
          <cell r="F3626">
            <v>110000</v>
          </cell>
          <cell r="G3626">
            <v>-5500</v>
          </cell>
          <cell r="H3626">
            <v>105.26</v>
          </cell>
          <cell r="I3626">
            <v>110000</v>
          </cell>
          <cell r="J3626">
            <v>110000</v>
          </cell>
        </row>
        <row r="3627">
          <cell r="A3627">
            <v>1813300725</v>
          </cell>
          <cell r="B3627" t="str">
            <v>סדנאות חלץ</v>
          </cell>
          <cell r="C3627">
            <v>0</v>
          </cell>
          <cell r="D3627">
            <v>0</v>
          </cell>
          <cell r="E3627">
            <v>0</v>
          </cell>
          <cell r="F3627">
            <v>0</v>
          </cell>
          <cell r="G3627">
            <v>0</v>
          </cell>
          <cell r="H3627">
            <v>0</v>
          </cell>
          <cell r="I3627">
            <v>0</v>
          </cell>
          <cell r="J3627">
            <v>0</v>
          </cell>
        </row>
        <row r="3628">
          <cell r="A3628">
            <v>1813300726</v>
          </cell>
          <cell r="B3628" t="str">
            <v>מועדון טיפולי חלץ</v>
          </cell>
          <cell r="C3628">
            <v>0</v>
          </cell>
          <cell r="D3628">
            <v>0</v>
          </cell>
          <cell r="E3628">
            <v>0</v>
          </cell>
          <cell r="F3628">
            <v>0</v>
          </cell>
          <cell r="G3628">
            <v>0</v>
          </cell>
          <cell r="H3628">
            <v>0</v>
          </cell>
          <cell r="I3628">
            <v>0</v>
          </cell>
          <cell r="J3628">
            <v>0</v>
          </cell>
        </row>
        <row r="3629">
          <cell r="A3629">
            <v>1813300727</v>
          </cell>
          <cell r="B3629" t="str">
            <v>הוצאות אפיק (הכנ')</v>
          </cell>
          <cell r="C3629">
            <v>0</v>
          </cell>
          <cell r="D3629">
            <v>0</v>
          </cell>
          <cell r="E3629">
            <v>0</v>
          </cell>
          <cell r="F3629">
            <v>0</v>
          </cell>
          <cell r="G3629">
            <v>0</v>
          </cell>
          <cell r="H3629">
            <v>0</v>
          </cell>
          <cell r="I3629">
            <v>0</v>
          </cell>
          <cell r="J3629">
            <v>0</v>
          </cell>
        </row>
        <row r="3630">
          <cell r="A3630">
            <v>1813300728</v>
          </cell>
          <cell r="B3630" t="str">
            <v>מרכז טיפולי אפיק</v>
          </cell>
          <cell r="C3630">
            <v>14250</v>
          </cell>
          <cell r="D3630">
            <v>0</v>
          </cell>
          <cell r="E3630">
            <v>0</v>
          </cell>
          <cell r="F3630">
            <v>0</v>
          </cell>
          <cell r="G3630">
            <v>14250</v>
          </cell>
          <cell r="H3630">
            <v>0</v>
          </cell>
          <cell r="I3630">
            <v>15000</v>
          </cell>
          <cell r="J3630">
            <v>0</v>
          </cell>
        </row>
        <row r="3631">
          <cell r="A3631">
            <v>1813300729</v>
          </cell>
          <cell r="B3631" t="str">
            <v>נורות</v>
          </cell>
          <cell r="C3631">
            <v>0</v>
          </cell>
          <cell r="D3631">
            <v>0</v>
          </cell>
          <cell r="E3631">
            <v>0</v>
          </cell>
          <cell r="F3631">
            <v>0</v>
          </cell>
          <cell r="G3631">
            <v>0</v>
          </cell>
          <cell r="H3631">
            <v>0</v>
          </cell>
          <cell r="I3631">
            <v>0</v>
          </cell>
          <cell r="J3631">
            <v>0</v>
          </cell>
        </row>
        <row r="3632">
          <cell r="A3632">
            <v>1813300741</v>
          </cell>
          <cell r="B3632" t="str">
            <v>ציוד ספורט</v>
          </cell>
          <cell r="C3632">
            <v>4560</v>
          </cell>
          <cell r="D3632">
            <v>0</v>
          </cell>
          <cell r="E3632">
            <v>0</v>
          </cell>
          <cell r="F3632">
            <v>0</v>
          </cell>
          <cell r="G3632">
            <v>4560</v>
          </cell>
          <cell r="H3632">
            <v>0</v>
          </cell>
          <cell r="I3632">
            <v>4800</v>
          </cell>
          <cell r="J3632">
            <v>0</v>
          </cell>
        </row>
        <row r="3633">
          <cell r="A3633">
            <v>1813300742</v>
          </cell>
          <cell r="B3633" t="str">
            <v>כלים וציוד</v>
          </cell>
          <cell r="C3633">
            <v>40000</v>
          </cell>
          <cell r="D3633">
            <v>39255.07</v>
          </cell>
          <cell r="E3633">
            <v>0</v>
          </cell>
          <cell r="F3633">
            <v>39255.07</v>
          </cell>
          <cell r="G3633">
            <v>744.93</v>
          </cell>
          <cell r="H3633">
            <v>98.13</v>
          </cell>
          <cell r="I3633">
            <v>40000</v>
          </cell>
          <cell r="J3633">
            <v>39255.07</v>
          </cell>
        </row>
        <row r="3634">
          <cell r="A3634">
            <v>1813300743</v>
          </cell>
          <cell r="B3634" t="str">
            <v>תחזוקת ציוד</v>
          </cell>
          <cell r="C3634">
            <v>0</v>
          </cell>
          <cell r="D3634">
            <v>0</v>
          </cell>
          <cell r="E3634">
            <v>0</v>
          </cell>
          <cell r="F3634">
            <v>0</v>
          </cell>
          <cell r="G3634">
            <v>0</v>
          </cell>
          <cell r="H3634">
            <v>0</v>
          </cell>
          <cell r="I3634">
            <v>0</v>
          </cell>
          <cell r="J3634">
            <v>0</v>
          </cell>
        </row>
        <row r="3635">
          <cell r="A3635">
            <v>1813300745</v>
          </cell>
          <cell r="B3635" t="str">
            <v>דמי פריצה - תכולה</v>
          </cell>
          <cell r="C3635">
            <v>0</v>
          </cell>
          <cell r="D3635">
            <v>0</v>
          </cell>
          <cell r="E3635">
            <v>0</v>
          </cell>
          <cell r="F3635">
            <v>0</v>
          </cell>
          <cell r="G3635">
            <v>0</v>
          </cell>
          <cell r="H3635">
            <v>0</v>
          </cell>
          <cell r="I3635">
            <v>0</v>
          </cell>
          <cell r="J3635">
            <v>0</v>
          </cell>
        </row>
        <row r="3636">
          <cell r="A3636">
            <v>1813300746</v>
          </cell>
          <cell r="B3636" t="str">
            <v>דמי פריצה - מבנה</v>
          </cell>
          <cell r="C3636">
            <v>0</v>
          </cell>
          <cell r="D3636">
            <v>0</v>
          </cell>
          <cell r="E3636">
            <v>0</v>
          </cell>
          <cell r="F3636">
            <v>0</v>
          </cell>
          <cell r="G3636">
            <v>0</v>
          </cell>
          <cell r="H3636">
            <v>0</v>
          </cell>
          <cell r="I3636">
            <v>0</v>
          </cell>
          <cell r="J3636">
            <v>0</v>
          </cell>
        </row>
        <row r="3637">
          <cell r="A3637">
            <v>1813300750</v>
          </cell>
          <cell r="B3637" t="str">
            <v>אחזקת מוסדות</v>
          </cell>
          <cell r="C3637">
            <v>1595900</v>
          </cell>
          <cell r="D3637">
            <v>1583769</v>
          </cell>
          <cell r="E3637">
            <v>0</v>
          </cell>
          <cell r="F3637">
            <v>1583769</v>
          </cell>
          <cell r="G3637">
            <v>12131</v>
          </cell>
          <cell r="H3637">
            <v>99.23</v>
          </cell>
          <cell r="I3637">
            <v>1595900</v>
          </cell>
          <cell r="J3637">
            <v>1583769</v>
          </cell>
        </row>
        <row r="3638">
          <cell r="A3638">
            <v>1813300751</v>
          </cell>
          <cell r="B3638" t="str">
            <v>עבודות קבלניות</v>
          </cell>
          <cell r="C3638">
            <v>28500</v>
          </cell>
          <cell r="D3638">
            <v>23318</v>
          </cell>
          <cell r="E3638">
            <v>0</v>
          </cell>
          <cell r="F3638">
            <v>23318</v>
          </cell>
          <cell r="G3638">
            <v>5182</v>
          </cell>
          <cell r="H3638">
            <v>81.81</v>
          </cell>
          <cell r="I3638">
            <v>30000</v>
          </cell>
          <cell r="J3638">
            <v>23318</v>
          </cell>
        </row>
        <row r="3639">
          <cell r="A3639">
            <v>1813300752</v>
          </cell>
          <cell r="B3639" t="str">
            <v>נקיון בקבלנות</v>
          </cell>
          <cell r="C3639">
            <v>1423300</v>
          </cell>
          <cell r="D3639">
            <v>1423299.07</v>
          </cell>
          <cell r="E3639">
            <v>0</v>
          </cell>
          <cell r="F3639">
            <v>1423299.07</v>
          </cell>
          <cell r="G3639">
            <v>0.93</v>
          </cell>
          <cell r="H3639">
            <v>99.99</v>
          </cell>
          <cell r="I3639">
            <v>1423300</v>
          </cell>
          <cell r="J3639">
            <v>1423299.07</v>
          </cell>
        </row>
        <row r="3640">
          <cell r="A3640">
            <v>1813300753</v>
          </cell>
          <cell r="B3640" t="str">
            <v>עובדי מתי"א</v>
          </cell>
          <cell r="C3640">
            <v>0</v>
          </cell>
          <cell r="D3640">
            <v>0</v>
          </cell>
          <cell r="E3640">
            <v>0</v>
          </cell>
          <cell r="F3640">
            <v>0</v>
          </cell>
          <cell r="G3640">
            <v>0</v>
          </cell>
          <cell r="H3640">
            <v>0</v>
          </cell>
          <cell r="I3640">
            <v>0</v>
          </cell>
          <cell r="J3640">
            <v>0</v>
          </cell>
        </row>
        <row r="3641">
          <cell r="A3641">
            <v>1813300755</v>
          </cell>
          <cell r="B3641" t="str">
            <v>אחות לבי"ס חלץ</v>
          </cell>
          <cell r="C3641">
            <v>0</v>
          </cell>
          <cell r="D3641">
            <v>0</v>
          </cell>
          <cell r="E3641">
            <v>0</v>
          </cell>
          <cell r="F3641">
            <v>0</v>
          </cell>
          <cell r="G3641">
            <v>0</v>
          </cell>
          <cell r="H3641">
            <v>0</v>
          </cell>
          <cell r="I3641">
            <v>0</v>
          </cell>
          <cell r="J3641">
            <v>0</v>
          </cell>
        </row>
        <row r="3642">
          <cell r="A3642">
            <v>1813300756</v>
          </cell>
          <cell r="B3642" t="str">
            <v>שמירה מרכז אפיק</v>
          </cell>
          <cell r="C3642">
            <v>0</v>
          </cell>
          <cell r="D3642">
            <v>0</v>
          </cell>
          <cell r="E3642">
            <v>0</v>
          </cell>
          <cell r="F3642">
            <v>0</v>
          </cell>
          <cell r="G3642">
            <v>0</v>
          </cell>
          <cell r="H3642">
            <v>0</v>
          </cell>
          <cell r="I3642">
            <v>0</v>
          </cell>
          <cell r="J3642">
            <v>0</v>
          </cell>
        </row>
        <row r="3643">
          <cell r="A3643">
            <v>1813300759</v>
          </cell>
          <cell r="B3643" t="str">
            <v>שרותי סייעות</v>
          </cell>
          <cell r="C3643">
            <v>14866300</v>
          </cell>
          <cell r="D3643">
            <v>17165226.77</v>
          </cell>
          <cell r="E3643">
            <v>0</v>
          </cell>
          <cell r="F3643">
            <v>17165226.77</v>
          </cell>
          <cell r="G3643">
            <v>-2298926.77</v>
          </cell>
          <cell r="H3643">
            <v>115.46</v>
          </cell>
          <cell r="I3643">
            <v>14866300</v>
          </cell>
          <cell r="J3643">
            <v>17165226.77</v>
          </cell>
        </row>
        <row r="3644">
          <cell r="A3644">
            <v>1813300763</v>
          </cell>
          <cell r="B3644" t="str">
            <v>עובדי מינהלה</v>
          </cell>
          <cell r="C3644">
            <v>0</v>
          </cell>
          <cell r="D3644">
            <v>0</v>
          </cell>
          <cell r="E3644">
            <v>0</v>
          </cell>
          <cell r="F3644">
            <v>0</v>
          </cell>
          <cell r="G3644">
            <v>0</v>
          </cell>
          <cell r="H3644">
            <v>0</v>
          </cell>
          <cell r="I3644">
            <v>0</v>
          </cell>
          <cell r="J3644">
            <v>0</v>
          </cell>
        </row>
        <row r="3645">
          <cell r="A3645">
            <v>1813300764</v>
          </cell>
          <cell r="B3645" t="str">
            <v>סייעות-מוסדות+חברה</v>
          </cell>
          <cell r="C3645">
            <v>0</v>
          </cell>
          <cell r="D3645">
            <v>0</v>
          </cell>
          <cell r="E3645">
            <v>0</v>
          </cell>
          <cell r="F3645">
            <v>0</v>
          </cell>
          <cell r="G3645">
            <v>0</v>
          </cell>
          <cell r="H3645">
            <v>0</v>
          </cell>
          <cell r="I3645">
            <v>0</v>
          </cell>
          <cell r="J3645">
            <v>0</v>
          </cell>
        </row>
        <row r="3646">
          <cell r="A3646">
            <v>1813300780</v>
          </cell>
          <cell r="B3646" t="str">
            <v>השתת' בהסעה-"ניצן"</v>
          </cell>
          <cell r="C3646">
            <v>0</v>
          </cell>
          <cell r="D3646">
            <v>0</v>
          </cell>
          <cell r="E3646">
            <v>0</v>
          </cell>
          <cell r="F3646">
            <v>0</v>
          </cell>
          <cell r="G3646">
            <v>0</v>
          </cell>
          <cell r="H3646">
            <v>0</v>
          </cell>
          <cell r="I3646">
            <v>0</v>
          </cell>
          <cell r="J3646">
            <v>0</v>
          </cell>
        </row>
        <row r="3647">
          <cell r="A3647">
            <v>1813300781</v>
          </cell>
          <cell r="B3647" t="str">
            <v>השת' בהזנה</v>
          </cell>
          <cell r="C3647">
            <v>2406255</v>
          </cell>
          <cell r="D3647">
            <v>3035227.63</v>
          </cell>
          <cell r="E3647">
            <v>0</v>
          </cell>
          <cell r="F3647">
            <v>3035227.63</v>
          </cell>
          <cell r="G3647">
            <v>-628972.63</v>
          </cell>
          <cell r="H3647">
            <v>126.13</v>
          </cell>
          <cell r="I3647">
            <v>2532900</v>
          </cell>
          <cell r="J3647">
            <v>3035227.63</v>
          </cell>
        </row>
        <row r="3648">
          <cell r="A3648">
            <v>1813300782</v>
          </cell>
          <cell r="B3648" t="str">
            <v>אתגרים</v>
          </cell>
          <cell r="C3648">
            <v>75000</v>
          </cell>
          <cell r="D3648">
            <v>75000</v>
          </cell>
          <cell r="E3648">
            <v>0</v>
          </cell>
          <cell r="F3648">
            <v>75000</v>
          </cell>
          <cell r="G3648">
            <v>0</v>
          </cell>
          <cell r="H3648">
            <v>100</v>
          </cell>
          <cell r="I3648">
            <v>75000</v>
          </cell>
          <cell r="J3648">
            <v>75000</v>
          </cell>
        </row>
        <row r="3649">
          <cell r="A3649">
            <v>1813300794</v>
          </cell>
          <cell r="B3649" t="str">
            <v>השתתפות בעזר 094</v>
          </cell>
          <cell r="C3649">
            <v>34200</v>
          </cell>
          <cell r="D3649">
            <v>42938</v>
          </cell>
          <cell r="E3649">
            <v>0</v>
          </cell>
          <cell r="F3649">
            <v>42938</v>
          </cell>
          <cell r="G3649">
            <v>-8738</v>
          </cell>
          <cell r="H3649">
            <v>125.54</v>
          </cell>
          <cell r="I3649">
            <v>36000</v>
          </cell>
          <cell r="J3649">
            <v>42938</v>
          </cell>
        </row>
        <row r="3650">
          <cell r="A3650">
            <v>1813300810</v>
          </cell>
          <cell r="B3650" t="str">
            <v>הקצבה-מינהל עצמי</v>
          </cell>
          <cell r="C3650">
            <v>285000</v>
          </cell>
          <cell r="D3650">
            <v>300000</v>
          </cell>
          <cell r="E3650">
            <v>0</v>
          </cell>
          <cell r="F3650">
            <v>300000</v>
          </cell>
          <cell r="G3650">
            <v>-15000</v>
          </cell>
          <cell r="H3650">
            <v>105.26</v>
          </cell>
          <cell r="I3650">
            <v>300000</v>
          </cell>
          <cell r="J3650">
            <v>300000</v>
          </cell>
        </row>
        <row r="3651">
          <cell r="A3651">
            <v>1813300812</v>
          </cell>
          <cell r="B3651" t="str">
            <v>מסיבות כיתתיות</v>
          </cell>
          <cell r="C3651">
            <v>9500</v>
          </cell>
          <cell r="D3651">
            <v>10934</v>
          </cell>
          <cell r="E3651">
            <v>0</v>
          </cell>
          <cell r="F3651">
            <v>10934</v>
          </cell>
          <cell r="G3651">
            <v>-1434</v>
          </cell>
          <cell r="H3651">
            <v>115.09</v>
          </cell>
          <cell r="I3651">
            <v>10000</v>
          </cell>
          <cell r="J3651">
            <v>10934</v>
          </cell>
        </row>
        <row r="3652">
          <cell r="A3652">
            <v>1813300838</v>
          </cell>
          <cell r="B3652" t="str">
            <v>העברה כנגד הכנסות מש' החינוך</v>
          </cell>
          <cell r="C3652">
            <v>0</v>
          </cell>
          <cell r="D3652">
            <v>0</v>
          </cell>
          <cell r="E3652">
            <v>0</v>
          </cell>
          <cell r="F3652">
            <v>0</v>
          </cell>
          <cell r="G3652">
            <v>0</v>
          </cell>
          <cell r="H3652">
            <v>0</v>
          </cell>
          <cell r="I3652">
            <v>0</v>
          </cell>
          <cell r="J3652">
            <v>0</v>
          </cell>
        </row>
        <row r="3653">
          <cell r="A3653">
            <v>1813300933</v>
          </cell>
          <cell r="B3653" t="str">
            <v>השתת.משרד החינוך</v>
          </cell>
          <cell r="C3653">
            <v>190000</v>
          </cell>
          <cell r="D3653">
            <v>135212.95000000001</v>
          </cell>
          <cell r="E3653">
            <v>0</v>
          </cell>
          <cell r="F3653">
            <v>135212.95000000001</v>
          </cell>
          <cell r="G3653">
            <v>54787.05</v>
          </cell>
          <cell r="H3653">
            <v>71.16</v>
          </cell>
          <cell r="I3653">
            <v>200000</v>
          </cell>
          <cell r="J3653">
            <v>135212.95000000001</v>
          </cell>
        </row>
        <row r="3654">
          <cell r="A3654">
            <v>1813300934</v>
          </cell>
          <cell r="B3654" t="str">
            <v>חומרים-ח"מ חופשות</v>
          </cell>
          <cell r="C3654">
            <v>485450</v>
          </cell>
          <cell r="D3654">
            <v>561409.04</v>
          </cell>
          <cell r="E3654">
            <v>0</v>
          </cell>
          <cell r="F3654">
            <v>561409.04</v>
          </cell>
          <cell r="G3654">
            <v>-75959.039999999994</v>
          </cell>
          <cell r="H3654">
            <v>115.64</v>
          </cell>
          <cell r="I3654">
            <v>511000</v>
          </cell>
          <cell r="J3654">
            <v>561409.04</v>
          </cell>
        </row>
        <row r="3655">
          <cell r="A3655">
            <v>1813300937</v>
          </cell>
          <cell r="B3655" t="str">
            <v>התבור-בטל"א</v>
          </cell>
          <cell r="C3655">
            <v>0</v>
          </cell>
          <cell r="D3655">
            <v>0</v>
          </cell>
          <cell r="E3655">
            <v>0</v>
          </cell>
          <cell r="F3655">
            <v>0</v>
          </cell>
          <cell r="G3655">
            <v>0</v>
          </cell>
          <cell r="H3655">
            <v>0</v>
          </cell>
          <cell r="I3655">
            <v>0</v>
          </cell>
          <cell r="J3655">
            <v>0</v>
          </cell>
        </row>
        <row r="3656">
          <cell r="A3656">
            <v>1813300953</v>
          </cell>
          <cell r="B3656" t="str">
            <v>מערכת גפ"ן</v>
          </cell>
          <cell r="C3656">
            <v>0</v>
          </cell>
          <cell r="D3656">
            <v>0</v>
          </cell>
          <cell r="E3656">
            <v>0</v>
          </cell>
          <cell r="F3656">
            <v>0</v>
          </cell>
          <cell r="G3656">
            <v>0</v>
          </cell>
          <cell r="H3656">
            <v>0</v>
          </cell>
          <cell r="I3656">
            <v>0</v>
          </cell>
          <cell r="J3656">
            <v>0</v>
          </cell>
        </row>
        <row r="3657">
          <cell r="A3657">
            <v>1813300954</v>
          </cell>
          <cell r="B3657" t="str">
            <v>הוצאות גפ"ן בית ספרי</v>
          </cell>
          <cell r="C3657">
            <v>0</v>
          </cell>
          <cell r="D3657">
            <v>0</v>
          </cell>
          <cell r="E3657">
            <v>0</v>
          </cell>
          <cell r="F3657">
            <v>0</v>
          </cell>
          <cell r="G3657">
            <v>0</v>
          </cell>
          <cell r="H3657">
            <v>0</v>
          </cell>
          <cell r="I3657">
            <v>0</v>
          </cell>
          <cell r="J3657">
            <v>0</v>
          </cell>
        </row>
        <row r="3658">
          <cell r="A3658">
            <v>1813310110</v>
          </cell>
          <cell r="B3658" t="str">
            <v>השכר הקובע-תקציבית</v>
          </cell>
          <cell r="C3658">
            <v>136610</v>
          </cell>
          <cell r="D3658">
            <v>197996.02</v>
          </cell>
          <cell r="E3658">
            <v>0</v>
          </cell>
          <cell r="F3658">
            <v>197996.02</v>
          </cell>
          <cell r="G3658">
            <v>-61386.02</v>
          </cell>
          <cell r="H3658">
            <v>144.93</v>
          </cell>
          <cell r="I3658">
            <v>143800</v>
          </cell>
          <cell r="J3658">
            <v>197996.02</v>
          </cell>
        </row>
        <row r="3659">
          <cell r="A3659">
            <v>1813310119</v>
          </cell>
          <cell r="B3659" t="str">
            <v>השכר הקובע-צוברת</v>
          </cell>
          <cell r="C3659">
            <v>458090</v>
          </cell>
          <cell r="D3659">
            <v>125121.44</v>
          </cell>
          <cell r="E3659">
            <v>0</v>
          </cell>
          <cell r="F3659">
            <v>125121.44</v>
          </cell>
          <cell r="G3659">
            <v>332968.56</v>
          </cell>
          <cell r="H3659">
            <v>27.31</v>
          </cell>
          <cell r="I3659">
            <v>482200</v>
          </cell>
          <cell r="J3659">
            <v>125121.44</v>
          </cell>
        </row>
        <row r="3660">
          <cell r="A3660">
            <v>1813310122</v>
          </cell>
          <cell r="B3660" t="str">
            <v>ביגוד</v>
          </cell>
          <cell r="C3660">
            <v>7125</v>
          </cell>
          <cell r="D3660">
            <v>1961.39</v>
          </cell>
          <cell r="E3660">
            <v>0</v>
          </cell>
          <cell r="F3660">
            <v>1961.39</v>
          </cell>
          <cell r="G3660">
            <v>5163.6099999999997</v>
          </cell>
          <cell r="H3660">
            <v>27.52</v>
          </cell>
          <cell r="I3660">
            <v>7500</v>
          </cell>
          <cell r="J3660">
            <v>1961.39</v>
          </cell>
        </row>
        <row r="3661">
          <cell r="A3661">
            <v>1813310126</v>
          </cell>
          <cell r="B3661" t="str">
            <v>דמי הבראה</v>
          </cell>
          <cell r="C3661">
            <v>12350</v>
          </cell>
          <cell r="D3661">
            <v>8925.6</v>
          </cell>
          <cell r="E3661">
            <v>0</v>
          </cell>
          <cell r="F3661">
            <v>8925.6</v>
          </cell>
          <cell r="G3661">
            <v>3424.4</v>
          </cell>
          <cell r="H3661">
            <v>72.27</v>
          </cell>
          <cell r="I3661">
            <v>13000</v>
          </cell>
          <cell r="J3661">
            <v>8925.6</v>
          </cell>
        </row>
        <row r="3662">
          <cell r="A3662">
            <v>1813310140</v>
          </cell>
          <cell r="B3662" t="str">
            <v>השתתפות באחזקת רכב</v>
          </cell>
          <cell r="C3662">
            <v>7600</v>
          </cell>
          <cell r="D3662">
            <v>0</v>
          </cell>
          <cell r="E3662">
            <v>0</v>
          </cell>
          <cell r="F3662">
            <v>0</v>
          </cell>
          <cell r="G3662">
            <v>7600</v>
          </cell>
          <cell r="H3662">
            <v>0</v>
          </cell>
          <cell r="I3662">
            <v>8000</v>
          </cell>
          <cell r="J3662">
            <v>0</v>
          </cell>
        </row>
        <row r="3663">
          <cell r="A3663">
            <v>1813310210</v>
          </cell>
          <cell r="B3663" t="str">
            <v>השכר הקובע</v>
          </cell>
          <cell r="C3663">
            <v>0</v>
          </cell>
          <cell r="D3663">
            <v>0</v>
          </cell>
          <cell r="E3663">
            <v>0</v>
          </cell>
          <cell r="F3663">
            <v>0</v>
          </cell>
          <cell r="G3663">
            <v>0</v>
          </cell>
          <cell r="H3663">
            <v>0</v>
          </cell>
          <cell r="I3663">
            <v>0</v>
          </cell>
          <cell r="J3663">
            <v>0</v>
          </cell>
        </row>
        <row r="3664">
          <cell r="A3664">
            <v>1813310263</v>
          </cell>
          <cell r="B3664" t="str">
            <v>עובדי מינהלה</v>
          </cell>
          <cell r="C3664">
            <v>0</v>
          </cell>
          <cell r="D3664">
            <v>0</v>
          </cell>
          <cell r="E3664">
            <v>0</v>
          </cell>
          <cell r="F3664">
            <v>0</v>
          </cell>
          <cell r="G3664">
            <v>0</v>
          </cell>
          <cell r="H3664">
            <v>0</v>
          </cell>
          <cell r="I3664">
            <v>0</v>
          </cell>
          <cell r="J3664">
            <v>0</v>
          </cell>
        </row>
        <row r="3665">
          <cell r="A3665">
            <v>1813310264</v>
          </cell>
          <cell r="B3665" t="str">
            <v>סייעת - שרות לאומי</v>
          </cell>
          <cell r="C3665">
            <v>0</v>
          </cell>
          <cell r="D3665">
            <v>0</v>
          </cell>
          <cell r="E3665">
            <v>0</v>
          </cell>
          <cell r="F3665">
            <v>0</v>
          </cell>
          <cell r="G3665">
            <v>0</v>
          </cell>
          <cell r="H3665">
            <v>0</v>
          </cell>
          <cell r="I3665">
            <v>0</v>
          </cell>
          <cell r="J3665">
            <v>0</v>
          </cell>
        </row>
        <row r="3666">
          <cell r="A3666">
            <v>1813310391</v>
          </cell>
          <cell r="B3666" t="str">
            <v>הפרשה לפנסיה</v>
          </cell>
          <cell r="C3666">
            <v>0</v>
          </cell>
          <cell r="D3666">
            <v>0</v>
          </cell>
          <cell r="E3666">
            <v>0</v>
          </cell>
          <cell r="F3666">
            <v>0</v>
          </cell>
          <cell r="G3666">
            <v>0</v>
          </cell>
          <cell r="H3666">
            <v>0</v>
          </cell>
          <cell r="I3666">
            <v>0</v>
          </cell>
          <cell r="J3666">
            <v>0</v>
          </cell>
        </row>
        <row r="3667">
          <cell r="A3667">
            <v>1813310412</v>
          </cell>
          <cell r="B3667" t="str">
            <v>ארנונה</v>
          </cell>
          <cell r="C3667">
            <v>0</v>
          </cell>
          <cell r="D3667">
            <v>0</v>
          </cell>
          <cell r="E3667">
            <v>0</v>
          </cell>
          <cell r="F3667">
            <v>0</v>
          </cell>
          <cell r="G3667">
            <v>0</v>
          </cell>
          <cell r="H3667">
            <v>0</v>
          </cell>
          <cell r="I3667">
            <v>0</v>
          </cell>
          <cell r="J3667">
            <v>0</v>
          </cell>
        </row>
        <row r="3668">
          <cell r="A3668">
            <v>1813310420</v>
          </cell>
          <cell r="B3668" t="str">
            <v>כיבוי אש</v>
          </cell>
          <cell r="C3668">
            <v>6650</v>
          </cell>
          <cell r="D3668">
            <v>0</v>
          </cell>
          <cell r="E3668">
            <v>0</v>
          </cell>
          <cell r="F3668">
            <v>0</v>
          </cell>
          <cell r="G3668">
            <v>6650</v>
          </cell>
          <cell r="H3668">
            <v>0</v>
          </cell>
          <cell r="I3668">
            <v>7000</v>
          </cell>
          <cell r="J3668">
            <v>0</v>
          </cell>
        </row>
        <row r="3669">
          <cell r="A3669">
            <v>1813310423</v>
          </cell>
          <cell r="B3669" t="str">
            <v>תחזוקת מבנה</v>
          </cell>
          <cell r="C3669">
            <v>0</v>
          </cell>
          <cell r="D3669">
            <v>0</v>
          </cell>
          <cell r="E3669">
            <v>0</v>
          </cell>
          <cell r="F3669">
            <v>0</v>
          </cell>
          <cell r="G3669">
            <v>0</v>
          </cell>
          <cell r="H3669">
            <v>0</v>
          </cell>
          <cell r="I3669">
            <v>0</v>
          </cell>
          <cell r="J3669">
            <v>0</v>
          </cell>
        </row>
        <row r="3670">
          <cell r="A3670">
            <v>1813310431</v>
          </cell>
          <cell r="B3670" t="str">
            <v>חשמל</v>
          </cell>
          <cell r="C3670">
            <v>135850</v>
          </cell>
          <cell r="D3670">
            <v>223141.15</v>
          </cell>
          <cell r="E3670">
            <v>0</v>
          </cell>
          <cell r="F3670">
            <v>223141.15</v>
          </cell>
          <cell r="G3670">
            <v>-87291.15</v>
          </cell>
          <cell r="H3670">
            <v>164.25</v>
          </cell>
          <cell r="I3670">
            <v>143000</v>
          </cell>
          <cell r="J3670">
            <v>223141.15</v>
          </cell>
        </row>
        <row r="3671">
          <cell r="A3671">
            <v>1813310432</v>
          </cell>
          <cell r="B3671" t="str">
            <v>מים</v>
          </cell>
          <cell r="C3671">
            <v>66785</v>
          </cell>
          <cell r="D3671">
            <v>69973.899999999994</v>
          </cell>
          <cell r="E3671">
            <v>0</v>
          </cell>
          <cell r="F3671">
            <v>69973.899999999994</v>
          </cell>
          <cell r="G3671">
            <v>-3188.9</v>
          </cell>
          <cell r="H3671">
            <v>104.77</v>
          </cell>
          <cell r="I3671">
            <v>70300</v>
          </cell>
          <cell r="J3671">
            <v>69973.899999999994</v>
          </cell>
        </row>
        <row r="3672">
          <cell r="A3672">
            <v>1813310433</v>
          </cell>
          <cell r="B3672" t="str">
            <v>חומרי נקיון</v>
          </cell>
          <cell r="C3672">
            <v>0</v>
          </cell>
          <cell r="D3672">
            <v>0</v>
          </cell>
          <cell r="E3672">
            <v>0</v>
          </cell>
          <cell r="F3672">
            <v>0</v>
          </cell>
          <cell r="G3672">
            <v>0</v>
          </cell>
          <cell r="H3672">
            <v>0</v>
          </cell>
          <cell r="I3672">
            <v>0</v>
          </cell>
          <cell r="J3672">
            <v>0</v>
          </cell>
        </row>
        <row r="3673">
          <cell r="A3673">
            <v>1813310434</v>
          </cell>
          <cell r="B3673" t="str">
            <v>חיטוי והדברה</v>
          </cell>
          <cell r="C3673">
            <v>0</v>
          </cell>
          <cell r="D3673">
            <v>0</v>
          </cell>
          <cell r="E3673">
            <v>0</v>
          </cell>
          <cell r="F3673">
            <v>0</v>
          </cell>
          <cell r="G3673">
            <v>0</v>
          </cell>
          <cell r="H3673">
            <v>0</v>
          </cell>
          <cell r="I3673">
            <v>0</v>
          </cell>
          <cell r="J3673">
            <v>0</v>
          </cell>
        </row>
        <row r="3674">
          <cell r="A3674">
            <v>1813310437</v>
          </cell>
          <cell r="B3674" t="str">
            <v>אחזקת אזעקה</v>
          </cell>
          <cell r="C3674">
            <v>2660</v>
          </cell>
          <cell r="D3674">
            <v>2442.96</v>
          </cell>
          <cell r="E3674">
            <v>0</v>
          </cell>
          <cell r="F3674">
            <v>2442.96</v>
          </cell>
          <cell r="G3674">
            <v>217.04</v>
          </cell>
          <cell r="H3674">
            <v>91.84</v>
          </cell>
          <cell r="I3674">
            <v>2800</v>
          </cell>
          <cell r="J3674">
            <v>2442.96</v>
          </cell>
        </row>
        <row r="3675">
          <cell r="A3675">
            <v>1813310441</v>
          </cell>
          <cell r="B3675" t="str">
            <v>ביטוח</v>
          </cell>
          <cell r="C3675">
            <v>0</v>
          </cell>
          <cell r="D3675">
            <v>0</v>
          </cell>
          <cell r="E3675">
            <v>0</v>
          </cell>
          <cell r="F3675">
            <v>0</v>
          </cell>
          <cell r="G3675">
            <v>0</v>
          </cell>
          <cell r="H3675">
            <v>0</v>
          </cell>
          <cell r="I3675">
            <v>0</v>
          </cell>
          <cell r="J3675">
            <v>0</v>
          </cell>
        </row>
        <row r="3676">
          <cell r="A3676">
            <v>1813310450</v>
          </cell>
          <cell r="B3676" t="str">
            <v>ריהוט ואחזקתו</v>
          </cell>
          <cell r="C3676">
            <v>0</v>
          </cell>
          <cell r="D3676">
            <v>0</v>
          </cell>
          <cell r="E3676">
            <v>0</v>
          </cell>
          <cell r="F3676">
            <v>0</v>
          </cell>
          <cell r="G3676">
            <v>0</v>
          </cell>
          <cell r="H3676">
            <v>0</v>
          </cell>
          <cell r="I3676">
            <v>0</v>
          </cell>
          <cell r="J3676">
            <v>0</v>
          </cell>
        </row>
        <row r="3677">
          <cell r="A3677">
            <v>1813310470</v>
          </cell>
          <cell r="B3677" t="str">
            <v>אחזקת מכונות משרד</v>
          </cell>
          <cell r="C3677">
            <v>0</v>
          </cell>
          <cell r="D3677">
            <v>0</v>
          </cell>
          <cell r="E3677">
            <v>0</v>
          </cell>
          <cell r="F3677">
            <v>0</v>
          </cell>
          <cell r="G3677">
            <v>0</v>
          </cell>
          <cell r="H3677">
            <v>0</v>
          </cell>
          <cell r="I3677">
            <v>0</v>
          </cell>
          <cell r="J3677">
            <v>0</v>
          </cell>
        </row>
        <row r="3678">
          <cell r="A3678">
            <v>1813310471</v>
          </cell>
          <cell r="B3678" t="str">
            <v>מכשירי כתיבה</v>
          </cell>
          <cell r="C3678">
            <v>0</v>
          </cell>
          <cell r="D3678">
            <v>0</v>
          </cell>
          <cell r="E3678">
            <v>0</v>
          </cell>
          <cell r="F3678">
            <v>0</v>
          </cell>
          <cell r="G3678">
            <v>0</v>
          </cell>
          <cell r="H3678">
            <v>0</v>
          </cell>
          <cell r="I3678">
            <v>0</v>
          </cell>
          <cell r="J3678">
            <v>0</v>
          </cell>
        </row>
        <row r="3679">
          <cell r="A3679">
            <v>1813310511</v>
          </cell>
          <cell r="B3679" t="str">
            <v>אירוח וכיבוד</v>
          </cell>
          <cell r="C3679">
            <v>7600</v>
          </cell>
          <cell r="D3679">
            <v>7988.92</v>
          </cell>
          <cell r="E3679">
            <v>0</v>
          </cell>
          <cell r="F3679">
            <v>7988.92</v>
          </cell>
          <cell r="G3679">
            <v>-388.92</v>
          </cell>
          <cell r="H3679">
            <v>105.11</v>
          </cell>
          <cell r="I3679">
            <v>8000</v>
          </cell>
          <cell r="J3679">
            <v>7988.92</v>
          </cell>
        </row>
        <row r="3680">
          <cell r="A3680">
            <v>1813310512</v>
          </cell>
          <cell r="B3680" t="str">
            <v>נסיעות ואש"ל</v>
          </cell>
          <cell r="C3680">
            <v>0</v>
          </cell>
          <cell r="D3680">
            <v>0</v>
          </cell>
          <cell r="E3680">
            <v>0</v>
          </cell>
          <cell r="F3680">
            <v>0</v>
          </cell>
          <cell r="G3680">
            <v>0</v>
          </cell>
          <cell r="H3680">
            <v>0</v>
          </cell>
          <cell r="I3680">
            <v>0</v>
          </cell>
          <cell r="J3680">
            <v>0</v>
          </cell>
        </row>
        <row r="3681">
          <cell r="A3681">
            <v>1813310530</v>
          </cell>
          <cell r="B3681" t="str">
            <v>אופניים לעובדים</v>
          </cell>
          <cell r="C3681">
            <v>0</v>
          </cell>
          <cell r="D3681">
            <v>0</v>
          </cell>
          <cell r="E3681">
            <v>0</v>
          </cell>
          <cell r="F3681">
            <v>0</v>
          </cell>
          <cell r="G3681">
            <v>0</v>
          </cell>
          <cell r="H3681">
            <v>0</v>
          </cell>
          <cell r="I3681">
            <v>0</v>
          </cell>
          <cell r="J3681">
            <v>0</v>
          </cell>
        </row>
        <row r="3682">
          <cell r="A3682">
            <v>1813310540</v>
          </cell>
          <cell r="B3682" t="str">
            <v>הוצאות טלפון</v>
          </cell>
          <cell r="C3682">
            <v>0</v>
          </cell>
          <cell r="D3682">
            <v>0</v>
          </cell>
          <cell r="E3682">
            <v>0</v>
          </cell>
          <cell r="F3682">
            <v>0</v>
          </cell>
          <cell r="G3682">
            <v>0</v>
          </cell>
          <cell r="H3682">
            <v>0</v>
          </cell>
          <cell r="I3682">
            <v>0</v>
          </cell>
          <cell r="J3682">
            <v>0</v>
          </cell>
        </row>
        <row r="3683">
          <cell r="A3683">
            <v>1813310544</v>
          </cell>
          <cell r="B3683" t="str">
            <v>הוצאות דאר</v>
          </cell>
          <cell r="C3683">
            <v>0</v>
          </cell>
          <cell r="D3683">
            <v>0</v>
          </cell>
          <cell r="E3683">
            <v>0</v>
          </cell>
          <cell r="F3683">
            <v>0</v>
          </cell>
          <cell r="G3683">
            <v>0</v>
          </cell>
          <cell r="H3683">
            <v>0</v>
          </cell>
          <cell r="I3683">
            <v>0</v>
          </cell>
          <cell r="J3683">
            <v>0</v>
          </cell>
        </row>
        <row r="3684">
          <cell r="A3684">
            <v>1813310561</v>
          </cell>
          <cell r="B3684" t="str">
            <v>שיכפולים</v>
          </cell>
          <cell r="C3684">
            <v>0</v>
          </cell>
          <cell r="D3684">
            <v>0</v>
          </cell>
          <cell r="E3684">
            <v>0</v>
          </cell>
          <cell r="F3684">
            <v>0</v>
          </cell>
          <cell r="G3684">
            <v>0</v>
          </cell>
          <cell r="H3684">
            <v>0</v>
          </cell>
          <cell r="I3684">
            <v>0</v>
          </cell>
          <cell r="J3684">
            <v>0</v>
          </cell>
        </row>
        <row r="3685">
          <cell r="A3685">
            <v>1813310596</v>
          </cell>
          <cell r="B3685" t="str">
            <v>טיולים</v>
          </cell>
          <cell r="C3685">
            <v>0</v>
          </cell>
          <cell r="D3685">
            <v>0</v>
          </cell>
          <cell r="E3685">
            <v>0</v>
          </cell>
          <cell r="F3685">
            <v>0</v>
          </cell>
          <cell r="G3685">
            <v>0</v>
          </cell>
          <cell r="H3685">
            <v>0</v>
          </cell>
          <cell r="I3685">
            <v>0</v>
          </cell>
          <cell r="J3685">
            <v>0</v>
          </cell>
        </row>
        <row r="3686">
          <cell r="A3686">
            <v>1813310710</v>
          </cell>
          <cell r="B3686" t="str">
            <v>הובלות  והסעות</v>
          </cell>
          <cell r="C3686">
            <v>0</v>
          </cell>
          <cell r="D3686">
            <v>0</v>
          </cell>
          <cell r="E3686">
            <v>0</v>
          </cell>
          <cell r="F3686">
            <v>0</v>
          </cell>
          <cell r="G3686">
            <v>0</v>
          </cell>
          <cell r="H3686">
            <v>0</v>
          </cell>
          <cell r="I3686">
            <v>0</v>
          </cell>
          <cell r="J3686">
            <v>0</v>
          </cell>
        </row>
        <row r="3687">
          <cell r="A3687">
            <v>1813310721</v>
          </cell>
          <cell r="B3687" t="str">
            <v>חמרים-תחזוקת מבנים</v>
          </cell>
          <cell r="C3687">
            <v>0</v>
          </cell>
          <cell r="D3687">
            <v>0</v>
          </cell>
          <cell r="E3687">
            <v>0</v>
          </cell>
          <cell r="F3687">
            <v>0</v>
          </cell>
          <cell r="G3687">
            <v>0</v>
          </cell>
          <cell r="H3687">
            <v>0</v>
          </cell>
          <cell r="I3687">
            <v>0</v>
          </cell>
          <cell r="J3687">
            <v>0</v>
          </cell>
        </row>
        <row r="3688">
          <cell r="A3688">
            <v>1813310723</v>
          </cell>
          <cell r="B3688" t="str">
            <v>חומרים</v>
          </cell>
          <cell r="C3688">
            <v>6650</v>
          </cell>
          <cell r="D3688">
            <v>7000</v>
          </cell>
          <cell r="E3688">
            <v>0</v>
          </cell>
          <cell r="F3688">
            <v>7000</v>
          </cell>
          <cell r="G3688">
            <v>-350</v>
          </cell>
          <cell r="H3688">
            <v>105.26</v>
          </cell>
          <cell r="I3688">
            <v>7000</v>
          </cell>
          <cell r="J3688">
            <v>7000</v>
          </cell>
        </row>
        <row r="3689">
          <cell r="A3689">
            <v>1813310742</v>
          </cell>
          <cell r="B3689" t="str">
            <v>עזרי לימוד וספורט</v>
          </cell>
          <cell r="C3689">
            <v>9500</v>
          </cell>
          <cell r="D3689">
            <v>10000</v>
          </cell>
          <cell r="E3689">
            <v>0</v>
          </cell>
          <cell r="F3689">
            <v>10000</v>
          </cell>
          <cell r="G3689">
            <v>-500</v>
          </cell>
          <cell r="H3689">
            <v>105.26</v>
          </cell>
          <cell r="I3689">
            <v>10000</v>
          </cell>
          <cell r="J3689">
            <v>10000</v>
          </cell>
        </row>
        <row r="3690">
          <cell r="A3690">
            <v>1813310743</v>
          </cell>
          <cell r="B3690" t="str">
            <v>תחזוקת ציוד</v>
          </cell>
          <cell r="C3690">
            <v>0</v>
          </cell>
          <cell r="D3690">
            <v>0</v>
          </cell>
          <cell r="E3690">
            <v>0</v>
          </cell>
          <cell r="F3690">
            <v>0</v>
          </cell>
          <cell r="G3690">
            <v>0</v>
          </cell>
          <cell r="H3690">
            <v>0</v>
          </cell>
          <cell r="I3690">
            <v>0</v>
          </cell>
          <cell r="J3690">
            <v>0</v>
          </cell>
        </row>
        <row r="3691">
          <cell r="A3691">
            <v>1813310745</v>
          </cell>
          <cell r="B3691" t="str">
            <v>דמי פריצה - תכולה</v>
          </cell>
          <cell r="C3691">
            <v>0</v>
          </cell>
          <cell r="D3691">
            <v>0</v>
          </cell>
          <cell r="E3691">
            <v>0</v>
          </cell>
          <cell r="F3691">
            <v>0</v>
          </cell>
          <cell r="G3691">
            <v>0</v>
          </cell>
          <cell r="H3691">
            <v>0</v>
          </cell>
          <cell r="I3691">
            <v>0</v>
          </cell>
          <cell r="J3691">
            <v>0</v>
          </cell>
        </row>
        <row r="3692">
          <cell r="A3692">
            <v>1813310746</v>
          </cell>
          <cell r="B3692" t="str">
            <v>דמי פריצה - מבנה</v>
          </cell>
          <cell r="C3692">
            <v>0</v>
          </cell>
          <cell r="D3692">
            <v>0</v>
          </cell>
          <cell r="E3692">
            <v>0</v>
          </cell>
          <cell r="F3692">
            <v>0</v>
          </cell>
          <cell r="G3692">
            <v>0</v>
          </cell>
          <cell r="H3692">
            <v>0</v>
          </cell>
          <cell r="I3692">
            <v>0</v>
          </cell>
          <cell r="J3692">
            <v>0</v>
          </cell>
        </row>
        <row r="3693">
          <cell r="A3693">
            <v>1813310750</v>
          </cell>
          <cell r="B3693" t="str">
            <v>אחזקת מוסדות</v>
          </cell>
          <cell r="C3693">
            <v>297635</v>
          </cell>
          <cell r="D3693">
            <v>299114</v>
          </cell>
          <cell r="E3693">
            <v>0</v>
          </cell>
          <cell r="F3693">
            <v>299114</v>
          </cell>
          <cell r="G3693">
            <v>-1479</v>
          </cell>
          <cell r="H3693">
            <v>100.49</v>
          </cell>
          <cell r="I3693">
            <v>313300</v>
          </cell>
          <cell r="J3693">
            <v>299114</v>
          </cell>
        </row>
        <row r="3694">
          <cell r="A3694">
            <v>1813310751</v>
          </cell>
          <cell r="B3694" t="str">
            <v>עבודות קבלניות</v>
          </cell>
          <cell r="C3694">
            <v>0</v>
          </cell>
          <cell r="D3694">
            <v>0</v>
          </cell>
          <cell r="E3694">
            <v>0</v>
          </cell>
          <cell r="F3694">
            <v>0</v>
          </cell>
          <cell r="G3694">
            <v>0</v>
          </cell>
          <cell r="H3694">
            <v>0</v>
          </cell>
          <cell r="I3694">
            <v>0</v>
          </cell>
          <cell r="J3694">
            <v>0</v>
          </cell>
        </row>
        <row r="3695">
          <cell r="A3695">
            <v>1813310752</v>
          </cell>
          <cell r="B3695" t="str">
            <v>נקיון בקבלנות</v>
          </cell>
          <cell r="C3695">
            <v>271035</v>
          </cell>
          <cell r="D3695">
            <v>285299.06</v>
          </cell>
          <cell r="E3695">
            <v>0</v>
          </cell>
          <cell r="F3695">
            <v>285299.06</v>
          </cell>
          <cell r="G3695">
            <v>-14264.06</v>
          </cell>
          <cell r="H3695">
            <v>105.26</v>
          </cell>
          <cell r="I3695">
            <v>285300</v>
          </cell>
          <cell r="J3695">
            <v>285299.06</v>
          </cell>
        </row>
        <row r="3696">
          <cell r="A3696">
            <v>1813310753</v>
          </cell>
          <cell r="B3696" t="str">
            <v>שרות לאומי הרצפלד</v>
          </cell>
          <cell r="C3696">
            <v>0</v>
          </cell>
          <cell r="D3696">
            <v>0</v>
          </cell>
          <cell r="E3696">
            <v>0</v>
          </cell>
          <cell r="F3696">
            <v>0</v>
          </cell>
          <cell r="G3696">
            <v>0</v>
          </cell>
          <cell r="H3696">
            <v>0</v>
          </cell>
          <cell r="I3696">
            <v>0</v>
          </cell>
          <cell r="J3696">
            <v>0</v>
          </cell>
        </row>
        <row r="3697">
          <cell r="A3697">
            <v>1813310755</v>
          </cell>
          <cell r="B3697" t="str">
            <v>עובדים חיצוניים</v>
          </cell>
          <cell r="C3697">
            <v>0</v>
          </cell>
          <cell r="D3697">
            <v>0</v>
          </cell>
          <cell r="E3697">
            <v>0</v>
          </cell>
          <cell r="F3697">
            <v>0</v>
          </cell>
          <cell r="G3697">
            <v>0</v>
          </cell>
          <cell r="H3697">
            <v>0</v>
          </cell>
          <cell r="I3697">
            <v>0</v>
          </cell>
          <cell r="J3697">
            <v>0</v>
          </cell>
        </row>
        <row r="3698">
          <cell r="A3698">
            <v>1813310758</v>
          </cell>
          <cell r="B3698" t="str">
            <v>גינון</v>
          </cell>
          <cell r="C3698">
            <v>0</v>
          </cell>
          <cell r="D3698">
            <v>0</v>
          </cell>
          <cell r="E3698">
            <v>0</v>
          </cell>
          <cell r="F3698">
            <v>0</v>
          </cell>
          <cell r="G3698">
            <v>0</v>
          </cell>
          <cell r="H3698">
            <v>0</v>
          </cell>
          <cell r="I3698">
            <v>0</v>
          </cell>
          <cell r="J3698">
            <v>0</v>
          </cell>
        </row>
        <row r="3699">
          <cell r="A3699">
            <v>1813310759</v>
          </cell>
          <cell r="B3699" t="str">
            <v>שרותי סייעות</v>
          </cell>
          <cell r="C3699">
            <v>3393300</v>
          </cell>
          <cell r="D3699">
            <v>3583856.48</v>
          </cell>
          <cell r="E3699">
            <v>0</v>
          </cell>
          <cell r="F3699">
            <v>3583856.48</v>
          </cell>
          <cell r="G3699">
            <v>-190556.48</v>
          </cell>
          <cell r="H3699">
            <v>105.61</v>
          </cell>
          <cell r="I3699">
            <v>3393300</v>
          </cell>
          <cell r="J3699">
            <v>3583856.48</v>
          </cell>
        </row>
        <row r="3700">
          <cell r="A3700">
            <v>1813310763</v>
          </cell>
          <cell r="B3700" t="str">
            <v>עובדי מינהלה</v>
          </cell>
          <cell r="C3700">
            <v>0</v>
          </cell>
          <cell r="D3700">
            <v>0</v>
          </cell>
          <cell r="E3700">
            <v>0</v>
          </cell>
          <cell r="F3700">
            <v>0</v>
          </cell>
          <cell r="G3700">
            <v>0</v>
          </cell>
          <cell r="H3700">
            <v>0</v>
          </cell>
          <cell r="I3700">
            <v>0</v>
          </cell>
          <cell r="J3700">
            <v>0</v>
          </cell>
        </row>
        <row r="3701">
          <cell r="A3701">
            <v>1813310764</v>
          </cell>
          <cell r="B3701" t="str">
            <v>סייעות-מוסדות+חברה</v>
          </cell>
          <cell r="C3701">
            <v>0</v>
          </cell>
          <cell r="D3701">
            <v>0</v>
          </cell>
          <cell r="E3701">
            <v>0</v>
          </cell>
          <cell r="F3701">
            <v>0</v>
          </cell>
          <cell r="G3701">
            <v>0</v>
          </cell>
          <cell r="H3701">
            <v>0</v>
          </cell>
          <cell r="I3701">
            <v>0</v>
          </cell>
          <cell r="J3701">
            <v>0</v>
          </cell>
        </row>
        <row r="3702">
          <cell r="A3702">
            <v>1813310780</v>
          </cell>
          <cell r="B3702" t="str">
            <v>השתתפות בנקיון</v>
          </cell>
          <cell r="C3702">
            <v>0</v>
          </cell>
          <cell r="D3702">
            <v>0</v>
          </cell>
          <cell r="E3702">
            <v>0</v>
          </cell>
          <cell r="F3702">
            <v>0</v>
          </cell>
          <cell r="G3702">
            <v>0</v>
          </cell>
          <cell r="H3702">
            <v>0</v>
          </cell>
          <cell r="I3702">
            <v>0</v>
          </cell>
          <cell r="J3702">
            <v>0</v>
          </cell>
        </row>
        <row r="3703">
          <cell r="A3703">
            <v>1813310781</v>
          </cell>
          <cell r="B3703" t="str">
            <v>השת' בהזנה</v>
          </cell>
          <cell r="C3703">
            <v>294500</v>
          </cell>
          <cell r="D3703">
            <v>343426.3</v>
          </cell>
          <cell r="E3703">
            <v>0</v>
          </cell>
          <cell r="F3703">
            <v>343426.3</v>
          </cell>
          <cell r="G3703">
            <v>-48926.3</v>
          </cell>
          <cell r="H3703">
            <v>116.61</v>
          </cell>
          <cell r="I3703">
            <v>310000</v>
          </cell>
          <cell r="J3703">
            <v>343426.3</v>
          </cell>
        </row>
        <row r="3704">
          <cell r="A3704">
            <v>1813310782</v>
          </cell>
          <cell r="B3704" t="str">
            <v>שרות לאומי</v>
          </cell>
          <cell r="C3704">
            <v>0</v>
          </cell>
          <cell r="D3704">
            <v>0</v>
          </cell>
          <cell r="E3704">
            <v>0</v>
          </cell>
          <cell r="F3704">
            <v>0</v>
          </cell>
          <cell r="G3704">
            <v>0</v>
          </cell>
          <cell r="H3704">
            <v>0</v>
          </cell>
          <cell r="I3704">
            <v>0</v>
          </cell>
          <cell r="J3704">
            <v>0</v>
          </cell>
        </row>
        <row r="3705">
          <cell r="A3705">
            <v>1813310794</v>
          </cell>
          <cell r="B3705" t="str">
            <v>השתתפות בעזר 094</v>
          </cell>
          <cell r="C3705">
            <v>25460</v>
          </cell>
          <cell r="D3705">
            <v>31965</v>
          </cell>
          <cell r="E3705">
            <v>0</v>
          </cell>
          <cell r="F3705">
            <v>31965</v>
          </cell>
          <cell r="G3705">
            <v>-6505</v>
          </cell>
          <cell r="H3705">
            <v>125.54</v>
          </cell>
          <cell r="I3705">
            <v>26800</v>
          </cell>
          <cell r="J3705">
            <v>31965</v>
          </cell>
        </row>
        <row r="3706">
          <cell r="A3706">
            <v>1813310810</v>
          </cell>
          <cell r="B3706" t="str">
            <v>הקצבה-מינהל עצמי</v>
          </cell>
          <cell r="C3706">
            <v>95000</v>
          </cell>
          <cell r="D3706">
            <v>100000</v>
          </cell>
          <cell r="E3706">
            <v>0</v>
          </cell>
          <cell r="F3706">
            <v>100000</v>
          </cell>
          <cell r="G3706">
            <v>-5000</v>
          </cell>
          <cell r="H3706">
            <v>105.26</v>
          </cell>
          <cell r="I3706">
            <v>100000</v>
          </cell>
          <cell r="J3706">
            <v>100000</v>
          </cell>
        </row>
        <row r="3707">
          <cell r="A3707">
            <v>1813310811</v>
          </cell>
          <cell r="B3707" t="str">
            <v>מלגות-שרות לאומי</v>
          </cell>
          <cell r="C3707">
            <v>0</v>
          </cell>
          <cell r="D3707">
            <v>0</v>
          </cell>
          <cell r="E3707">
            <v>0</v>
          </cell>
          <cell r="F3707">
            <v>0</v>
          </cell>
          <cell r="G3707">
            <v>0</v>
          </cell>
          <cell r="H3707">
            <v>0</v>
          </cell>
          <cell r="I3707">
            <v>0</v>
          </cell>
          <cell r="J3707">
            <v>0</v>
          </cell>
        </row>
        <row r="3708">
          <cell r="A3708">
            <v>1813310812</v>
          </cell>
          <cell r="B3708" t="str">
            <v>מסיבות כיתתיות</v>
          </cell>
          <cell r="C3708">
            <v>1900</v>
          </cell>
          <cell r="D3708">
            <v>1870</v>
          </cell>
          <cell r="E3708">
            <v>0</v>
          </cell>
          <cell r="F3708">
            <v>1870</v>
          </cell>
          <cell r="G3708">
            <v>30</v>
          </cell>
          <cell r="H3708">
            <v>98.42</v>
          </cell>
          <cell r="I3708">
            <v>2000</v>
          </cell>
          <cell r="J3708">
            <v>1870</v>
          </cell>
        </row>
        <row r="3709">
          <cell r="A3709">
            <v>1813310838</v>
          </cell>
          <cell r="B3709" t="str">
            <v>העברה כנגד הכנסות מש' החינוך</v>
          </cell>
          <cell r="C3709">
            <v>0</v>
          </cell>
          <cell r="D3709">
            <v>0</v>
          </cell>
          <cell r="E3709">
            <v>0</v>
          </cell>
          <cell r="F3709">
            <v>0</v>
          </cell>
          <cell r="G3709">
            <v>0</v>
          </cell>
          <cell r="H3709">
            <v>0</v>
          </cell>
          <cell r="I3709">
            <v>0</v>
          </cell>
          <cell r="J3709">
            <v>0</v>
          </cell>
        </row>
        <row r="3710">
          <cell r="A3710">
            <v>1813310931</v>
          </cell>
          <cell r="B3710" t="str">
            <v>ציוד וריהוט</v>
          </cell>
          <cell r="C3710">
            <v>22800</v>
          </cell>
          <cell r="D3710">
            <v>24000</v>
          </cell>
          <cell r="E3710">
            <v>0</v>
          </cell>
          <cell r="F3710">
            <v>24000</v>
          </cell>
          <cell r="G3710">
            <v>-1200</v>
          </cell>
          <cell r="H3710">
            <v>105.26</v>
          </cell>
          <cell r="I3710">
            <v>24000</v>
          </cell>
          <cell r="J3710">
            <v>24000</v>
          </cell>
        </row>
        <row r="3711">
          <cell r="A3711">
            <v>1813310934</v>
          </cell>
          <cell r="B3711" t="str">
            <v>חומרים-ח"מ חופשות</v>
          </cell>
          <cell r="C3711">
            <v>56050</v>
          </cell>
          <cell r="D3711">
            <v>55193.8</v>
          </cell>
          <cell r="E3711">
            <v>0</v>
          </cell>
          <cell r="F3711">
            <v>55193.8</v>
          </cell>
          <cell r="G3711">
            <v>856.2</v>
          </cell>
          <cell r="H3711">
            <v>98.47</v>
          </cell>
          <cell r="I3711">
            <v>59000</v>
          </cell>
          <cell r="J3711">
            <v>55193.8</v>
          </cell>
        </row>
        <row r="3712">
          <cell r="A3712">
            <v>1813310953</v>
          </cell>
          <cell r="B3712" t="str">
            <v>מערכת גפ"ן</v>
          </cell>
          <cell r="C3712">
            <v>0</v>
          </cell>
          <cell r="D3712">
            <v>0</v>
          </cell>
          <cell r="E3712">
            <v>0</v>
          </cell>
          <cell r="F3712">
            <v>0</v>
          </cell>
          <cell r="G3712">
            <v>0</v>
          </cell>
          <cell r="H3712">
            <v>0</v>
          </cell>
          <cell r="I3712">
            <v>0</v>
          </cell>
          <cell r="J3712">
            <v>0</v>
          </cell>
        </row>
        <row r="3713">
          <cell r="A3713">
            <v>1813310954</v>
          </cell>
          <cell r="B3713" t="str">
            <v>הוצאות גפ"ן בית ספרי</v>
          </cell>
          <cell r="C3713">
            <v>0</v>
          </cell>
          <cell r="D3713">
            <v>0</v>
          </cell>
          <cell r="E3713">
            <v>0</v>
          </cell>
          <cell r="F3713">
            <v>0</v>
          </cell>
          <cell r="G3713">
            <v>0</v>
          </cell>
          <cell r="H3713">
            <v>0</v>
          </cell>
          <cell r="I3713">
            <v>0</v>
          </cell>
          <cell r="J3713">
            <v>0</v>
          </cell>
        </row>
        <row r="3714">
          <cell r="A3714">
            <v>1813600761</v>
          </cell>
          <cell r="B3714" t="str">
            <v>גביה מהורים-ניצנים יסודי</v>
          </cell>
          <cell r="C3714">
            <v>0</v>
          </cell>
          <cell r="D3714">
            <v>0</v>
          </cell>
          <cell r="E3714">
            <v>0</v>
          </cell>
          <cell r="F3714">
            <v>0</v>
          </cell>
          <cell r="G3714">
            <v>0</v>
          </cell>
          <cell r="H3714">
            <v>0</v>
          </cell>
          <cell r="I3714">
            <v>0</v>
          </cell>
          <cell r="J3714">
            <v>0</v>
          </cell>
        </row>
        <row r="3715">
          <cell r="A3715">
            <v>1813610761</v>
          </cell>
          <cell r="B3715" t="str">
            <v>גביה מהורים-ניצנים קיץ</v>
          </cell>
          <cell r="C3715">
            <v>0</v>
          </cell>
          <cell r="D3715">
            <v>0</v>
          </cell>
          <cell r="E3715">
            <v>0</v>
          </cell>
          <cell r="F3715">
            <v>0</v>
          </cell>
          <cell r="G3715">
            <v>0</v>
          </cell>
          <cell r="H3715">
            <v>0</v>
          </cell>
          <cell r="I3715">
            <v>0</v>
          </cell>
          <cell r="J3715">
            <v>0</v>
          </cell>
        </row>
        <row r="3716">
          <cell r="A3716">
            <v>1813700110</v>
          </cell>
          <cell r="B3716" t="str">
            <v>השכר הקובע-תקציבית</v>
          </cell>
          <cell r="C3716">
            <v>123310</v>
          </cell>
          <cell r="D3716">
            <v>0</v>
          </cell>
          <cell r="E3716">
            <v>0</v>
          </cell>
          <cell r="F3716">
            <v>0</v>
          </cell>
          <cell r="G3716">
            <v>123310</v>
          </cell>
          <cell r="H3716">
            <v>0</v>
          </cell>
          <cell r="I3716">
            <v>129800</v>
          </cell>
          <cell r="J3716">
            <v>0</v>
          </cell>
        </row>
        <row r="3717">
          <cell r="A3717">
            <v>1813700119</v>
          </cell>
          <cell r="B3717" t="str">
            <v>השכר הקובע-צוברת</v>
          </cell>
          <cell r="C3717">
            <v>223060</v>
          </cell>
          <cell r="D3717">
            <v>125030.04</v>
          </cell>
          <cell r="E3717">
            <v>0</v>
          </cell>
          <cell r="F3717">
            <v>125030.04</v>
          </cell>
          <cell r="G3717">
            <v>98029.96</v>
          </cell>
          <cell r="H3717">
            <v>56.05</v>
          </cell>
          <cell r="I3717">
            <v>234800</v>
          </cell>
          <cell r="J3717">
            <v>125030.04</v>
          </cell>
        </row>
        <row r="3718">
          <cell r="A3718">
            <v>1813700122</v>
          </cell>
          <cell r="B3718" t="str">
            <v>ביגוד</v>
          </cell>
          <cell r="C3718">
            <v>5700</v>
          </cell>
          <cell r="D3718">
            <v>1806.3</v>
          </cell>
          <cell r="E3718">
            <v>0</v>
          </cell>
          <cell r="F3718">
            <v>1806.3</v>
          </cell>
          <cell r="G3718">
            <v>3893.7</v>
          </cell>
          <cell r="H3718">
            <v>31.68</v>
          </cell>
          <cell r="I3718">
            <v>6000</v>
          </cell>
          <cell r="J3718">
            <v>1806.3</v>
          </cell>
        </row>
        <row r="3719">
          <cell r="A3719">
            <v>1813700126</v>
          </cell>
          <cell r="B3719" t="str">
            <v>דמי הבראה</v>
          </cell>
          <cell r="C3719">
            <v>8550</v>
          </cell>
          <cell r="D3719">
            <v>4307.43</v>
          </cell>
          <cell r="E3719">
            <v>0</v>
          </cell>
          <cell r="F3719">
            <v>4307.43</v>
          </cell>
          <cell r="G3719">
            <v>4242.57</v>
          </cell>
          <cell r="H3719">
            <v>50.37</v>
          </cell>
          <cell r="I3719">
            <v>9000</v>
          </cell>
          <cell r="J3719">
            <v>4307.43</v>
          </cell>
        </row>
        <row r="3720">
          <cell r="A3720">
            <v>1813700130</v>
          </cell>
          <cell r="B3720" t="str">
            <v>שעות נוספות</v>
          </cell>
          <cell r="C3720">
            <v>4750</v>
          </cell>
          <cell r="D3720">
            <v>5609.19</v>
          </cell>
          <cell r="E3720">
            <v>0</v>
          </cell>
          <cell r="F3720">
            <v>5609.19</v>
          </cell>
          <cell r="G3720">
            <v>-859.19</v>
          </cell>
          <cell r="H3720">
            <v>118.08</v>
          </cell>
          <cell r="I3720">
            <v>5000</v>
          </cell>
          <cell r="J3720">
            <v>5609.19</v>
          </cell>
        </row>
        <row r="3721">
          <cell r="A3721">
            <v>1813700140</v>
          </cell>
          <cell r="B3721" t="str">
            <v>השתתפות באחזקת רכב</v>
          </cell>
          <cell r="C3721">
            <v>3325</v>
          </cell>
          <cell r="D3721">
            <v>640.84</v>
          </cell>
          <cell r="E3721">
            <v>0</v>
          </cell>
          <cell r="F3721">
            <v>640.84</v>
          </cell>
          <cell r="G3721">
            <v>2684.16</v>
          </cell>
          <cell r="H3721">
            <v>19.27</v>
          </cell>
          <cell r="I3721">
            <v>3500</v>
          </cell>
          <cell r="J3721">
            <v>640.84</v>
          </cell>
        </row>
        <row r="3722">
          <cell r="A3722">
            <v>1813700210</v>
          </cell>
          <cell r="B3722" t="str">
            <v>השכר הקובע</v>
          </cell>
          <cell r="C3722">
            <v>0</v>
          </cell>
          <cell r="D3722">
            <v>0</v>
          </cell>
          <cell r="E3722">
            <v>0</v>
          </cell>
          <cell r="F3722">
            <v>0</v>
          </cell>
          <cell r="G3722">
            <v>0</v>
          </cell>
          <cell r="H3722">
            <v>0</v>
          </cell>
          <cell r="I3722">
            <v>0</v>
          </cell>
          <cell r="J3722">
            <v>0</v>
          </cell>
        </row>
        <row r="3723">
          <cell r="A3723">
            <v>1813700263</v>
          </cell>
          <cell r="B3723" t="str">
            <v>עובדי חברת מוסדות</v>
          </cell>
          <cell r="C3723">
            <v>0</v>
          </cell>
          <cell r="D3723">
            <v>0</v>
          </cell>
          <cell r="E3723">
            <v>0</v>
          </cell>
          <cell r="F3723">
            <v>0</v>
          </cell>
          <cell r="G3723">
            <v>0</v>
          </cell>
          <cell r="H3723">
            <v>0</v>
          </cell>
          <cell r="I3723">
            <v>0</v>
          </cell>
          <cell r="J3723">
            <v>0</v>
          </cell>
        </row>
        <row r="3724">
          <cell r="A3724">
            <v>1813700391</v>
          </cell>
          <cell r="B3724" t="str">
            <v>הפרשה לפנסיה</v>
          </cell>
          <cell r="C3724">
            <v>0</v>
          </cell>
          <cell r="D3724">
            <v>0</v>
          </cell>
          <cell r="E3724">
            <v>0</v>
          </cell>
          <cell r="F3724">
            <v>0</v>
          </cell>
          <cell r="G3724">
            <v>0</v>
          </cell>
          <cell r="H3724">
            <v>0</v>
          </cell>
          <cell r="I3724">
            <v>0</v>
          </cell>
          <cell r="J3724">
            <v>0</v>
          </cell>
        </row>
        <row r="3725">
          <cell r="A3725">
            <v>1813700420</v>
          </cell>
          <cell r="B3725" t="str">
            <v>כיבוי אש</v>
          </cell>
          <cell r="C3725">
            <v>1900</v>
          </cell>
          <cell r="D3725">
            <v>1192.3900000000001</v>
          </cell>
          <cell r="E3725">
            <v>0</v>
          </cell>
          <cell r="F3725">
            <v>1192.3900000000001</v>
          </cell>
          <cell r="G3725">
            <v>707.61</v>
          </cell>
          <cell r="H3725">
            <v>62.75</v>
          </cell>
          <cell r="I3725">
            <v>2000</v>
          </cell>
          <cell r="J3725">
            <v>1192.3900000000001</v>
          </cell>
        </row>
        <row r="3726">
          <cell r="A3726">
            <v>1813700423</v>
          </cell>
          <cell r="B3726" t="str">
            <v>תחזוקת מבנה</v>
          </cell>
          <cell r="C3726">
            <v>4085</v>
          </cell>
          <cell r="D3726">
            <v>4300</v>
          </cell>
          <cell r="E3726">
            <v>0</v>
          </cell>
          <cell r="F3726">
            <v>4300</v>
          </cell>
          <cell r="G3726">
            <v>-215</v>
          </cell>
          <cell r="H3726">
            <v>105.26</v>
          </cell>
          <cell r="I3726">
            <v>4300</v>
          </cell>
          <cell r="J3726">
            <v>4300</v>
          </cell>
        </row>
        <row r="3727">
          <cell r="A3727">
            <v>1813700431</v>
          </cell>
          <cell r="B3727" t="str">
            <v>חשמל</v>
          </cell>
          <cell r="C3727">
            <v>15675</v>
          </cell>
          <cell r="D3727">
            <v>0</v>
          </cell>
          <cell r="E3727">
            <v>0</v>
          </cell>
          <cell r="F3727">
            <v>0</v>
          </cell>
          <cell r="G3727">
            <v>15675</v>
          </cell>
          <cell r="H3727">
            <v>0</v>
          </cell>
          <cell r="I3727">
            <v>16500</v>
          </cell>
          <cell r="J3727">
            <v>0</v>
          </cell>
        </row>
        <row r="3728">
          <cell r="A3728">
            <v>1813700432</v>
          </cell>
          <cell r="B3728" t="str">
            <v>מים</v>
          </cell>
          <cell r="C3728">
            <v>0</v>
          </cell>
          <cell r="D3728">
            <v>0</v>
          </cell>
          <cell r="E3728">
            <v>0</v>
          </cell>
          <cell r="F3728">
            <v>0</v>
          </cell>
          <cell r="G3728">
            <v>0</v>
          </cell>
          <cell r="H3728">
            <v>0</v>
          </cell>
          <cell r="I3728">
            <v>0</v>
          </cell>
          <cell r="J3728">
            <v>0</v>
          </cell>
        </row>
        <row r="3729">
          <cell r="A3729">
            <v>1813700433</v>
          </cell>
          <cell r="B3729" t="str">
            <v>חומרי נקיון</v>
          </cell>
          <cell r="C3729">
            <v>0</v>
          </cell>
          <cell r="D3729">
            <v>0</v>
          </cell>
          <cell r="E3729">
            <v>0</v>
          </cell>
          <cell r="F3729">
            <v>0</v>
          </cell>
          <cell r="G3729">
            <v>0</v>
          </cell>
          <cell r="H3729">
            <v>0</v>
          </cell>
          <cell r="I3729">
            <v>0</v>
          </cell>
          <cell r="J3729">
            <v>0</v>
          </cell>
        </row>
        <row r="3730">
          <cell r="A3730">
            <v>1813700434</v>
          </cell>
          <cell r="B3730" t="str">
            <v>חיטוי והדברה</v>
          </cell>
          <cell r="C3730">
            <v>665</v>
          </cell>
          <cell r="D3730">
            <v>0</v>
          </cell>
          <cell r="E3730">
            <v>0</v>
          </cell>
          <cell r="F3730">
            <v>0</v>
          </cell>
          <cell r="G3730">
            <v>665</v>
          </cell>
          <cell r="H3730">
            <v>0</v>
          </cell>
          <cell r="I3730">
            <v>700</v>
          </cell>
          <cell r="J3730">
            <v>0</v>
          </cell>
        </row>
        <row r="3731">
          <cell r="A3731">
            <v>1813700437</v>
          </cell>
          <cell r="B3731" t="str">
            <v>אחזקת אזעקה</v>
          </cell>
          <cell r="C3731">
            <v>1235</v>
          </cell>
          <cell r="D3731">
            <v>1221.48</v>
          </cell>
          <cell r="E3731">
            <v>0</v>
          </cell>
          <cell r="F3731">
            <v>1221.48</v>
          </cell>
          <cell r="G3731">
            <v>13.52</v>
          </cell>
          <cell r="H3731">
            <v>98.9</v>
          </cell>
          <cell r="I3731">
            <v>1300</v>
          </cell>
          <cell r="J3731">
            <v>1221.48</v>
          </cell>
        </row>
        <row r="3732">
          <cell r="A3732">
            <v>1813700441</v>
          </cell>
          <cell r="B3732" t="str">
            <v>ביטוח</v>
          </cell>
          <cell r="C3732">
            <v>0</v>
          </cell>
          <cell r="D3732">
            <v>0</v>
          </cell>
          <cell r="E3732">
            <v>0</v>
          </cell>
          <cell r="F3732">
            <v>0</v>
          </cell>
          <cell r="G3732">
            <v>0</v>
          </cell>
          <cell r="H3732">
            <v>0</v>
          </cell>
          <cell r="I3732">
            <v>0</v>
          </cell>
          <cell r="J3732">
            <v>0</v>
          </cell>
        </row>
        <row r="3733">
          <cell r="A3733">
            <v>1813700471</v>
          </cell>
          <cell r="B3733" t="str">
            <v>מכשירי כתיבה</v>
          </cell>
          <cell r="C3733">
            <v>0</v>
          </cell>
          <cell r="D3733">
            <v>0</v>
          </cell>
          <cell r="E3733">
            <v>0</v>
          </cell>
          <cell r="F3733">
            <v>0</v>
          </cell>
          <cell r="G3733">
            <v>0</v>
          </cell>
          <cell r="H3733">
            <v>0</v>
          </cell>
          <cell r="I3733">
            <v>0</v>
          </cell>
          <cell r="J3733">
            <v>0</v>
          </cell>
        </row>
        <row r="3734">
          <cell r="A3734">
            <v>1813700511</v>
          </cell>
          <cell r="B3734" t="str">
            <v>אירוח וכיבוד</v>
          </cell>
          <cell r="C3734">
            <v>760</v>
          </cell>
          <cell r="D3734">
            <v>176</v>
          </cell>
          <cell r="E3734">
            <v>0</v>
          </cell>
          <cell r="F3734">
            <v>176</v>
          </cell>
          <cell r="G3734">
            <v>584</v>
          </cell>
          <cell r="H3734">
            <v>23.15</v>
          </cell>
          <cell r="I3734">
            <v>800</v>
          </cell>
          <cell r="J3734">
            <v>176</v>
          </cell>
        </row>
        <row r="3735">
          <cell r="A3735">
            <v>1813700512</v>
          </cell>
          <cell r="B3735" t="str">
            <v>נסיעות ואש"ל</v>
          </cell>
          <cell r="C3735">
            <v>0</v>
          </cell>
          <cell r="D3735">
            <v>0</v>
          </cell>
          <cell r="E3735">
            <v>0</v>
          </cell>
          <cell r="F3735">
            <v>0</v>
          </cell>
          <cell r="G3735">
            <v>0</v>
          </cell>
          <cell r="H3735">
            <v>0</v>
          </cell>
          <cell r="I3735">
            <v>0</v>
          </cell>
          <cell r="J3735">
            <v>0</v>
          </cell>
        </row>
        <row r="3736">
          <cell r="A3736">
            <v>1813700540</v>
          </cell>
          <cell r="B3736" t="str">
            <v>הוצאות טלפון</v>
          </cell>
          <cell r="C3736">
            <v>0</v>
          </cell>
          <cell r="D3736">
            <v>0</v>
          </cell>
          <cell r="E3736">
            <v>0</v>
          </cell>
          <cell r="F3736">
            <v>0</v>
          </cell>
          <cell r="G3736">
            <v>0</v>
          </cell>
          <cell r="H3736">
            <v>0</v>
          </cell>
          <cell r="I3736">
            <v>0</v>
          </cell>
          <cell r="J3736">
            <v>0</v>
          </cell>
        </row>
        <row r="3737">
          <cell r="A3737">
            <v>1813700544</v>
          </cell>
          <cell r="B3737" t="str">
            <v>הוצאות דאר</v>
          </cell>
          <cell r="C3737">
            <v>0</v>
          </cell>
          <cell r="D3737">
            <v>0</v>
          </cell>
          <cell r="E3737">
            <v>0</v>
          </cell>
          <cell r="F3737">
            <v>0</v>
          </cell>
          <cell r="G3737">
            <v>0</v>
          </cell>
          <cell r="H3737">
            <v>0</v>
          </cell>
          <cell r="I3737">
            <v>0</v>
          </cell>
          <cell r="J3737">
            <v>0</v>
          </cell>
        </row>
        <row r="3738">
          <cell r="A3738">
            <v>1813700596</v>
          </cell>
          <cell r="B3738" t="str">
            <v>השתתפות בעזר 096</v>
          </cell>
          <cell r="C3738">
            <v>89015</v>
          </cell>
          <cell r="D3738">
            <v>87581</v>
          </cell>
          <cell r="E3738">
            <v>0</v>
          </cell>
          <cell r="F3738">
            <v>87581</v>
          </cell>
          <cell r="G3738">
            <v>1434</v>
          </cell>
          <cell r="H3738">
            <v>98.38</v>
          </cell>
          <cell r="I3738">
            <v>93700</v>
          </cell>
          <cell r="J3738">
            <v>87581</v>
          </cell>
        </row>
        <row r="3739">
          <cell r="A3739">
            <v>1813700710</v>
          </cell>
          <cell r="B3739" t="str">
            <v>הסעת ילדים</v>
          </cell>
          <cell r="C3739">
            <v>635000</v>
          </cell>
          <cell r="D3739">
            <v>587497</v>
          </cell>
          <cell r="E3739">
            <v>0</v>
          </cell>
          <cell r="F3739">
            <v>587497</v>
          </cell>
          <cell r="G3739">
            <v>47503</v>
          </cell>
          <cell r="H3739">
            <v>92.51</v>
          </cell>
          <cell r="I3739">
            <v>635000</v>
          </cell>
          <cell r="J3739">
            <v>587497</v>
          </cell>
        </row>
        <row r="3740">
          <cell r="A3740">
            <v>1813700721</v>
          </cell>
          <cell r="B3740" t="str">
            <v>חמרים-תחזוקת מבנים</v>
          </cell>
          <cell r="C3740">
            <v>0</v>
          </cell>
          <cell r="D3740">
            <v>0</v>
          </cell>
          <cell r="E3740">
            <v>0</v>
          </cell>
          <cell r="F3740">
            <v>0</v>
          </cell>
          <cell r="G3740">
            <v>0</v>
          </cell>
          <cell r="H3740">
            <v>0</v>
          </cell>
          <cell r="I3740">
            <v>0</v>
          </cell>
          <cell r="J3740">
            <v>0</v>
          </cell>
        </row>
        <row r="3741">
          <cell r="A3741">
            <v>1813700722</v>
          </cell>
          <cell r="B3741" t="str">
            <v>חמרים-תחזוקה עצמית</v>
          </cell>
          <cell r="C3741">
            <v>0</v>
          </cell>
          <cell r="D3741">
            <v>0</v>
          </cell>
          <cell r="E3741">
            <v>0</v>
          </cell>
          <cell r="F3741">
            <v>0</v>
          </cell>
          <cell r="G3741">
            <v>0</v>
          </cell>
          <cell r="H3741">
            <v>0</v>
          </cell>
          <cell r="I3741">
            <v>0</v>
          </cell>
          <cell r="J3741">
            <v>0</v>
          </cell>
        </row>
        <row r="3742">
          <cell r="A3742">
            <v>1813700723</v>
          </cell>
          <cell r="B3742" t="str">
            <v>חומרים חקלאיים</v>
          </cell>
          <cell r="C3742">
            <v>0</v>
          </cell>
          <cell r="D3742">
            <v>0</v>
          </cell>
          <cell r="E3742">
            <v>0</v>
          </cell>
          <cell r="F3742">
            <v>0</v>
          </cell>
          <cell r="G3742">
            <v>0</v>
          </cell>
          <cell r="H3742">
            <v>0</v>
          </cell>
          <cell r="I3742">
            <v>0</v>
          </cell>
          <cell r="J3742">
            <v>0</v>
          </cell>
        </row>
        <row r="3743">
          <cell r="A3743">
            <v>1813700728</v>
          </cell>
          <cell r="B3743" t="str">
            <v>כלכלת בית</v>
          </cell>
          <cell r="C3743">
            <v>0</v>
          </cell>
          <cell r="D3743">
            <v>0</v>
          </cell>
          <cell r="E3743">
            <v>0</v>
          </cell>
          <cell r="F3743">
            <v>0</v>
          </cell>
          <cell r="G3743">
            <v>0</v>
          </cell>
          <cell r="H3743">
            <v>0</v>
          </cell>
          <cell r="I3743">
            <v>0</v>
          </cell>
          <cell r="J3743">
            <v>0</v>
          </cell>
        </row>
        <row r="3744">
          <cell r="A3744">
            <v>1813700742</v>
          </cell>
          <cell r="B3744" t="str">
            <v>כלים וציוד</v>
          </cell>
          <cell r="C3744">
            <v>855</v>
          </cell>
          <cell r="D3744">
            <v>0</v>
          </cell>
          <cell r="E3744">
            <v>0</v>
          </cell>
          <cell r="F3744">
            <v>0</v>
          </cell>
          <cell r="G3744">
            <v>855</v>
          </cell>
          <cell r="H3744">
            <v>0</v>
          </cell>
          <cell r="I3744">
            <v>900</v>
          </cell>
          <cell r="J3744">
            <v>0</v>
          </cell>
        </row>
        <row r="3745">
          <cell r="A3745">
            <v>1813700743</v>
          </cell>
          <cell r="B3745" t="str">
            <v>תחזוקת בועה</v>
          </cell>
          <cell r="C3745">
            <v>0</v>
          </cell>
          <cell r="D3745">
            <v>0</v>
          </cell>
          <cell r="E3745">
            <v>0</v>
          </cell>
          <cell r="F3745">
            <v>0</v>
          </cell>
          <cell r="G3745">
            <v>0</v>
          </cell>
          <cell r="H3745">
            <v>0</v>
          </cell>
          <cell r="I3745">
            <v>0</v>
          </cell>
          <cell r="J3745">
            <v>0</v>
          </cell>
        </row>
        <row r="3746">
          <cell r="A3746">
            <v>1813700750</v>
          </cell>
          <cell r="B3746" t="str">
            <v>אחזקת מוסדות</v>
          </cell>
          <cell r="C3746">
            <v>231420</v>
          </cell>
          <cell r="D3746">
            <v>230647</v>
          </cell>
          <cell r="E3746">
            <v>0</v>
          </cell>
          <cell r="F3746">
            <v>230647</v>
          </cell>
          <cell r="G3746">
            <v>773</v>
          </cell>
          <cell r="H3746">
            <v>99.66</v>
          </cell>
          <cell r="I3746">
            <v>243600</v>
          </cell>
          <cell r="J3746">
            <v>230647</v>
          </cell>
        </row>
        <row r="3747">
          <cell r="A3747">
            <v>1813700751</v>
          </cell>
          <cell r="B3747" t="str">
            <v>עבודות קבלניות</v>
          </cell>
          <cell r="C3747">
            <v>0</v>
          </cell>
          <cell r="D3747">
            <v>0</v>
          </cell>
          <cell r="E3747">
            <v>0</v>
          </cell>
          <cell r="F3747">
            <v>0</v>
          </cell>
          <cell r="G3747">
            <v>0</v>
          </cell>
          <cell r="H3747">
            <v>0</v>
          </cell>
          <cell r="I3747">
            <v>0</v>
          </cell>
          <cell r="J3747">
            <v>0</v>
          </cell>
        </row>
        <row r="3748">
          <cell r="A3748">
            <v>1813700752</v>
          </cell>
          <cell r="B3748" t="str">
            <v>נקיון בקבלנות</v>
          </cell>
          <cell r="C3748">
            <v>35910</v>
          </cell>
          <cell r="D3748">
            <v>37799.61</v>
          </cell>
          <cell r="E3748">
            <v>0</v>
          </cell>
          <cell r="F3748">
            <v>37799.61</v>
          </cell>
          <cell r="G3748">
            <v>-1889.61</v>
          </cell>
          <cell r="H3748">
            <v>105.26</v>
          </cell>
          <cell r="I3748">
            <v>37800</v>
          </cell>
          <cell r="J3748">
            <v>37799.61</v>
          </cell>
        </row>
        <row r="3749">
          <cell r="A3749">
            <v>1813700753</v>
          </cell>
          <cell r="B3749" t="str">
            <v>עובדים חיצוניים</v>
          </cell>
          <cell r="C3749">
            <v>0</v>
          </cell>
          <cell r="D3749">
            <v>0</v>
          </cell>
          <cell r="E3749">
            <v>0</v>
          </cell>
          <cell r="F3749">
            <v>0</v>
          </cell>
          <cell r="G3749">
            <v>0</v>
          </cell>
          <cell r="H3749">
            <v>0</v>
          </cell>
          <cell r="I3749">
            <v>0</v>
          </cell>
          <cell r="J3749">
            <v>0</v>
          </cell>
        </row>
        <row r="3750">
          <cell r="A3750">
            <v>1813700763</v>
          </cell>
          <cell r="B3750" t="str">
            <v>עובדי חברת מוסדות</v>
          </cell>
          <cell r="C3750">
            <v>0</v>
          </cell>
          <cell r="D3750">
            <v>0</v>
          </cell>
          <cell r="E3750">
            <v>0</v>
          </cell>
          <cell r="F3750">
            <v>0</v>
          </cell>
          <cell r="G3750">
            <v>0</v>
          </cell>
          <cell r="H3750">
            <v>0</v>
          </cell>
          <cell r="I3750">
            <v>0</v>
          </cell>
          <cell r="J3750">
            <v>0</v>
          </cell>
        </row>
        <row r="3751">
          <cell r="A3751">
            <v>1813700794</v>
          </cell>
          <cell r="B3751" t="str">
            <v>השתתפות בעזר 094</v>
          </cell>
          <cell r="C3751">
            <v>11685</v>
          </cell>
          <cell r="D3751">
            <v>14670</v>
          </cell>
          <cell r="E3751">
            <v>0</v>
          </cell>
          <cell r="F3751">
            <v>14670</v>
          </cell>
          <cell r="G3751">
            <v>-2985</v>
          </cell>
          <cell r="H3751">
            <v>125.54</v>
          </cell>
          <cell r="I3751">
            <v>12300</v>
          </cell>
          <cell r="J3751">
            <v>14670</v>
          </cell>
        </row>
        <row r="3752">
          <cell r="A3752">
            <v>1813700810</v>
          </cell>
          <cell r="B3752" t="str">
            <v>הקצבה שוטפת</v>
          </cell>
          <cell r="C3752">
            <v>48735</v>
          </cell>
          <cell r="D3752">
            <v>51300</v>
          </cell>
          <cell r="E3752">
            <v>0</v>
          </cell>
          <cell r="F3752">
            <v>51300</v>
          </cell>
          <cell r="G3752">
            <v>-2565</v>
          </cell>
          <cell r="H3752">
            <v>105.26</v>
          </cell>
          <cell r="I3752">
            <v>51300</v>
          </cell>
          <cell r="J3752">
            <v>51300</v>
          </cell>
        </row>
        <row r="3753">
          <cell r="A3753">
            <v>1813700931</v>
          </cell>
          <cell r="B3753" t="str">
            <v>הצטיידות הכנסה משה"ח</v>
          </cell>
          <cell r="C3753">
            <v>142500</v>
          </cell>
          <cell r="D3753">
            <v>70453</v>
          </cell>
          <cell r="E3753">
            <v>0</v>
          </cell>
          <cell r="F3753">
            <v>70453</v>
          </cell>
          <cell r="G3753">
            <v>72047</v>
          </cell>
          <cell r="H3753">
            <v>49.44</v>
          </cell>
          <cell r="I3753">
            <v>150000</v>
          </cell>
          <cell r="J3753">
            <v>70453</v>
          </cell>
        </row>
        <row r="3754">
          <cell r="A3754">
            <v>1813800210</v>
          </cell>
          <cell r="B3754" t="str">
            <v>השכר הקובע</v>
          </cell>
          <cell r="C3754">
            <v>0</v>
          </cell>
          <cell r="D3754">
            <v>0</v>
          </cell>
          <cell r="E3754">
            <v>0</v>
          </cell>
          <cell r="F3754">
            <v>0</v>
          </cell>
          <cell r="G3754">
            <v>0</v>
          </cell>
          <cell r="H3754">
            <v>0</v>
          </cell>
          <cell r="I3754">
            <v>0</v>
          </cell>
          <cell r="J3754">
            <v>0</v>
          </cell>
        </row>
        <row r="3755">
          <cell r="A3755">
            <v>1813800710</v>
          </cell>
          <cell r="B3755" t="str">
            <v>הסעות לאולפן קייץ</v>
          </cell>
          <cell r="C3755">
            <v>0</v>
          </cell>
          <cell r="D3755">
            <v>0</v>
          </cell>
          <cell r="E3755">
            <v>0</v>
          </cell>
          <cell r="F3755">
            <v>0</v>
          </cell>
          <cell r="G3755">
            <v>0</v>
          </cell>
          <cell r="H3755">
            <v>0</v>
          </cell>
          <cell r="I3755">
            <v>0</v>
          </cell>
          <cell r="J3755">
            <v>0</v>
          </cell>
        </row>
        <row r="3756">
          <cell r="A3756">
            <v>1813800723</v>
          </cell>
          <cell r="B3756" t="str">
            <v>חומרים וספרים</v>
          </cell>
          <cell r="C3756">
            <v>0</v>
          </cell>
          <cell r="D3756">
            <v>0</v>
          </cell>
          <cell r="E3756">
            <v>0</v>
          </cell>
          <cell r="F3756">
            <v>0</v>
          </cell>
          <cell r="G3756">
            <v>0</v>
          </cell>
          <cell r="H3756">
            <v>0</v>
          </cell>
          <cell r="I3756">
            <v>0</v>
          </cell>
          <cell r="J3756">
            <v>0</v>
          </cell>
        </row>
        <row r="3757">
          <cell r="A3757">
            <v>1813800752</v>
          </cell>
          <cell r="B3757" t="str">
            <v>נקיון בתי ספר</v>
          </cell>
          <cell r="C3757">
            <v>0</v>
          </cell>
          <cell r="D3757">
            <v>0</v>
          </cell>
          <cell r="E3757">
            <v>0</v>
          </cell>
          <cell r="F3757">
            <v>0</v>
          </cell>
          <cell r="G3757">
            <v>0</v>
          </cell>
          <cell r="H3757">
            <v>0</v>
          </cell>
          <cell r="I3757">
            <v>0</v>
          </cell>
          <cell r="J3757">
            <v>0</v>
          </cell>
        </row>
        <row r="3758">
          <cell r="A3758">
            <v>1813800756</v>
          </cell>
          <cell r="B3758" t="str">
            <v>שמירה בקבלנות</v>
          </cell>
          <cell r="C3758">
            <v>0</v>
          </cell>
          <cell r="D3758">
            <v>0</v>
          </cell>
          <cell r="E3758">
            <v>0</v>
          </cell>
          <cell r="F3758">
            <v>0</v>
          </cell>
          <cell r="G3758">
            <v>0</v>
          </cell>
          <cell r="H3758">
            <v>0</v>
          </cell>
          <cell r="I3758">
            <v>0</v>
          </cell>
          <cell r="J3758">
            <v>0</v>
          </cell>
        </row>
        <row r="3759">
          <cell r="A3759">
            <v>1813800781</v>
          </cell>
          <cell r="B3759" t="str">
            <v>פע' חברה אירועים</v>
          </cell>
          <cell r="C3759">
            <v>0</v>
          </cell>
          <cell r="D3759">
            <v>0</v>
          </cell>
          <cell r="E3759">
            <v>0</v>
          </cell>
          <cell r="F3759">
            <v>0</v>
          </cell>
          <cell r="G3759">
            <v>0</v>
          </cell>
          <cell r="H3759">
            <v>0</v>
          </cell>
          <cell r="I3759">
            <v>0</v>
          </cell>
          <cell r="J3759">
            <v>0</v>
          </cell>
        </row>
        <row r="3760">
          <cell r="A3760">
            <v>1813900810</v>
          </cell>
          <cell r="B3760" t="str">
            <v>הש' לימודי חוץ-רגיל</v>
          </cell>
          <cell r="C3760">
            <v>522500</v>
          </cell>
          <cell r="D3760">
            <v>674511</v>
          </cell>
          <cell r="E3760">
            <v>0</v>
          </cell>
          <cell r="F3760">
            <v>674511</v>
          </cell>
          <cell r="G3760">
            <v>-152011</v>
          </cell>
          <cell r="H3760">
            <v>129.09</v>
          </cell>
          <cell r="I3760">
            <v>550000</v>
          </cell>
          <cell r="J3760">
            <v>674511</v>
          </cell>
        </row>
        <row r="3761">
          <cell r="A3761">
            <v>1813900811</v>
          </cell>
          <cell r="B3761" t="str">
            <v>השת' בלימודי חוץ</v>
          </cell>
          <cell r="C3761">
            <v>5225000</v>
          </cell>
          <cell r="D3761">
            <v>5706725.0099999998</v>
          </cell>
          <cell r="E3761">
            <v>0</v>
          </cell>
          <cell r="F3761">
            <v>5706725.0099999998</v>
          </cell>
          <cell r="G3761">
            <v>-481725.01</v>
          </cell>
          <cell r="H3761">
            <v>109.21</v>
          </cell>
          <cell r="I3761">
            <v>5500000</v>
          </cell>
          <cell r="J3761">
            <v>5706725.0099999998</v>
          </cell>
        </row>
        <row r="3762">
          <cell r="A3762">
            <v>1814100110</v>
          </cell>
          <cell r="B3762" t="str">
            <v>השכר הקובע-תקציבית</v>
          </cell>
          <cell r="C3762">
            <v>0</v>
          </cell>
          <cell r="D3762">
            <v>0</v>
          </cell>
          <cell r="E3762">
            <v>0</v>
          </cell>
          <cell r="F3762">
            <v>0</v>
          </cell>
          <cell r="G3762">
            <v>0</v>
          </cell>
          <cell r="H3762">
            <v>0</v>
          </cell>
          <cell r="I3762">
            <v>0</v>
          </cell>
          <cell r="J3762">
            <v>0</v>
          </cell>
        </row>
        <row r="3763">
          <cell r="A3763">
            <v>1814100119</v>
          </cell>
          <cell r="B3763" t="str">
            <v>השכר הקובע-צוברת</v>
          </cell>
          <cell r="C3763">
            <v>0</v>
          </cell>
          <cell r="D3763">
            <v>0</v>
          </cell>
          <cell r="E3763">
            <v>0</v>
          </cell>
          <cell r="F3763">
            <v>0</v>
          </cell>
          <cell r="G3763">
            <v>0</v>
          </cell>
          <cell r="H3763">
            <v>0</v>
          </cell>
          <cell r="I3763">
            <v>0</v>
          </cell>
          <cell r="J3763">
            <v>0</v>
          </cell>
        </row>
        <row r="3764">
          <cell r="A3764">
            <v>1814100122</v>
          </cell>
          <cell r="B3764" t="str">
            <v>ביגוד</v>
          </cell>
          <cell r="C3764">
            <v>0</v>
          </cell>
          <cell r="D3764">
            <v>0</v>
          </cell>
          <cell r="E3764">
            <v>0</v>
          </cell>
          <cell r="F3764">
            <v>0</v>
          </cell>
          <cell r="G3764">
            <v>0</v>
          </cell>
          <cell r="H3764">
            <v>0</v>
          </cell>
          <cell r="I3764">
            <v>0</v>
          </cell>
          <cell r="J3764">
            <v>0</v>
          </cell>
        </row>
        <row r="3765">
          <cell r="A3765">
            <v>1814100126</v>
          </cell>
          <cell r="B3765" t="str">
            <v>דמי הבראה</v>
          </cell>
          <cell r="C3765">
            <v>0</v>
          </cell>
          <cell r="D3765">
            <v>0</v>
          </cell>
          <cell r="E3765">
            <v>0</v>
          </cell>
          <cell r="F3765">
            <v>0</v>
          </cell>
          <cell r="G3765">
            <v>0</v>
          </cell>
          <cell r="H3765">
            <v>0</v>
          </cell>
          <cell r="I3765">
            <v>0</v>
          </cell>
          <cell r="J3765">
            <v>0</v>
          </cell>
        </row>
        <row r="3766">
          <cell r="A3766">
            <v>1814100130</v>
          </cell>
          <cell r="B3766" t="str">
            <v>שעות נוספות</v>
          </cell>
          <cell r="C3766">
            <v>0</v>
          </cell>
          <cell r="D3766">
            <v>0</v>
          </cell>
          <cell r="E3766">
            <v>0</v>
          </cell>
          <cell r="F3766">
            <v>0</v>
          </cell>
          <cell r="G3766">
            <v>0</v>
          </cell>
          <cell r="H3766">
            <v>0</v>
          </cell>
          <cell r="I3766">
            <v>0</v>
          </cell>
          <cell r="J3766">
            <v>0</v>
          </cell>
        </row>
        <row r="3767">
          <cell r="A3767">
            <v>1814100140</v>
          </cell>
          <cell r="B3767" t="str">
            <v>השתתפות באחזקת רכב</v>
          </cell>
          <cell r="C3767">
            <v>0</v>
          </cell>
          <cell r="D3767">
            <v>0</v>
          </cell>
          <cell r="E3767">
            <v>0</v>
          </cell>
          <cell r="F3767">
            <v>0</v>
          </cell>
          <cell r="G3767">
            <v>0</v>
          </cell>
          <cell r="H3767">
            <v>0</v>
          </cell>
          <cell r="I3767">
            <v>0</v>
          </cell>
          <cell r="J3767">
            <v>0</v>
          </cell>
        </row>
        <row r="3768">
          <cell r="A3768">
            <v>1814100210</v>
          </cell>
          <cell r="B3768" t="str">
            <v>השכר הקובע</v>
          </cell>
          <cell r="C3768">
            <v>0</v>
          </cell>
          <cell r="D3768">
            <v>0</v>
          </cell>
          <cell r="E3768">
            <v>0</v>
          </cell>
          <cell r="F3768">
            <v>0</v>
          </cell>
          <cell r="G3768">
            <v>0</v>
          </cell>
          <cell r="H3768">
            <v>0</v>
          </cell>
          <cell r="I3768">
            <v>0</v>
          </cell>
          <cell r="J3768">
            <v>0</v>
          </cell>
        </row>
        <row r="3769">
          <cell r="A3769">
            <v>1814100263</v>
          </cell>
          <cell r="B3769" t="str">
            <v>עובדי מינהלה</v>
          </cell>
          <cell r="C3769">
            <v>0</v>
          </cell>
          <cell r="D3769">
            <v>0</v>
          </cell>
          <cell r="E3769">
            <v>0</v>
          </cell>
          <cell r="F3769">
            <v>0</v>
          </cell>
          <cell r="G3769">
            <v>0</v>
          </cell>
          <cell r="H3769">
            <v>0</v>
          </cell>
          <cell r="I3769">
            <v>0</v>
          </cell>
          <cell r="J3769">
            <v>0</v>
          </cell>
        </row>
        <row r="3770">
          <cell r="A3770">
            <v>1814100391</v>
          </cell>
          <cell r="B3770" t="str">
            <v>הפרשה לפנסיה</v>
          </cell>
          <cell r="C3770">
            <v>0</v>
          </cell>
          <cell r="D3770">
            <v>0</v>
          </cell>
          <cell r="E3770">
            <v>0</v>
          </cell>
          <cell r="F3770">
            <v>0</v>
          </cell>
          <cell r="G3770">
            <v>0</v>
          </cell>
          <cell r="H3770">
            <v>0</v>
          </cell>
          <cell r="I3770">
            <v>0</v>
          </cell>
          <cell r="J3770">
            <v>0</v>
          </cell>
        </row>
        <row r="3771">
          <cell r="A3771">
            <v>1814100411</v>
          </cell>
          <cell r="B3771" t="str">
            <v>שכירת אולמות</v>
          </cell>
          <cell r="C3771">
            <v>0</v>
          </cell>
          <cell r="D3771">
            <v>0</v>
          </cell>
          <cell r="E3771">
            <v>0</v>
          </cell>
          <cell r="F3771">
            <v>0</v>
          </cell>
          <cell r="G3771">
            <v>0</v>
          </cell>
          <cell r="H3771">
            <v>0</v>
          </cell>
          <cell r="I3771">
            <v>0</v>
          </cell>
          <cell r="J3771">
            <v>0</v>
          </cell>
        </row>
        <row r="3772">
          <cell r="A3772">
            <v>1814100413</v>
          </cell>
          <cell r="B3772" t="str">
            <v>דמי שימוש באולם</v>
          </cell>
          <cell r="C3772">
            <v>0</v>
          </cell>
          <cell r="D3772">
            <v>0</v>
          </cell>
          <cell r="E3772">
            <v>0</v>
          </cell>
          <cell r="F3772">
            <v>0</v>
          </cell>
          <cell r="G3772">
            <v>0</v>
          </cell>
          <cell r="H3772">
            <v>0</v>
          </cell>
          <cell r="I3772">
            <v>0</v>
          </cell>
          <cell r="J3772">
            <v>0</v>
          </cell>
        </row>
        <row r="3773">
          <cell r="A3773">
            <v>1814100420</v>
          </cell>
          <cell r="B3773" t="str">
            <v>כיבוי אש</v>
          </cell>
          <cell r="C3773">
            <v>0</v>
          </cell>
          <cell r="D3773">
            <v>0</v>
          </cell>
          <cell r="E3773">
            <v>0</v>
          </cell>
          <cell r="F3773">
            <v>0</v>
          </cell>
          <cell r="G3773">
            <v>0</v>
          </cell>
          <cell r="H3773">
            <v>0</v>
          </cell>
          <cell r="I3773">
            <v>0</v>
          </cell>
          <cell r="J3773">
            <v>0</v>
          </cell>
        </row>
        <row r="3774">
          <cell r="A3774">
            <v>1814100431</v>
          </cell>
          <cell r="B3774" t="str">
            <v>חשמל</v>
          </cell>
          <cell r="C3774">
            <v>0</v>
          </cell>
          <cell r="D3774">
            <v>0</v>
          </cell>
          <cell r="E3774">
            <v>0</v>
          </cell>
          <cell r="F3774">
            <v>0</v>
          </cell>
          <cell r="G3774">
            <v>0</v>
          </cell>
          <cell r="H3774">
            <v>0</v>
          </cell>
          <cell r="I3774">
            <v>0</v>
          </cell>
          <cell r="J3774">
            <v>0</v>
          </cell>
        </row>
        <row r="3775">
          <cell r="A3775">
            <v>1814100432</v>
          </cell>
          <cell r="B3775" t="str">
            <v>מים</v>
          </cell>
          <cell r="C3775">
            <v>0</v>
          </cell>
          <cell r="D3775">
            <v>0</v>
          </cell>
          <cell r="E3775">
            <v>0</v>
          </cell>
          <cell r="F3775">
            <v>0</v>
          </cell>
          <cell r="G3775">
            <v>0</v>
          </cell>
          <cell r="H3775">
            <v>0</v>
          </cell>
          <cell r="I3775">
            <v>0</v>
          </cell>
          <cell r="J3775">
            <v>0</v>
          </cell>
        </row>
        <row r="3776">
          <cell r="A3776">
            <v>1814100433</v>
          </cell>
          <cell r="B3776" t="str">
            <v>חומרי נקיון</v>
          </cell>
          <cell r="C3776">
            <v>0</v>
          </cell>
          <cell r="D3776">
            <v>0</v>
          </cell>
          <cell r="E3776">
            <v>0</v>
          </cell>
          <cell r="F3776">
            <v>0</v>
          </cell>
          <cell r="G3776">
            <v>0</v>
          </cell>
          <cell r="H3776">
            <v>0</v>
          </cell>
          <cell r="I3776">
            <v>0</v>
          </cell>
          <cell r="J3776">
            <v>0</v>
          </cell>
        </row>
        <row r="3777">
          <cell r="A3777">
            <v>1814100434</v>
          </cell>
          <cell r="B3777" t="str">
            <v>חיטוי והדברה</v>
          </cell>
          <cell r="C3777">
            <v>0</v>
          </cell>
          <cell r="D3777">
            <v>0</v>
          </cell>
          <cell r="E3777">
            <v>0</v>
          </cell>
          <cell r="F3777">
            <v>0</v>
          </cell>
          <cell r="G3777">
            <v>0</v>
          </cell>
          <cell r="H3777">
            <v>0</v>
          </cell>
          <cell r="I3777">
            <v>0</v>
          </cell>
          <cell r="J3777">
            <v>0</v>
          </cell>
        </row>
        <row r="3778">
          <cell r="A3778">
            <v>1814100437</v>
          </cell>
          <cell r="B3778" t="str">
            <v>אחזקת אזעקה</v>
          </cell>
          <cell r="C3778">
            <v>0</v>
          </cell>
          <cell r="D3778">
            <v>0</v>
          </cell>
          <cell r="E3778">
            <v>0</v>
          </cell>
          <cell r="F3778">
            <v>0</v>
          </cell>
          <cell r="G3778">
            <v>0</v>
          </cell>
          <cell r="H3778">
            <v>0</v>
          </cell>
          <cell r="I3778">
            <v>0</v>
          </cell>
          <cell r="J3778">
            <v>0</v>
          </cell>
        </row>
        <row r="3779">
          <cell r="A3779">
            <v>1814100450</v>
          </cell>
          <cell r="B3779" t="str">
            <v>ריהוט ואחזקתו</v>
          </cell>
          <cell r="C3779">
            <v>0</v>
          </cell>
          <cell r="D3779">
            <v>0</v>
          </cell>
          <cell r="E3779">
            <v>0</v>
          </cell>
          <cell r="F3779">
            <v>0</v>
          </cell>
          <cell r="G3779">
            <v>0</v>
          </cell>
          <cell r="H3779">
            <v>0</v>
          </cell>
          <cell r="I3779">
            <v>0</v>
          </cell>
          <cell r="J3779">
            <v>0</v>
          </cell>
        </row>
        <row r="3780">
          <cell r="A3780">
            <v>1814100470</v>
          </cell>
          <cell r="B3780" t="str">
            <v>אחזקת מכונות משרד</v>
          </cell>
          <cell r="C3780">
            <v>0</v>
          </cell>
          <cell r="D3780">
            <v>0</v>
          </cell>
          <cell r="E3780">
            <v>0</v>
          </cell>
          <cell r="F3780">
            <v>0</v>
          </cell>
          <cell r="G3780">
            <v>0</v>
          </cell>
          <cell r="H3780">
            <v>0</v>
          </cell>
          <cell r="I3780">
            <v>0</v>
          </cell>
          <cell r="J3780">
            <v>0</v>
          </cell>
        </row>
        <row r="3781">
          <cell r="A3781">
            <v>1814100471</v>
          </cell>
          <cell r="B3781" t="str">
            <v>מכשירי כתיבה</v>
          </cell>
          <cell r="C3781">
            <v>0</v>
          </cell>
          <cell r="D3781">
            <v>0</v>
          </cell>
          <cell r="E3781">
            <v>0</v>
          </cell>
          <cell r="F3781">
            <v>0</v>
          </cell>
          <cell r="G3781">
            <v>0</v>
          </cell>
          <cell r="H3781">
            <v>0</v>
          </cell>
          <cell r="I3781">
            <v>0</v>
          </cell>
          <cell r="J3781">
            <v>0</v>
          </cell>
        </row>
        <row r="3782">
          <cell r="A3782">
            <v>1814100511</v>
          </cell>
          <cell r="B3782" t="str">
            <v>אירוח וכיבוד</v>
          </cell>
          <cell r="C3782">
            <v>0</v>
          </cell>
          <cell r="D3782">
            <v>0</v>
          </cell>
          <cell r="E3782">
            <v>0</v>
          </cell>
          <cell r="F3782">
            <v>0</v>
          </cell>
          <cell r="G3782">
            <v>0</v>
          </cell>
          <cell r="H3782">
            <v>0</v>
          </cell>
          <cell r="I3782">
            <v>0</v>
          </cell>
          <cell r="J3782">
            <v>0</v>
          </cell>
        </row>
        <row r="3783">
          <cell r="A3783">
            <v>1814100512</v>
          </cell>
          <cell r="B3783" t="str">
            <v>נסיעות ואש"ל</v>
          </cell>
          <cell r="C3783">
            <v>0</v>
          </cell>
          <cell r="D3783">
            <v>0</v>
          </cell>
          <cell r="E3783">
            <v>0</v>
          </cell>
          <cell r="F3783">
            <v>0</v>
          </cell>
          <cell r="G3783">
            <v>0</v>
          </cell>
          <cell r="H3783">
            <v>0</v>
          </cell>
          <cell r="I3783">
            <v>0</v>
          </cell>
          <cell r="J3783">
            <v>0</v>
          </cell>
        </row>
        <row r="3784">
          <cell r="A3784">
            <v>1814100517</v>
          </cell>
          <cell r="B3784" t="str">
            <v>מסיבות מפקדים ושי</v>
          </cell>
          <cell r="C3784">
            <v>0</v>
          </cell>
          <cell r="D3784">
            <v>0</v>
          </cell>
          <cell r="E3784">
            <v>0</v>
          </cell>
          <cell r="F3784">
            <v>0</v>
          </cell>
          <cell r="G3784">
            <v>0</v>
          </cell>
          <cell r="H3784">
            <v>0</v>
          </cell>
          <cell r="I3784">
            <v>0</v>
          </cell>
          <cell r="J3784">
            <v>0</v>
          </cell>
        </row>
        <row r="3785">
          <cell r="A3785">
            <v>1814100522</v>
          </cell>
          <cell r="B3785" t="str">
            <v>ספרים</v>
          </cell>
          <cell r="C3785">
            <v>0</v>
          </cell>
          <cell r="D3785">
            <v>0</v>
          </cell>
          <cell r="E3785">
            <v>0</v>
          </cell>
          <cell r="F3785">
            <v>0</v>
          </cell>
          <cell r="G3785">
            <v>0</v>
          </cell>
          <cell r="H3785">
            <v>0</v>
          </cell>
          <cell r="I3785">
            <v>0</v>
          </cell>
          <cell r="J3785">
            <v>0</v>
          </cell>
        </row>
        <row r="3786">
          <cell r="A3786">
            <v>1814100530</v>
          </cell>
          <cell r="B3786" t="str">
            <v>אופניים לעובדים</v>
          </cell>
          <cell r="C3786">
            <v>0</v>
          </cell>
          <cell r="D3786">
            <v>0</v>
          </cell>
          <cell r="E3786">
            <v>0</v>
          </cell>
          <cell r="F3786">
            <v>0</v>
          </cell>
          <cell r="G3786">
            <v>0</v>
          </cell>
          <cell r="H3786">
            <v>0</v>
          </cell>
          <cell r="I3786">
            <v>0</v>
          </cell>
          <cell r="J3786">
            <v>0</v>
          </cell>
        </row>
        <row r="3787">
          <cell r="A3787">
            <v>1814100540</v>
          </cell>
          <cell r="B3787" t="str">
            <v>הוצאות טלפון</v>
          </cell>
          <cell r="C3787">
            <v>0</v>
          </cell>
          <cell r="D3787">
            <v>0</v>
          </cell>
          <cell r="E3787">
            <v>0</v>
          </cell>
          <cell r="F3787">
            <v>0</v>
          </cell>
          <cell r="G3787">
            <v>0</v>
          </cell>
          <cell r="H3787">
            <v>0</v>
          </cell>
          <cell r="I3787">
            <v>0</v>
          </cell>
          <cell r="J3787">
            <v>0</v>
          </cell>
        </row>
        <row r="3788">
          <cell r="A3788">
            <v>1814100544</v>
          </cell>
          <cell r="B3788" t="str">
            <v>הוצאות דאר</v>
          </cell>
          <cell r="C3788">
            <v>0</v>
          </cell>
          <cell r="D3788">
            <v>0</v>
          </cell>
          <cell r="E3788">
            <v>0</v>
          </cell>
          <cell r="F3788">
            <v>0</v>
          </cell>
          <cell r="G3788">
            <v>0</v>
          </cell>
          <cell r="H3788">
            <v>0</v>
          </cell>
          <cell r="I3788">
            <v>0</v>
          </cell>
          <cell r="J3788">
            <v>0</v>
          </cell>
        </row>
        <row r="3789">
          <cell r="A3789">
            <v>1814100562</v>
          </cell>
          <cell r="B3789" t="str">
            <v>הדפסות</v>
          </cell>
          <cell r="C3789">
            <v>0</v>
          </cell>
          <cell r="D3789">
            <v>0</v>
          </cell>
          <cell r="E3789">
            <v>0</v>
          </cell>
          <cell r="F3789">
            <v>0</v>
          </cell>
          <cell r="G3789">
            <v>0</v>
          </cell>
          <cell r="H3789">
            <v>0</v>
          </cell>
          <cell r="I3789">
            <v>0</v>
          </cell>
          <cell r="J3789">
            <v>0</v>
          </cell>
        </row>
        <row r="3790">
          <cell r="A3790">
            <v>1814100721</v>
          </cell>
          <cell r="B3790" t="str">
            <v>חמרים-תחזוקת מבנים</v>
          </cell>
          <cell r="C3790">
            <v>0</v>
          </cell>
          <cell r="D3790">
            <v>0</v>
          </cell>
          <cell r="E3790">
            <v>0</v>
          </cell>
          <cell r="F3790">
            <v>0</v>
          </cell>
          <cell r="G3790">
            <v>0</v>
          </cell>
          <cell r="H3790">
            <v>0</v>
          </cell>
          <cell r="I3790">
            <v>0</v>
          </cell>
          <cell r="J3790">
            <v>0</v>
          </cell>
        </row>
        <row r="3791">
          <cell r="A3791">
            <v>1814100722</v>
          </cell>
          <cell r="B3791" t="str">
            <v>חמרים-תחזוקה עצמית</v>
          </cell>
          <cell r="C3791">
            <v>0</v>
          </cell>
          <cell r="D3791">
            <v>0</v>
          </cell>
          <cell r="E3791">
            <v>0</v>
          </cell>
          <cell r="F3791">
            <v>0</v>
          </cell>
          <cell r="G3791">
            <v>0</v>
          </cell>
          <cell r="H3791">
            <v>0</v>
          </cell>
          <cell r="I3791">
            <v>0</v>
          </cell>
          <cell r="J3791">
            <v>0</v>
          </cell>
        </row>
        <row r="3792">
          <cell r="A3792">
            <v>1814100724</v>
          </cell>
          <cell r="B3792" t="str">
            <v>עזרי לימוד</v>
          </cell>
          <cell r="C3792">
            <v>0</v>
          </cell>
          <cell r="D3792">
            <v>0</v>
          </cell>
          <cell r="E3792">
            <v>0</v>
          </cell>
          <cell r="F3792">
            <v>0</v>
          </cell>
          <cell r="G3792">
            <v>0</v>
          </cell>
          <cell r="H3792">
            <v>0</v>
          </cell>
          <cell r="I3792">
            <v>0</v>
          </cell>
          <cell r="J3792">
            <v>0</v>
          </cell>
        </row>
        <row r="3793">
          <cell r="A3793">
            <v>1814100742</v>
          </cell>
          <cell r="B3793" t="str">
            <v>כלים וציוד</v>
          </cell>
          <cell r="C3793">
            <v>0</v>
          </cell>
          <cell r="D3793">
            <v>0</v>
          </cell>
          <cell r="E3793">
            <v>0</v>
          </cell>
          <cell r="F3793">
            <v>0</v>
          </cell>
          <cell r="G3793">
            <v>0</v>
          </cell>
          <cell r="H3793">
            <v>0</v>
          </cell>
          <cell r="I3793">
            <v>0</v>
          </cell>
          <cell r="J3793">
            <v>0</v>
          </cell>
        </row>
        <row r="3794">
          <cell r="A3794">
            <v>1814100745</v>
          </cell>
          <cell r="B3794" t="str">
            <v>דמי פריצה - תכולה</v>
          </cell>
          <cell r="C3794">
            <v>0</v>
          </cell>
          <cell r="D3794">
            <v>0</v>
          </cell>
          <cell r="E3794">
            <v>0</v>
          </cell>
          <cell r="F3794">
            <v>0</v>
          </cell>
          <cell r="G3794">
            <v>0</v>
          </cell>
          <cell r="H3794">
            <v>0</v>
          </cell>
          <cell r="I3794">
            <v>0</v>
          </cell>
          <cell r="J3794">
            <v>0</v>
          </cell>
        </row>
        <row r="3795">
          <cell r="A3795">
            <v>1814100746</v>
          </cell>
          <cell r="B3795" t="str">
            <v>דמי פריצה - מבנה</v>
          </cell>
          <cell r="C3795">
            <v>0</v>
          </cell>
          <cell r="D3795">
            <v>0</v>
          </cell>
          <cell r="E3795">
            <v>0</v>
          </cell>
          <cell r="F3795">
            <v>0</v>
          </cell>
          <cell r="G3795">
            <v>0</v>
          </cell>
          <cell r="H3795">
            <v>0</v>
          </cell>
          <cell r="I3795">
            <v>0</v>
          </cell>
          <cell r="J3795">
            <v>0</v>
          </cell>
        </row>
        <row r="3796">
          <cell r="A3796">
            <v>1814100751</v>
          </cell>
          <cell r="B3796" t="str">
            <v>עבודות קבלניות</v>
          </cell>
          <cell r="C3796">
            <v>0</v>
          </cell>
          <cell r="D3796">
            <v>0</v>
          </cell>
          <cell r="E3796">
            <v>0</v>
          </cell>
          <cell r="F3796">
            <v>0</v>
          </cell>
          <cell r="G3796">
            <v>0</v>
          </cell>
          <cell r="H3796">
            <v>0</v>
          </cell>
          <cell r="I3796">
            <v>0</v>
          </cell>
          <cell r="J3796">
            <v>0</v>
          </cell>
        </row>
        <row r="3797">
          <cell r="A3797">
            <v>1814100752</v>
          </cell>
          <cell r="B3797" t="str">
            <v>נקיון בקבלנות</v>
          </cell>
          <cell r="C3797">
            <v>0</v>
          </cell>
          <cell r="D3797">
            <v>0</v>
          </cell>
          <cell r="E3797">
            <v>0</v>
          </cell>
          <cell r="F3797">
            <v>0</v>
          </cell>
          <cell r="G3797">
            <v>0</v>
          </cell>
          <cell r="H3797">
            <v>0</v>
          </cell>
          <cell r="I3797">
            <v>0</v>
          </cell>
          <cell r="J3797">
            <v>0</v>
          </cell>
        </row>
        <row r="3798">
          <cell r="A3798">
            <v>1814100753</v>
          </cell>
          <cell r="B3798" t="str">
            <v>עובדים חיצוניים</v>
          </cell>
          <cell r="C3798">
            <v>0</v>
          </cell>
          <cell r="D3798">
            <v>0</v>
          </cell>
          <cell r="E3798">
            <v>0</v>
          </cell>
          <cell r="F3798">
            <v>0</v>
          </cell>
          <cell r="G3798">
            <v>0</v>
          </cell>
          <cell r="H3798">
            <v>0</v>
          </cell>
          <cell r="I3798">
            <v>0</v>
          </cell>
          <cell r="J3798">
            <v>0</v>
          </cell>
        </row>
        <row r="3799">
          <cell r="A3799">
            <v>1814100759</v>
          </cell>
          <cell r="B3799" t="str">
            <v>שרותי סייעות</v>
          </cell>
          <cell r="C3799">
            <v>0</v>
          </cell>
          <cell r="D3799">
            <v>0</v>
          </cell>
          <cell r="E3799">
            <v>0</v>
          </cell>
          <cell r="F3799">
            <v>0</v>
          </cell>
          <cell r="G3799">
            <v>0</v>
          </cell>
          <cell r="H3799">
            <v>0</v>
          </cell>
          <cell r="I3799">
            <v>0</v>
          </cell>
          <cell r="J3799">
            <v>0</v>
          </cell>
        </row>
        <row r="3800">
          <cell r="A3800">
            <v>1814100763</v>
          </cell>
          <cell r="B3800" t="str">
            <v>עובדי מינהלה</v>
          </cell>
          <cell r="C3800">
            <v>0</v>
          </cell>
          <cell r="D3800">
            <v>0</v>
          </cell>
          <cell r="E3800">
            <v>0</v>
          </cell>
          <cell r="F3800">
            <v>0</v>
          </cell>
          <cell r="G3800">
            <v>0</v>
          </cell>
          <cell r="H3800">
            <v>0</v>
          </cell>
          <cell r="I3800">
            <v>0</v>
          </cell>
          <cell r="J3800">
            <v>0</v>
          </cell>
        </row>
        <row r="3801">
          <cell r="A3801">
            <v>1814100764</v>
          </cell>
          <cell r="B3801" t="str">
            <v>סייעות-מוסדות+חברה</v>
          </cell>
          <cell r="C3801">
            <v>0</v>
          </cell>
          <cell r="D3801">
            <v>0</v>
          </cell>
          <cell r="E3801">
            <v>0</v>
          </cell>
          <cell r="F3801">
            <v>0</v>
          </cell>
          <cell r="G3801">
            <v>0</v>
          </cell>
          <cell r="H3801">
            <v>0</v>
          </cell>
          <cell r="I3801">
            <v>0</v>
          </cell>
          <cell r="J3801">
            <v>0</v>
          </cell>
        </row>
        <row r="3802">
          <cell r="A3802">
            <v>1814100765</v>
          </cell>
          <cell r="B3802" t="str">
            <v>רכז חברתי - חט"ב</v>
          </cell>
          <cell r="C3802">
            <v>0</v>
          </cell>
          <cell r="D3802">
            <v>0</v>
          </cell>
          <cell r="E3802">
            <v>0</v>
          </cell>
          <cell r="F3802">
            <v>0</v>
          </cell>
          <cell r="G3802">
            <v>0</v>
          </cell>
          <cell r="H3802">
            <v>0</v>
          </cell>
          <cell r="I3802">
            <v>0</v>
          </cell>
          <cell r="J3802">
            <v>0</v>
          </cell>
        </row>
        <row r="3803">
          <cell r="A3803">
            <v>1814100780</v>
          </cell>
          <cell r="B3803" t="str">
            <v>רכזי מהו"ת - ק"ופ</v>
          </cell>
          <cell r="C3803">
            <v>1007000</v>
          </cell>
          <cell r="D3803">
            <v>904073</v>
          </cell>
          <cell r="E3803">
            <v>0</v>
          </cell>
          <cell r="F3803">
            <v>904073</v>
          </cell>
          <cell r="G3803">
            <v>102927</v>
          </cell>
          <cell r="H3803">
            <v>89.77</v>
          </cell>
          <cell r="I3803">
            <v>1060000</v>
          </cell>
          <cell r="J3803">
            <v>904073</v>
          </cell>
        </row>
        <row r="3804">
          <cell r="A3804">
            <v>1814100781</v>
          </cell>
          <cell r="B3804" t="str">
            <v>מהו"ת סמינר הקיבוצים</v>
          </cell>
          <cell r="C3804">
            <v>0</v>
          </cell>
          <cell r="D3804">
            <v>0</v>
          </cell>
          <cell r="E3804">
            <v>0</v>
          </cell>
          <cell r="F3804">
            <v>0</v>
          </cell>
          <cell r="G3804">
            <v>0</v>
          </cell>
          <cell r="H3804">
            <v>0</v>
          </cell>
          <cell r="I3804">
            <v>0</v>
          </cell>
          <cell r="J3804">
            <v>0</v>
          </cell>
        </row>
        <row r="3805">
          <cell r="A3805">
            <v>1815100110</v>
          </cell>
          <cell r="B3805" t="str">
            <v>השכר הקובע-תקציבית</v>
          </cell>
          <cell r="C3805">
            <v>0</v>
          </cell>
          <cell r="D3805">
            <v>0</v>
          </cell>
          <cell r="E3805">
            <v>0</v>
          </cell>
          <cell r="F3805">
            <v>0</v>
          </cell>
          <cell r="G3805">
            <v>0</v>
          </cell>
          <cell r="H3805">
            <v>0</v>
          </cell>
          <cell r="I3805">
            <v>0</v>
          </cell>
          <cell r="J3805">
            <v>0</v>
          </cell>
        </row>
        <row r="3806">
          <cell r="A3806">
            <v>1815100111</v>
          </cell>
          <cell r="B3806" t="str">
            <v>שעות תיגבור-נבון</v>
          </cell>
          <cell r="C3806">
            <v>0</v>
          </cell>
          <cell r="D3806">
            <v>60785.87</v>
          </cell>
          <cell r="E3806">
            <v>0</v>
          </cell>
          <cell r="F3806">
            <v>60785.87</v>
          </cell>
          <cell r="G3806">
            <v>-60785.87</v>
          </cell>
          <cell r="H3806">
            <v>0</v>
          </cell>
          <cell r="I3806">
            <v>0</v>
          </cell>
          <cell r="J3806">
            <v>60785.87</v>
          </cell>
        </row>
        <row r="3807">
          <cell r="A3807">
            <v>1815100112</v>
          </cell>
          <cell r="B3807" t="str">
            <v>שעות תיגבור-בגין</v>
          </cell>
          <cell r="C3807">
            <v>0</v>
          </cell>
          <cell r="D3807">
            <v>105577.36</v>
          </cell>
          <cell r="E3807">
            <v>0</v>
          </cell>
          <cell r="F3807">
            <v>105577.36</v>
          </cell>
          <cell r="G3807">
            <v>-105577.36</v>
          </cell>
          <cell r="H3807">
            <v>0</v>
          </cell>
          <cell r="I3807">
            <v>0</v>
          </cell>
          <cell r="J3807">
            <v>105577.36</v>
          </cell>
        </row>
        <row r="3808">
          <cell r="A3808">
            <v>1815100113</v>
          </cell>
          <cell r="B3808" t="str">
            <v>שעות תיגבור-הרצוג</v>
          </cell>
          <cell r="C3808">
            <v>0</v>
          </cell>
          <cell r="D3808">
            <v>82699.44</v>
          </cell>
          <cell r="E3808">
            <v>0</v>
          </cell>
          <cell r="F3808">
            <v>82699.44</v>
          </cell>
          <cell r="G3808">
            <v>-82699.44</v>
          </cell>
          <cell r="H3808">
            <v>0</v>
          </cell>
          <cell r="I3808">
            <v>0</v>
          </cell>
          <cell r="J3808">
            <v>82699.44</v>
          </cell>
        </row>
        <row r="3809">
          <cell r="A3809">
            <v>1815100114</v>
          </cell>
          <cell r="B3809" t="str">
            <v>שעות תיגבור-ק"ש</v>
          </cell>
          <cell r="C3809">
            <v>0</v>
          </cell>
          <cell r="D3809">
            <v>200004.79</v>
          </cell>
          <cell r="E3809">
            <v>0</v>
          </cell>
          <cell r="F3809">
            <v>200004.79</v>
          </cell>
          <cell r="G3809">
            <v>-200004.79</v>
          </cell>
          <cell r="H3809">
            <v>0</v>
          </cell>
          <cell r="I3809">
            <v>0</v>
          </cell>
          <cell r="J3809">
            <v>200004.79</v>
          </cell>
        </row>
        <row r="3810">
          <cell r="A3810">
            <v>1815100115</v>
          </cell>
          <cell r="B3810" t="str">
            <v>שעות תיגבור-אילון</v>
          </cell>
          <cell r="C3810">
            <v>0</v>
          </cell>
          <cell r="D3810">
            <v>131507.6</v>
          </cell>
          <cell r="E3810">
            <v>0</v>
          </cell>
          <cell r="F3810">
            <v>131507.6</v>
          </cell>
          <cell r="G3810">
            <v>-131507.6</v>
          </cell>
          <cell r="H3810">
            <v>0</v>
          </cell>
          <cell r="I3810">
            <v>0</v>
          </cell>
          <cell r="J3810">
            <v>131507.6</v>
          </cell>
        </row>
        <row r="3811">
          <cell r="A3811">
            <v>1815100116</v>
          </cell>
          <cell r="B3811" t="str">
            <v>שעות תיגבור-יבנה</v>
          </cell>
          <cell r="C3811">
            <v>0</v>
          </cell>
          <cell r="D3811">
            <v>14829.29</v>
          </cell>
          <cell r="E3811">
            <v>0</v>
          </cell>
          <cell r="F3811">
            <v>14829.29</v>
          </cell>
          <cell r="G3811">
            <v>-14829.29</v>
          </cell>
          <cell r="H3811">
            <v>0</v>
          </cell>
          <cell r="I3811">
            <v>0</v>
          </cell>
          <cell r="J3811">
            <v>14829.29</v>
          </cell>
        </row>
        <row r="3812">
          <cell r="A3812">
            <v>1815100117</v>
          </cell>
          <cell r="B3812" t="str">
            <v>שעות תיגבור-קציר</v>
          </cell>
          <cell r="C3812">
            <v>0</v>
          </cell>
          <cell r="D3812">
            <v>28077.71</v>
          </cell>
          <cell r="E3812">
            <v>0</v>
          </cell>
          <cell r="F3812">
            <v>28077.71</v>
          </cell>
          <cell r="G3812">
            <v>-28077.71</v>
          </cell>
          <cell r="H3812">
            <v>0</v>
          </cell>
          <cell r="I3812">
            <v>0</v>
          </cell>
          <cell r="J3812">
            <v>28077.71</v>
          </cell>
        </row>
        <row r="3813">
          <cell r="A3813">
            <v>1815100118</v>
          </cell>
          <cell r="B3813" t="str">
            <v>שע'תיגבור הייטק היי</v>
          </cell>
          <cell r="C3813">
            <v>0</v>
          </cell>
          <cell r="D3813">
            <v>46488.99</v>
          </cell>
          <cell r="E3813">
            <v>0</v>
          </cell>
          <cell r="F3813">
            <v>46488.99</v>
          </cell>
          <cell r="G3813">
            <v>-46488.99</v>
          </cell>
          <cell r="H3813">
            <v>0</v>
          </cell>
          <cell r="I3813">
            <v>0</v>
          </cell>
          <cell r="J3813">
            <v>46488.99</v>
          </cell>
        </row>
        <row r="3814">
          <cell r="A3814">
            <v>1815100119</v>
          </cell>
          <cell r="B3814" t="str">
            <v>שעות תיגבור-עתידים</v>
          </cell>
          <cell r="C3814">
            <v>0</v>
          </cell>
          <cell r="D3814">
            <v>69129.16</v>
          </cell>
          <cell r="E3814">
            <v>0</v>
          </cell>
          <cell r="F3814">
            <v>69129.16</v>
          </cell>
          <cell r="G3814">
            <v>-69129.16</v>
          </cell>
          <cell r="H3814">
            <v>0</v>
          </cell>
          <cell r="I3814">
            <v>0</v>
          </cell>
          <cell r="J3814">
            <v>69129.16</v>
          </cell>
        </row>
        <row r="3815">
          <cell r="A3815">
            <v>1815100120</v>
          </cell>
          <cell r="B3815" t="str">
            <v>שעות תיגבור - ליווית חן</v>
          </cell>
          <cell r="C3815">
            <v>0</v>
          </cell>
          <cell r="D3815">
            <v>20365.55</v>
          </cell>
          <cell r="E3815">
            <v>0</v>
          </cell>
          <cell r="F3815">
            <v>20365.55</v>
          </cell>
          <cell r="G3815">
            <v>-20365.55</v>
          </cell>
          <cell r="H3815">
            <v>0</v>
          </cell>
          <cell r="I3815">
            <v>0</v>
          </cell>
          <cell r="J3815">
            <v>20365.55</v>
          </cell>
        </row>
        <row r="3816">
          <cell r="A3816">
            <v>1815100122</v>
          </cell>
          <cell r="B3816" t="str">
            <v>ביגוד</v>
          </cell>
          <cell r="C3816">
            <v>0</v>
          </cell>
          <cell r="D3816">
            <v>0</v>
          </cell>
          <cell r="E3816">
            <v>0</v>
          </cell>
          <cell r="F3816">
            <v>0</v>
          </cell>
          <cell r="G3816">
            <v>0</v>
          </cell>
          <cell r="H3816">
            <v>0</v>
          </cell>
          <cell r="I3816">
            <v>0</v>
          </cell>
          <cell r="J3816">
            <v>0</v>
          </cell>
        </row>
        <row r="3817">
          <cell r="A3817">
            <v>1815100126</v>
          </cell>
          <cell r="B3817" t="str">
            <v>דמי הבראה</v>
          </cell>
          <cell r="C3817">
            <v>0</v>
          </cell>
          <cell r="D3817">
            <v>0</v>
          </cell>
          <cell r="E3817">
            <v>0</v>
          </cell>
          <cell r="F3817">
            <v>0</v>
          </cell>
          <cell r="G3817">
            <v>0</v>
          </cell>
          <cell r="H3817">
            <v>0</v>
          </cell>
          <cell r="I3817">
            <v>0</v>
          </cell>
          <cell r="J3817">
            <v>0</v>
          </cell>
        </row>
        <row r="3818">
          <cell r="A3818">
            <v>1815100210</v>
          </cell>
          <cell r="B3818" t="str">
            <v>שעות תגבור בגרויות</v>
          </cell>
          <cell r="C3818">
            <v>902500</v>
          </cell>
          <cell r="D3818">
            <v>6456.76</v>
          </cell>
          <cell r="E3818">
            <v>0</v>
          </cell>
          <cell r="F3818">
            <v>6456.76</v>
          </cell>
          <cell r="G3818">
            <v>896043.24</v>
          </cell>
          <cell r="H3818">
            <v>0.71</v>
          </cell>
          <cell r="I3818">
            <v>950000</v>
          </cell>
          <cell r="J3818">
            <v>6456.76</v>
          </cell>
        </row>
        <row r="3819">
          <cell r="A3819">
            <v>1815100211</v>
          </cell>
          <cell r="B3819" t="str">
            <v>יוזמות על יסודי</v>
          </cell>
          <cell r="C3819">
            <v>0</v>
          </cell>
          <cell r="D3819">
            <v>4857.1099999999997</v>
          </cell>
          <cell r="E3819">
            <v>0</v>
          </cell>
          <cell r="F3819">
            <v>4857.1099999999997</v>
          </cell>
          <cell r="G3819">
            <v>-4857.1099999999997</v>
          </cell>
          <cell r="H3819">
            <v>0</v>
          </cell>
          <cell r="I3819">
            <v>0</v>
          </cell>
          <cell r="J3819">
            <v>4857.1099999999997</v>
          </cell>
        </row>
        <row r="3820">
          <cell r="A3820">
            <v>1815100213</v>
          </cell>
          <cell r="B3820" t="str">
            <v>השאלת ספרים חט"ב</v>
          </cell>
          <cell r="C3820">
            <v>57000</v>
          </cell>
          <cell r="D3820">
            <v>36824.26</v>
          </cell>
          <cell r="E3820">
            <v>0</v>
          </cell>
          <cell r="F3820">
            <v>36824.26</v>
          </cell>
          <cell r="G3820">
            <v>20175.740000000002</v>
          </cell>
          <cell r="H3820">
            <v>64.599999999999994</v>
          </cell>
          <cell r="I3820">
            <v>60000</v>
          </cell>
          <cell r="J3820">
            <v>36824.26</v>
          </cell>
        </row>
        <row r="3821">
          <cell r="A3821">
            <v>1815100220</v>
          </cell>
          <cell r="B3821" t="str">
            <v>מורות חיילות</v>
          </cell>
          <cell r="C3821">
            <v>0</v>
          </cell>
          <cell r="D3821">
            <v>0</v>
          </cell>
          <cell r="E3821">
            <v>0</v>
          </cell>
          <cell r="F3821">
            <v>0</v>
          </cell>
          <cell r="G3821">
            <v>0</v>
          </cell>
          <cell r="H3821">
            <v>0</v>
          </cell>
          <cell r="I3821">
            <v>0</v>
          </cell>
          <cell r="J3821">
            <v>0</v>
          </cell>
        </row>
        <row r="3822">
          <cell r="A3822">
            <v>1815100253</v>
          </cell>
          <cell r="B3822" t="str">
            <v>מ"מ תיכוניים</v>
          </cell>
          <cell r="C3822">
            <v>100000</v>
          </cell>
          <cell r="D3822">
            <v>119367.41</v>
          </cell>
          <cell r="E3822">
            <v>0</v>
          </cell>
          <cell r="F3822">
            <v>119367.41</v>
          </cell>
          <cell r="G3822">
            <v>-19367.41</v>
          </cell>
          <cell r="H3822">
            <v>119.36</v>
          </cell>
          <cell r="I3822">
            <v>100000</v>
          </cell>
          <cell r="J3822">
            <v>119367.41</v>
          </cell>
        </row>
        <row r="3823">
          <cell r="A3823">
            <v>1815100263</v>
          </cell>
          <cell r="B3823" t="str">
            <v>אומ"ץ-מרכז</v>
          </cell>
          <cell r="C3823">
            <v>0</v>
          </cell>
          <cell r="D3823">
            <v>0</v>
          </cell>
          <cell r="E3823">
            <v>0</v>
          </cell>
          <cell r="F3823">
            <v>0</v>
          </cell>
          <cell r="G3823">
            <v>0</v>
          </cell>
          <cell r="H3823">
            <v>0</v>
          </cell>
          <cell r="I3823">
            <v>0</v>
          </cell>
          <cell r="J3823">
            <v>0</v>
          </cell>
        </row>
        <row r="3824">
          <cell r="A3824">
            <v>1815100410</v>
          </cell>
          <cell r="B3824" t="str">
            <v>שכירת אולם</v>
          </cell>
          <cell r="C3824">
            <v>4085</v>
          </cell>
          <cell r="D3824">
            <v>0</v>
          </cell>
          <cell r="E3824">
            <v>0</v>
          </cell>
          <cell r="F3824">
            <v>0</v>
          </cell>
          <cell r="G3824">
            <v>4085</v>
          </cell>
          <cell r="H3824">
            <v>0</v>
          </cell>
          <cell r="I3824">
            <v>4300</v>
          </cell>
          <cell r="J3824">
            <v>0</v>
          </cell>
        </row>
        <row r="3825">
          <cell r="A3825">
            <v>1815100411</v>
          </cell>
          <cell r="B3825" t="str">
            <v>שכירת אולם קוגל</v>
          </cell>
          <cell r="C3825">
            <v>0</v>
          </cell>
          <cell r="D3825">
            <v>0</v>
          </cell>
          <cell r="E3825">
            <v>0</v>
          </cell>
          <cell r="F3825">
            <v>0</v>
          </cell>
          <cell r="G3825">
            <v>0</v>
          </cell>
          <cell r="H3825">
            <v>0</v>
          </cell>
          <cell r="I3825">
            <v>0</v>
          </cell>
          <cell r="J3825">
            <v>0</v>
          </cell>
        </row>
        <row r="3826">
          <cell r="A3826">
            <v>1815100420</v>
          </cell>
          <cell r="B3826" t="str">
            <v>כיבוי אש</v>
          </cell>
          <cell r="C3826">
            <v>4750</v>
          </cell>
          <cell r="D3826">
            <v>0</v>
          </cell>
          <cell r="E3826">
            <v>0</v>
          </cell>
          <cell r="F3826">
            <v>0</v>
          </cell>
          <cell r="G3826">
            <v>4750</v>
          </cell>
          <cell r="H3826">
            <v>0</v>
          </cell>
          <cell r="I3826">
            <v>5000</v>
          </cell>
          <cell r="J3826">
            <v>0</v>
          </cell>
        </row>
        <row r="3827">
          <cell r="A3827">
            <v>1815100431</v>
          </cell>
          <cell r="B3827" t="str">
            <v>רזרבה לחשמל-חט"ע</v>
          </cell>
          <cell r="C3827">
            <v>95000</v>
          </cell>
          <cell r="D3827">
            <v>99999.39</v>
          </cell>
          <cell r="E3827">
            <v>0</v>
          </cell>
          <cell r="F3827">
            <v>99999.39</v>
          </cell>
          <cell r="G3827">
            <v>-4999.3900000000003</v>
          </cell>
          <cell r="H3827">
            <v>105.26</v>
          </cell>
          <cell r="I3827">
            <v>100000</v>
          </cell>
          <cell r="J3827">
            <v>99999.39</v>
          </cell>
        </row>
        <row r="3828">
          <cell r="A3828">
            <v>1815100432</v>
          </cell>
          <cell r="B3828" t="str">
            <v>רזרבה למים-חט"ע</v>
          </cell>
          <cell r="C3828">
            <v>95000</v>
          </cell>
          <cell r="D3828">
            <v>56203.69</v>
          </cell>
          <cell r="E3828">
            <v>0</v>
          </cell>
          <cell r="F3828">
            <v>56203.69</v>
          </cell>
          <cell r="G3828">
            <v>38796.31</v>
          </cell>
          <cell r="H3828">
            <v>59.16</v>
          </cell>
          <cell r="I3828">
            <v>100000</v>
          </cell>
          <cell r="J3828">
            <v>56203.69</v>
          </cell>
        </row>
        <row r="3829">
          <cell r="A3829">
            <v>1815100438</v>
          </cell>
          <cell r="B3829" t="str">
            <v>אחזקת  מעבדות</v>
          </cell>
          <cell r="C3829">
            <v>0</v>
          </cell>
          <cell r="D3829">
            <v>0</v>
          </cell>
          <cell r="E3829">
            <v>0</v>
          </cell>
          <cell r="F3829">
            <v>0</v>
          </cell>
          <cell r="G3829">
            <v>0</v>
          </cell>
          <cell r="H3829">
            <v>0</v>
          </cell>
          <cell r="I3829">
            <v>0</v>
          </cell>
          <cell r="J3829">
            <v>0</v>
          </cell>
        </row>
        <row r="3830">
          <cell r="A3830">
            <v>1815100441</v>
          </cell>
          <cell r="B3830" t="str">
            <v>ביטוח אורט</v>
          </cell>
          <cell r="C3830">
            <v>0</v>
          </cell>
          <cell r="D3830">
            <v>0</v>
          </cell>
          <cell r="E3830">
            <v>0</v>
          </cell>
          <cell r="F3830">
            <v>0</v>
          </cell>
          <cell r="G3830">
            <v>0</v>
          </cell>
          <cell r="H3830">
            <v>0</v>
          </cell>
          <cell r="I3830">
            <v>0</v>
          </cell>
          <cell r="J3830">
            <v>0</v>
          </cell>
        </row>
        <row r="3831">
          <cell r="A3831">
            <v>1815100471</v>
          </cell>
          <cell r="B3831" t="str">
            <v>מכשירי כתיבה</v>
          </cell>
          <cell r="C3831">
            <v>0</v>
          </cell>
          <cell r="D3831">
            <v>0</v>
          </cell>
          <cell r="E3831">
            <v>0</v>
          </cell>
          <cell r="F3831">
            <v>0</v>
          </cell>
          <cell r="G3831">
            <v>0</v>
          </cell>
          <cell r="H3831">
            <v>0</v>
          </cell>
          <cell r="I3831">
            <v>0</v>
          </cell>
          <cell r="J3831">
            <v>0</v>
          </cell>
        </row>
        <row r="3832">
          <cell r="A3832">
            <v>1815100521</v>
          </cell>
          <cell r="B3832" t="str">
            <v>השתלמויות</v>
          </cell>
          <cell r="C3832">
            <v>7695</v>
          </cell>
          <cell r="D3832">
            <v>0</v>
          </cell>
          <cell r="E3832">
            <v>0</v>
          </cell>
          <cell r="F3832">
            <v>0</v>
          </cell>
          <cell r="G3832">
            <v>7695</v>
          </cell>
          <cell r="H3832">
            <v>0</v>
          </cell>
          <cell r="I3832">
            <v>8100</v>
          </cell>
          <cell r="J3832">
            <v>0</v>
          </cell>
        </row>
        <row r="3833">
          <cell r="A3833">
            <v>1815100550</v>
          </cell>
          <cell r="B3833" t="str">
            <v>פירסומים</v>
          </cell>
          <cell r="C3833">
            <v>16245</v>
          </cell>
          <cell r="D3833">
            <v>15818.5</v>
          </cell>
          <cell r="E3833">
            <v>0</v>
          </cell>
          <cell r="F3833">
            <v>15818.5</v>
          </cell>
          <cell r="G3833">
            <v>426.5</v>
          </cell>
          <cell r="H3833">
            <v>97.37</v>
          </cell>
          <cell r="I3833">
            <v>17100</v>
          </cell>
          <cell r="J3833">
            <v>15818.5</v>
          </cell>
        </row>
        <row r="3834">
          <cell r="A3834">
            <v>1815100562</v>
          </cell>
          <cell r="B3834" t="str">
            <v>הדפסות</v>
          </cell>
          <cell r="C3834">
            <v>21400</v>
          </cell>
          <cell r="D3834">
            <v>13619</v>
          </cell>
          <cell r="E3834">
            <v>0</v>
          </cell>
          <cell r="F3834">
            <v>13619</v>
          </cell>
          <cell r="G3834">
            <v>7781</v>
          </cell>
          <cell r="H3834">
            <v>63.64</v>
          </cell>
          <cell r="I3834">
            <v>21400</v>
          </cell>
          <cell r="J3834">
            <v>13619</v>
          </cell>
        </row>
        <row r="3835">
          <cell r="A3835">
            <v>1815100580</v>
          </cell>
          <cell r="B3835" t="str">
            <v>שירותי הכנה לבחינות בגרות</v>
          </cell>
          <cell r="C3835">
            <v>4750000</v>
          </cell>
          <cell r="D3835">
            <v>1007136</v>
          </cell>
          <cell r="E3835">
            <v>0</v>
          </cell>
          <cell r="F3835">
            <v>1007136</v>
          </cell>
          <cell r="G3835">
            <v>3742864</v>
          </cell>
          <cell r="H3835">
            <v>21.2</v>
          </cell>
          <cell r="I3835">
            <v>5000000</v>
          </cell>
          <cell r="J3835">
            <v>1007136</v>
          </cell>
        </row>
        <row r="3836">
          <cell r="A3836">
            <v>1815100710</v>
          </cell>
          <cell r="B3836" t="str">
            <v>הובלות והסעות</v>
          </cell>
          <cell r="C3836">
            <v>0</v>
          </cell>
          <cell r="D3836">
            <v>0</v>
          </cell>
          <cell r="E3836">
            <v>0</v>
          </cell>
          <cell r="F3836">
            <v>0</v>
          </cell>
          <cell r="G3836">
            <v>0</v>
          </cell>
          <cell r="H3836">
            <v>0</v>
          </cell>
          <cell r="I3836">
            <v>0</v>
          </cell>
          <cell r="J3836">
            <v>0</v>
          </cell>
        </row>
        <row r="3837">
          <cell r="A3837">
            <v>1815100711</v>
          </cell>
          <cell r="B3837" t="str">
            <v>הסעת מחויבות אישית</v>
          </cell>
          <cell r="C3837">
            <v>0</v>
          </cell>
          <cell r="D3837">
            <v>0</v>
          </cell>
          <cell r="E3837">
            <v>0</v>
          </cell>
          <cell r="F3837">
            <v>0</v>
          </cell>
          <cell r="G3837">
            <v>0</v>
          </cell>
          <cell r="H3837">
            <v>0</v>
          </cell>
          <cell r="I3837">
            <v>0</v>
          </cell>
          <cell r="J3837">
            <v>0</v>
          </cell>
        </row>
        <row r="3838">
          <cell r="A3838">
            <v>1815100723</v>
          </cell>
          <cell r="B3838" t="str">
            <v>הוצאות מיוחדות</v>
          </cell>
          <cell r="C3838">
            <v>8550</v>
          </cell>
          <cell r="D3838">
            <v>0</v>
          </cell>
          <cell r="E3838">
            <v>0</v>
          </cell>
          <cell r="F3838">
            <v>0</v>
          </cell>
          <cell r="G3838">
            <v>8550</v>
          </cell>
          <cell r="H3838">
            <v>0</v>
          </cell>
          <cell r="I3838">
            <v>9000</v>
          </cell>
          <cell r="J3838">
            <v>0</v>
          </cell>
        </row>
        <row r="3839">
          <cell r="A3839">
            <v>1815100751</v>
          </cell>
          <cell r="B3839" t="str">
            <v>עב' קבלניות מענה</v>
          </cell>
          <cell r="C3839">
            <v>0</v>
          </cell>
          <cell r="D3839">
            <v>0</v>
          </cell>
          <cell r="E3839">
            <v>0</v>
          </cell>
          <cell r="F3839">
            <v>0</v>
          </cell>
          <cell r="G3839">
            <v>0</v>
          </cell>
          <cell r="H3839">
            <v>0</v>
          </cell>
          <cell r="I3839">
            <v>0</v>
          </cell>
          <cell r="J3839">
            <v>0</v>
          </cell>
        </row>
        <row r="3840">
          <cell r="A3840">
            <v>1815100753</v>
          </cell>
          <cell r="B3840" t="str">
            <v>מ"מ תיכוניים</v>
          </cell>
          <cell r="C3840">
            <v>85500</v>
          </cell>
          <cell r="D3840">
            <v>98831.53</v>
          </cell>
          <cell r="E3840">
            <v>0</v>
          </cell>
          <cell r="F3840">
            <v>98831.53</v>
          </cell>
          <cell r="G3840">
            <v>-13331.53</v>
          </cell>
          <cell r="H3840">
            <v>115.59</v>
          </cell>
          <cell r="I3840">
            <v>90000</v>
          </cell>
          <cell r="J3840">
            <v>98831.53</v>
          </cell>
        </row>
        <row r="3841">
          <cell r="A3841">
            <v>1815100759</v>
          </cell>
          <cell r="B3841" t="str">
            <v>מ"מ סייעות</v>
          </cell>
          <cell r="C3841">
            <v>0</v>
          </cell>
          <cell r="D3841">
            <v>0</v>
          </cell>
          <cell r="E3841">
            <v>0</v>
          </cell>
          <cell r="F3841">
            <v>0</v>
          </cell>
          <cell r="G3841">
            <v>0</v>
          </cell>
          <cell r="H3841">
            <v>0</v>
          </cell>
          <cell r="I3841">
            <v>0</v>
          </cell>
          <cell r="J3841">
            <v>0</v>
          </cell>
        </row>
        <row r="3842">
          <cell r="A3842">
            <v>1815100763</v>
          </cell>
          <cell r="B3842" t="str">
            <v>שכר על-יסודי מרפ"ד</v>
          </cell>
          <cell r="C3842">
            <v>0</v>
          </cell>
          <cell r="D3842">
            <v>0</v>
          </cell>
          <cell r="E3842">
            <v>0</v>
          </cell>
          <cell r="F3842">
            <v>0</v>
          </cell>
          <cell r="G3842">
            <v>0</v>
          </cell>
          <cell r="H3842">
            <v>0</v>
          </cell>
          <cell r="I3842">
            <v>0</v>
          </cell>
          <cell r="J3842">
            <v>0</v>
          </cell>
        </row>
        <row r="3843">
          <cell r="A3843">
            <v>1815100764</v>
          </cell>
          <cell r="B3843" t="str">
            <v>פרוייקט בגרות 2001</v>
          </cell>
          <cell r="C3843">
            <v>0</v>
          </cell>
          <cell r="D3843">
            <v>0</v>
          </cell>
          <cell r="E3843">
            <v>0</v>
          </cell>
          <cell r="F3843">
            <v>0</v>
          </cell>
          <cell r="G3843">
            <v>0</v>
          </cell>
          <cell r="H3843">
            <v>0</v>
          </cell>
          <cell r="I3843">
            <v>0</v>
          </cell>
          <cell r="J3843">
            <v>0</v>
          </cell>
        </row>
        <row r="3844">
          <cell r="A3844">
            <v>1815100780</v>
          </cell>
          <cell r="B3844" t="str">
            <v>חוגי טכנולוגיה-משרד המדע</v>
          </cell>
          <cell r="C3844">
            <v>0</v>
          </cell>
          <cell r="D3844">
            <v>0</v>
          </cell>
          <cell r="E3844">
            <v>0</v>
          </cell>
          <cell r="F3844">
            <v>0</v>
          </cell>
          <cell r="G3844">
            <v>0</v>
          </cell>
          <cell r="H3844">
            <v>0</v>
          </cell>
          <cell r="I3844">
            <v>0</v>
          </cell>
          <cell r="J3844">
            <v>0</v>
          </cell>
        </row>
        <row r="3845">
          <cell r="A3845">
            <v>1815100781</v>
          </cell>
          <cell r="B3845" t="str">
            <v>שביתה-הכנ' משה"ח</v>
          </cell>
          <cell r="C3845">
            <v>0</v>
          </cell>
          <cell r="D3845">
            <v>0</v>
          </cell>
          <cell r="E3845">
            <v>0</v>
          </cell>
          <cell r="F3845">
            <v>0</v>
          </cell>
          <cell r="G3845">
            <v>0</v>
          </cell>
          <cell r="H3845">
            <v>0</v>
          </cell>
          <cell r="I3845">
            <v>0</v>
          </cell>
          <cell r="J3845">
            <v>0</v>
          </cell>
        </row>
        <row r="3846">
          <cell r="A3846">
            <v>1815100782</v>
          </cell>
          <cell r="B3846" t="str">
            <v>השת'בג'מוס' חוץ</v>
          </cell>
          <cell r="C3846">
            <v>590900</v>
          </cell>
          <cell r="D3846">
            <v>636377.65</v>
          </cell>
          <cell r="E3846">
            <v>0</v>
          </cell>
          <cell r="F3846">
            <v>636377.65</v>
          </cell>
          <cell r="G3846">
            <v>-45477.65</v>
          </cell>
          <cell r="H3846">
            <v>107.69</v>
          </cell>
          <cell r="I3846">
            <v>622000</v>
          </cell>
          <cell r="J3846">
            <v>636377.65</v>
          </cell>
        </row>
        <row r="3847">
          <cell r="A3847">
            <v>1815100783</v>
          </cell>
          <cell r="B3847" t="str">
            <v>מהות תשע"ב</v>
          </cell>
          <cell r="C3847">
            <v>0</v>
          </cell>
          <cell r="D3847">
            <v>0</v>
          </cell>
          <cell r="E3847">
            <v>0</v>
          </cell>
          <cell r="F3847">
            <v>0</v>
          </cell>
          <cell r="G3847">
            <v>0</v>
          </cell>
          <cell r="H3847">
            <v>0</v>
          </cell>
          <cell r="I3847">
            <v>0</v>
          </cell>
          <cell r="J3847">
            <v>0</v>
          </cell>
        </row>
        <row r="3848">
          <cell r="A3848">
            <v>1815100784</v>
          </cell>
          <cell r="B3848" t="str">
            <v>השתלמויות מורים</v>
          </cell>
          <cell r="C3848">
            <v>0</v>
          </cell>
          <cell r="D3848">
            <v>0</v>
          </cell>
          <cell r="E3848">
            <v>0</v>
          </cell>
          <cell r="F3848">
            <v>0</v>
          </cell>
          <cell r="G3848">
            <v>0</v>
          </cell>
          <cell r="H3848">
            <v>0</v>
          </cell>
          <cell r="I3848">
            <v>0</v>
          </cell>
          <cell r="J3848">
            <v>0</v>
          </cell>
        </row>
        <row r="3849">
          <cell r="A3849">
            <v>1815100785</v>
          </cell>
          <cell r="B3849" t="str">
            <v>דירת חיילים</v>
          </cell>
          <cell r="C3849">
            <v>0</v>
          </cell>
          <cell r="D3849">
            <v>0</v>
          </cell>
          <cell r="E3849">
            <v>0</v>
          </cell>
          <cell r="F3849">
            <v>0</v>
          </cell>
          <cell r="G3849">
            <v>0</v>
          </cell>
          <cell r="H3849">
            <v>0</v>
          </cell>
          <cell r="I3849">
            <v>0</v>
          </cell>
          <cell r="J3849">
            <v>0</v>
          </cell>
        </row>
        <row r="3850">
          <cell r="A3850">
            <v>1815100786</v>
          </cell>
          <cell r="B3850" t="str">
            <v>מענק לבגרויות</v>
          </cell>
          <cell r="C3850">
            <v>102600</v>
          </cell>
          <cell r="D3850">
            <v>0</v>
          </cell>
          <cell r="E3850">
            <v>0</v>
          </cell>
          <cell r="F3850">
            <v>0</v>
          </cell>
          <cell r="G3850">
            <v>102600</v>
          </cell>
          <cell r="H3850">
            <v>0</v>
          </cell>
          <cell r="I3850">
            <v>108000</v>
          </cell>
          <cell r="J3850">
            <v>0</v>
          </cell>
        </row>
        <row r="3851">
          <cell r="A3851">
            <v>1815100787</v>
          </cell>
          <cell r="B3851" t="str">
            <v>פרוייקטים עי"ס</v>
          </cell>
          <cell r="C3851">
            <v>0</v>
          </cell>
          <cell r="D3851">
            <v>0</v>
          </cell>
          <cell r="E3851">
            <v>0</v>
          </cell>
          <cell r="F3851">
            <v>0</v>
          </cell>
          <cell r="G3851">
            <v>0</v>
          </cell>
          <cell r="H3851">
            <v>0</v>
          </cell>
          <cell r="I3851">
            <v>0</v>
          </cell>
          <cell r="J3851">
            <v>0</v>
          </cell>
        </row>
        <row r="3852">
          <cell r="A3852">
            <v>1815100788</v>
          </cell>
          <cell r="B3852" t="str">
            <v>פרוייקטים מערכתיים</v>
          </cell>
          <cell r="C3852">
            <v>1020500</v>
          </cell>
          <cell r="D3852">
            <v>920533.36</v>
          </cell>
          <cell r="E3852">
            <v>14170</v>
          </cell>
          <cell r="F3852">
            <v>934703.36</v>
          </cell>
          <cell r="G3852">
            <v>85796.64</v>
          </cell>
          <cell r="H3852">
            <v>91.59</v>
          </cell>
          <cell r="I3852">
            <v>1020500</v>
          </cell>
          <cell r="J3852">
            <v>920533.36</v>
          </cell>
        </row>
        <row r="3853">
          <cell r="A3853">
            <v>1815100789</v>
          </cell>
          <cell r="B3853" t="str">
            <v>פרוייקט החלל - עתידים</v>
          </cell>
          <cell r="C3853">
            <v>0</v>
          </cell>
          <cell r="D3853">
            <v>0</v>
          </cell>
          <cell r="E3853">
            <v>0</v>
          </cell>
          <cell r="F3853">
            <v>0</v>
          </cell>
          <cell r="G3853">
            <v>0</v>
          </cell>
          <cell r="H3853">
            <v>0</v>
          </cell>
          <cell r="I3853">
            <v>0</v>
          </cell>
          <cell r="J3853">
            <v>0</v>
          </cell>
        </row>
        <row r="3854">
          <cell r="A3854">
            <v>1815100790</v>
          </cell>
          <cell r="B3854" t="str">
            <v>השתת' ע"ח בגרויות</v>
          </cell>
          <cell r="C3854">
            <v>0</v>
          </cell>
          <cell r="D3854">
            <v>0</v>
          </cell>
          <cell r="E3854">
            <v>0</v>
          </cell>
          <cell r="F3854">
            <v>0</v>
          </cell>
          <cell r="G3854">
            <v>0</v>
          </cell>
          <cell r="H3854">
            <v>0</v>
          </cell>
          <cell r="I3854">
            <v>0</v>
          </cell>
          <cell r="J3854">
            <v>0</v>
          </cell>
        </row>
        <row r="3855">
          <cell r="A3855">
            <v>1815100791</v>
          </cell>
          <cell r="B3855" t="str">
            <v>קשישים-שוויון חברתי</v>
          </cell>
          <cell r="C3855">
            <v>0</v>
          </cell>
          <cell r="D3855">
            <v>0</v>
          </cell>
          <cell r="E3855">
            <v>0</v>
          </cell>
          <cell r="F3855">
            <v>0</v>
          </cell>
          <cell r="G3855">
            <v>0</v>
          </cell>
          <cell r="H3855">
            <v>0</v>
          </cell>
          <cell r="I3855">
            <v>0</v>
          </cell>
          <cell r="J3855">
            <v>0</v>
          </cell>
        </row>
        <row r="3856">
          <cell r="A3856">
            <v>1815100792</v>
          </cell>
          <cell r="B3856" t="str">
            <v>מעורבות חברתית</v>
          </cell>
          <cell r="C3856">
            <v>35000</v>
          </cell>
          <cell r="D3856">
            <v>24906.27</v>
          </cell>
          <cell r="E3856">
            <v>10244</v>
          </cell>
          <cell r="F3856">
            <v>35150.269999999997</v>
          </cell>
          <cell r="G3856">
            <v>-150.27000000000001</v>
          </cell>
          <cell r="H3856">
            <v>100.42</v>
          </cell>
          <cell r="I3856">
            <v>35000</v>
          </cell>
          <cell r="J3856">
            <v>24906.27</v>
          </cell>
        </row>
        <row r="3857">
          <cell r="A3857">
            <v>1815100812</v>
          </cell>
          <cell r="B3857" t="str">
            <v>השתת' לבי"ס אורט</v>
          </cell>
          <cell r="C3857">
            <v>0</v>
          </cell>
          <cell r="D3857">
            <v>0</v>
          </cell>
          <cell r="E3857">
            <v>0</v>
          </cell>
          <cell r="F3857">
            <v>0</v>
          </cell>
          <cell r="G3857">
            <v>0</v>
          </cell>
          <cell r="H3857">
            <v>0</v>
          </cell>
          <cell r="I3857">
            <v>0</v>
          </cell>
          <cell r="J3857">
            <v>0</v>
          </cell>
        </row>
        <row r="3858">
          <cell r="A3858">
            <v>1815100813</v>
          </cell>
          <cell r="B3858" t="str">
            <v>אחז' מע' טכנולוגיה</v>
          </cell>
          <cell r="C3858">
            <v>0</v>
          </cell>
          <cell r="D3858">
            <v>0</v>
          </cell>
          <cell r="E3858">
            <v>0</v>
          </cell>
          <cell r="F3858">
            <v>0</v>
          </cell>
          <cell r="G3858">
            <v>0</v>
          </cell>
          <cell r="H3858">
            <v>0</v>
          </cell>
          <cell r="I3858">
            <v>0</v>
          </cell>
          <cell r="J3858">
            <v>0</v>
          </cell>
        </row>
        <row r="3859">
          <cell r="A3859">
            <v>1815100814</v>
          </cell>
          <cell r="B3859" t="str">
            <v>השת' המכללה למינהל</v>
          </cell>
          <cell r="C3859">
            <v>0</v>
          </cell>
          <cell r="D3859">
            <v>0</v>
          </cell>
          <cell r="E3859">
            <v>0</v>
          </cell>
          <cell r="F3859">
            <v>0</v>
          </cell>
          <cell r="G3859">
            <v>0</v>
          </cell>
          <cell r="H3859">
            <v>0</v>
          </cell>
          <cell r="I3859">
            <v>0</v>
          </cell>
          <cell r="J3859">
            <v>0</v>
          </cell>
        </row>
        <row r="3860">
          <cell r="A3860">
            <v>1815100815</v>
          </cell>
          <cell r="B3860" t="str">
            <v>השתת' שעות  נעמ"ת</v>
          </cell>
          <cell r="C3860">
            <v>0</v>
          </cell>
          <cell r="D3860">
            <v>0</v>
          </cell>
          <cell r="E3860">
            <v>0</v>
          </cell>
          <cell r="F3860">
            <v>0</v>
          </cell>
          <cell r="G3860">
            <v>0</v>
          </cell>
          <cell r="H3860">
            <v>0</v>
          </cell>
          <cell r="I3860">
            <v>0</v>
          </cell>
          <cell r="J3860">
            <v>0</v>
          </cell>
        </row>
        <row r="3861">
          <cell r="A3861">
            <v>1815100817</v>
          </cell>
          <cell r="B3861" t="str">
            <v>השתת' שעות  מלט"ב</v>
          </cell>
          <cell r="C3861">
            <v>0</v>
          </cell>
          <cell r="D3861">
            <v>0</v>
          </cell>
          <cell r="E3861">
            <v>0</v>
          </cell>
          <cell r="F3861">
            <v>0</v>
          </cell>
          <cell r="G3861">
            <v>0</v>
          </cell>
          <cell r="H3861">
            <v>0</v>
          </cell>
          <cell r="I3861">
            <v>0</v>
          </cell>
          <cell r="J3861">
            <v>0</v>
          </cell>
        </row>
        <row r="3862">
          <cell r="A3862">
            <v>1815100818</v>
          </cell>
          <cell r="B3862" t="str">
            <v>השת' שעות מקוה-ישר</v>
          </cell>
          <cell r="C3862">
            <v>0</v>
          </cell>
          <cell r="D3862">
            <v>0</v>
          </cell>
          <cell r="E3862">
            <v>0</v>
          </cell>
          <cell r="F3862">
            <v>0</v>
          </cell>
          <cell r="G3862">
            <v>0</v>
          </cell>
          <cell r="H3862">
            <v>0</v>
          </cell>
          <cell r="I3862">
            <v>0</v>
          </cell>
          <cell r="J3862">
            <v>0</v>
          </cell>
        </row>
        <row r="3863">
          <cell r="A3863">
            <v>1815100930</v>
          </cell>
          <cell r="B3863" t="str">
            <v>צ' חד-פעמי(מזוזות)</v>
          </cell>
          <cell r="C3863">
            <v>9500</v>
          </cell>
          <cell r="D3863">
            <v>9961.3799999999992</v>
          </cell>
          <cell r="E3863">
            <v>0</v>
          </cell>
          <cell r="F3863">
            <v>9961.3799999999992</v>
          </cell>
          <cell r="G3863">
            <v>-461.38</v>
          </cell>
          <cell r="H3863">
            <v>104.85</v>
          </cell>
          <cell r="I3863">
            <v>10000</v>
          </cell>
          <cell r="J3863">
            <v>9961.3799999999992</v>
          </cell>
        </row>
        <row r="3864">
          <cell r="A3864">
            <v>1815100960</v>
          </cell>
          <cell r="B3864" t="str">
            <v>פרויקטים בהשתתפות משרד החינוך</v>
          </cell>
          <cell r="C3864">
            <v>256500</v>
          </cell>
          <cell r="D3864">
            <v>188677</v>
          </cell>
          <cell r="E3864">
            <v>0</v>
          </cell>
          <cell r="F3864">
            <v>188677</v>
          </cell>
          <cell r="G3864">
            <v>67823</v>
          </cell>
          <cell r="H3864">
            <v>73.55</v>
          </cell>
          <cell r="I3864">
            <v>270000</v>
          </cell>
          <cell r="J3864">
            <v>188677</v>
          </cell>
        </row>
        <row r="3865">
          <cell r="A3865">
            <v>1815100961</v>
          </cell>
          <cell r="B3865" t="str">
            <v>רז' לשעות תיגבור</v>
          </cell>
          <cell r="C3865">
            <v>1282310</v>
          </cell>
          <cell r="D3865">
            <v>0</v>
          </cell>
          <cell r="E3865">
            <v>0</v>
          </cell>
          <cell r="F3865">
            <v>0</v>
          </cell>
          <cell r="G3865">
            <v>1282310</v>
          </cell>
          <cell r="H3865">
            <v>0</v>
          </cell>
          <cell r="I3865">
            <v>1349800</v>
          </cell>
          <cell r="J3865">
            <v>0</v>
          </cell>
        </row>
        <row r="3866">
          <cell r="A3866">
            <v>1815100962</v>
          </cell>
          <cell r="B3866" t="str">
            <v>רזרבה לפעולות ולרכישות</v>
          </cell>
          <cell r="C3866">
            <v>0</v>
          </cell>
          <cell r="D3866">
            <v>0</v>
          </cell>
          <cell r="E3866">
            <v>0</v>
          </cell>
          <cell r="F3866">
            <v>0</v>
          </cell>
          <cell r="G3866">
            <v>0</v>
          </cell>
          <cell r="H3866">
            <v>0</v>
          </cell>
          <cell r="I3866">
            <v>0</v>
          </cell>
          <cell r="J3866">
            <v>0</v>
          </cell>
        </row>
        <row r="3867">
          <cell r="A3867">
            <v>1815100980</v>
          </cell>
          <cell r="B3867" t="str">
            <v>בית להיות - מרכז השואה</v>
          </cell>
          <cell r="C3867">
            <v>250895</v>
          </cell>
          <cell r="D3867">
            <v>264100</v>
          </cell>
          <cell r="E3867">
            <v>0</v>
          </cell>
          <cell r="F3867">
            <v>264100</v>
          </cell>
          <cell r="G3867">
            <v>-13205</v>
          </cell>
          <cell r="H3867">
            <v>105.26</v>
          </cell>
          <cell r="I3867">
            <v>264100</v>
          </cell>
          <cell r="J3867">
            <v>264100</v>
          </cell>
        </row>
        <row r="3868">
          <cell r="A3868">
            <v>1815100981</v>
          </cell>
          <cell r="B3868" t="str">
            <v>פעילות לחיילים</v>
          </cell>
          <cell r="C3868">
            <v>77235</v>
          </cell>
          <cell r="D3868">
            <v>81066.75</v>
          </cell>
          <cell r="E3868">
            <v>232.82</v>
          </cell>
          <cell r="F3868">
            <v>81299.570000000007</v>
          </cell>
          <cell r="G3868">
            <v>-4064.57</v>
          </cell>
          <cell r="H3868">
            <v>105.26</v>
          </cell>
          <cell r="I3868">
            <v>81300</v>
          </cell>
          <cell r="J3868">
            <v>81066.75</v>
          </cell>
        </row>
        <row r="3869">
          <cell r="A3869">
            <v>1815100982</v>
          </cell>
          <cell r="B3869" t="str">
            <v>משלחות בתי - ספר</v>
          </cell>
          <cell r="C3869">
            <v>101840</v>
          </cell>
          <cell r="D3869">
            <v>85000</v>
          </cell>
          <cell r="E3869">
            <v>0</v>
          </cell>
          <cell r="F3869">
            <v>85000</v>
          </cell>
          <cell r="G3869">
            <v>16840</v>
          </cell>
          <cell r="H3869">
            <v>83.46</v>
          </cell>
          <cell r="I3869">
            <v>107200</v>
          </cell>
          <cell r="J3869">
            <v>85000</v>
          </cell>
        </row>
        <row r="3870">
          <cell r="A3870">
            <v>1815100983</v>
          </cell>
          <cell r="B3870" t="str">
            <v>הכשרת מזכירות</v>
          </cell>
          <cell r="C3870">
            <v>0</v>
          </cell>
          <cell r="D3870">
            <v>0</v>
          </cell>
          <cell r="E3870">
            <v>0</v>
          </cell>
          <cell r="F3870">
            <v>0</v>
          </cell>
          <cell r="G3870">
            <v>0</v>
          </cell>
          <cell r="H3870">
            <v>0</v>
          </cell>
          <cell r="I3870">
            <v>0</v>
          </cell>
          <cell r="J3870">
            <v>0</v>
          </cell>
        </row>
        <row r="3871">
          <cell r="A3871">
            <v>1815100988</v>
          </cell>
          <cell r="B3871" t="str">
            <v>הכנה  לצה"ל</v>
          </cell>
          <cell r="C3871">
            <v>0</v>
          </cell>
          <cell r="D3871">
            <v>0</v>
          </cell>
          <cell r="E3871">
            <v>0</v>
          </cell>
          <cell r="F3871">
            <v>0</v>
          </cell>
          <cell r="G3871">
            <v>0</v>
          </cell>
          <cell r="H3871">
            <v>0</v>
          </cell>
          <cell r="I3871">
            <v>0</v>
          </cell>
          <cell r="J3871">
            <v>0</v>
          </cell>
        </row>
        <row r="3872">
          <cell r="A3872">
            <v>1815110118</v>
          </cell>
          <cell r="B3872" t="str">
            <v>אומ"ץ - מורים</v>
          </cell>
          <cell r="C3872">
            <v>0</v>
          </cell>
          <cell r="D3872">
            <v>0</v>
          </cell>
          <cell r="E3872">
            <v>0</v>
          </cell>
          <cell r="F3872">
            <v>0</v>
          </cell>
          <cell r="G3872">
            <v>0</v>
          </cell>
          <cell r="H3872">
            <v>0</v>
          </cell>
          <cell r="I3872">
            <v>0</v>
          </cell>
          <cell r="J3872">
            <v>0</v>
          </cell>
        </row>
        <row r="3873">
          <cell r="A3873">
            <v>1815110211</v>
          </cell>
          <cell r="B3873" t="str">
            <v>מענה</v>
          </cell>
          <cell r="C3873">
            <v>0</v>
          </cell>
          <cell r="D3873">
            <v>0</v>
          </cell>
          <cell r="E3873">
            <v>0</v>
          </cell>
          <cell r="F3873">
            <v>0</v>
          </cell>
          <cell r="G3873">
            <v>0</v>
          </cell>
          <cell r="H3873">
            <v>0</v>
          </cell>
          <cell r="I3873">
            <v>0</v>
          </cell>
          <cell r="J3873">
            <v>0</v>
          </cell>
        </row>
        <row r="3874">
          <cell r="A3874">
            <v>1815110212</v>
          </cell>
          <cell r="B3874" t="str">
            <v>יזמים צעירים</v>
          </cell>
          <cell r="C3874">
            <v>0</v>
          </cell>
          <cell r="D3874">
            <v>0</v>
          </cell>
          <cell r="E3874">
            <v>0</v>
          </cell>
          <cell r="F3874">
            <v>0</v>
          </cell>
          <cell r="G3874">
            <v>0</v>
          </cell>
          <cell r="H3874">
            <v>0</v>
          </cell>
          <cell r="I3874">
            <v>0</v>
          </cell>
          <cell r="J3874">
            <v>0</v>
          </cell>
        </row>
        <row r="3875">
          <cell r="A3875">
            <v>1815110213</v>
          </cell>
          <cell r="B3875" t="str">
            <v>אומ"ץ - מדריכים</v>
          </cell>
          <cell r="C3875">
            <v>95000</v>
          </cell>
          <cell r="D3875">
            <v>86827.73</v>
          </cell>
          <cell r="E3875">
            <v>0</v>
          </cell>
          <cell r="F3875">
            <v>86827.73</v>
          </cell>
          <cell r="G3875">
            <v>8172.27</v>
          </cell>
          <cell r="H3875">
            <v>91.39</v>
          </cell>
          <cell r="I3875">
            <v>100000</v>
          </cell>
          <cell r="J3875">
            <v>86827.73</v>
          </cell>
        </row>
        <row r="3876">
          <cell r="A3876">
            <v>1815110214</v>
          </cell>
          <cell r="B3876" t="str">
            <v>מהות</v>
          </cell>
          <cell r="C3876">
            <v>0</v>
          </cell>
          <cell r="D3876">
            <v>0</v>
          </cell>
          <cell r="E3876">
            <v>0</v>
          </cell>
          <cell r="F3876">
            <v>0</v>
          </cell>
          <cell r="G3876">
            <v>0</v>
          </cell>
          <cell r="H3876">
            <v>0</v>
          </cell>
          <cell r="I3876">
            <v>0</v>
          </cell>
          <cell r="J3876">
            <v>0</v>
          </cell>
        </row>
        <row r="3877">
          <cell r="A3877">
            <v>1815110215</v>
          </cell>
          <cell r="B3877" t="str">
            <v>יעד</v>
          </cell>
          <cell r="C3877">
            <v>0</v>
          </cell>
          <cell r="D3877">
            <v>0</v>
          </cell>
          <cell r="E3877">
            <v>0</v>
          </cell>
          <cell r="F3877">
            <v>0</v>
          </cell>
          <cell r="G3877">
            <v>0</v>
          </cell>
          <cell r="H3877">
            <v>0</v>
          </cell>
          <cell r="I3877">
            <v>0</v>
          </cell>
          <cell r="J3877">
            <v>0</v>
          </cell>
        </row>
        <row r="3878">
          <cell r="A3878">
            <v>1815110216</v>
          </cell>
          <cell r="B3878" t="str">
            <v>תפ"ן</v>
          </cell>
          <cell r="C3878">
            <v>0</v>
          </cell>
          <cell r="D3878">
            <v>0</v>
          </cell>
          <cell r="E3878">
            <v>0</v>
          </cell>
          <cell r="F3878">
            <v>0</v>
          </cell>
          <cell r="G3878">
            <v>0</v>
          </cell>
          <cell r="H3878">
            <v>0</v>
          </cell>
          <cell r="I3878">
            <v>0</v>
          </cell>
          <cell r="J3878">
            <v>0</v>
          </cell>
        </row>
        <row r="3879">
          <cell r="A3879">
            <v>1815110780</v>
          </cell>
          <cell r="B3879" t="str">
            <v>פעולות - אומ"ץ</v>
          </cell>
          <cell r="C3879">
            <v>19000</v>
          </cell>
          <cell r="D3879">
            <v>0</v>
          </cell>
          <cell r="E3879">
            <v>0</v>
          </cell>
          <cell r="F3879">
            <v>0</v>
          </cell>
          <cell r="G3879">
            <v>19000</v>
          </cell>
          <cell r="H3879">
            <v>0</v>
          </cell>
          <cell r="I3879">
            <v>20000</v>
          </cell>
          <cell r="J3879">
            <v>0</v>
          </cell>
        </row>
        <row r="3880">
          <cell r="A3880">
            <v>1815110788</v>
          </cell>
          <cell r="B3880" t="str">
            <v>פרוייקטים</v>
          </cell>
          <cell r="C3880">
            <v>0</v>
          </cell>
          <cell r="D3880">
            <v>0</v>
          </cell>
          <cell r="E3880">
            <v>0</v>
          </cell>
          <cell r="F3880">
            <v>0</v>
          </cell>
          <cell r="G3880">
            <v>0</v>
          </cell>
          <cell r="H3880">
            <v>0</v>
          </cell>
          <cell r="I3880">
            <v>0</v>
          </cell>
          <cell r="J3880">
            <v>0</v>
          </cell>
        </row>
        <row r="3881">
          <cell r="A3881">
            <v>1815120118</v>
          </cell>
          <cell r="B3881" t="str">
            <v>אומ"ץ - מורים</v>
          </cell>
          <cell r="C3881">
            <v>0</v>
          </cell>
          <cell r="D3881">
            <v>0</v>
          </cell>
          <cell r="E3881">
            <v>0</v>
          </cell>
          <cell r="F3881">
            <v>0</v>
          </cell>
          <cell r="G3881">
            <v>0</v>
          </cell>
          <cell r="H3881">
            <v>0</v>
          </cell>
          <cell r="I3881">
            <v>0</v>
          </cell>
          <cell r="J3881">
            <v>0</v>
          </cell>
        </row>
        <row r="3882">
          <cell r="A3882">
            <v>1815120211</v>
          </cell>
          <cell r="B3882" t="str">
            <v>מענה</v>
          </cell>
          <cell r="C3882">
            <v>0</v>
          </cell>
          <cell r="D3882">
            <v>71858.58</v>
          </cell>
          <cell r="E3882">
            <v>0</v>
          </cell>
          <cell r="F3882">
            <v>71858.58</v>
          </cell>
          <cell r="G3882">
            <v>-71858.58</v>
          </cell>
          <cell r="H3882">
            <v>0</v>
          </cell>
          <cell r="I3882">
            <v>0</v>
          </cell>
          <cell r="J3882">
            <v>71858.58</v>
          </cell>
        </row>
        <row r="3883">
          <cell r="A3883">
            <v>1815120212</v>
          </cell>
          <cell r="B3883" t="str">
            <v>יזמים צעירים</v>
          </cell>
          <cell r="C3883">
            <v>0</v>
          </cell>
          <cell r="D3883">
            <v>0</v>
          </cell>
          <cell r="E3883">
            <v>0</v>
          </cell>
          <cell r="F3883">
            <v>0</v>
          </cell>
          <cell r="G3883">
            <v>0</v>
          </cell>
          <cell r="H3883">
            <v>0</v>
          </cell>
          <cell r="I3883">
            <v>0</v>
          </cell>
          <cell r="J3883">
            <v>0</v>
          </cell>
        </row>
        <row r="3884">
          <cell r="A3884">
            <v>1815120213</v>
          </cell>
          <cell r="B3884" t="str">
            <v>אומ"ץ - מדריכים</v>
          </cell>
          <cell r="C3884">
            <v>104500</v>
          </cell>
          <cell r="D3884">
            <v>48231.91</v>
          </cell>
          <cell r="E3884">
            <v>0</v>
          </cell>
          <cell r="F3884">
            <v>48231.91</v>
          </cell>
          <cell r="G3884">
            <v>56268.09</v>
          </cell>
          <cell r="H3884">
            <v>46.15</v>
          </cell>
          <cell r="I3884">
            <v>110000</v>
          </cell>
          <cell r="J3884">
            <v>48231.91</v>
          </cell>
        </row>
        <row r="3885">
          <cell r="A3885">
            <v>1815120214</v>
          </cell>
          <cell r="B3885" t="str">
            <v>מהות</v>
          </cell>
          <cell r="C3885">
            <v>0</v>
          </cell>
          <cell r="D3885">
            <v>0</v>
          </cell>
          <cell r="E3885">
            <v>0</v>
          </cell>
          <cell r="F3885">
            <v>0</v>
          </cell>
          <cell r="G3885">
            <v>0</v>
          </cell>
          <cell r="H3885">
            <v>0</v>
          </cell>
          <cell r="I3885">
            <v>0</v>
          </cell>
          <cell r="J3885">
            <v>0</v>
          </cell>
        </row>
        <row r="3886">
          <cell r="A3886">
            <v>1815120215</v>
          </cell>
          <cell r="B3886" t="str">
            <v>יעד</v>
          </cell>
          <cell r="C3886">
            <v>0</v>
          </cell>
          <cell r="D3886">
            <v>0</v>
          </cell>
          <cell r="E3886">
            <v>0</v>
          </cell>
          <cell r="F3886">
            <v>0</v>
          </cell>
          <cell r="G3886">
            <v>0</v>
          </cell>
          <cell r="H3886">
            <v>0</v>
          </cell>
          <cell r="I3886">
            <v>0</v>
          </cell>
          <cell r="J3886">
            <v>0</v>
          </cell>
        </row>
        <row r="3887">
          <cell r="A3887">
            <v>1815120216</v>
          </cell>
          <cell r="B3887" t="str">
            <v>תפ"ן</v>
          </cell>
          <cell r="C3887">
            <v>0</v>
          </cell>
          <cell r="D3887">
            <v>0</v>
          </cell>
          <cell r="E3887">
            <v>0</v>
          </cell>
          <cell r="F3887">
            <v>0</v>
          </cell>
          <cell r="G3887">
            <v>0</v>
          </cell>
          <cell r="H3887">
            <v>0</v>
          </cell>
          <cell r="I3887">
            <v>0</v>
          </cell>
          <cell r="J3887">
            <v>0</v>
          </cell>
        </row>
        <row r="3888">
          <cell r="A3888">
            <v>1815120780</v>
          </cell>
          <cell r="B3888" t="str">
            <v>פעולות - אומ"ץ</v>
          </cell>
          <cell r="C3888">
            <v>19000</v>
          </cell>
          <cell r="D3888">
            <v>0</v>
          </cell>
          <cell r="E3888">
            <v>0</v>
          </cell>
          <cell r="F3888">
            <v>0</v>
          </cell>
          <cell r="G3888">
            <v>19000</v>
          </cell>
          <cell r="H3888">
            <v>0</v>
          </cell>
          <cell r="I3888">
            <v>20000</v>
          </cell>
          <cell r="J3888">
            <v>0</v>
          </cell>
        </row>
        <row r="3889">
          <cell r="A3889">
            <v>1815120788</v>
          </cell>
          <cell r="B3889" t="str">
            <v>פרוייקטים</v>
          </cell>
          <cell r="C3889">
            <v>0</v>
          </cell>
          <cell r="D3889">
            <v>0</v>
          </cell>
          <cell r="E3889">
            <v>0</v>
          </cell>
          <cell r="F3889">
            <v>0</v>
          </cell>
          <cell r="G3889">
            <v>0</v>
          </cell>
          <cell r="H3889">
            <v>0</v>
          </cell>
          <cell r="I3889">
            <v>0</v>
          </cell>
          <cell r="J3889">
            <v>0</v>
          </cell>
        </row>
        <row r="3890">
          <cell r="A3890">
            <v>1815130118</v>
          </cell>
          <cell r="B3890" t="str">
            <v>אומ"ץ - מורים</v>
          </cell>
          <cell r="C3890">
            <v>0</v>
          </cell>
          <cell r="D3890">
            <v>0</v>
          </cell>
          <cell r="E3890">
            <v>0</v>
          </cell>
          <cell r="F3890">
            <v>0</v>
          </cell>
          <cell r="G3890">
            <v>0</v>
          </cell>
          <cell r="H3890">
            <v>0</v>
          </cell>
          <cell r="I3890">
            <v>0</v>
          </cell>
          <cell r="J3890">
            <v>0</v>
          </cell>
        </row>
        <row r="3891">
          <cell r="A3891">
            <v>1815130211</v>
          </cell>
          <cell r="B3891" t="str">
            <v>מענה</v>
          </cell>
          <cell r="C3891">
            <v>0</v>
          </cell>
          <cell r="D3891">
            <v>0</v>
          </cell>
          <cell r="E3891">
            <v>0</v>
          </cell>
          <cell r="F3891">
            <v>0</v>
          </cell>
          <cell r="G3891">
            <v>0</v>
          </cell>
          <cell r="H3891">
            <v>0</v>
          </cell>
          <cell r="I3891">
            <v>0</v>
          </cell>
          <cell r="J3891">
            <v>0</v>
          </cell>
        </row>
        <row r="3892">
          <cell r="A3892">
            <v>1815130212</v>
          </cell>
          <cell r="B3892" t="str">
            <v>יזמים צעירים</v>
          </cell>
          <cell r="C3892">
            <v>0</v>
          </cell>
          <cell r="D3892">
            <v>0</v>
          </cell>
          <cell r="E3892">
            <v>0</v>
          </cell>
          <cell r="F3892">
            <v>0</v>
          </cell>
          <cell r="G3892">
            <v>0</v>
          </cell>
          <cell r="H3892">
            <v>0</v>
          </cell>
          <cell r="I3892">
            <v>0</v>
          </cell>
          <cell r="J3892">
            <v>0</v>
          </cell>
        </row>
        <row r="3893">
          <cell r="A3893">
            <v>1815130213</v>
          </cell>
          <cell r="B3893" t="str">
            <v>אומ"ץ - מדריכים</v>
          </cell>
          <cell r="C3893">
            <v>351500</v>
          </cell>
          <cell r="D3893">
            <v>259136.19</v>
          </cell>
          <cell r="E3893">
            <v>0</v>
          </cell>
          <cell r="F3893">
            <v>259136.19</v>
          </cell>
          <cell r="G3893">
            <v>92363.81</v>
          </cell>
          <cell r="H3893">
            <v>73.72</v>
          </cell>
          <cell r="I3893">
            <v>370000</v>
          </cell>
          <cell r="J3893">
            <v>259136.19</v>
          </cell>
        </row>
        <row r="3894">
          <cell r="A3894">
            <v>1815130214</v>
          </cell>
          <cell r="B3894" t="str">
            <v>מהות</v>
          </cell>
          <cell r="C3894">
            <v>0</v>
          </cell>
          <cell r="D3894">
            <v>0</v>
          </cell>
          <cell r="E3894">
            <v>0</v>
          </cell>
          <cell r="F3894">
            <v>0</v>
          </cell>
          <cell r="G3894">
            <v>0</v>
          </cell>
          <cell r="H3894">
            <v>0</v>
          </cell>
          <cell r="I3894">
            <v>0</v>
          </cell>
          <cell r="J3894">
            <v>0</v>
          </cell>
        </row>
        <row r="3895">
          <cell r="A3895">
            <v>1815130215</v>
          </cell>
          <cell r="B3895" t="str">
            <v>יעד</v>
          </cell>
          <cell r="C3895">
            <v>0</v>
          </cell>
          <cell r="D3895">
            <v>0</v>
          </cell>
          <cell r="E3895">
            <v>0</v>
          </cell>
          <cell r="F3895">
            <v>0</v>
          </cell>
          <cell r="G3895">
            <v>0</v>
          </cell>
          <cell r="H3895">
            <v>0</v>
          </cell>
          <cell r="I3895">
            <v>0</v>
          </cell>
          <cell r="J3895">
            <v>0</v>
          </cell>
        </row>
        <row r="3896">
          <cell r="A3896">
            <v>1815130216</v>
          </cell>
          <cell r="B3896" t="str">
            <v>תפ"ן</v>
          </cell>
          <cell r="C3896">
            <v>0</v>
          </cell>
          <cell r="D3896">
            <v>0</v>
          </cell>
          <cell r="E3896">
            <v>0</v>
          </cell>
          <cell r="F3896">
            <v>0</v>
          </cell>
          <cell r="G3896">
            <v>0</v>
          </cell>
          <cell r="H3896">
            <v>0</v>
          </cell>
          <cell r="I3896">
            <v>0</v>
          </cell>
          <cell r="J3896">
            <v>0</v>
          </cell>
        </row>
        <row r="3897">
          <cell r="A3897">
            <v>1815130780</v>
          </cell>
          <cell r="B3897" t="str">
            <v>פעולות - אומ"ץ</v>
          </cell>
          <cell r="C3897">
            <v>19000</v>
          </cell>
          <cell r="D3897">
            <v>0</v>
          </cell>
          <cell r="E3897">
            <v>0</v>
          </cell>
          <cell r="F3897">
            <v>0</v>
          </cell>
          <cell r="G3897">
            <v>19000</v>
          </cell>
          <cell r="H3897">
            <v>0</v>
          </cell>
          <cell r="I3897">
            <v>20000</v>
          </cell>
          <cell r="J3897">
            <v>0</v>
          </cell>
        </row>
        <row r="3898">
          <cell r="A3898">
            <v>1815130788</v>
          </cell>
          <cell r="B3898" t="str">
            <v>פרוייקטים</v>
          </cell>
          <cell r="C3898">
            <v>0</v>
          </cell>
          <cell r="D3898">
            <v>0</v>
          </cell>
          <cell r="E3898">
            <v>0</v>
          </cell>
          <cell r="F3898">
            <v>0</v>
          </cell>
          <cell r="G3898">
            <v>0</v>
          </cell>
          <cell r="H3898">
            <v>0</v>
          </cell>
          <cell r="I3898">
            <v>0</v>
          </cell>
          <cell r="J3898">
            <v>0</v>
          </cell>
        </row>
        <row r="3899">
          <cell r="A3899">
            <v>1815140118</v>
          </cell>
          <cell r="B3899" t="str">
            <v>אומ"ץ - מורים</v>
          </cell>
          <cell r="C3899">
            <v>0</v>
          </cell>
          <cell r="D3899">
            <v>0</v>
          </cell>
          <cell r="E3899">
            <v>0</v>
          </cell>
          <cell r="F3899">
            <v>0</v>
          </cell>
          <cell r="G3899">
            <v>0</v>
          </cell>
          <cell r="H3899">
            <v>0</v>
          </cell>
          <cell r="I3899">
            <v>0</v>
          </cell>
          <cell r="J3899">
            <v>0</v>
          </cell>
        </row>
        <row r="3900">
          <cell r="A3900">
            <v>1815140211</v>
          </cell>
          <cell r="B3900" t="str">
            <v>מענה</v>
          </cell>
          <cell r="C3900">
            <v>0</v>
          </cell>
          <cell r="D3900">
            <v>0</v>
          </cell>
          <cell r="E3900">
            <v>0</v>
          </cell>
          <cell r="F3900">
            <v>0</v>
          </cell>
          <cell r="G3900">
            <v>0</v>
          </cell>
          <cell r="H3900">
            <v>0</v>
          </cell>
          <cell r="I3900">
            <v>0</v>
          </cell>
          <cell r="J3900">
            <v>0</v>
          </cell>
        </row>
        <row r="3901">
          <cell r="A3901">
            <v>1815140212</v>
          </cell>
          <cell r="B3901" t="str">
            <v>יזמים צעירים</v>
          </cell>
          <cell r="C3901">
            <v>0</v>
          </cell>
          <cell r="D3901">
            <v>0</v>
          </cell>
          <cell r="E3901">
            <v>0</v>
          </cell>
          <cell r="F3901">
            <v>0</v>
          </cell>
          <cell r="G3901">
            <v>0</v>
          </cell>
          <cell r="H3901">
            <v>0</v>
          </cell>
          <cell r="I3901">
            <v>0</v>
          </cell>
          <cell r="J3901">
            <v>0</v>
          </cell>
        </row>
        <row r="3902">
          <cell r="A3902">
            <v>1815140213</v>
          </cell>
          <cell r="B3902" t="str">
            <v>אומ"ץ - מדריכים</v>
          </cell>
          <cell r="C3902">
            <v>152000</v>
          </cell>
          <cell r="D3902">
            <v>46008.9</v>
          </cell>
          <cell r="E3902">
            <v>0</v>
          </cell>
          <cell r="F3902">
            <v>46008.9</v>
          </cell>
          <cell r="G3902">
            <v>105991.1</v>
          </cell>
          <cell r="H3902">
            <v>30.26</v>
          </cell>
          <cell r="I3902">
            <v>160000</v>
          </cell>
          <cell r="J3902">
            <v>46008.9</v>
          </cell>
        </row>
        <row r="3903">
          <cell r="A3903">
            <v>1815140214</v>
          </cell>
          <cell r="B3903" t="str">
            <v>מהות</v>
          </cell>
          <cell r="C3903">
            <v>0</v>
          </cell>
          <cell r="D3903">
            <v>0</v>
          </cell>
          <cell r="E3903">
            <v>0</v>
          </cell>
          <cell r="F3903">
            <v>0</v>
          </cell>
          <cell r="G3903">
            <v>0</v>
          </cell>
          <cell r="H3903">
            <v>0</v>
          </cell>
          <cell r="I3903">
            <v>0</v>
          </cell>
          <cell r="J3903">
            <v>0</v>
          </cell>
        </row>
        <row r="3904">
          <cell r="A3904">
            <v>1815140215</v>
          </cell>
          <cell r="B3904" t="str">
            <v>יעד</v>
          </cell>
          <cell r="C3904">
            <v>0</v>
          </cell>
          <cell r="D3904">
            <v>0</v>
          </cell>
          <cell r="E3904">
            <v>0</v>
          </cell>
          <cell r="F3904">
            <v>0</v>
          </cell>
          <cell r="G3904">
            <v>0</v>
          </cell>
          <cell r="H3904">
            <v>0</v>
          </cell>
          <cell r="I3904">
            <v>0</v>
          </cell>
          <cell r="J3904">
            <v>0</v>
          </cell>
        </row>
        <row r="3905">
          <cell r="A3905">
            <v>1815140216</v>
          </cell>
          <cell r="B3905" t="str">
            <v>תפ"ן</v>
          </cell>
          <cell r="C3905">
            <v>0</v>
          </cell>
          <cell r="D3905">
            <v>0</v>
          </cell>
          <cell r="E3905">
            <v>0</v>
          </cell>
          <cell r="F3905">
            <v>0</v>
          </cell>
          <cell r="G3905">
            <v>0</v>
          </cell>
          <cell r="H3905">
            <v>0</v>
          </cell>
          <cell r="I3905">
            <v>0</v>
          </cell>
          <cell r="J3905">
            <v>0</v>
          </cell>
        </row>
        <row r="3906">
          <cell r="A3906">
            <v>1815140780</v>
          </cell>
          <cell r="B3906" t="str">
            <v>פעולות - אומ"ץ</v>
          </cell>
          <cell r="C3906">
            <v>19000</v>
          </cell>
          <cell r="D3906">
            <v>0</v>
          </cell>
          <cell r="E3906">
            <v>0</v>
          </cell>
          <cell r="F3906">
            <v>0</v>
          </cell>
          <cell r="G3906">
            <v>19000</v>
          </cell>
          <cell r="H3906">
            <v>0</v>
          </cell>
          <cell r="I3906">
            <v>20000</v>
          </cell>
          <cell r="J3906">
            <v>0</v>
          </cell>
        </row>
        <row r="3907">
          <cell r="A3907">
            <v>1815140788</v>
          </cell>
          <cell r="B3907" t="str">
            <v>פרוייקטים</v>
          </cell>
          <cell r="C3907">
            <v>0</v>
          </cell>
          <cell r="D3907">
            <v>0</v>
          </cell>
          <cell r="E3907">
            <v>0</v>
          </cell>
          <cell r="F3907">
            <v>0</v>
          </cell>
          <cell r="G3907">
            <v>0</v>
          </cell>
          <cell r="H3907">
            <v>0</v>
          </cell>
          <cell r="I3907">
            <v>0</v>
          </cell>
          <cell r="J3907">
            <v>0</v>
          </cell>
        </row>
        <row r="3908">
          <cell r="A3908">
            <v>1815150118</v>
          </cell>
          <cell r="B3908" t="str">
            <v>אומ"ץ - מורים</v>
          </cell>
          <cell r="C3908">
            <v>0</v>
          </cell>
          <cell r="D3908">
            <v>0</v>
          </cell>
          <cell r="E3908">
            <v>0</v>
          </cell>
          <cell r="F3908">
            <v>0</v>
          </cell>
          <cell r="G3908">
            <v>0</v>
          </cell>
          <cell r="H3908">
            <v>0</v>
          </cell>
          <cell r="I3908">
            <v>0</v>
          </cell>
          <cell r="J3908">
            <v>0</v>
          </cell>
        </row>
        <row r="3909">
          <cell r="A3909">
            <v>1815150211</v>
          </cell>
          <cell r="B3909" t="str">
            <v>מענה</v>
          </cell>
          <cell r="C3909">
            <v>0</v>
          </cell>
          <cell r="D3909">
            <v>0</v>
          </cell>
          <cell r="E3909">
            <v>0</v>
          </cell>
          <cell r="F3909">
            <v>0</v>
          </cell>
          <cell r="G3909">
            <v>0</v>
          </cell>
          <cell r="H3909">
            <v>0</v>
          </cell>
          <cell r="I3909">
            <v>0</v>
          </cell>
          <cell r="J3909">
            <v>0</v>
          </cell>
        </row>
        <row r="3910">
          <cell r="A3910">
            <v>1815150212</v>
          </cell>
          <cell r="B3910" t="str">
            <v>יזמים צעירים</v>
          </cell>
          <cell r="C3910">
            <v>0</v>
          </cell>
          <cell r="D3910">
            <v>0</v>
          </cell>
          <cell r="E3910">
            <v>0</v>
          </cell>
          <cell r="F3910">
            <v>0</v>
          </cell>
          <cell r="G3910">
            <v>0</v>
          </cell>
          <cell r="H3910">
            <v>0</v>
          </cell>
          <cell r="I3910">
            <v>0</v>
          </cell>
          <cell r="J3910">
            <v>0</v>
          </cell>
        </row>
        <row r="3911">
          <cell r="A3911">
            <v>1815150213</v>
          </cell>
          <cell r="B3911" t="str">
            <v>אומ"ץ - מדריכים</v>
          </cell>
          <cell r="C3911">
            <v>223250</v>
          </cell>
          <cell r="D3911">
            <v>181516.56</v>
          </cell>
          <cell r="E3911">
            <v>0</v>
          </cell>
          <cell r="F3911">
            <v>181516.56</v>
          </cell>
          <cell r="G3911">
            <v>41733.440000000002</v>
          </cell>
          <cell r="H3911">
            <v>81.3</v>
          </cell>
          <cell r="I3911">
            <v>235000</v>
          </cell>
          <cell r="J3911">
            <v>181516.56</v>
          </cell>
        </row>
        <row r="3912">
          <cell r="A3912">
            <v>1815150214</v>
          </cell>
          <cell r="B3912" t="str">
            <v>מהות</v>
          </cell>
          <cell r="C3912">
            <v>0</v>
          </cell>
          <cell r="D3912">
            <v>0</v>
          </cell>
          <cell r="E3912">
            <v>0</v>
          </cell>
          <cell r="F3912">
            <v>0</v>
          </cell>
          <cell r="G3912">
            <v>0</v>
          </cell>
          <cell r="H3912">
            <v>0</v>
          </cell>
          <cell r="I3912">
            <v>0</v>
          </cell>
          <cell r="J3912">
            <v>0</v>
          </cell>
        </row>
        <row r="3913">
          <cell r="A3913">
            <v>1815150215</v>
          </cell>
          <cell r="B3913" t="str">
            <v>יעד</v>
          </cell>
          <cell r="C3913">
            <v>0</v>
          </cell>
          <cell r="D3913">
            <v>0</v>
          </cell>
          <cell r="E3913">
            <v>0</v>
          </cell>
          <cell r="F3913">
            <v>0</v>
          </cell>
          <cell r="G3913">
            <v>0</v>
          </cell>
          <cell r="H3913">
            <v>0</v>
          </cell>
          <cell r="I3913">
            <v>0</v>
          </cell>
          <cell r="J3913">
            <v>0</v>
          </cell>
        </row>
        <row r="3914">
          <cell r="A3914">
            <v>1815150216</v>
          </cell>
          <cell r="B3914" t="str">
            <v>תפ"ן</v>
          </cell>
          <cell r="C3914">
            <v>0</v>
          </cell>
          <cell r="D3914">
            <v>0</v>
          </cell>
          <cell r="E3914">
            <v>0</v>
          </cell>
          <cell r="F3914">
            <v>0</v>
          </cell>
          <cell r="G3914">
            <v>0</v>
          </cell>
          <cell r="H3914">
            <v>0</v>
          </cell>
          <cell r="I3914">
            <v>0</v>
          </cell>
          <cell r="J3914">
            <v>0</v>
          </cell>
        </row>
        <row r="3915">
          <cell r="A3915">
            <v>1815150780</v>
          </cell>
          <cell r="B3915" t="str">
            <v>פעולות - אומ"ץ</v>
          </cell>
          <cell r="C3915">
            <v>19000</v>
          </cell>
          <cell r="D3915">
            <v>0</v>
          </cell>
          <cell r="E3915">
            <v>0</v>
          </cell>
          <cell r="F3915">
            <v>0</v>
          </cell>
          <cell r="G3915">
            <v>19000</v>
          </cell>
          <cell r="H3915">
            <v>0</v>
          </cell>
          <cell r="I3915">
            <v>20000</v>
          </cell>
          <cell r="J3915">
            <v>0</v>
          </cell>
        </row>
        <row r="3916">
          <cell r="A3916">
            <v>1815150788</v>
          </cell>
          <cell r="B3916" t="str">
            <v>פרוייקטים</v>
          </cell>
          <cell r="C3916">
            <v>0</v>
          </cell>
          <cell r="D3916">
            <v>0</v>
          </cell>
          <cell r="E3916">
            <v>0</v>
          </cell>
          <cell r="F3916">
            <v>0</v>
          </cell>
          <cell r="G3916">
            <v>0</v>
          </cell>
          <cell r="H3916">
            <v>0</v>
          </cell>
          <cell r="I3916">
            <v>0</v>
          </cell>
          <cell r="J3916">
            <v>0</v>
          </cell>
        </row>
        <row r="3917">
          <cell r="A3917">
            <v>1815160118</v>
          </cell>
          <cell r="B3917" t="str">
            <v>אומ"ץ - מורים</v>
          </cell>
          <cell r="C3917">
            <v>0</v>
          </cell>
          <cell r="D3917">
            <v>0</v>
          </cell>
          <cell r="E3917">
            <v>0</v>
          </cell>
          <cell r="F3917">
            <v>0</v>
          </cell>
          <cell r="G3917">
            <v>0</v>
          </cell>
          <cell r="H3917">
            <v>0</v>
          </cell>
          <cell r="I3917">
            <v>0</v>
          </cell>
          <cell r="J3917">
            <v>0</v>
          </cell>
        </row>
        <row r="3918">
          <cell r="A3918">
            <v>1815160211</v>
          </cell>
          <cell r="B3918" t="str">
            <v>מענה</v>
          </cell>
          <cell r="C3918">
            <v>0</v>
          </cell>
          <cell r="D3918">
            <v>0</v>
          </cell>
          <cell r="E3918">
            <v>0</v>
          </cell>
          <cell r="F3918">
            <v>0</v>
          </cell>
          <cell r="G3918">
            <v>0</v>
          </cell>
          <cell r="H3918">
            <v>0</v>
          </cell>
          <cell r="I3918">
            <v>0</v>
          </cell>
          <cell r="J3918">
            <v>0</v>
          </cell>
        </row>
        <row r="3919">
          <cell r="A3919">
            <v>1815160212</v>
          </cell>
          <cell r="B3919" t="str">
            <v>יזמים צעירים</v>
          </cell>
          <cell r="C3919">
            <v>0</v>
          </cell>
          <cell r="D3919">
            <v>0</v>
          </cell>
          <cell r="E3919">
            <v>0</v>
          </cell>
          <cell r="F3919">
            <v>0</v>
          </cell>
          <cell r="G3919">
            <v>0</v>
          </cell>
          <cell r="H3919">
            <v>0</v>
          </cell>
          <cell r="I3919">
            <v>0</v>
          </cell>
          <cell r="J3919">
            <v>0</v>
          </cell>
        </row>
        <row r="3920">
          <cell r="A3920">
            <v>1815160213</v>
          </cell>
          <cell r="B3920" t="str">
            <v>אומ"ץ - מדריכים</v>
          </cell>
          <cell r="C3920">
            <v>180500</v>
          </cell>
          <cell r="D3920">
            <v>30984.04</v>
          </cell>
          <cell r="E3920">
            <v>0</v>
          </cell>
          <cell r="F3920">
            <v>30984.04</v>
          </cell>
          <cell r="G3920">
            <v>149515.96</v>
          </cell>
          <cell r="H3920">
            <v>17.16</v>
          </cell>
          <cell r="I3920">
            <v>190000</v>
          </cell>
          <cell r="J3920">
            <v>30984.04</v>
          </cell>
        </row>
        <row r="3921">
          <cell r="A3921">
            <v>1815160214</v>
          </cell>
          <cell r="B3921" t="str">
            <v>מהות</v>
          </cell>
          <cell r="C3921">
            <v>0</v>
          </cell>
          <cell r="D3921">
            <v>0</v>
          </cell>
          <cell r="E3921">
            <v>0</v>
          </cell>
          <cell r="F3921">
            <v>0</v>
          </cell>
          <cell r="G3921">
            <v>0</v>
          </cell>
          <cell r="H3921">
            <v>0</v>
          </cell>
          <cell r="I3921">
            <v>0</v>
          </cell>
          <cell r="J3921">
            <v>0</v>
          </cell>
        </row>
        <row r="3922">
          <cell r="A3922">
            <v>1815160215</v>
          </cell>
          <cell r="B3922" t="str">
            <v>יעד</v>
          </cell>
          <cell r="C3922">
            <v>0</v>
          </cell>
          <cell r="D3922">
            <v>0</v>
          </cell>
          <cell r="E3922">
            <v>0</v>
          </cell>
          <cell r="F3922">
            <v>0</v>
          </cell>
          <cell r="G3922">
            <v>0</v>
          </cell>
          <cell r="H3922">
            <v>0</v>
          </cell>
          <cell r="I3922">
            <v>0</v>
          </cell>
          <cell r="J3922">
            <v>0</v>
          </cell>
        </row>
        <row r="3923">
          <cell r="A3923">
            <v>1815160216</v>
          </cell>
          <cell r="B3923" t="str">
            <v>תפ"ן</v>
          </cell>
          <cell r="C3923">
            <v>0</v>
          </cell>
          <cell r="D3923">
            <v>0</v>
          </cell>
          <cell r="E3923">
            <v>0</v>
          </cell>
          <cell r="F3923">
            <v>0</v>
          </cell>
          <cell r="G3923">
            <v>0</v>
          </cell>
          <cell r="H3923">
            <v>0</v>
          </cell>
          <cell r="I3923">
            <v>0</v>
          </cell>
          <cell r="J3923">
            <v>0</v>
          </cell>
        </row>
        <row r="3924">
          <cell r="A3924">
            <v>1815160780</v>
          </cell>
          <cell r="B3924" t="str">
            <v>פעולות - אומ"ץ</v>
          </cell>
          <cell r="C3924">
            <v>19000</v>
          </cell>
          <cell r="D3924">
            <v>0</v>
          </cell>
          <cell r="E3924">
            <v>0</v>
          </cell>
          <cell r="F3924">
            <v>0</v>
          </cell>
          <cell r="G3924">
            <v>19000</v>
          </cell>
          <cell r="H3924">
            <v>0</v>
          </cell>
          <cell r="I3924">
            <v>20000</v>
          </cell>
          <cell r="J3924">
            <v>0</v>
          </cell>
        </row>
        <row r="3925">
          <cell r="A3925">
            <v>1815160788</v>
          </cell>
          <cell r="B3925" t="str">
            <v>פרוייקטים</v>
          </cell>
          <cell r="C3925">
            <v>0</v>
          </cell>
          <cell r="D3925">
            <v>0</v>
          </cell>
          <cell r="E3925">
            <v>0</v>
          </cell>
          <cell r="F3925">
            <v>0</v>
          </cell>
          <cell r="G3925">
            <v>0</v>
          </cell>
          <cell r="H3925">
            <v>0</v>
          </cell>
          <cell r="I3925">
            <v>0</v>
          </cell>
          <cell r="J3925">
            <v>0</v>
          </cell>
        </row>
        <row r="3926">
          <cell r="A3926">
            <v>1815170118</v>
          </cell>
          <cell r="B3926" t="str">
            <v>אומ"ץ - מורים</v>
          </cell>
          <cell r="C3926">
            <v>0</v>
          </cell>
          <cell r="D3926">
            <v>0</v>
          </cell>
          <cell r="E3926">
            <v>0</v>
          </cell>
          <cell r="F3926">
            <v>0</v>
          </cell>
          <cell r="G3926">
            <v>0</v>
          </cell>
          <cell r="H3926">
            <v>0</v>
          </cell>
          <cell r="I3926">
            <v>0</v>
          </cell>
          <cell r="J3926">
            <v>0</v>
          </cell>
        </row>
        <row r="3927">
          <cell r="A3927">
            <v>1815170211</v>
          </cell>
          <cell r="B3927" t="str">
            <v>מענה</v>
          </cell>
          <cell r="C3927">
            <v>0</v>
          </cell>
          <cell r="D3927">
            <v>0</v>
          </cell>
          <cell r="E3927">
            <v>0</v>
          </cell>
          <cell r="F3927">
            <v>0</v>
          </cell>
          <cell r="G3927">
            <v>0</v>
          </cell>
          <cell r="H3927">
            <v>0</v>
          </cell>
          <cell r="I3927">
            <v>0</v>
          </cell>
          <cell r="J3927">
            <v>0</v>
          </cell>
        </row>
        <row r="3928">
          <cell r="A3928">
            <v>1815170212</v>
          </cell>
          <cell r="B3928" t="str">
            <v>יזמים צעירים</v>
          </cell>
          <cell r="C3928">
            <v>0</v>
          </cell>
          <cell r="D3928">
            <v>0</v>
          </cell>
          <cell r="E3928">
            <v>0</v>
          </cell>
          <cell r="F3928">
            <v>0</v>
          </cell>
          <cell r="G3928">
            <v>0</v>
          </cell>
          <cell r="H3928">
            <v>0</v>
          </cell>
          <cell r="I3928">
            <v>0</v>
          </cell>
          <cell r="J3928">
            <v>0</v>
          </cell>
        </row>
        <row r="3929">
          <cell r="A3929">
            <v>1815170213</v>
          </cell>
          <cell r="B3929" t="str">
            <v>אומ"ץ - מדריכים</v>
          </cell>
          <cell r="C3929">
            <v>237500</v>
          </cell>
          <cell r="D3929">
            <v>125020.44</v>
          </cell>
          <cell r="E3929">
            <v>0</v>
          </cell>
          <cell r="F3929">
            <v>125020.44</v>
          </cell>
          <cell r="G3929">
            <v>112479.56</v>
          </cell>
          <cell r="H3929">
            <v>52.64</v>
          </cell>
          <cell r="I3929">
            <v>250000</v>
          </cell>
          <cell r="J3929">
            <v>125020.44</v>
          </cell>
        </row>
        <row r="3930">
          <cell r="A3930">
            <v>1815170214</v>
          </cell>
          <cell r="B3930" t="str">
            <v>מהות</v>
          </cell>
          <cell r="C3930">
            <v>0</v>
          </cell>
          <cell r="D3930">
            <v>0</v>
          </cell>
          <cell r="E3930">
            <v>0</v>
          </cell>
          <cell r="F3930">
            <v>0</v>
          </cell>
          <cell r="G3930">
            <v>0</v>
          </cell>
          <cell r="H3930">
            <v>0</v>
          </cell>
          <cell r="I3930">
            <v>0</v>
          </cell>
          <cell r="J3930">
            <v>0</v>
          </cell>
        </row>
        <row r="3931">
          <cell r="A3931">
            <v>1815170215</v>
          </cell>
          <cell r="B3931" t="str">
            <v>יעד</v>
          </cell>
          <cell r="C3931">
            <v>0</v>
          </cell>
          <cell r="D3931">
            <v>0</v>
          </cell>
          <cell r="E3931">
            <v>0</v>
          </cell>
          <cell r="F3931">
            <v>0</v>
          </cell>
          <cell r="G3931">
            <v>0</v>
          </cell>
          <cell r="H3931">
            <v>0</v>
          </cell>
          <cell r="I3931">
            <v>0</v>
          </cell>
          <cell r="J3931">
            <v>0</v>
          </cell>
        </row>
        <row r="3932">
          <cell r="A3932">
            <v>1815170216</v>
          </cell>
          <cell r="B3932" t="str">
            <v>תפ"ן</v>
          </cell>
          <cell r="C3932">
            <v>0</v>
          </cell>
          <cell r="D3932">
            <v>0</v>
          </cell>
          <cell r="E3932">
            <v>0</v>
          </cell>
          <cell r="F3932">
            <v>0</v>
          </cell>
          <cell r="G3932">
            <v>0</v>
          </cell>
          <cell r="H3932">
            <v>0</v>
          </cell>
          <cell r="I3932">
            <v>0</v>
          </cell>
          <cell r="J3932">
            <v>0</v>
          </cell>
        </row>
        <row r="3933">
          <cell r="A3933">
            <v>1815170780</v>
          </cell>
          <cell r="B3933" t="str">
            <v>פעולות - אומ"ץ</v>
          </cell>
          <cell r="C3933">
            <v>19000</v>
          </cell>
          <cell r="D3933">
            <v>0</v>
          </cell>
          <cell r="E3933">
            <v>0</v>
          </cell>
          <cell r="F3933">
            <v>0</v>
          </cell>
          <cell r="G3933">
            <v>19000</v>
          </cell>
          <cell r="H3933">
            <v>0</v>
          </cell>
          <cell r="I3933">
            <v>20000</v>
          </cell>
          <cell r="J3933">
            <v>0</v>
          </cell>
        </row>
        <row r="3934">
          <cell r="A3934">
            <v>1815170788</v>
          </cell>
          <cell r="B3934" t="str">
            <v>פרוייקטים</v>
          </cell>
          <cell r="C3934">
            <v>0</v>
          </cell>
          <cell r="D3934">
            <v>0</v>
          </cell>
          <cell r="E3934">
            <v>0</v>
          </cell>
          <cell r="F3934">
            <v>0</v>
          </cell>
          <cell r="G3934">
            <v>0</v>
          </cell>
          <cell r="H3934">
            <v>0</v>
          </cell>
          <cell r="I3934">
            <v>0</v>
          </cell>
          <cell r="J3934">
            <v>0</v>
          </cell>
        </row>
        <row r="3935">
          <cell r="A3935">
            <v>1815180118</v>
          </cell>
          <cell r="B3935" t="str">
            <v>אומ"ץ - מורים</v>
          </cell>
          <cell r="C3935">
            <v>0</v>
          </cell>
          <cell r="D3935">
            <v>0</v>
          </cell>
          <cell r="E3935">
            <v>0</v>
          </cell>
          <cell r="F3935">
            <v>0</v>
          </cell>
          <cell r="G3935">
            <v>0</v>
          </cell>
          <cell r="H3935">
            <v>0</v>
          </cell>
          <cell r="I3935">
            <v>0</v>
          </cell>
          <cell r="J3935">
            <v>0</v>
          </cell>
        </row>
        <row r="3936">
          <cell r="A3936">
            <v>1815180211</v>
          </cell>
          <cell r="B3936" t="str">
            <v>מענה</v>
          </cell>
          <cell r="C3936">
            <v>0</v>
          </cell>
          <cell r="D3936">
            <v>0</v>
          </cell>
          <cell r="E3936">
            <v>0</v>
          </cell>
          <cell r="F3936">
            <v>0</v>
          </cell>
          <cell r="G3936">
            <v>0</v>
          </cell>
          <cell r="H3936">
            <v>0</v>
          </cell>
          <cell r="I3936">
            <v>0</v>
          </cell>
          <cell r="J3936">
            <v>0</v>
          </cell>
        </row>
        <row r="3937">
          <cell r="A3937">
            <v>1815180212</v>
          </cell>
          <cell r="B3937" t="str">
            <v>יזמים צעירים</v>
          </cell>
          <cell r="C3937">
            <v>0</v>
          </cell>
          <cell r="D3937">
            <v>0</v>
          </cell>
          <cell r="E3937">
            <v>0</v>
          </cell>
          <cell r="F3937">
            <v>0</v>
          </cell>
          <cell r="G3937">
            <v>0</v>
          </cell>
          <cell r="H3937">
            <v>0</v>
          </cell>
          <cell r="I3937">
            <v>0</v>
          </cell>
          <cell r="J3937">
            <v>0</v>
          </cell>
        </row>
        <row r="3938">
          <cell r="A3938">
            <v>1815180213</v>
          </cell>
          <cell r="B3938" t="str">
            <v>אומ"ץ - מדריכים</v>
          </cell>
          <cell r="C3938">
            <v>0</v>
          </cell>
          <cell r="D3938">
            <v>0</v>
          </cell>
          <cell r="E3938">
            <v>0</v>
          </cell>
          <cell r="F3938">
            <v>0</v>
          </cell>
          <cell r="G3938">
            <v>0</v>
          </cell>
          <cell r="H3938">
            <v>0</v>
          </cell>
          <cell r="I3938">
            <v>0</v>
          </cell>
          <cell r="J3938">
            <v>0</v>
          </cell>
        </row>
        <row r="3939">
          <cell r="A3939">
            <v>1815180214</v>
          </cell>
          <cell r="B3939" t="str">
            <v>מהות</v>
          </cell>
          <cell r="C3939">
            <v>0</v>
          </cell>
          <cell r="D3939">
            <v>0</v>
          </cell>
          <cell r="E3939">
            <v>0</v>
          </cell>
          <cell r="F3939">
            <v>0</v>
          </cell>
          <cell r="G3939">
            <v>0</v>
          </cell>
          <cell r="H3939">
            <v>0</v>
          </cell>
          <cell r="I3939">
            <v>0</v>
          </cell>
          <cell r="J3939">
            <v>0</v>
          </cell>
        </row>
        <row r="3940">
          <cell r="A3940">
            <v>1815180215</v>
          </cell>
          <cell r="B3940" t="str">
            <v>יעד</v>
          </cell>
          <cell r="C3940">
            <v>0</v>
          </cell>
          <cell r="D3940">
            <v>0</v>
          </cell>
          <cell r="E3940">
            <v>0</v>
          </cell>
          <cell r="F3940">
            <v>0</v>
          </cell>
          <cell r="G3940">
            <v>0</v>
          </cell>
          <cell r="H3940">
            <v>0</v>
          </cell>
          <cell r="I3940">
            <v>0</v>
          </cell>
          <cell r="J3940">
            <v>0</v>
          </cell>
        </row>
        <row r="3941">
          <cell r="A3941">
            <v>1815180216</v>
          </cell>
          <cell r="B3941" t="str">
            <v>תפ"ן</v>
          </cell>
          <cell r="C3941">
            <v>0</v>
          </cell>
          <cell r="D3941">
            <v>0</v>
          </cell>
          <cell r="E3941">
            <v>0</v>
          </cell>
          <cell r="F3941">
            <v>0</v>
          </cell>
          <cell r="G3941">
            <v>0</v>
          </cell>
          <cell r="H3941">
            <v>0</v>
          </cell>
          <cell r="I3941">
            <v>0</v>
          </cell>
          <cell r="J3941">
            <v>0</v>
          </cell>
        </row>
        <row r="3942">
          <cell r="A3942">
            <v>1815180780</v>
          </cell>
          <cell r="B3942" t="str">
            <v>פעולות - אומ"ץ</v>
          </cell>
          <cell r="C3942">
            <v>0</v>
          </cell>
          <cell r="D3942">
            <v>0</v>
          </cell>
          <cell r="E3942">
            <v>0</v>
          </cell>
          <cell r="F3942">
            <v>0</v>
          </cell>
          <cell r="G3942">
            <v>0</v>
          </cell>
          <cell r="H3942">
            <v>0</v>
          </cell>
          <cell r="I3942">
            <v>0</v>
          </cell>
          <cell r="J3942">
            <v>0</v>
          </cell>
        </row>
        <row r="3943">
          <cell r="A3943">
            <v>1815180788</v>
          </cell>
          <cell r="B3943" t="str">
            <v>פרוייקטים</v>
          </cell>
          <cell r="C3943">
            <v>0</v>
          </cell>
          <cell r="D3943">
            <v>0</v>
          </cell>
          <cell r="E3943">
            <v>0</v>
          </cell>
          <cell r="F3943">
            <v>0</v>
          </cell>
          <cell r="G3943">
            <v>0</v>
          </cell>
          <cell r="H3943">
            <v>0</v>
          </cell>
          <cell r="I3943">
            <v>0</v>
          </cell>
          <cell r="J3943">
            <v>0</v>
          </cell>
        </row>
        <row r="3944">
          <cell r="A3944">
            <v>1815190118</v>
          </cell>
          <cell r="B3944" t="str">
            <v>אומ"ץ - מורים</v>
          </cell>
          <cell r="C3944">
            <v>0</v>
          </cell>
          <cell r="D3944">
            <v>0</v>
          </cell>
          <cell r="E3944">
            <v>0</v>
          </cell>
          <cell r="F3944">
            <v>0</v>
          </cell>
          <cell r="G3944">
            <v>0</v>
          </cell>
          <cell r="H3944">
            <v>0</v>
          </cell>
          <cell r="I3944">
            <v>0</v>
          </cell>
          <cell r="J3944">
            <v>0</v>
          </cell>
        </row>
        <row r="3945">
          <cell r="A3945">
            <v>1815190211</v>
          </cell>
          <cell r="B3945" t="str">
            <v>מענה</v>
          </cell>
          <cell r="C3945">
            <v>0</v>
          </cell>
          <cell r="D3945">
            <v>0</v>
          </cell>
          <cell r="E3945">
            <v>0</v>
          </cell>
          <cell r="F3945">
            <v>0</v>
          </cell>
          <cell r="G3945">
            <v>0</v>
          </cell>
          <cell r="H3945">
            <v>0</v>
          </cell>
          <cell r="I3945">
            <v>0</v>
          </cell>
          <cell r="J3945">
            <v>0</v>
          </cell>
        </row>
        <row r="3946">
          <cell r="A3946">
            <v>1815190212</v>
          </cell>
          <cell r="B3946" t="str">
            <v>יזמים צעירים</v>
          </cell>
          <cell r="C3946">
            <v>0</v>
          </cell>
          <cell r="D3946">
            <v>0</v>
          </cell>
          <cell r="E3946">
            <v>0</v>
          </cell>
          <cell r="F3946">
            <v>0</v>
          </cell>
          <cell r="G3946">
            <v>0</v>
          </cell>
          <cell r="H3946">
            <v>0</v>
          </cell>
          <cell r="I3946">
            <v>0</v>
          </cell>
          <cell r="J3946">
            <v>0</v>
          </cell>
        </row>
        <row r="3947">
          <cell r="A3947">
            <v>1815190213</v>
          </cell>
          <cell r="B3947" t="str">
            <v>אומ"ץ - מדריכים</v>
          </cell>
          <cell r="C3947">
            <v>180500</v>
          </cell>
          <cell r="D3947">
            <v>197424.06</v>
          </cell>
          <cell r="E3947">
            <v>0</v>
          </cell>
          <cell r="F3947">
            <v>197424.06</v>
          </cell>
          <cell r="G3947">
            <v>-16924.060000000001</v>
          </cell>
          <cell r="H3947">
            <v>109.37</v>
          </cell>
          <cell r="I3947">
            <v>190000</v>
          </cell>
          <cell r="J3947">
            <v>197424.06</v>
          </cell>
        </row>
        <row r="3948">
          <cell r="A3948">
            <v>1815190214</v>
          </cell>
          <cell r="B3948" t="str">
            <v>מהות</v>
          </cell>
          <cell r="C3948">
            <v>0</v>
          </cell>
          <cell r="D3948">
            <v>0</v>
          </cell>
          <cell r="E3948">
            <v>0</v>
          </cell>
          <cell r="F3948">
            <v>0</v>
          </cell>
          <cell r="G3948">
            <v>0</v>
          </cell>
          <cell r="H3948">
            <v>0</v>
          </cell>
          <cell r="I3948">
            <v>0</v>
          </cell>
          <cell r="J3948">
            <v>0</v>
          </cell>
        </row>
        <row r="3949">
          <cell r="A3949">
            <v>1815190215</v>
          </cell>
          <cell r="B3949" t="str">
            <v>יעד</v>
          </cell>
          <cell r="C3949">
            <v>0</v>
          </cell>
          <cell r="D3949">
            <v>0</v>
          </cell>
          <cell r="E3949">
            <v>0</v>
          </cell>
          <cell r="F3949">
            <v>0</v>
          </cell>
          <cell r="G3949">
            <v>0</v>
          </cell>
          <cell r="H3949">
            <v>0</v>
          </cell>
          <cell r="I3949">
            <v>0</v>
          </cell>
          <cell r="J3949">
            <v>0</v>
          </cell>
        </row>
        <row r="3950">
          <cell r="A3950">
            <v>1815190216</v>
          </cell>
          <cell r="B3950" t="str">
            <v>תפ"ן</v>
          </cell>
          <cell r="C3950">
            <v>0</v>
          </cell>
          <cell r="D3950">
            <v>0</v>
          </cell>
          <cell r="E3950">
            <v>0</v>
          </cell>
          <cell r="F3950">
            <v>0</v>
          </cell>
          <cell r="G3950">
            <v>0</v>
          </cell>
          <cell r="H3950">
            <v>0</v>
          </cell>
          <cell r="I3950">
            <v>0</v>
          </cell>
          <cell r="J3950">
            <v>0</v>
          </cell>
        </row>
        <row r="3951">
          <cell r="A3951">
            <v>1815190780</v>
          </cell>
          <cell r="B3951" t="str">
            <v>פעולות אומ"ץ</v>
          </cell>
          <cell r="C3951">
            <v>19000</v>
          </cell>
          <cell r="D3951">
            <v>18531</v>
          </cell>
          <cell r="E3951">
            <v>0</v>
          </cell>
          <cell r="F3951">
            <v>18531</v>
          </cell>
          <cell r="G3951">
            <v>469</v>
          </cell>
          <cell r="H3951">
            <v>97.53</v>
          </cell>
          <cell r="I3951">
            <v>20000</v>
          </cell>
          <cell r="J3951">
            <v>18531</v>
          </cell>
        </row>
        <row r="3952">
          <cell r="A3952">
            <v>1815190788</v>
          </cell>
          <cell r="B3952" t="str">
            <v>פרוייקטים</v>
          </cell>
          <cell r="C3952">
            <v>0</v>
          </cell>
          <cell r="D3952">
            <v>0</v>
          </cell>
          <cell r="E3952">
            <v>0</v>
          </cell>
          <cell r="F3952">
            <v>0</v>
          </cell>
          <cell r="G3952">
            <v>0</v>
          </cell>
          <cell r="H3952">
            <v>0</v>
          </cell>
          <cell r="I3952">
            <v>0</v>
          </cell>
          <cell r="J3952">
            <v>0</v>
          </cell>
        </row>
        <row r="3953">
          <cell r="A3953">
            <v>1815710110</v>
          </cell>
          <cell r="B3953" t="str">
            <v>השכר הקובע-תקציבית</v>
          </cell>
          <cell r="C3953">
            <v>0</v>
          </cell>
          <cell r="D3953">
            <v>0</v>
          </cell>
          <cell r="E3953">
            <v>0</v>
          </cell>
          <cell r="F3953">
            <v>0</v>
          </cell>
          <cell r="G3953">
            <v>0</v>
          </cell>
          <cell r="H3953">
            <v>0</v>
          </cell>
          <cell r="I3953">
            <v>0</v>
          </cell>
          <cell r="J3953">
            <v>0</v>
          </cell>
        </row>
        <row r="3954">
          <cell r="A3954">
            <v>1815710118</v>
          </cell>
          <cell r="B3954" t="str">
            <v>שכר עובדי הוראה</v>
          </cell>
          <cell r="C3954">
            <v>14340250</v>
          </cell>
          <cell r="D3954">
            <v>13793255.42</v>
          </cell>
          <cell r="E3954">
            <v>0</v>
          </cell>
          <cell r="F3954">
            <v>13793255.42</v>
          </cell>
          <cell r="G3954">
            <v>546994.57999999996</v>
          </cell>
          <cell r="H3954">
            <v>96.18</v>
          </cell>
          <cell r="I3954">
            <v>15095000</v>
          </cell>
          <cell r="J3954">
            <v>13793255.42</v>
          </cell>
        </row>
        <row r="3955">
          <cell r="A3955">
            <v>1815710119</v>
          </cell>
          <cell r="B3955" t="str">
            <v>השכר הקובע-צוברת</v>
          </cell>
          <cell r="C3955">
            <v>1283070</v>
          </cell>
          <cell r="D3955">
            <v>2131585.2799999998</v>
          </cell>
          <cell r="E3955">
            <v>0</v>
          </cell>
          <cell r="F3955">
            <v>2131585.2799999998</v>
          </cell>
          <cell r="G3955">
            <v>-848515.28</v>
          </cell>
          <cell r="H3955">
            <v>166.13</v>
          </cell>
          <cell r="I3955">
            <v>1350600</v>
          </cell>
          <cell r="J3955">
            <v>2131585.2799999998</v>
          </cell>
        </row>
        <row r="3956">
          <cell r="A3956">
            <v>1815710122</v>
          </cell>
          <cell r="B3956" t="str">
            <v>ביגוד</v>
          </cell>
          <cell r="C3956">
            <v>129200</v>
          </cell>
          <cell r="D3956">
            <v>143766.60999999999</v>
          </cell>
          <cell r="E3956">
            <v>0</v>
          </cell>
          <cell r="F3956">
            <v>143766.60999999999</v>
          </cell>
          <cell r="G3956">
            <v>-14566.61</v>
          </cell>
          <cell r="H3956">
            <v>111.27</v>
          </cell>
          <cell r="I3956">
            <v>136000</v>
          </cell>
          <cell r="J3956">
            <v>143766.60999999999</v>
          </cell>
        </row>
        <row r="3957">
          <cell r="A3957">
            <v>1815710126</v>
          </cell>
          <cell r="B3957" t="str">
            <v>דמי הבראה</v>
          </cell>
          <cell r="C3957">
            <v>235600</v>
          </cell>
          <cell r="D3957">
            <v>302875.15000000002</v>
          </cell>
          <cell r="E3957">
            <v>0</v>
          </cell>
          <cell r="F3957">
            <v>302875.15000000002</v>
          </cell>
          <cell r="G3957">
            <v>-67275.149999999994</v>
          </cell>
          <cell r="H3957">
            <v>128.55000000000001</v>
          </cell>
          <cell r="I3957">
            <v>248000</v>
          </cell>
          <cell r="J3957">
            <v>302875.15000000002</v>
          </cell>
        </row>
        <row r="3958">
          <cell r="A3958">
            <v>1815710130</v>
          </cell>
          <cell r="B3958" t="str">
            <v>שעות נוספות</v>
          </cell>
          <cell r="C3958">
            <v>12350</v>
          </cell>
          <cell r="D3958">
            <v>31354.1</v>
          </cell>
          <cell r="E3958">
            <v>0</v>
          </cell>
          <cell r="F3958">
            <v>31354.1</v>
          </cell>
          <cell r="G3958">
            <v>-19004.099999999999</v>
          </cell>
          <cell r="H3958">
            <v>253.87</v>
          </cell>
          <cell r="I3958">
            <v>13000</v>
          </cell>
          <cell r="J3958">
            <v>31354.1</v>
          </cell>
        </row>
        <row r="3959">
          <cell r="A3959">
            <v>1815710140</v>
          </cell>
          <cell r="B3959" t="str">
            <v>השתתפות באחזקת רכב</v>
          </cell>
          <cell r="C3959">
            <v>127300</v>
          </cell>
          <cell r="D3959">
            <v>192611.28</v>
          </cell>
          <cell r="E3959">
            <v>0</v>
          </cell>
          <cell r="F3959">
            <v>192611.28</v>
          </cell>
          <cell r="G3959">
            <v>-65311.28</v>
          </cell>
          <cell r="H3959">
            <v>151.30000000000001</v>
          </cell>
          <cell r="I3959">
            <v>134000</v>
          </cell>
          <cell r="J3959">
            <v>192611.28</v>
          </cell>
        </row>
        <row r="3960">
          <cell r="A3960">
            <v>1815710181</v>
          </cell>
          <cell r="B3960" t="str">
            <v>ק'השתל'מורים-מעביד</v>
          </cell>
          <cell r="C3960">
            <v>0</v>
          </cell>
          <cell r="D3960">
            <v>0</v>
          </cell>
          <cell r="E3960">
            <v>0</v>
          </cell>
          <cell r="F3960">
            <v>0</v>
          </cell>
          <cell r="G3960">
            <v>0</v>
          </cell>
          <cell r="H3960">
            <v>0</v>
          </cell>
          <cell r="I3960">
            <v>0</v>
          </cell>
          <cell r="J3960">
            <v>0</v>
          </cell>
        </row>
        <row r="3961">
          <cell r="A3961">
            <v>1815710210</v>
          </cell>
          <cell r="B3961" t="str">
            <v>השכר הקובע</v>
          </cell>
          <cell r="C3961">
            <v>0</v>
          </cell>
          <cell r="D3961">
            <v>0</v>
          </cell>
          <cell r="E3961">
            <v>0</v>
          </cell>
          <cell r="F3961">
            <v>0</v>
          </cell>
          <cell r="G3961">
            <v>0</v>
          </cell>
          <cell r="H3961">
            <v>0</v>
          </cell>
          <cell r="I3961">
            <v>0</v>
          </cell>
          <cell r="J3961">
            <v>0</v>
          </cell>
        </row>
        <row r="3962">
          <cell r="A3962">
            <v>1815710212</v>
          </cell>
          <cell r="B3962" t="str">
            <v>שעורי עזר לעולים</v>
          </cell>
          <cell r="C3962">
            <v>0</v>
          </cell>
          <cell r="D3962">
            <v>0.35</v>
          </cell>
          <cell r="E3962">
            <v>0</v>
          </cell>
          <cell r="F3962">
            <v>0.35</v>
          </cell>
          <cell r="G3962">
            <v>-0.35</v>
          </cell>
          <cell r="H3962">
            <v>0</v>
          </cell>
          <cell r="I3962">
            <v>0</v>
          </cell>
          <cell r="J3962">
            <v>0.35</v>
          </cell>
        </row>
        <row r="3963">
          <cell r="A3963">
            <v>1815710213</v>
          </cell>
          <cell r="B3963" t="str">
            <v>שעורי עזר לנכים</v>
          </cell>
          <cell r="C3963">
            <v>0</v>
          </cell>
          <cell r="D3963">
            <v>1157.3699999999999</v>
          </cell>
          <cell r="E3963">
            <v>0</v>
          </cell>
          <cell r="F3963">
            <v>1157.3699999999999</v>
          </cell>
          <cell r="G3963">
            <v>-1157.3699999999999</v>
          </cell>
          <cell r="H3963">
            <v>0</v>
          </cell>
          <cell r="I3963">
            <v>0</v>
          </cell>
          <cell r="J3963">
            <v>1157.3699999999999</v>
          </cell>
        </row>
        <row r="3964">
          <cell r="A3964">
            <v>1815710214</v>
          </cell>
          <cell r="B3964" t="str">
            <v>שעורי עזר לתלמידים</v>
          </cell>
          <cell r="C3964">
            <v>0</v>
          </cell>
          <cell r="D3964">
            <v>24068.799999999999</v>
          </cell>
          <cell r="E3964">
            <v>0</v>
          </cell>
          <cell r="F3964">
            <v>24068.799999999999</v>
          </cell>
          <cell r="G3964">
            <v>-24068.799999999999</v>
          </cell>
          <cell r="H3964">
            <v>0</v>
          </cell>
          <cell r="I3964">
            <v>0</v>
          </cell>
          <cell r="J3964">
            <v>24068.799999999999</v>
          </cell>
        </row>
        <row r="3965">
          <cell r="A3965">
            <v>1815710215</v>
          </cell>
          <cell r="B3965" t="str">
            <v>קייטנת קיץ בחטיבות ותיכוניים</v>
          </cell>
          <cell r="C3965">
            <v>0</v>
          </cell>
          <cell r="D3965">
            <v>0</v>
          </cell>
          <cell r="E3965">
            <v>0</v>
          </cell>
          <cell r="F3965">
            <v>0</v>
          </cell>
          <cell r="G3965">
            <v>0</v>
          </cell>
          <cell r="H3965">
            <v>0</v>
          </cell>
          <cell r="I3965">
            <v>0</v>
          </cell>
          <cell r="J3965">
            <v>0</v>
          </cell>
        </row>
        <row r="3966">
          <cell r="A3966">
            <v>1815710216</v>
          </cell>
          <cell r="B3966" t="str">
            <v>פרוייקט קשישים</v>
          </cell>
          <cell r="C3966">
            <v>9500</v>
          </cell>
          <cell r="D3966">
            <v>1772</v>
          </cell>
          <cell r="E3966">
            <v>0</v>
          </cell>
          <cell r="F3966">
            <v>1772</v>
          </cell>
          <cell r="G3966">
            <v>7728</v>
          </cell>
          <cell r="H3966">
            <v>18.649999999999999</v>
          </cell>
          <cell r="I3966">
            <v>10000</v>
          </cell>
          <cell r="J3966">
            <v>1772</v>
          </cell>
        </row>
        <row r="3967">
          <cell r="A3967">
            <v>1815710250</v>
          </cell>
          <cell r="B3967" t="str">
            <v>שעות השאלה</v>
          </cell>
          <cell r="C3967">
            <v>33630</v>
          </cell>
          <cell r="D3967">
            <v>0.06</v>
          </cell>
          <cell r="E3967">
            <v>0</v>
          </cell>
          <cell r="F3967">
            <v>0.06</v>
          </cell>
          <cell r="G3967">
            <v>33629.94</v>
          </cell>
          <cell r="H3967">
            <v>0</v>
          </cell>
          <cell r="I3967">
            <v>35400</v>
          </cell>
          <cell r="J3967">
            <v>0.06</v>
          </cell>
        </row>
        <row r="3968">
          <cell r="A3968">
            <v>1815710261</v>
          </cell>
          <cell r="B3968" t="str">
            <v>תכנית גי"א / מש"ב</v>
          </cell>
          <cell r="C3968">
            <v>0</v>
          </cell>
          <cell r="D3968">
            <v>0</v>
          </cell>
          <cell r="E3968">
            <v>0</v>
          </cell>
          <cell r="F3968">
            <v>0</v>
          </cell>
          <cell r="G3968">
            <v>0</v>
          </cell>
          <cell r="H3968">
            <v>0</v>
          </cell>
          <cell r="I3968">
            <v>0</v>
          </cell>
          <cell r="J3968">
            <v>0</v>
          </cell>
        </row>
        <row r="3969">
          <cell r="A3969">
            <v>1815710262</v>
          </cell>
          <cell r="B3969" t="str">
            <v>שעות שאילה - משה"ח</v>
          </cell>
          <cell r="C3969">
            <v>0</v>
          </cell>
          <cell r="D3969">
            <v>0</v>
          </cell>
          <cell r="E3969">
            <v>0</v>
          </cell>
          <cell r="F3969">
            <v>0</v>
          </cell>
          <cell r="G3969">
            <v>0</v>
          </cell>
          <cell r="H3969">
            <v>0</v>
          </cell>
          <cell r="I3969">
            <v>0</v>
          </cell>
          <cell r="J3969">
            <v>0</v>
          </cell>
        </row>
        <row r="3970">
          <cell r="A3970">
            <v>1815710263</v>
          </cell>
          <cell r="B3970" t="str">
            <v>עובדי מינהלה</v>
          </cell>
          <cell r="C3970">
            <v>0</v>
          </cell>
          <cell r="D3970">
            <v>0</v>
          </cell>
          <cell r="E3970">
            <v>0</v>
          </cell>
          <cell r="F3970">
            <v>0</v>
          </cell>
          <cell r="G3970">
            <v>0</v>
          </cell>
          <cell r="H3970">
            <v>0</v>
          </cell>
          <cell r="I3970">
            <v>0</v>
          </cell>
          <cell r="J3970">
            <v>0</v>
          </cell>
        </row>
        <row r="3971">
          <cell r="A3971">
            <v>1815710264</v>
          </cell>
          <cell r="B3971" t="str">
            <v>סייעות-מוסדות+חברה</v>
          </cell>
          <cell r="C3971">
            <v>0</v>
          </cell>
          <cell r="D3971">
            <v>0</v>
          </cell>
          <cell r="E3971">
            <v>0</v>
          </cell>
          <cell r="F3971">
            <v>0</v>
          </cell>
          <cell r="G3971">
            <v>0</v>
          </cell>
          <cell r="H3971">
            <v>0</v>
          </cell>
          <cell r="I3971">
            <v>0</v>
          </cell>
          <cell r="J3971">
            <v>0</v>
          </cell>
        </row>
        <row r="3972">
          <cell r="A3972">
            <v>1815710391</v>
          </cell>
          <cell r="B3972" t="str">
            <v>הפרשה לפנסיה</v>
          </cell>
          <cell r="C3972">
            <v>0</v>
          </cell>
          <cell r="D3972">
            <v>0</v>
          </cell>
          <cell r="E3972">
            <v>0</v>
          </cell>
          <cell r="F3972">
            <v>0</v>
          </cell>
          <cell r="G3972">
            <v>0</v>
          </cell>
          <cell r="H3972">
            <v>0</v>
          </cell>
          <cell r="I3972">
            <v>0</v>
          </cell>
          <cell r="J3972">
            <v>0</v>
          </cell>
        </row>
        <row r="3973">
          <cell r="A3973">
            <v>1815710420</v>
          </cell>
          <cell r="B3973" t="str">
            <v>כיבוי אש</v>
          </cell>
          <cell r="C3973">
            <v>10450</v>
          </cell>
          <cell r="D3973">
            <v>3136.81</v>
          </cell>
          <cell r="E3973">
            <v>0</v>
          </cell>
          <cell r="F3973">
            <v>3136.81</v>
          </cell>
          <cell r="G3973">
            <v>7313.19</v>
          </cell>
          <cell r="H3973">
            <v>30.01</v>
          </cell>
          <cell r="I3973">
            <v>11000</v>
          </cell>
          <cell r="J3973">
            <v>3136.81</v>
          </cell>
        </row>
        <row r="3974">
          <cell r="A3974">
            <v>1815710423</v>
          </cell>
          <cell r="B3974" t="str">
            <v>תחזוקת מבנה</v>
          </cell>
          <cell r="C3974">
            <v>0</v>
          </cell>
          <cell r="D3974">
            <v>0</v>
          </cell>
          <cell r="E3974">
            <v>0</v>
          </cell>
          <cell r="F3974">
            <v>0</v>
          </cell>
          <cell r="G3974">
            <v>0</v>
          </cell>
          <cell r="H3974">
            <v>0</v>
          </cell>
          <cell r="I3974">
            <v>0</v>
          </cell>
          <cell r="J3974">
            <v>0</v>
          </cell>
        </row>
        <row r="3975">
          <cell r="A3975">
            <v>1815710431</v>
          </cell>
          <cell r="B3975" t="str">
            <v>חשמל</v>
          </cell>
          <cell r="C3975">
            <v>135280</v>
          </cell>
          <cell r="D3975">
            <v>142400</v>
          </cell>
          <cell r="E3975">
            <v>0</v>
          </cell>
          <cell r="F3975">
            <v>142400</v>
          </cell>
          <cell r="G3975">
            <v>-7120</v>
          </cell>
          <cell r="H3975">
            <v>105.26</v>
          </cell>
          <cell r="I3975">
            <v>142400</v>
          </cell>
          <cell r="J3975">
            <v>142400</v>
          </cell>
        </row>
        <row r="3976">
          <cell r="A3976">
            <v>1815710432</v>
          </cell>
          <cell r="B3976" t="str">
            <v>מים</v>
          </cell>
          <cell r="C3976">
            <v>77995</v>
          </cell>
          <cell r="D3976">
            <v>73802</v>
          </cell>
          <cell r="E3976">
            <v>0</v>
          </cell>
          <cell r="F3976">
            <v>73802</v>
          </cell>
          <cell r="G3976">
            <v>4193</v>
          </cell>
          <cell r="H3976">
            <v>94.62</v>
          </cell>
          <cell r="I3976">
            <v>82100</v>
          </cell>
          <cell r="J3976">
            <v>73802</v>
          </cell>
        </row>
        <row r="3977">
          <cell r="A3977">
            <v>1815710433</v>
          </cell>
          <cell r="B3977" t="str">
            <v>חומרי נקיון</v>
          </cell>
          <cell r="C3977">
            <v>0</v>
          </cell>
          <cell r="D3977">
            <v>0</v>
          </cell>
          <cell r="E3977">
            <v>0</v>
          </cell>
          <cell r="F3977">
            <v>0</v>
          </cell>
          <cell r="G3977">
            <v>0</v>
          </cell>
          <cell r="H3977">
            <v>0</v>
          </cell>
          <cell r="I3977">
            <v>0</v>
          </cell>
          <cell r="J3977">
            <v>0</v>
          </cell>
        </row>
        <row r="3978">
          <cell r="A3978">
            <v>1815710434</v>
          </cell>
          <cell r="B3978" t="str">
            <v>חיטוי והדברה</v>
          </cell>
          <cell r="C3978">
            <v>0</v>
          </cell>
          <cell r="D3978">
            <v>0</v>
          </cell>
          <cell r="E3978">
            <v>0</v>
          </cell>
          <cell r="F3978">
            <v>0</v>
          </cell>
          <cell r="G3978">
            <v>0</v>
          </cell>
          <cell r="H3978">
            <v>0</v>
          </cell>
          <cell r="I3978">
            <v>0</v>
          </cell>
          <cell r="J3978">
            <v>0</v>
          </cell>
        </row>
        <row r="3979">
          <cell r="A3979">
            <v>1815710437</v>
          </cell>
          <cell r="B3979" t="str">
            <v>אחזקת אזעקה</v>
          </cell>
          <cell r="C3979">
            <v>2375</v>
          </cell>
          <cell r="D3979">
            <v>3591.38</v>
          </cell>
          <cell r="E3979">
            <v>0</v>
          </cell>
          <cell r="F3979">
            <v>3591.38</v>
          </cell>
          <cell r="G3979">
            <v>-1216.3800000000001</v>
          </cell>
          <cell r="H3979">
            <v>151.21</v>
          </cell>
          <cell r="I3979">
            <v>2500</v>
          </cell>
          <cell r="J3979">
            <v>3591.38</v>
          </cell>
        </row>
        <row r="3980">
          <cell r="A3980">
            <v>1815710441</v>
          </cell>
          <cell r="B3980" t="str">
            <v>ביטוח</v>
          </cell>
          <cell r="C3980">
            <v>0</v>
          </cell>
          <cell r="D3980">
            <v>0</v>
          </cell>
          <cell r="E3980">
            <v>0</v>
          </cell>
          <cell r="F3980">
            <v>0</v>
          </cell>
          <cell r="G3980">
            <v>0</v>
          </cell>
          <cell r="H3980">
            <v>0</v>
          </cell>
          <cell r="I3980">
            <v>0</v>
          </cell>
          <cell r="J3980">
            <v>0</v>
          </cell>
        </row>
        <row r="3981">
          <cell r="A3981">
            <v>1815710450</v>
          </cell>
          <cell r="B3981" t="str">
            <v>ריהוט ואחזקתו</v>
          </cell>
          <cell r="C3981">
            <v>12065</v>
          </cell>
          <cell r="D3981">
            <v>9561</v>
          </cell>
          <cell r="E3981">
            <v>0</v>
          </cell>
          <cell r="F3981">
            <v>9561</v>
          </cell>
          <cell r="G3981">
            <v>2504</v>
          </cell>
          <cell r="H3981">
            <v>79.239999999999995</v>
          </cell>
          <cell r="I3981">
            <v>12700</v>
          </cell>
          <cell r="J3981">
            <v>9561</v>
          </cell>
        </row>
        <row r="3982">
          <cell r="A3982">
            <v>1815710451</v>
          </cell>
          <cell r="B3982" t="str">
            <v>הוצאות גפ"ן בית ספרי</v>
          </cell>
          <cell r="C3982">
            <v>0</v>
          </cell>
          <cell r="D3982">
            <v>0</v>
          </cell>
          <cell r="E3982">
            <v>0</v>
          </cell>
          <cell r="F3982">
            <v>0</v>
          </cell>
          <cell r="G3982">
            <v>0</v>
          </cell>
          <cell r="H3982">
            <v>0</v>
          </cell>
          <cell r="I3982">
            <v>0</v>
          </cell>
          <cell r="J3982">
            <v>0</v>
          </cell>
        </row>
        <row r="3983">
          <cell r="A3983">
            <v>1815710452</v>
          </cell>
          <cell r="B3983" t="str">
            <v>השתתפות עירונית בגפ"ן</v>
          </cell>
          <cell r="C3983">
            <v>0</v>
          </cell>
          <cell r="D3983">
            <v>0</v>
          </cell>
          <cell r="E3983">
            <v>0</v>
          </cell>
          <cell r="F3983">
            <v>0</v>
          </cell>
          <cell r="G3983">
            <v>0</v>
          </cell>
          <cell r="H3983">
            <v>0</v>
          </cell>
          <cell r="I3983">
            <v>0</v>
          </cell>
          <cell r="J3983">
            <v>0</v>
          </cell>
        </row>
        <row r="3984">
          <cell r="A3984">
            <v>1815710470</v>
          </cell>
          <cell r="B3984" t="str">
            <v>אחזקת מכונות משרד</v>
          </cell>
          <cell r="C3984">
            <v>0</v>
          </cell>
          <cell r="D3984">
            <v>0</v>
          </cell>
          <cell r="E3984">
            <v>0</v>
          </cell>
          <cell r="F3984">
            <v>0</v>
          </cell>
          <cell r="G3984">
            <v>0</v>
          </cell>
          <cell r="H3984">
            <v>0</v>
          </cell>
          <cell r="I3984">
            <v>0</v>
          </cell>
          <cell r="J3984">
            <v>0</v>
          </cell>
        </row>
        <row r="3985">
          <cell r="A3985">
            <v>1815710471</v>
          </cell>
          <cell r="B3985" t="str">
            <v>מכשירי כתיבה</v>
          </cell>
          <cell r="C3985">
            <v>0</v>
          </cell>
          <cell r="D3985">
            <v>0</v>
          </cell>
          <cell r="E3985">
            <v>0</v>
          </cell>
          <cell r="F3985">
            <v>0</v>
          </cell>
          <cell r="G3985">
            <v>0</v>
          </cell>
          <cell r="H3985">
            <v>0</v>
          </cell>
          <cell r="I3985">
            <v>0</v>
          </cell>
          <cell r="J3985">
            <v>0</v>
          </cell>
        </row>
        <row r="3986">
          <cell r="A3986">
            <v>1815710511</v>
          </cell>
          <cell r="B3986" t="str">
            <v>אירוח וכיבוד</v>
          </cell>
          <cell r="C3986">
            <v>11115</v>
          </cell>
          <cell r="D3986">
            <v>13759.4</v>
          </cell>
          <cell r="E3986">
            <v>0</v>
          </cell>
          <cell r="F3986">
            <v>13759.4</v>
          </cell>
          <cell r="G3986">
            <v>-2644.4</v>
          </cell>
          <cell r="H3986">
            <v>123.79</v>
          </cell>
          <cell r="I3986">
            <v>11700</v>
          </cell>
          <cell r="J3986">
            <v>13759.4</v>
          </cell>
        </row>
        <row r="3987">
          <cell r="A3987">
            <v>1815710512</v>
          </cell>
          <cell r="B3987" t="str">
            <v>נסיעות ואש"ל</v>
          </cell>
          <cell r="C3987">
            <v>0</v>
          </cell>
          <cell r="D3987">
            <v>0</v>
          </cell>
          <cell r="E3987">
            <v>0</v>
          </cell>
          <cell r="F3987">
            <v>0</v>
          </cell>
          <cell r="G3987">
            <v>0</v>
          </cell>
          <cell r="H3987">
            <v>0</v>
          </cell>
          <cell r="I3987">
            <v>0</v>
          </cell>
          <cell r="J3987">
            <v>0</v>
          </cell>
        </row>
        <row r="3988">
          <cell r="A3988">
            <v>1815710517</v>
          </cell>
          <cell r="B3988" t="str">
            <v>מסיבות מפקדים ושי</v>
          </cell>
          <cell r="C3988">
            <v>0</v>
          </cell>
          <cell r="D3988">
            <v>0</v>
          </cell>
          <cell r="E3988">
            <v>0</v>
          </cell>
          <cell r="F3988">
            <v>0</v>
          </cell>
          <cell r="G3988">
            <v>0</v>
          </cell>
          <cell r="H3988">
            <v>0</v>
          </cell>
          <cell r="I3988">
            <v>0</v>
          </cell>
          <cell r="J3988">
            <v>0</v>
          </cell>
        </row>
        <row r="3989">
          <cell r="A3989">
            <v>1815710522</v>
          </cell>
          <cell r="B3989" t="str">
            <v>ספרים ועיתונים</v>
          </cell>
          <cell r="C3989">
            <v>0</v>
          </cell>
          <cell r="D3989">
            <v>0</v>
          </cell>
          <cell r="E3989">
            <v>0</v>
          </cell>
          <cell r="F3989">
            <v>0</v>
          </cell>
          <cell r="G3989">
            <v>0</v>
          </cell>
          <cell r="H3989">
            <v>0</v>
          </cell>
          <cell r="I3989">
            <v>0</v>
          </cell>
          <cell r="J3989">
            <v>0</v>
          </cell>
        </row>
        <row r="3990">
          <cell r="A3990">
            <v>1815710530</v>
          </cell>
          <cell r="B3990" t="str">
            <v>אופניים לעובדים</v>
          </cell>
          <cell r="C3990">
            <v>0</v>
          </cell>
          <cell r="D3990">
            <v>0</v>
          </cell>
          <cell r="E3990">
            <v>0</v>
          </cell>
          <cell r="F3990">
            <v>0</v>
          </cell>
          <cell r="G3990">
            <v>0</v>
          </cell>
          <cell r="H3990">
            <v>0</v>
          </cell>
          <cell r="I3990">
            <v>0</v>
          </cell>
          <cell r="J3990">
            <v>0</v>
          </cell>
        </row>
        <row r="3991">
          <cell r="A3991">
            <v>1815710540</v>
          </cell>
          <cell r="B3991" t="str">
            <v>הוצאות טלפון</v>
          </cell>
          <cell r="C3991">
            <v>0</v>
          </cell>
          <cell r="D3991">
            <v>0</v>
          </cell>
          <cell r="E3991">
            <v>0</v>
          </cell>
          <cell r="F3991">
            <v>0</v>
          </cell>
          <cell r="G3991">
            <v>0</v>
          </cell>
          <cell r="H3991">
            <v>0</v>
          </cell>
          <cell r="I3991">
            <v>0</v>
          </cell>
          <cell r="J3991">
            <v>0</v>
          </cell>
        </row>
        <row r="3992">
          <cell r="A3992">
            <v>1815710544</v>
          </cell>
          <cell r="B3992" t="str">
            <v>הוצאות דאר</v>
          </cell>
          <cell r="C3992">
            <v>0</v>
          </cell>
          <cell r="D3992">
            <v>0</v>
          </cell>
          <cell r="E3992">
            <v>0</v>
          </cell>
          <cell r="F3992">
            <v>0</v>
          </cell>
          <cell r="G3992">
            <v>0</v>
          </cell>
          <cell r="H3992">
            <v>0</v>
          </cell>
          <cell r="I3992">
            <v>0</v>
          </cell>
          <cell r="J3992">
            <v>0</v>
          </cell>
        </row>
        <row r="3993">
          <cell r="A3993">
            <v>1815710562</v>
          </cell>
          <cell r="B3993" t="str">
            <v>הדפסות</v>
          </cell>
          <cell r="C3993">
            <v>0</v>
          </cell>
          <cell r="D3993">
            <v>0</v>
          </cell>
          <cell r="E3993">
            <v>0</v>
          </cell>
          <cell r="F3993">
            <v>0</v>
          </cell>
          <cell r="G3993">
            <v>0</v>
          </cell>
          <cell r="H3993">
            <v>0</v>
          </cell>
          <cell r="I3993">
            <v>0</v>
          </cell>
          <cell r="J3993">
            <v>0</v>
          </cell>
        </row>
        <row r="3994">
          <cell r="A3994">
            <v>1815710583</v>
          </cell>
          <cell r="B3994" t="str">
            <v>שרות רפואי</v>
          </cell>
          <cell r="C3994">
            <v>0</v>
          </cell>
          <cell r="D3994">
            <v>0</v>
          </cell>
          <cell r="E3994">
            <v>0</v>
          </cell>
          <cell r="F3994">
            <v>0</v>
          </cell>
          <cell r="G3994">
            <v>0</v>
          </cell>
          <cell r="H3994">
            <v>0</v>
          </cell>
          <cell r="I3994">
            <v>0</v>
          </cell>
          <cell r="J3994">
            <v>0</v>
          </cell>
        </row>
        <row r="3995">
          <cell r="A3995">
            <v>1815710585</v>
          </cell>
          <cell r="B3995" t="str">
            <v>שרות אחות</v>
          </cell>
          <cell r="C3995">
            <v>0</v>
          </cell>
          <cell r="D3995">
            <v>0</v>
          </cell>
          <cell r="E3995">
            <v>0</v>
          </cell>
          <cell r="F3995">
            <v>0</v>
          </cell>
          <cell r="G3995">
            <v>0</v>
          </cell>
          <cell r="H3995">
            <v>0</v>
          </cell>
          <cell r="I3995">
            <v>0</v>
          </cell>
          <cell r="J3995">
            <v>0</v>
          </cell>
        </row>
        <row r="3996">
          <cell r="A3996">
            <v>1815710721</v>
          </cell>
          <cell r="B3996" t="str">
            <v>חמרים-תחזוקת מבנים</v>
          </cell>
          <cell r="C3996">
            <v>0</v>
          </cell>
          <cell r="D3996">
            <v>0</v>
          </cell>
          <cell r="E3996">
            <v>0</v>
          </cell>
          <cell r="F3996">
            <v>0</v>
          </cell>
          <cell r="G3996">
            <v>0</v>
          </cell>
          <cell r="H3996">
            <v>0</v>
          </cell>
          <cell r="I3996">
            <v>0</v>
          </cell>
          <cell r="J3996">
            <v>0</v>
          </cell>
        </row>
        <row r="3997">
          <cell r="A3997">
            <v>1815710722</v>
          </cell>
          <cell r="B3997" t="str">
            <v>חמרים-תחזוקה עצמית</v>
          </cell>
          <cell r="C3997">
            <v>0</v>
          </cell>
          <cell r="D3997">
            <v>0</v>
          </cell>
          <cell r="E3997">
            <v>0</v>
          </cell>
          <cell r="F3997">
            <v>0</v>
          </cell>
          <cell r="G3997">
            <v>0</v>
          </cell>
          <cell r="H3997">
            <v>0</v>
          </cell>
          <cell r="I3997">
            <v>0</v>
          </cell>
          <cell r="J3997">
            <v>0</v>
          </cell>
        </row>
        <row r="3998">
          <cell r="A3998">
            <v>1815710724</v>
          </cell>
          <cell r="B3998" t="str">
            <v>ציוד למגמות</v>
          </cell>
          <cell r="C3998">
            <v>0</v>
          </cell>
          <cell r="D3998">
            <v>0</v>
          </cell>
          <cell r="E3998">
            <v>0</v>
          </cell>
          <cell r="F3998">
            <v>0</v>
          </cell>
          <cell r="G3998">
            <v>0</v>
          </cell>
          <cell r="H3998">
            <v>0</v>
          </cell>
          <cell r="I3998">
            <v>0</v>
          </cell>
          <cell r="J3998">
            <v>0</v>
          </cell>
        </row>
        <row r="3999">
          <cell r="A3999">
            <v>1815710742</v>
          </cell>
          <cell r="B3999" t="str">
            <v>כלים וציוד</v>
          </cell>
          <cell r="C3999">
            <v>57000</v>
          </cell>
          <cell r="D3999">
            <v>61143</v>
          </cell>
          <cell r="E3999">
            <v>0</v>
          </cell>
          <cell r="F3999">
            <v>61143</v>
          </cell>
          <cell r="G3999">
            <v>-4143</v>
          </cell>
          <cell r="H3999">
            <v>107.26</v>
          </cell>
          <cell r="I3999">
            <v>60000</v>
          </cell>
          <cell r="J3999">
            <v>61143</v>
          </cell>
        </row>
        <row r="4000">
          <cell r="A4000">
            <v>1815710745</v>
          </cell>
          <cell r="B4000" t="str">
            <v>דמי פריצה - תכולה</v>
          </cell>
          <cell r="C4000">
            <v>0</v>
          </cell>
          <cell r="D4000">
            <v>0</v>
          </cell>
          <cell r="E4000">
            <v>0</v>
          </cell>
          <cell r="F4000">
            <v>0</v>
          </cell>
          <cell r="G4000">
            <v>0</v>
          </cell>
          <cell r="H4000">
            <v>0</v>
          </cell>
          <cell r="I4000">
            <v>0</v>
          </cell>
          <cell r="J4000">
            <v>0</v>
          </cell>
        </row>
        <row r="4001">
          <cell r="A4001">
            <v>1815710746</v>
          </cell>
          <cell r="B4001" t="str">
            <v>דמי פריצה - מבנה</v>
          </cell>
          <cell r="C4001">
            <v>0</v>
          </cell>
          <cell r="D4001">
            <v>0</v>
          </cell>
          <cell r="E4001">
            <v>0</v>
          </cell>
          <cell r="F4001">
            <v>0</v>
          </cell>
          <cell r="G4001">
            <v>0</v>
          </cell>
          <cell r="H4001">
            <v>0</v>
          </cell>
          <cell r="I4001">
            <v>0</v>
          </cell>
          <cell r="J4001">
            <v>0</v>
          </cell>
        </row>
        <row r="4002">
          <cell r="A4002">
            <v>1815710750</v>
          </cell>
          <cell r="B4002" t="str">
            <v>אחזקת מוסדות</v>
          </cell>
          <cell r="C4002">
            <v>457520</v>
          </cell>
          <cell r="D4002">
            <v>481600</v>
          </cell>
          <cell r="E4002">
            <v>0</v>
          </cell>
          <cell r="F4002">
            <v>481600</v>
          </cell>
          <cell r="G4002">
            <v>-24080</v>
          </cell>
          <cell r="H4002">
            <v>105.26</v>
          </cell>
          <cell r="I4002">
            <v>481600</v>
          </cell>
          <cell r="J4002">
            <v>481600</v>
          </cell>
        </row>
        <row r="4003">
          <cell r="A4003">
            <v>1815710751</v>
          </cell>
          <cell r="B4003" t="str">
            <v>עבודות קבלניות</v>
          </cell>
          <cell r="C4003">
            <v>0</v>
          </cell>
          <cell r="D4003">
            <v>0</v>
          </cell>
          <cell r="E4003">
            <v>0</v>
          </cell>
          <cell r="F4003">
            <v>0</v>
          </cell>
          <cell r="G4003">
            <v>0</v>
          </cell>
          <cell r="H4003">
            <v>0</v>
          </cell>
          <cell r="I4003">
            <v>0</v>
          </cell>
          <cell r="J4003">
            <v>0</v>
          </cell>
        </row>
        <row r="4004">
          <cell r="A4004">
            <v>1815710752</v>
          </cell>
          <cell r="B4004" t="str">
            <v>נקיון בקבלנות</v>
          </cell>
          <cell r="C4004">
            <v>778240</v>
          </cell>
          <cell r="D4004">
            <v>819199.8</v>
          </cell>
          <cell r="E4004">
            <v>0</v>
          </cell>
          <cell r="F4004">
            <v>819199.8</v>
          </cell>
          <cell r="G4004">
            <v>-40959.800000000003</v>
          </cell>
          <cell r="H4004">
            <v>105.26</v>
          </cell>
          <cell r="I4004">
            <v>819200</v>
          </cell>
          <cell r="J4004">
            <v>819199.8</v>
          </cell>
        </row>
        <row r="4005">
          <cell r="A4005">
            <v>1815710753</v>
          </cell>
          <cell r="B4005" t="str">
            <v>עובדים חיצוניים</v>
          </cell>
          <cell r="C4005">
            <v>0</v>
          </cell>
          <cell r="D4005">
            <v>0</v>
          </cell>
          <cell r="E4005">
            <v>0</v>
          </cell>
          <cell r="F4005">
            <v>0</v>
          </cell>
          <cell r="G4005">
            <v>0</v>
          </cell>
          <cell r="H4005">
            <v>0</v>
          </cell>
          <cell r="I4005">
            <v>0</v>
          </cell>
          <cell r="J4005">
            <v>0</v>
          </cell>
        </row>
        <row r="4006">
          <cell r="A4006">
            <v>1815710755</v>
          </cell>
          <cell r="B4006" t="str">
            <v>אחות</v>
          </cell>
          <cell r="C4006">
            <v>0</v>
          </cell>
          <cell r="D4006">
            <v>0</v>
          </cell>
          <cell r="E4006">
            <v>0</v>
          </cell>
          <cell r="F4006">
            <v>0</v>
          </cell>
          <cell r="G4006">
            <v>0</v>
          </cell>
          <cell r="H4006">
            <v>0</v>
          </cell>
          <cell r="I4006">
            <v>0</v>
          </cell>
          <cell r="J4006">
            <v>0</v>
          </cell>
        </row>
        <row r="4007">
          <cell r="A4007">
            <v>1815710759</v>
          </cell>
          <cell r="B4007" t="str">
            <v>שרותי סייעות</v>
          </cell>
          <cell r="C4007">
            <v>340100</v>
          </cell>
          <cell r="D4007">
            <v>343122.02</v>
          </cell>
          <cell r="E4007">
            <v>0</v>
          </cell>
          <cell r="F4007">
            <v>343122.02</v>
          </cell>
          <cell r="G4007">
            <v>-3022.02</v>
          </cell>
          <cell r="H4007">
            <v>100.88</v>
          </cell>
          <cell r="I4007">
            <v>358000</v>
          </cell>
          <cell r="J4007">
            <v>343122.02</v>
          </cell>
        </row>
        <row r="4008">
          <cell r="A4008">
            <v>1815710761</v>
          </cell>
          <cell r="B4008" t="str">
            <v>שע' השאלה-מ' חינוך</v>
          </cell>
          <cell r="C4008">
            <v>0</v>
          </cell>
          <cell r="D4008">
            <v>0</v>
          </cell>
          <cell r="E4008">
            <v>0</v>
          </cell>
          <cell r="F4008">
            <v>0</v>
          </cell>
          <cell r="G4008">
            <v>0</v>
          </cell>
          <cell r="H4008">
            <v>0</v>
          </cell>
          <cell r="I4008">
            <v>0</v>
          </cell>
          <cell r="J4008">
            <v>0</v>
          </cell>
        </row>
        <row r="4009">
          <cell r="A4009">
            <v>1815710762</v>
          </cell>
          <cell r="B4009" t="str">
            <v>שע' שאילה-מ' חינוך</v>
          </cell>
          <cell r="C4009">
            <v>1553915</v>
          </cell>
          <cell r="D4009">
            <v>1985980.48</v>
          </cell>
          <cell r="E4009">
            <v>0</v>
          </cell>
          <cell r="F4009">
            <v>1985980.48</v>
          </cell>
          <cell r="G4009">
            <v>-432065.48</v>
          </cell>
          <cell r="H4009">
            <v>127.8</v>
          </cell>
          <cell r="I4009">
            <v>1635700</v>
          </cell>
          <cell r="J4009">
            <v>1985980.48</v>
          </cell>
        </row>
        <row r="4010">
          <cell r="A4010">
            <v>1815710763</v>
          </cell>
          <cell r="B4010" t="str">
            <v>עובדי מינהלה</v>
          </cell>
          <cell r="C4010">
            <v>0</v>
          </cell>
          <cell r="D4010">
            <v>0</v>
          </cell>
          <cell r="E4010">
            <v>0</v>
          </cell>
          <cell r="F4010">
            <v>0</v>
          </cell>
          <cell r="G4010">
            <v>0</v>
          </cell>
          <cell r="H4010">
            <v>0</v>
          </cell>
          <cell r="I4010">
            <v>0</v>
          </cell>
          <cell r="J4010">
            <v>0</v>
          </cell>
        </row>
        <row r="4011">
          <cell r="A4011">
            <v>1815710764</v>
          </cell>
          <cell r="B4011" t="str">
            <v>סייעות-מוסדות+חברה</v>
          </cell>
          <cell r="C4011">
            <v>0</v>
          </cell>
          <cell r="D4011">
            <v>0</v>
          </cell>
          <cell r="E4011">
            <v>0</v>
          </cell>
          <cell r="F4011">
            <v>0</v>
          </cell>
          <cell r="G4011">
            <v>0</v>
          </cell>
          <cell r="H4011">
            <v>0</v>
          </cell>
          <cell r="I4011">
            <v>0</v>
          </cell>
          <cell r="J4011">
            <v>0</v>
          </cell>
        </row>
        <row r="4012">
          <cell r="A4012">
            <v>1815710765</v>
          </cell>
          <cell r="B4012" t="str">
            <v>רכז חברתי - חט"ב</v>
          </cell>
          <cell r="C4012">
            <v>0</v>
          </cell>
          <cell r="D4012">
            <v>0</v>
          </cell>
          <cell r="E4012">
            <v>0</v>
          </cell>
          <cell r="F4012">
            <v>0</v>
          </cell>
          <cell r="G4012">
            <v>0</v>
          </cell>
          <cell r="H4012">
            <v>0</v>
          </cell>
          <cell r="I4012">
            <v>0</v>
          </cell>
          <cell r="J4012">
            <v>0</v>
          </cell>
        </row>
        <row r="4013">
          <cell r="A4013">
            <v>1815710780</v>
          </cell>
          <cell r="B4013" t="str">
            <v>חינוך חברתי</v>
          </cell>
          <cell r="C4013">
            <v>16150</v>
          </cell>
          <cell r="D4013">
            <v>17180</v>
          </cell>
          <cell r="E4013">
            <v>0</v>
          </cell>
          <cell r="F4013">
            <v>17180</v>
          </cell>
          <cell r="G4013">
            <v>-1030</v>
          </cell>
          <cell r="H4013">
            <v>106.37</v>
          </cell>
          <cell r="I4013">
            <v>17000</v>
          </cell>
          <cell r="J4013">
            <v>17180</v>
          </cell>
        </row>
        <row r="4014">
          <cell r="A4014">
            <v>1815710781</v>
          </cell>
          <cell r="B4014" t="str">
            <v>אחזקת מכשירים</v>
          </cell>
          <cell r="C4014">
            <v>0</v>
          </cell>
          <cell r="D4014">
            <v>0</v>
          </cell>
          <cell r="E4014">
            <v>0</v>
          </cell>
          <cell r="F4014">
            <v>0</v>
          </cell>
          <cell r="G4014">
            <v>0</v>
          </cell>
          <cell r="H4014">
            <v>0</v>
          </cell>
          <cell r="I4014">
            <v>0</v>
          </cell>
          <cell r="J4014">
            <v>0</v>
          </cell>
        </row>
        <row r="4015">
          <cell r="A4015">
            <v>1815710794</v>
          </cell>
          <cell r="B4015" t="str">
            <v>השתתפות בעזר 094</v>
          </cell>
          <cell r="C4015">
            <v>15865</v>
          </cell>
          <cell r="D4015">
            <v>19920</v>
          </cell>
          <cell r="E4015">
            <v>0</v>
          </cell>
          <cell r="F4015">
            <v>19920</v>
          </cell>
          <cell r="G4015">
            <v>-4055</v>
          </cell>
          <cell r="H4015">
            <v>125.55</v>
          </cell>
          <cell r="I4015">
            <v>16700</v>
          </cell>
          <cell r="J4015">
            <v>19920</v>
          </cell>
        </row>
        <row r="4016">
          <cell r="A4016">
            <v>1815710810</v>
          </cell>
          <cell r="B4016" t="str">
            <v>הקצבה לניהול עצמי</v>
          </cell>
          <cell r="C4016">
            <v>135280</v>
          </cell>
          <cell r="D4016">
            <v>0</v>
          </cell>
          <cell r="E4016">
            <v>0</v>
          </cell>
          <cell r="F4016">
            <v>0</v>
          </cell>
          <cell r="G4016">
            <v>135280</v>
          </cell>
          <cell r="H4016">
            <v>0</v>
          </cell>
          <cell r="I4016">
            <v>142400</v>
          </cell>
          <cell r="J4016">
            <v>0</v>
          </cell>
        </row>
        <row r="4017">
          <cell r="A4017">
            <v>1815710812</v>
          </cell>
          <cell r="B4017" t="str">
            <v>מסיבות כיתתיות</v>
          </cell>
          <cell r="C4017">
            <v>21850</v>
          </cell>
          <cell r="D4017">
            <v>24442</v>
          </cell>
          <cell r="E4017">
            <v>0</v>
          </cell>
          <cell r="F4017">
            <v>24442</v>
          </cell>
          <cell r="G4017">
            <v>-2592</v>
          </cell>
          <cell r="H4017">
            <v>111.86</v>
          </cell>
          <cell r="I4017">
            <v>23000</v>
          </cell>
          <cell r="J4017">
            <v>24442</v>
          </cell>
        </row>
        <row r="4018">
          <cell r="A4018">
            <v>1815710816</v>
          </cell>
          <cell r="B4018" t="str">
            <v>חט"ב-הכלה והשתלבות</v>
          </cell>
          <cell r="C4018">
            <v>0</v>
          </cell>
          <cell r="D4018">
            <v>0</v>
          </cell>
          <cell r="E4018">
            <v>0</v>
          </cell>
          <cell r="F4018">
            <v>0</v>
          </cell>
          <cell r="G4018">
            <v>0</v>
          </cell>
          <cell r="H4018">
            <v>0</v>
          </cell>
          <cell r="I4018">
            <v>0</v>
          </cell>
          <cell r="J4018">
            <v>0</v>
          </cell>
        </row>
        <row r="4019">
          <cell r="A4019">
            <v>1815710838</v>
          </cell>
          <cell r="B4019" t="str">
            <v>העברה כנגד הכנסות מש' החינוך</v>
          </cell>
          <cell r="C4019">
            <v>0</v>
          </cell>
          <cell r="D4019">
            <v>0</v>
          </cell>
          <cell r="E4019">
            <v>0</v>
          </cell>
          <cell r="F4019">
            <v>0</v>
          </cell>
          <cell r="G4019">
            <v>0</v>
          </cell>
          <cell r="H4019">
            <v>0</v>
          </cell>
          <cell r="I4019">
            <v>0</v>
          </cell>
          <cell r="J4019">
            <v>0</v>
          </cell>
        </row>
        <row r="4020">
          <cell r="A4020">
            <v>1815710953</v>
          </cell>
          <cell r="B4020" t="str">
            <v>מערכת גפ"ן</v>
          </cell>
          <cell r="C4020">
            <v>1368000</v>
          </cell>
          <cell r="D4020">
            <v>1441946.99</v>
          </cell>
          <cell r="E4020">
            <v>0</v>
          </cell>
          <cell r="F4020">
            <v>1441946.99</v>
          </cell>
          <cell r="G4020">
            <v>-73946.990000000005</v>
          </cell>
          <cell r="H4020">
            <v>105.4</v>
          </cell>
          <cell r="I4020">
            <v>1440000</v>
          </cell>
          <cell r="J4020">
            <v>1441946.99</v>
          </cell>
        </row>
        <row r="4021">
          <cell r="A4021">
            <v>1815710989</v>
          </cell>
          <cell r="B4021" t="str">
            <v>תקורה</v>
          </cell>
          <cell r="C4021">
            <v>1208115</v>
          </cell>
          <cell r="D4021">
            <v>1258860</v>
          </cell>
          <cell r="E4021">
            <v>0</v>
          </cell>
          <cell r="F4021">
            <v>1258860</v>
          </cell>
          <cell r="G4021">
            <v>-50745</v>
          </cell>
          <cell r="H4021">
            <v>104.2</v>
          </cell>
          <cell r="I4021">
            <v>1271700</v>
          </cell>
          <cell r="J4021">
            <v>1258860</v>
          </cell>
        </row>
        <row r="4022">
          <cell r="A4022">
            <v>1815720110</v>
          </cell>
          <cell r="B4022" t="str">
            <v>השכר הקובע-תקציבית</v>
          </cell>
          <cell r="C4022">
            <v>140695</v>
          </cell>
          <cell r="D4022">
            <v>225786.84</v>
          </cell>
          <cell r="E4022">
            <v>0</v>
          </cell>
          <cell r="F4022">
            <v>225786.84</v>
          </cell>
          <cell r="G4022">
            <v>-85091.839999999997</v>
          </cell>
          <cell r="H4022">
            <v>160.47</v>
          </cell>
          <cell r="I4022">
            <v>148100</v>
          </cell>
          <cell r="J4022">
            <v>225786.84</v>
          </cell>
        </row>
        <row r="4023">
          <cell r="A4023">
            <v>1815720118</v>
          </cell>
          <cell r="B4023" t="str">
            <v>שכר עובדי הוראה</v>
          </cell>
          <cell r="C4023">
            <v>16152945</v>
          </cell>
          <cell r="D4023">
            <v>18985574.309999999</v>
          </cell>
          <cell r="E4023">
            <v>0</v>
          </cell>
          <cell r="F4023">
            <v>18985574.309999999</v>
          </cell>
          <cell r="G4023">
            <v>-2832629.31</v>
          </cell>
          <cell r="H4023">
            <v>117.53</v>
          </cell>
          <cell r="I4023">
            <v>17003100</v>
          </cell>
          <cell r="J4023">
            <v>18985574.309999999</v>
          </cell>
        </row>
        <row r="4024">
          <cell r="A4024">
            <v>1815720119</v>
          </cell>
          <cell r="B4024" t="str">
            <v>השכר הקובע-צוברת</v>
          </cell>
          <cell r="C4024">
            <v>1528000</v>
          </cell>
          <cell r="D4024">
            <v>1655198.78</v>
          </cell>
          <cell r="E4024">
            <v>42386.84</v>
          </cell>
          <cell r="F4024">
            <v>1697585.62</v>
          </cell>
          <cell r="G4024">
            <v>-169585.62</v>
          </cell>
          <cell r="H4024">
            <v>111.09</v>
          </cell>
          <cell r="I4024">
            <v>1528000</v>
          </cell>
          <cell r="J4024">
            <v>1655198.78</v>
          </cell>
        </row>
        <row r="4025">
          <cell r="A4025">
            <v>1815720122</v>
          </cell>
          <cell r="B4025" t="str">
            <v>ביגוד</v>
          </cell>
          <cell r="C4025">
            <v>148960</v>
          </cell>
          <cell r="D4025">
            <v>168281.08</v>
          </cell>
          <cell r="E4025">
            <v>0</v>
          </cell>
          <cell r="F4025">
            <v>168281.08</v>
          </cell>
          <cell r="G4025">
            <v>-19321.080000000002</v>
          </cell>
          <cell r="H4025">
            <v>112.97</v>
          </cell>
          <cell r="I4025">
            <v>156800</v>
          </cell>
          <cell r="J4025">
            <v>168281.08</v>
          </cell>
        </row>
        <row r="4026">
          <cell r="A4026">
            <v>1815720126</v>
          </cell>
          <cell r="B4026" t="str">
            <v>דמי הבראה</v>
          </cell>
          <cell r="C4026">
            <v>328700</v>
          </cell>
          <cell r="D4026">
            <v>376162.97</v>
          </cell>
          <cell r="E4026">
            <v>0</v>
          </cell>
          <cell r="F4026">
            <v>376162.97</v>
          </cell>
          <cell r="G4026">
            <v>-47462.97</v>
          </cell>
          <cell r="H4026">
            <v>114.43</v>
          </cell>
          <cell r="I4026">
            <v>346000</v>
          </cell>
          <cell r="J4026">
            <v>376162.97</v>
          </cell>
        </row>
        <row r="4027">
          <cell r="A4027">
            <v>1815720130</v>
          </cell>
          <cell r="B4027" t="str">
            <v>שעות נוספות</v>
          </cell>
          <cell r="C4027">
            <v>10450</v>
          </cell>
          <cell r="D4027">
            <v>14928.98</v>
          </cell>
          <cell r="E4027">
            <v>0</v>
          </cell>
          <cell r="F4027">
            <v>14928.98</v>
          </cell>
          <cell r="G4027">
            <v>-4478.9799999999996</v>
          </cell>
          <cell r="H4027">
            <v>142.86000000000001</v>
          </cell>
          <cell r="I4027">
            <v>11000</v>
          </cell>
          <cell r="J4027">
            <v>14928.98</v>
          </cell>
        </row>
        <row r="4028">
          <cell r="A4028">
            <v>1815720140</v>
          </cell>
          <cell r="B4028" t="str">
            <v>השתתפות באחזקת רכב</v>
          </cell>
          <cell r="C4028">
            <v>146300</v>
          </cell>
          <cell r="D4028">
            <v>219025.32</v>
          </cell>
          <cell r="E4028">
            <v>0</v>
          </cell>
          <cell r="F4028">
            <v>219025.32</v>
          </cell>
          <cell r="G4028">
            <v>-72725.320000000007</v>
          </cell>
          <cell r="H4028">
            <v>149.69999999999999</v>
          </cell>
          <cell r="I4028">
            <v>154000</v>
          </cell>
          <cell r="J4028">
            <v>219025.32</v>
          </cell>
        </row>
        <row r="4029">
          <cell r="A4029">
            <v>1815720181</v>
          </cell>
          <cell r="B4029" t="str">
            <v>ק'השתל'מורים-מעביד</v>
          </cell>
          <cell r="C4029">
            <v>0</v>
          </cell>
          <cell r="D4029">
            <v>0</v>
          </cell>
          <cell r="E4029">
            <v>0</v>
          </cell>
          <cell r="F4029">
            <v>0</v>
          </cell>
          <cell r="G4029">
            <v>0</v>
          </cell>
          <cell r="H4029">
            <v>0</v>
          </cell>
          <cell r="I4029">
            <v>0</v>
          </cell>
          <cell r="J4029">
            <v>0</v>
          </cell>
        </row>
        <row r="4030">
          <cell r="A4030">
            <v>1815720210</v>
          </cell>
          <cell r="B4030" t="str">
            <v>תכנית גי"א / מש"ב</v>
          </cell>
          <cell r="C4030">
            <v>0</v>
          </cell>
          <cell r="D4030">
            <v>0</v>
          </cell>
          <cell r="E4030">
            <v>0</v>
          </cell>
          <cell r="F4030">
            <v>0</v>
          </cell>
          <cell r="G4030">
            <v>0</v>
          </cell>
          <cell r="H4030">
            <v>0</v>
          </cell>
          <cell r="I4030">
            <v>0</v>
          </cell>
          <cell r="J4030">
            <v>0</v>
          </cell>
        </row>
        <row r="4031">
          <cell r="A4031">
            <v>1815720212</v>
          </cell>
          <cell r="B4031" t="str">
            <v>שעורי עזר לעולים</v>
          </cell>
          <cell r="C4031">
            <v>0</v>
          </cell>
          <cell r="D4031">
            <v>0</v>
          </cell>
          <cell r="E4031">
            <v>0</v>
          </cell>
          <cell r="F4031">
            <v>0</v>
          </cell>
          <cell r="G4031">
            <v>0</v>
          </cell>
          <cell r="H4031">
            <v>0</v>
          </cell>
          <cell r="I4031">
            <v>0</v>
          </cell>
          <cell r="J4031">
            <v>0</v>
          </cell>
        </row>
        <row r="4032">
          <cell r="A4032">
            <v>1815720213</v>
          </cell>
          <cell r="B4032" t="str">
            <v>שעורי עזר לנכים</v>
          </cell>
          <cell r="C4032">
            <v>0</v>
          </cell>
          <cell r="D4032">
            <v>0</v>
          </cell>
          <cell r="E4032">
            <v>0</v>
          </cell>
          <cell r="F4032">
            <v>0</v>
          </cell>
          <cell r="G4032">
            <v>0</v>
          </cell>
          <cell r="H4032">
            <v>0</v>
          </cell>
          <cell r="I4032">
            <v>0</v>
          </cell>
          <cell r="J4032">
            <v>0</v>
          </cell>
        </row>
        <row r="4033">
          <cell r="A4033">
            <v>1815720214</v>
          </cell>
          <cell r="B4033" t="str">
            <v>שעורי עזר לתלמידים</v>
          </cell>
          <cell r="C4033">
            <v>0</v>
          </cell>
          <cell r="D4033">
            <v>11075.13</v>
          </cell>
          <cell r="E4033">
            <v>0</v>
          </cell>
          <cell r="F4033">
            <v>11075.13</v>
          </cell>
          <cell r="G4033">
            <v>-11075.13</v>
          </cell>
          <cell r="H4033">
            <v>0</v>
          </cell>
          <cell r="I4033">
            <v>0</v>
          </cell>
          <cell r="J4033">
            <v>11075.13</v>
          </cell>
        </row>
        <row r="4034">
          <cell r="A4034">
            <v>1815720215</v>
          </cell>
          <cell r="B4034" t="str">
            <v>קייטנת קיץ בחטיבות ותיכוניים</v>
          </cell>
          <cell r="C4034">
            <v>0</v>
          </cell>
          <cell r="D4034">
            <v>0</v>
          </cell>
          <cell r="E4034">
            <v>0</v>
          </cell>
          <cell r="F4034">
            <v>0</v>
          </cell>
          <cell r="G4034">
            <v>0</v>
          </cell>
          <cell r="H4034">
            <v>0</v>
          </cell>
          <cell r="I4034">
            <v>0</v>
          </cell>
          <cell r="J4034">
            <v>0</v>
          </cell>
        </row>
        <row r="4035">
          <cell r="A4035">
            <v>1815720216</v>
          </cell>
          <cell r="B4035" t="str">
            <v>פרוייקט לקשיש-קוגל</v>
          </cell>
          <cell r="C4035">
            <v>57000</v>
          </cell>
          <cell r="D4035">
            <v>45712.69</v>
          </cell>
          <cell r="E4035">
            <v>0</v>
          </cell>
          <cell r="F4035">
            <v>45712.69</v>
          </cell>
          <cell r="G4035">
            <v>11287.31</v>
          </cell>
          <cell r="H4035">
            <v>80.19</v>
          </cell>
          <cell r="I4035">
            <v>60000</v>
          </cell>
          <cell r="J4035">
            <v>45712.69</v>
          </cell>
        </row>
        <row r="4036">
          <cell r="A4036">
            <v>1815720250</v>
          </cell>
          <cell r="B4036" t="str">
            <v>שעות השאלה</v>
          </cell>
          <cell r="C4036">
            <v>33250</v>
          </cell>
          <cell r="D4036">
            <v>0</v>
          </cell>
          <cell r="E4036">
            <v>0</v>
          </cell>
          <cell r="F4036">
            <v>0</v>
          </cell>
          <cell r="G4036">
            <v>33250</v>
          </cell>
          <cell r="H4036">
            <v>0</v>
          </cell>
          <cell r="I4036">
            <v>35000</v>
          </cell>
          <cell r="J4036">
            <v>0</v>
          </cell>
        </row>
        <row r="4037">
          <cell r="A4037">
            <v>1815720261</v>
          </cell>
          <cell r="B4037" t="str">
            <v>תכנית גי"א / מש"ב</v>
          </cell>
          <cell r="C4037">
            <v>0</v>
          </cell>
          <cell r="D4037">
            <v>0</v>
          </cell>
          <cell r="E4037">
            <v>0</v>
          </cell>
          <cell r="F4037">
            <v>0</v>
          </cell>
          <cell r="G4037">
            <v>0</v>
          </cell>
          <cell r="H4037">
            <v>0</v>
          </cell>
          <cell r="I4037">
            <v>0</v>
          </cell>
          <cell r="J4037">
            <v>0</v>
          </cell>
        </row>
        <row r="4038">
          <cell r="A4038">
            <v>1815720262</v>
          </cell>
          <cell r="B4038" t="str">
            <v>שעות שאילה - משה"ח</v>
          </cell>
          <cell r="C4038">
            <v>0</v>
          </cell>
          <cell r="D4038">
            <v>0</v>
          </cell>
          <cell r="E4038">
            <v>0</v>
          </cell>
          <cell r="F4038">
            <v>0</v>
          </cell>
          <cell r="G4038">
            <v>0</v>
          </cell>
          <cell r="H4038">
            <v>0</v>
          </cell>
          <cell r="I4038">
            <v>0</v>
          </cell>
          <cell r="J4038">
            <v>0</v>
          </cell>
        </row>
        <row r="4039">
          <cell r="A4039">
            <v>1815720263</v>
          </cell>
          <cell r="B4039" t="str">
            <v>עובדי חברת מוסדות</v>
          </cell>
          <cell r="C4039">
            <v>0</v>
          </cell>
          <cell r="D4039">
            <v>42386.84</v>
          </cell>
          <cell r="E4039">
            <v>0</v>
          </cell>
          <cell r="F4039">
            <v>42386.84</v>
          </cell>
          <cell r="G4039">
            <v>-42386.84</v>
          </cell>
          <cell r="H4039">
            <v>0</v>
          </cell>
          <cell r="I4039">
            <v>0</v>
          </cell>
          <cell r="J4039">
            <v>42386.84</v>
          </cell>
        </row>
        <row r="4040">
          <cell r="A4040">
            <v>1815720391</v>
          </cell>
          <cell r="B4040" t="str">
            <v>הפרשה לפנסיה</v>
          </cell>
          <cell r="C4040">
            <v>0</v>
          </cell>
          <cell r="D4040">
            <v>0</v>
          </cell>
          <cell r="E4040">
            <v>0</v>
          </cell>
          <cell r="F4040">
            <v>0</v>
          </cell>
          <cell r="G4040">
            <v>0</v>
          </cell>
          <cell r="H4040">
            <v>0</v>
          </cell>
          <cell r="I4040">
            <v>0</v>
          </cell>
          <cell r="J4040">
            <v>0</v>
          </cell>
        </row>
        <row r="4041">
          <cell r="A4041">
            <v>1815720410</v>
          </cell>
          <cell r="B4041" t="str">
            <v>שכ"ד להפועל חולון</v>
          </cell>
          <cell r="C4041">
            <v>0</v>
          </cell>
          <cell r="D4041">
            <v>0</v>
          </cell>
          <cell r="E4041">
            <v>0</v>
          </cell>
          <cell r="F4041">
            <v>0</v>
          </cell>
          <cell r="G4041">
            <v>0</v>
          </cell>
          <cell r="H4041">
            <v>0</v>
          </cell>
          <cell r="I4041">
            <v>0</v>
          </cell>
          <cell r="J4041">
            <v>0</v>
          </cell>
        </row>
        <row r="4042">
          <cell r="A4042">
            <v>1815720411</v>
          </cell>
          <cell r="B4042" t="str">
            <v>שכירת אולמות</v>
          </cell>
          <cell r="C4042">
            <v>0</v>
          </cell>
          <cell r="D4042">
            <v>0</v>
          </cell>
          <cell r="E4042">
            <v>0</v>
          </cell>
          <cell r="F4042">
            <v>0</v>
          </cell>
          <cell r="G4042">
            <v>0</v>
          </cell>
          <cell r="H4042">
            <v>0</v>
          </cell>
          <cell r="I4042">
            <v>0</v>
          </cell>
          <cell r="J4042">
            <v>0</v>
          </cell>
        </row>
        <row r="4043">
          <cell r="A4043">
            <v>1815720413</v>
          </cell>
          <cell r="B4043" t="str">
            <v>דמי שימוש באולם</v>
          </cell>
          <cell r="C4043">
            <v>237500</v>
          </cell>
          <cell r="D4043">
            <v>250000</v>
          </cell>
          <cell r="E4043">
            <v>0</v>
          </cell>
          <cell r="F4043">
            <v>250000</v>
          </cell>
          <cell r="G4043">
            <v>-12500</v>
          </cell>
          <cell r="H4043">
            <v>105.26</v>
          </cell>
          <cell r="I4043">
            <v>250000</v>
          </cell>
          <cell r="J4043">
            <v>250000</v>
          </cell>
        </row>
        <row r="4044">
          <cell r="A4044">
            <v>1815720420</v>
          </cell>
          <cell r="B4044" t="str">
            <v>כיבוי אש</v>
          </cell>
          <cell r="C4044">
            <v>16150</v>
          </cell>
          <cell r="D4044">
            <v>17441.45</v>
          </cell>
          <cell r="E4044">
            <v>0</v>
          </cell>
          <cell r="F4044">
            <v>17441.45</v>
          </cell>
          <cell r="G4044">
            <v>-1291.45</v>
          </cell>
          <cell r="H4044">
            <v>107.99</v>
          </cell>
          <cell r="I4044">
            <v>17000</v>
          </cell>
          <cell r="J4044">
            <v>17441.45</v>
          </cell>
        </row>
        <row r="4045">
          <cell r="A4045">
            <v>1815720423</v>
          </cell>
          <cell r="B4045" t="str">
            <v>תחזוקת מבנה</v>
          </cell>
          <cell r="C4045">
            <v>0</v>
          </cell>
          <cell r="D4045">
            <v>0</v>
          </cell>
          <cell r="E4045">
            <v>0</v>
          </cell>
          <cell r="F4045">
            <v>0</v>
          </cell>
          <cell r="G4045">
            <v>0</v>
          </cell>
          <cell r="H4045">
            <v>0</v>
          </cell>
          <cell r="I4045">
            <v>0</v>
          </cell>
          <cell r="J4045">
            <v>0</v>
          </cell>
        </row>
        <row r="4046">
          <cell r="A4046">
            <v>1815720431</v>
          </cell>
          <cell r="B4046" t="str">
            <v>חשמל</v>
          </cell>
          <cell r="C4046">
            <v>253270</v>
          </cell>
          <cell r="D4046">
            <v>241973</v>
          </cell>
          <cell r="E4046">
            <v>0</v>
          </cell>
          <cell r="F4046">
            <v>241973</v>
          </cell>
          <cell r="G4046">
            <v>11297</v>
          </cell>
          <cell r="H4046">
            <v>95.53</v>
          </cell>
          <cell r="I4046">
            <v>266600</v>
          </cell>
          <cell r="J4046">
            <v>241973</v>
          </cell>
        </row>
        <row r="4047">
          <cell r="A4047">
            <v>1815720432</v>
          </cell>
          <cell r="B4047" t="str">
            <v>מים</v>
          </cell>
          <cell r="C4047">
            <v>125020</v>
          </cell>
          <cell r="D4047">
            <v>119442</v>
          </cell>
          <cell r="E4047">
            <v>0</v>
          </cell>
          <cell r="F4047">
            <v>119442</v>
          </cell>
          <cell r="G4047">
            <v>5578</v>
          </cell>
          <cell r="H4047">
            <v>95.53</v>
          </cell>
          <cell r="I4047">
            <v>131600</v>
          </cell>
          <cell r="J4047">
            <v>119442</v>
          </cell>
        </row>
        <row r="4048">
          <cell r="A4048">
            <v>1815720433</v>
          </cell>
          <cell r="B4048" t="str">
            <v>חומרי נקיון</v>
          </cell>
          <cell r="C4048">
            <v>0</v>
          </cell>
          <cell r="D4048">
            <v>0</v>
          </cell>
          <cell r="E4048">
            <v>0</v>
          </cell>
          <cell r="F4048">
            <v>0</v>
          </cell>
          <cell r="G4048">
            <v>0</v>
          </cell>
          <cell r="H4048">
            <v>0</v>
          </cell>
          <cell r="I4048">
            <v>0</v>
          </cell>
          <cell r="J4048">
            <v>0</v>
          </cell>
        </row>
        <row r="4049">
          <cell r="A4049">
            <v>1815720434</v>
          </cell>
          <cell r="B4049" t="str">
            <v>חיטוי והדברה</v>
          </cell>
          <cell r="C4049">
            <v>0</v>
          </cell>
          <cell r="D4049">
            <v>0</v>
          </cell>
          <cell r="E4049">
            <v>0</v>
          </cell>
          <cell r="F4049">
            <v>0</v>
          </cell>
          <cell r="G4049">
            <v>0</v>
          </cell>
          <cell r="H4049">
            <v>0</v>
          </cell>
          <cell r="I4049">
            <v>0</v>
          </cell>
          <cell r="J4049">
            <v>0</v>
          </cell>
        </row>
        <row r="4050">
          <cell r="A4050">
            <v>1815720437</v>
          </cell>
          <cell r="B4050" t="str">
            <v>אחזקת אזעקה</v>
          </cell>
          <cell r="C4050">
            <v>2375</v>
          </cell>
          <cell r="D4050">
            <v>2442.96</v>
          </cell>
          <cell r="E4050">
            <v>0</v>
          </cell>
          <cell r="F4050">
            <v>2442.96</v>
          </cell>
          <cell r="G4050">
            <v>-67.959999999999994</v>
          </cell>
          <cell r="H4050">
            <v>102.86</v>
          </cell>
          <cell r="I4050">
            <v>2500</v>
          </cell>
          <cell r="J4050">
            <v>2442.96</v>
          </cell>
        </row>
        <row r="4051">
          <cell r="A4051">
            <v>1815720441</v>
          </cell>
          <cell r="B4051" t="str">
            <v>ביטוח</v>
          </cell>
          <cell r="C4051">
            <v>0</v>
          </cell>
          <cell r="D4051">
            <v>0</v>
          </cell>
          <cell r="E4051">
            <v>0</v>
          </cell>
          <cell r="F4051">
            <v>0</v>
          </cell>
          <cell r="G4051">
            <v>0</v>
          </cell>
          <cell r="H4051">
            <v>0</v>
          </cell>
          <cell r="I4051">
            <v>0</v>
          </cell>
          <cell r="J4051">
            <v>0</v>
          </cell>
        </row>
        <row r="4052">
          <cell r="A4052">
            <v>1815720450</v>
          </cell>
          <cell r="B4052" t="str">
            <v>ריהוט ואחזקתו</v>
          </cell>
          <cell r="C4052">
            <v>9120</v>
          </cell>
          <cell r="D4052">
            <v>7796</v>
          </cell>
          <cell r="E4052">
            <v>0</v>
          </cell>
          <cell r="F4052">
            <v>7796</v>
          </cell>
          <cell r="G4052">
            <v>1324</v>
          </cell>
          <cell r="H4052">
            <v>85.48</v>
          </cell>
          <cell r="I4052">
            <v>9600</v>
          </cell>
          <cell r="J4052">
            <v>7796</v>
          </cell>
        </row>
        <row r="4053">
          <cell r="A4053">
            <v>1815720451</v>
          </cell>
          <cell r="B4053" t="str">
            <v>הוצאות גפ"ן בית ספרי</v>
          </cell>
          <cell r="C4053">
            <v>0</v>
          </cell>
          <cell r="D4053">
            <v>0</v>
          </cell>
          <cell r="E4053">
            <v>0</v>
          </cell>
          <cell r="F4053">
            <v>0</v>
          </cell>
          <cell r="G4053">
            <v>0</v>
          </cell>
          <cell r="H4053">
            <v>0</v>
          </cell>
          <cell r="I4053">
            <v>0</v>
          </cell>
          <cell r="J4053">
            <v>0</v>
          </cell>
        </row>
        <row r="4054">
          <cell r="A4054">
            <v>1815720452</v>
          </cell>
          <cell r="B4054" t="str">
            <v>השתתפות עירונית בגפ"ן</v>
          </cell>
          <cell r="C4054">
            <v>0</v>
          </cell>
          <cell r="D4054">
            <v>0</v>
          </cell>
          <cell r="E4054">
            <v>0</v>
          </cell>
          <cell r="F4054">
            <v>0</v>
          </cell>
          <cell r="G4054">
            <v>0</v>
          </cell>
          <cell r="H4054">
            <v>0</v>
          </cell>
          <cell r="I4054">
            <v>0</v>
          </cell>
          <cell r="J4054">
            <v>0</v>
          </cell>
        </row>
        <row r="4055">
          <cell r="A4055">
            <v>1815720470</v>
          </cell>
          <cell r="B4055" t="str">
            <v>אחזקת מכונות משרד</v>
          </cell>
          <cell r="C4055">
            <v>0</v>
          </cell>
          <cell r="D4055">
            <v>0</v>
          </cell>
          <cell r="E4055">
            <v>0</v>
          </cell>
          <cell r="F4055">
            <v>0</v>
          </cell>
          <cell r="G4055">
            <v>0</v>
          </cell>
          <cell r="H4055">
            <v>0</v>
          </cell>
          <cell r="I4055">
            <v>0</v>
          </cell>
          <cell r="J4055">
            <v>0</v>
          </cell>
        </row>
        <row r="4056">
          <cell r="A4056">
            <v>1815720471</v>
          </cell>
          <cell r="B4056" t="str">
            <v>מכשירי כתיבה</v>
          </cell>
          <cell r="C4056">
            <v>0</v>
          </cell>
          <cell r="D4056">
            <v>0</v>
          </cell>
          <cell r="E4056">
            <v>0</v>
          </cell>
          <cell r="F4056">
            <v>0</v>
          </cell>
          <cell r="G4056">
            <v>0</v>
          </cell>
          <cell r="H4056">
            <v>0</v>
          </cell>
          <cell r="I4056">
            <v>0</v>
          </cell>
          <cell r="J4056">
            <v>0</v>
          </cell>
        </row>
        <row r="4057">
          <cell r="A4057">
            <v>1815720511</v>
          </cell>
          <cell r="B4057" t="str">
            <v>אירוח וכיבוד</v>
          </cell>
          <cell r="C4057">
            <v>11970</v>
          </cell>
          <cell r="D4057">
            <v>15239.9</v>
          </cell>
          <cell r="E4057">
            <v>0</v>
          </cell>
          <cell r="F4057">
            <v>15239.9</v>
          </cell>
          <cell r="G4057">
            <v>-3269.9</v>
          </cell>
          <cell r="H4057">
            <v>127.31</v>
          </cell>
          <cell r="I4057">
            <v>12600</v>
          </cell>
          <cell r="J4057">
            <v>15239.9</v>
          </cell>
        </row>
        <row r="4058">
          <cell r="A4058">
            <v>1815720512</v>
          </cell>
          <cell r="B4058" t="str">
            <v>נסיעות ואש"ל</v>
          </cell>
          <cell r="C4058">
            <v>0</v>
          </cell>
          <cell r="D4058">
            <v>0</v>
          </cell>
          <cell r="E4058">
            <v>0</v>
          </cell>
          <cell r="F4058">
            <v>0</v>
          </cell>
          <cell r="G4058">
            <v>0</v>
          </cell>
          <cell r="H4058">
            <v>0</v>
          </cell>
          <cell r="I4058">
            <v>0</v>
          </cell>
          <cell r="J4058">
            <v>0</v>
          </cell>
        </row>
        <row r="4059">
          <cell r="A4059">
            <v>1815720517</v>
          </cell>
          <cell r="B4059" t="str">
            <v>מסיבות מפקדים ושי</v>
          </cell>
          <cell r="C4059">
            <v>0</v>
          </cell>
          <cell r="D4059">
            <v>0</v>
          </cell>
          <cell r="E4059">
            <v>0</v>
          </cell>
          <cell r="F4059">
            <v>0</v>
          </cell>
          <cell r="G4059">
            <v>0</v>
          </cell>
          <cell r="H4059">
            <v>0</v>
          </cell>
          <cell r="I4059">
            <v>0</v>
          </cell>
          <cell r="J4059">
            <v>0</v>
          </cell>
        </row>
        <row r="4060">
          <cell r="A4060">
            <v>1815720522</v>
          </cell>
          <cell r="B4060" t="str">
            <v>ספרים</v>
          </cell>
          <cell r="C4060">
            <v>0</v>
          </cell>
          <cell r="D4060">
            <v>0</v>
          </cell>
          <cell r="E4060">
            <v>0</v>
          </cell>
          <cell r="F4060">
            <v>0</v>
          </cell>
          <cell r="G4060">
            <v>0</v>
          </cell>
          <cell r="H4060">
            <v>0</v>
          </cell>
          <cell r="I4060">
            <v>0</v>
          </cell>
          <cell r="J4060">
            <v>0</v>
          </cell>
        </row>
        <row r="4061">
          <cell r="A4061">
            <v>1815720530</v>
          </cell>
          <cell r="B4061" t="str">
            <v>אופניים לעובדים</v>
          </cell>
          <cell r="C4061">
            <v>0</v>
          </cell>
          <cell r="D4061">
            <v>0</v>
          </cell>
          <cell r="E4061">
            <v>0</v>
          </cell>
          <cell r="F4061">
            <v>0</v>
          </cell>
          <cell r="G4061">
            <v>0</v>
          </cell>
          <cell r="H4061">
            <v>0</v>
          </cell>
          <cell r="I4061">
            <v>0</v>
          </cell>
          <cell r="J4061">
            <v>0</v>
          </cell>
        </row>
        <row r="4062">
          <cell r="A4062">
            <v>1815720540</v>
          </cell>
          <cell r="B4062" t="str">
            <v>הוצאות טלפון</v>
          </cell>
          <cell r="C4062">
            <v>0</v>
          </cell>
          <cell r="D4062">
            <v>0</v>
          </cell>
          <cell r="E4062">
            <v>0</v>
          </cell>
          <cell r="F4062">
            <v>0</v>
          </cell>
          <cell r="G4062">
            <v>0</v>
          </cell>
          <cell r="H4062">
            <v>0</v>
          </cell>
          <cell r="I4062">
            <v>0</v>
          </cell>
          <cell r="J4062">
            <v>0</v>
          </cell>
        </row>
        <row r="4063">
          <cell r="A4063">
            <v>1815720544</v>
          </cell>
          <cell r="B4063" t="str">
            <v>הוצאות דאר</v>
          </cell>
          <cell r="C4063">
            <v>0</v>
          </cell>
          <cell r="D4063">
            <v>0</v>
          </cell>
          <cell r="E4063">
            <v>0</v>
          </cell>
          <cell r="F4063">
            <v>0</v>
          </cell>
          <cell r="G4063">
            <v>0</v>
          </cell>
          <cell r="H4063">
            <v>0</v>
          </cell>
          <cell r="I4063">
            <v>0</v>
          </cell>
          <cell r="J4063">
            <v>0</v>
          </cell>
        </row>
        <row r="4064">
          <cell r="A4064">
            <v>1815720562</v>
          </cell>
          <cell r="B4064" t="str">
            <v>הדפסות</v>
          </cell>
          <cell r="C4064">
            <v>0</v>
          </cell>
          <cell r="D4064">
            <v>0</v>
          </cell>
          <cell r="E4064">
            <v>0</v>
          </cell>
          <cell r="F4064">
            <v>0</v>
          </cell>
          <cell r="G4064">
            <v>0</v>
          </cell>
          <cell r="H4064">
            <v>0</v>
          </cell>
          <cell r="I4064">
            <v>0</v>
          </cell>
          <cell r="J4064">
            <v>0</v>
          </cell>
        </row>
        <row r="4065">
          <cell r="A4065">
            <v>1815720583</v>
          </cell>
          <cell r="B4065" t="str">
            <v>שרות רפואי</v>
          </cell>
          <cell r="C4065">
            <v>0</v>
          </cell>
          <cell r="D4065">
            <v>0</v>
          </cell>
          <cell r="E4065">
            <v>0</v>
          </cell>
          <cell r="F4065">
            <v>0</v>
          </cell>
          <cell r="G4065">
            <v>0</v>
          </cell>
          <cell r="H4065">
            <v>0</v>
          </cell>
          <cell r="I4065">
            <v>0</v>
          </cell>
          <cell r="J4065">
            <v>0</v>
          </cell>
        </row>
        <row r="4066">
          <cell r="A4066">
            <v>1815720584</v>
          </cell>
          <cell r="B4066" t="str">
            <v>שרות פסיכולוגי</v>
          </cell>
          <cell r="C4066">
            <v>0</v>
          </cell>
          <cell r="D4066">
            <v>0</v>
          </cell>
          <cell r="E4066">
            <v>0</v>
          </cell>
          <cell r="F4066">
            <v>0</v>
          </cell>
          <cell r="G4066">
            <v>0</v>
          </cell>
          <cell r="H4066">
            <v>0</v>
          </cell>
          <cell r="I4066">
            <v>0</v>
          </cell>
          <cell r="J4066">
            <v>0</v>
          </cell>
        </row>
        <row r="4067">
          <cell r="A4067">
            <v>1815720585</v>
          </cell>
          <cell r="B4067" t="str">
            <v>שרות אחות</v>
          </cell>
          <cell r="C4067">
            <v>0</v>
          </cell>
          <cell r="D4067">
            <v>0</v>
          </cell>
          <cell r="E4067">
            <v>0</v>
          </cell>
          <cell r="F4067">
            <v>0</v>
          </cell>
          <cell r="G4067">
            <v>0</v>
          </cell>
          <cell r="H4067">
            <v>0</v>
          </cell>
          <cell r="I4067">
            <v>0</v>
          </cell>
          <cell r="J4067">
            <v>0</v>
          </cell>
        </row>
        <row r="4068">
          <cell r="A4068">
            <v>1815720721</v>
          </cell>
          <cell r="B4068" t="str">
            <v>חמרים-תחזוקת מבנים</v>
          </cell>
          <cell r="C4068">
            <v>0</v>
          </cell>
          <cell r="D4068">
            <v>0</v>
          </cell>
          <cell r="E4068">
            <v>0</v>
          </cell>
          <cell r="F4068">
            <v>0</v>
          </cell>
          <cell r="G4068">
            <v>0</v>
          </cell>
          <cell r="H4068">
            <v>0</v>
          </cell>
          <cell r="I4068">
            <v>0</v>
          </cell>
          <cell r="J4068">
            <v>0</v>
          </cell>
        </row>
        <row r="4069">
          <cell r="A4069">
            <v>1815720722</v>
          </cell>
          <cell r="B4069" t="str">
            <v>חמרים-תחזוקה עצמית</v>
          </cell>
          <cell r="C4069">
            <v>0</v>
          </cell>
          <cell r="D4069">
            <v>0</v>
          </cell>
          <cell r="E4069">
            <v>0</v>
          </cell>
          <cell r="F4069">
            <v>0</v>
          </cell>
          <cell r="G4069">
            <v>0</v>
          </cell>
          <cell r="H4069">
            <v>0</v>
          </cell>
          <cell r="I4069">
            <v>0</v>
          </cell>
          <cell r="J4069">
            <v>0</v>
          </cell>
        </row>
        <row r="4070">
          <cell r="A4070">
            <v>1815720724</v>
          </cell>
          <cell r="B4070" t="str">
            <v>ציוד למגמות</v>
          </cell>
          <cell r="C4070">
            <v>0</v>
          </cell>
          <cell r="D4070">
            <v>0</v>
          </cell>
          <cell r="E4070">
            <v>0</v>
          </cell>
          <cell r="F4070">
            <v>0</v>
          </cell>
          <cell r="G4070">
            <v>0</v>
          </cell>
          <cell r="H4070">
            <v>0</v>
          </cell>
          <cell r="I4070">
            <v>0</v>
          </cell>
          <cell r="J4070">
            <v>0</v>
          </cell>
        </row>
        <row r="4071">
          <cell r="A4071">
            <v>1815720742</v>
          </cell>
          <cell r="B4071" t="str">
            <v>כלים וציוד</v>
          </cell>
          <cell r="C4071">
            <v>47500</v>
          </cell>
          <cell r="D4071">
            <v>51249</v>
          </cell>
          <cell r="E4071">
            <v>0</v>
          </cell>
          <cell r="F4071">
            <v>51249</v>
          </cell>
          <cell r="G4071">
            <v>-3749</v>
          </cell>
          <cell r="H4071">
            <v>107.89</v>
          </cell>
          <cell r="I4071">
            <v>50000</v>
          </cell>
          <cell r="J4071">
            <v>51249</v>
          </cell>
        </row>
        <row r="4072">
          <cell r="A4072">
            <v>1815720745</v>
          </cell>
          <cell r="B4072" t="str">
            <v>דמי פריצה - תכולה</v>
          </cell>
          <cell r="C4072">
            <v>0</v>
          </cell>
          <cell r="D4072">
            <v>0</v>
          </cell>
          <cell r="E4072">
            <v>0</v>
          </cell>
          <cell r="F4072">
            <v>0</v>
          </cell>
          <cell r="G4072">
            <v>0</v>
          </cell>
          <cell r="H4072">
            <v>0</v>
          </cell>
          <cell r="I4072">
            <v>0</v>
          </cell>
          <cell r="J4072">
            <v>0</v>
          </cell>
        </row>
        <row r="4073">
          <cell r="A4073">
            <v>1815720746</v>
          </cell>
          <cell r="B4073" t="str">
            <v>דמי פריצה - מבנה</v>
          </cell>
          <cell r="C4073">
            <v>0</v>
          </cell>
          <cell r="D4073">
            <v>0</v>
          </cell>
          <cell r="E4073">
            <v>0</v>
          </cell>
          <cell r="F4073">
            <v>0</v>
          </cell>
          <cell r="G4073">
            <v>0</v>
          </cell>
          <cell r="H4073">
            <v>0</v>
          </cell>
          <cell r="I4073">
            <v>0</v>
          </cell>
          <cell r="J4073">
            <v>0</v>
          </cell>
        </row>
        <row r="4074">
          <cell r="A4074">
            <v>1815720750</v>
          </cell>
          <cell r="B4074" t="str">
            <v>אחזקת מוסדות</v>
          </cell>
          <cell r="C4074">
            <v>519270</v>
          </cell>
          <cell r="D4074">
            <v>512171</v>
          </cell>
          <cell r="E4074">
            <v>0</v>
          </cell>
          <cell r="F4074">
            <v>512171</v>
          </cell>
          <cell r="G4074">
            <v>7099</v>
          </cell>
          <cell r="H4074">
            <v>98.63</v>
          </cell>
          <cell r="I4074">
            <v>546600</v>
          </cell>
          <cell r="J4074">
            <v>512171</v>
          </cell>
        </row>
        <row r="4075">
          <cell r="A4075">
            <v>1815720751</v>
          </cell>
          <cell r="B4075" t="str">
            <v>עבודות קבלניות</v>
          </cell>
          <cell r="C4075">
            <v>0</v>
          </cell>
          <cell r="D4075">
            <v>0</v>
          </cell>
          <cell r="E4075">
            <v>0</v>
          </cell>
          <cell r="F4075">
            <v>0</v>
          </cell>
          <cell r="G4075">
            <v>0</v>
          </cell>
          <cell r="H4075">
            <v>0</v>
          </cell>
          <cell r="I4075">
            <v>0</v>
          </cell>
          <cell r="J4075">
            <v>0</v>
          </cell>
        </row>
        <row r="4076">
          <cell r="A4076">
            <v>1815720752</v>
          </cell>
          <cell r="B4076" t="str">
            <v>נקיון בקבלנות</v>
          </cell>
          <cell r="C4076">
            <v>854525</v>
          </cell>
          <cell r="D4076">
            <v>899499.94</v>
          </cell>
          <cell r="E4076">
            <v>0</v>
          </cell>
          <cell r="F4076">
            <v>899499.94</v>
          </cell>
          <cell r="G4076">
            <v>-44974.94</v>
          </cell>
          <cell r="H4076">
            <v>105.26</v>
          </cell>
          <cell r="I4076">
            <v>899500</v>
          </cell>
          <cell r="J4076">
            <v>899499.94</v>
          </cell>
        </row>
        <row r="4077">
          <cell r="A4077">
            <v>1815720753</v>
          </cell>
          <cell r="B4077" t="str">
            <v>עובדים חיצוניים</v>
          </cell>
          <cell r="C4077">
            <v>0</v>
          </cell>
          <cell r="D4077">
            <v>0</v>
          </cell>
          <cell r="E4077">
            <v>0</v>
          </cell>
          <cell r="F4077">
            <v>0</v>
          </cell>
          <cell r="G4077">
            <v>0</v>
          </cell>
          <cell r="H4077">
            <v>0</v>
          </cell>
          <cell r="I4077">
            <v>0</v>
          </cell>
          <cell r="J4077">
            <v>0</v>
          </cell>
        </row>
        <row r="4078">
          <cell r="A4078">
            <v>1815720755</v>
          </cell>
          <cell r="B4078" t="str">
            <v>אחות</v>
          </cell>
          <cell r="C4078">
            <v>0</v>
          </cell>
          <cell r="D4078">
            <v>0</v>
          </cell>
          <cell r="E4078">
            <v>0</v>
          </cell>
          <cell r="F4078">
            <v>0</v>
          </cell>
          <cell r="G4078">
            <v>0</v>
          </cell>
          <cell r="H4078">
            <v>0</v>
          </cell>
          <cell r="I4078">
            <v>0</v>
          </cell>
          <cell r="J4078">
            <v>0</v>
          </cell>
        </row>
        <row r="4079">
          <cell r="A4079">
            <v>1815720759</v>
          </cell>
          <cell r="B4079" t="str">
            <v>שרותי סייעות</v>
          </cell>
          <cell r="C4079">
            <v>1032400</v>
          </cell>
          <cell r="D4079">
            <v>1064732.3799999999</v>
          </cell>
          <cell r="E4079">
            <v>0</v>
          </cell>
          <cell r="F4079">
            <v>1064732.3799999999</v>
          </cell>
          <cell r="G4079">
            <v>-32332.38</v>
          </cell>
          <cell r="H4079">
            <v>103.13</v>
          </cell>
          <cell r="I4079">
            <v>1032400</v>
          </cell>
          <cell r="J4079">
            <v>1064732.3799999999</v>
          </cell>
        </row>
        <row r="4080">
          <cell r="A4080">
            <v>1815720761</v>
          </cell>
          <cell r="B4080" t="str">
            <v>השאלת מורים</v>
          </cell>
          <cell r="C4080">
            <v>0</v>
          </cell>
          <cell r="D4080">
            <v>0</v>
          </cell>
          <cell r="E4080">
            <v>0</v>
          </cell>
          <cell r="F4080">
            <v>0</v>
          </cell>
          <cell r="G4080">
            <v>0</v>
          </cell>
          <cell r="H4080">
            <v>0</v>
          </cell>
          <cell r="I4080">
            <v>0</v>
          </cell>
          <cell r="J4080">
            <v>0</v>
          </cell>
        </row>
        <row r="4081">
          <cell r="A4081">
            <v>1815720762</v>
          </cell>
          <cell r="B4081" t="str">
            <v>שאילת מורים</v>
          </cell>
          <cell r="C4081">
            <v>987620</v>
          </cell>
          <cell r="D4081">
            <v>976236.48</v>
          </cell>
          <cell r="E4081">
            <v>0</v>
          </cell>
          <cell r="F4081">
            <v>976236.48</v>
          </cell>
          <cell r="G4081">
            <v>11383.52</v>
          </cell>
          <cell r="H4081">
            <v>98.84</v>
          </cell>
          <cell r="I4081">
            <v>1039600</v>
          </cell>
          <cell r="J4081">
            <v>976236.48</v>
          </cell>
        </row>
        <row r="4082">
          <cell r="A4082">
            <v>1815720763</v>
          </cell>
          <cell r="B4082" t="str">
            <v>עובדי חברת מוסדות</v>
          </cell>
          <cell r="C4082">
            <v>0</v>
          </cell>
          <cell r="D4082">
            <v>0</v>
          </cell>
          <cell r="E4082">
            <v>0</v>
          </cell>
          <cell r="F4082">
            <v>0</v>
          </cell>
          <cell r="G4082">
            <v>0</v>
          </cell>
          <cell r="H4082">
            <v>0</v>
          </cell>
          <cell r="I4082">
            <v>0</v>
          </cell>
          <cell r="J4082">
            <v>0</v>
          </cell>
        </row>
        <row r="4083">
          <cell r="A4083">
            <v>1815720765</v>
          </cell>
          <cell r="B4083" t="str">
            <v>רכז חברתי - חט"ב</v>
          </cell>
          <cell r="C4083">
            <v>0</v>
          </cell>
          <cell r="D4083">
            <v>0</v>
          </cell>
          <cell r="E4083">
            <v>0</v>
          </cell>
          <cell r="F4083">
            <v>0</v>
          </cell>
          <cell r="G4083">
            <v>0</v>
          </cell>
          <cell r="H4083">
            <v>0</v>
          </cell>
          <cell r="I4083">
            <v>0</v>
          </cell>
          <cell r="J4083">
            <v>0</v>
          </cell>
        </row>
        <row r="4084">
          <cell r="A4084">
            <v>1815720780</v>
          </cell>
          <cell r="B4084" t="str">
            <v>חינוך חברתי</v>
          </cell>
          <cell r="C4084">
            <v>17860</v>
          </cell>
          <cell r="D4084">
            <v>19777</v>
          </cell>
          <cell r="E4084">
            <v>0</v>
          </cell>
          <cell r="F4084">
            <v>19777</v>
          </cell>
          <cell r="G4084">
            <v>-1917</v>
          </cell>
          <cell r="H4084">
            <v>110.73</v>
          </cell>
          <cell r="I4084">
            <v>18800</v>
          </cell>
          <cell r="J4084">
            <v>19777</v>
          </cell>
        </row>
        <row r="4085">
          <cell r="A4085">
            <v>1815720782</v>
          </cell>
          <cell r="B4085" t="str">
            <v>המרת שעות</v>
          </cell>
          <cell r="C4085">
            <v>0</v>
          </cell>
          <cell r="D4085">
            <v>0</v>
          </cell>
          <cell r="E4085">
            <v>0</v>
          </cell>
          <cell r="F4085">
            <v>0</v>
          </cell>
          <cell r="G4085">
            <v>0</v>
          </cell>
          <cell r="H4085">
            <v>0</v>
          </cell>
          <cell r="I4085">
            <v>0</v>
          </cell>
          <cell r="J4085">
            <v>0</v>
          </cell>
        </row>
        <row r="4086">
          <cell r="A4086">
            <v>1815720786</v>
          </cell>
          <cell r="B4086" t="str">
            <v>העברה מקפה גן סיפור</v>
          </cell>
          <cell r="C4086">
            <v>33250</v>
          </cell>
          <cell r="D4086">
            <v>0</v>
          </cell>
          <cell r="E4086">
            <v>0</v>
          </cell>
          <cell r="F4086">
            <v>0</v>
          </cell>
          <cell r="G4086">
            <v>33250</v>
          </cell>
          <cell r="H4086">
            <v>0</v>
          </cell>
          <cell r="I4086">
            <v>35000</v>
          </cell>
          <cell r="J4086">
            <v>0</v>
          </cell>
        </row>
        <row r="4087">
          <cell r="A4087">
            <v>1815720794</v>
          </cell>
          <cell r="B4087" t="str">
            <v>השתתפות בעזר 094</v>
          </cell>
          <cell r="C4087">
            <v>15865</v>
          </cell>
          <cell r="D4087">
            <v>19920</v>
          </cell>
          <cell r="E4087">
            <v>0</v>
          </cell>
          <cell r="F4087">
            <v>19920</v>
          </cell>
          <cell r="G4087">
            <v>-4055</v>
          </cell>
          <cell r="H4087">
            <v>125.55</v>
          </cell>
          <cell r="I4087">
            <v>16700</v>
          </cell>
          <cell r="J4087">
            <v>19920</v>
          </cell>
        </row>
        <row r="4088">
          <cell r="A4088">
            <v>1815720810</v>
          </cell>
          <cell r="B4088" t="str">
            <v>הקצבה לניהול עצמי</v>
          </cell>
          <cell r="C4088">
            <v>81605</v>
          </cell>
          <cell r="D4088">
            <v>0</v>
          </cell>
          <cell r="E4088">
            <v>0</v>
          </cell>
          <cell r="F4088">
            <v>0</v>
          </cell>
          <cell r="G4088">
            <v>81605</v>
          </cell>
          <cell r="H4088">
            <v>0</v>
          </cell>
          <cell r="I4088">
            <v>85900</v>
          </cell>
          <cell r="J4088">
            <v>0</v>
          </cell>
        </row>
        <row r="4089">
          <cell r="A4089">
            <v>1815720812</v>
          </cell>
          <cell r="B4089" t="str">
            <v>מסיבות כיתתיות</v>
          </cell>
          <cell r="C4089">
            <v>27550</v>
          </cell>
          <cell r="D4089">
            <v>30822</v>
          </cell>
          <cell r="E4089">
            <v>0</v>
          </cell>
          <cell r="F4089">
            <v>30822</v>
          </cell>
          <cell r="G4089">
            <v>-3272</v>
          </cell>
          <cell r="H4089">
            <v>111.87</v>
          </cell>
          <cell r="I4089">
            <v>29000</v>
          </cell>
          <cell r="J4089">
            <v>30822</v>
          </cell>
        </row>
        <row r="4090">
          <cell r="A4090">
            <v>1815720816</v>
          </cell>
          <cell r="B4090" t="str">
            <v>חט"ב-הכלה והשתלבות</v>
          </cell>
          <cell r="C4090">
            <v>0</v>
          </cell>
          <cell r="D4090">
            <v>0</v>
          </cell>
          <cell r="E4090">
            <v>0</v>
          </cell>
          <cell r="F4090">
            <v>0</v>
          </cell>
          <cell r="G4090">
            <v>0</v>
          </cell>
          <cell r="H4090">
            <v>0</v>
          </cell>
          <cell r="I4090">
            <v>0</v>
          </cell>
          <cell r="J4090">
            <v>0</v>
          </cell>
        </row>
        <row r="4091">
          <cell r="A4091">
            <v>1815720838</v>
          </cell>
          <cell r="B4091" t="str">
            <v>העברה כנגד הכנסות מש' החינוך</v>
          </cell>
          <cell r="C4091">
            <v>0</v>
          </cell>
          <cell r="D4091">
            <v>0</v>
          </cell>
          <cell r="E4091">
            <v>0</v>
          </cell>
          <cell r="F4091">
            <v>0</v>
          </cell>
          <cell r="G4091">
            <v>0</v>
          </cell>
          <cell r="H4091">
            <v>0</v>
          </cell>
          <cell r="I4091">
            <v>0</v>
          </cell>
          <cell r="J4091">
            <v>0</v>
          </cell>
        </row>
        <row r="4092">
          <cell r="A4092">
            <v>1815720953</v>
          </cell>
          <cell r="B4092" t="str">
            <v>מערכת גפ"ן</v>
          </cell>
          <cell r="C4092">
            <v>1507080</v>
          </cell>
          <cell r="D4092">
            <v>1574911.75</v>
          </cell>
          <cell r="E4092">
            <v>0</v>
          </cell>
          <cell r="F4092">
            <v>1574911.75</v>
          </cell>
          <cell r="G4092">
            <v>-67831.75</v>
          </cell>
          <cell r="H4092">
            <v>104.5</v>
          </cell>
          <cell r="I4092">
            <v>1586400</v>
          </cell>
          <cell r="J4092">
            <v>1574911.75</v>
          </cell>
        </row>
        <row r="4093">
          <cell r="A4093">
            <v>1815720989</v>
          </cell>
          <cell r="B4093" t="str">
            <v>תקורה</v>
          </cell>
          <cell r="C4093">
            <v>1431080</v>
          </cell>
          <cell r="D4093">
            <v>1629173</v>
          </cell>
          <cell r="E4093">
            <v>0</v>
          </cell>
          <cell r="F4093">
            <v>1629173</v>
          </cell>
          <cell r="G4093">
            <v>-198093</v>
          </cell>
          <cell r="H4093">
            <v>113.84</v>
          </cell>
          <cell r="I4093">
            <v>1506400</v>
          </cell>
          <cell r="J4093">
            <v>1629173</v>
          </cell>
        </row>
        <row r="4094">
          <cell r="A4094">
            <v>1815730110</v>
          </cell>
          <cell r="B4094" t="str">
            <v>השכר הקובע-תקציבית</v>
          </cell>
          <cell r="C4094">
            <v>380950</v>
          </cell>
          <cell r="D4094">
            <v>337500.08</v>
          </cell>
          <cell r="E4094">
            <v>0</v>
          </cell>
          <cell r="F4094">
            <v>337500.08</v>
          </cell>
          <cell r="G4094">
            <v>43449.919999999998</v>
          </cell>
          <cell r="H4094">
            <v>88.59</v>
          </cell>
          <cell r="I4094">
            <v>401000</v>
          </cell>
          <cell r="J4094">
            <v>337500.08</v>
          </cell>
        </row>
        <row r="4095">
          <cell r="A4095">
            <v>1815730118</v>
          </cell>
          <cell r="B4095" t="str">
            <v>שכר עובדי הוראה</v>
          </cell>
          <cell r="C4095">
            <v>12761350</v>
          </cell>
          <cell r="D4095">
            <v>12885153.33</v>
          </cell>
          <cell r="E4095">
            <v>0</v>
          </cell>
          <cell r="F4095">
            <v>12885153.33</v>
          </cell>
          <cell r="G4095">
            <v>-123803.33</v>
          </cell>
          <cell r="H4095">
            <v>100.97</v>
          </cell>
          <cell r="I4095">
            <v>13433000</v>
          </cell>
          <cell r="J4095">
            <v>12885153.33</v>
          </cell>
        </row>
        <row r="4096">
          <cell r="A4096">
            <v>1815730119</v>
          </cell>
          <cell r="B4096" t="str">
            <v>השכר הקובע-צוברת</v>
          </cell>
          <cell r="C4096">
            <v>1504800</v>
          </cell>
          <cell r="D4096">
            <v>1812330.81</v>
          </cell>
          <cell r="E4096">
            <v>99714.8</v>
          </cell>
          <cell r="F4096">
            <v>1912045.61</v>
          </cell>
          <cell r="G4096">
            <v>-407245.61</v>
          </cell>
          <cell r="H4096">
            <v>127.06</v>
          </cell>
          <cell r="I4096">
            <v>1504800</v>
          </cell>
          <cell r="J4096">
            <v>1812330.81</v>
          </cell>
        </row>
        <row r="4097">
          <cell r="A4097">
            <v>1815730122</v>
          </cell>
          <cell r="B4097" t="str">
            <v>ביגוד</v>
          </cell>
          <cell r="C4097">
            <v>117705</v>
          </cell>
          <cell r="D4097">
            <v>139283.25</v>
          </cell>
          <cell r="E4097">
            <v>0</v>
          </cell>
          <cell r="F4097">
            <v>139283.25</v>
          </cell>
          <cell r="G4097">
            <v>-21578.25</v>
          </cell>
          <cell r="H4097">
            <v>118.33</v>
          </cell>
          <cell r="I4097">
            <v>123900</v>
          </cell>
          <cell r="J4097">
            <v>139283.25</v>
          </cell>
        </row>
        <row r="4098">
          <cell r="A4098">
            <v>1815730126</v>
          </cell>
          <cell r="B4098" t="str">
            <v>דמי הבראה</v>
          </cell>
          <cell r="C4098">
            <v>289275</v>
          </cell>
          <cell r="D4098">
            <v>298763.90999999997</v>
          </cell>
          <cell r="E4098">
            <v>0</v>
          </cell>
          <cell r="F4098">
            <v>298763.90999999997</v>
          </cell>
          <cell r="G4098">
            <v>-9488.91</v>
          </cell>
          <cell r="H4098">
            <v>103.28</v>
          </cell>
          <cell r="I4098">
            <v>304500</v>
          </cell>
          <cell r="J4098">
            <v>298763.90999999997</v>
          </cell>
        </row>
        <row r="4099">
          <cell r="A4099">
            <v>1815730130</v>
          </cell>
          <cell r="B4099" t="str">
            <v>שעות נוספות</v>
          </cell>
          <cell r="C4099">
            <v>47500</v>
          </cell>
          <cell r="D4099">
            <v>62578.28</v>
          </cell>
          <cell r="E4099">
            <v>0</v>
          </cell>
          <cell r="F4099">
            <v>62578.28</v>
          </cell>
          <cell r="G4099">
            <v>-15078.28</v>
          </cell>
          <cell r="H4099">
            <v>131.74</v>
          </cell>
          <cell r="I4099">
            <v>50000</v>
          </cell>
          <cell r="J4099">
            <v>62578.28</v>
          </cell>
        </row>
        <row r="4100">
          <cell r="A4100">
            <v>1815730140</v>
          </cell>
          <cell r="B4100" t="str">
            <v>השתתפות באחזקת רכב</v>
          </cell>
          <cell r="C4100">
            <v>120650</v>
          </cell>
          <cell r="D4100">
            <v>137114.42000000001</v>
          </cell>
          <cell r="E4100">
            <v>0</v>
          </cell>
          <cell r="F4100">
            <v>137114.42000000001</v>
          </cell>
          <cell r="G4100">
            <v>-16464.419999999998</v>
          </cell>
          <cell r="H4100">
            <v>113.64</v>
          </cell>
          <cell r="I4100">
            <v>127000</v>
          </cell>
          <cell r="J4100">
            <v>137114.42000000001</v>
          </cell>
        </row>
        <row r="4101">
          <cell r="A4101">
            <v>1815730181</v>
          </cell>
          <cell r="B4101" t="str">
            <v>ק'השתל'מורים-מעביד</v>
          </cell>
          <cell r="C4101">
            <v>0</v>
          </cell>
          <cell r="D4101">
            <v>0</v>
          </cell>
          <cell r="E4101">
            <v>0</v>
          </cell>
          <cell r="F4101">
            <v>0</v>
          </cell>
          <cell r="G4101">
            <v>0</v>
          </cell>
          <cell r="H4101">
            <v>0</v>
          </cell>
          <cell r="I4101">
            <v>0</v>
          </cell>
          <cell r="J4101">
            <v>0</v>
          </cell>
        </row>
        <row r="4102">
          <cell r="A4102">
            <v>1815730210</v>
          </cell>
          <cell r="B4102" t="str">
            <v>השכר הקובע</v>
          </cell>
          <cell r="C4102">
            <v>0</v>
          </cell>
          <cell r="D4102">
            <v>0</v>
          </cell>
          <cell r="E4102">
            <v>0</v>
          </cell>
          <cell r="F4102">
            <v>0</v>
          </cell>
          <cell r="G4102">
            <v>0</v>
          </cell>
          <cell r="H4102">
            <v>0</v>
          </cell>
          <cell r="I4102">
            <v>0</v>
          </cell>
          <cell r="J4102">
            <v>0</v>
          </cell>
        </row>
        <row r="4103">
          <cell r="A4103">
            <v>1815730211</v>
          </cell>
          <cell r="B4103" t="str">
            <v>הזדמנות ראשונה</v>
          </cell>
          <cell r="C4103">
            <v>0</v>
          </cell>
          <cell r="D4103">
            <v>0</v>
          </cell>
          <cell r="E4103">
            <v>0</v>
          </cell>
          <cell r="F4103">
            <v>0</v>
          </cell>
          <cell r="G4103">
            <v>0</v>
          </cell>
          <cell r="H4103">
            <v>0</v>
          </cell>
          <cell r="I4103">
            <v>0</v>
          </cell>
          <cell r="J4103">
            <v>0</v>
          </cell>
        </row>
        <row r="4104">
          <cell r="A4104">
            <v>1815730212</v>
          </cell>
          <cell r="B4104" t="str">
            <v>שעורי עזר לעולים</v>
          </cell>
          <cell r="C4104">
            <v>0</v>
          </cell>
          <cell r="D4104">
            <v>0</v>
          </cell>
          <cell r="E4104">
            <v>0</v>
          </cell>
          <cell r="F4104">
            <v>0</v>
          </cell>
          <cell r="G4104">
            <v>0</v>
          </cell>
          <cell r="H4104">
            <v>0</v>
          </cell>
          <cell r="I4104">
            <v>0</v>
          </cell>
          <cell r="J4104">
            <v>0</v>
          </cell>
        </row>
        <row r="4105">
          <cell r="A4105">
            <v>1815730213</v>
          </cell>
          <cell r="B4105" t="str">
            <v>שעורי עזר לנכים</v>
          </cell>
          <cell r="C4105">
            <v>0</v>
          </cell>
          <cell r="D4105">
            <v>0</v>
          </cell>
          <cell r="E4105">
            <v>0</v>
          </cell>
          <cell r="F4105">
            <v>0</v>
          </cell>
          <cell r="G4105">
            <v>0</v>
          </cell>
          <cell r="H4105">
            <v>0</v>
          </cell>
          <cell r="I4105">
            <v>0</v>
          </cell>
          <cell r="J4105">
            <v>0</v>
          </cell>
        </row>
        <row r="4106">
          <cell r="A4106">
            <v>1815730214</v>
          </cell>
          <cell r="B4106" t="str">
            <v>שעורי עזר לתלמידים</v>
          </cell>
          <cell r="C4106">
            <v>0</v>
          </cell>
          <cell r="D4106">
            <v>0</v>
          </cell>
          <cell r="E4106">
            <v>0</v>
          </cell>
          <cell r="F4106">
            <v>0</v>
          </cell>
          <cell r="G4106">
            <v>0</v>
          </cell>
          <cell r="H4106">
            <v>0</v>
          </cell>
          <cell r="I4106">
            <v>0</v>
          </cell>
          <cell r="J4106">
            <v>0</v>
          </cell>
        </row>
        <row r="4107">
          <cell r="A4107">
            <v>1815730215</v>
          </cell>
          <cell r="B4107" t="str">
            <v>קייטנת קיץ בחטיבות ותיכוניים</v>
          </cell>
          <cell r="C4107">
            <v>0</v>
          </cell>
          <cell r="D4107">
            <v>0</v>
          </cell>
          <cell r="E4107">
            <v>0</v>
          </cell>
          <cell r="F4107">
            <v>0</v>
          </cell>
          <cell r="G4107">
            <v>0</v>
          </cell>
          <cell r="H4107">
            <v>0</v>
          </cell>
          <cell r="I4107">
            <v>0</v>
          </cell>
          <cell r="J4107">
            <v>0</v>
          </cell>
        </row>
        <row r="4108">
          <cell r="A4108">
            <v>1815730216</v>
          </cell>
          <cell r="B4108" t="str">
            <v>פרויקט גימלאים</v>
          </cell>
          <cell r="C4108">
            <v>19000</v>
          </cell>
          <cell r="D4108">
            <v>0</v>
          </cell>
          <cell r="E4108">
            <v>0</v>
          </cell>
          <cell r="F4108">
            <v>0</v>
          </cell>
          <cell r="G4108">
            <v>19000</v>
          </cell>
          <cell r="H4108">
            <v>0</v>
          </cell>
          <cell r="I4108">
            <v>20000</v>
          </cell>
          <cell r="J4108">
            <v>0</v>
          </cell>
        </row>
        <row r="4109">
          <cell r="A4109">
            <v>1815730250</v>
          </cell>
          <cell r="B4109" t="str">
            <v>שעות השאלה</v>
          </cell>
          <cell r="C4109">
            <v>426835</v>
          </cell>
          <cell r="D4109">
            <v>231802.06</v>
          </cell>
          <cell r="E4109">
            <v>0</v>
          </cell>
          <cell r="F4109">
            <v>231802.06</v>
          </cell>
          <cell r="G4109">
            <v>195032.94</v>
          </cell>
          <cell r="H4109">
            <v>54.3</v>
          </cell>
          <cell r="I4109">
            <v>449300</v>
          </cell>
          <cell r="J4109">
            <v>231802.06</v>
          </cell>
        </row>
        <row r="4110">
          <cell r="A4110">
            <v>1815730261</v>
          </cell>
          <cell r="B4110" t="str">
            <v>תכנית גי"א / מש"ב</v>
          </cell>
          <cell r="C4110">
            <v>0</v>
          </cell>
          <cell r="D4110">
            <v>0</v>
          </cell>
          <cell r="E4110">
            <v>0</v>
          </cell>
          <cell r="F4110">
            <v>0</v>
          </cell>
          <cell r="G4110">
            <v>0</v>
          </cell>
          <cell r="H4110">
            <v>0</v>
          </cell>
          <cell r="I4110">
            <v>0</v>
          </cell>
          <cell r="J4110">
            <v>0</v>
          </cell>
        </row>
        <row r="4111">
          <cell r="A4111">
            <v>1815730262</v>
          </cell>
          <cell r="B4111" t="str">
            <v>שעות שאילה - משה"ח</v>
          </cell>
          <cell r="C4111">
            <v>0</v>
          </cell>
          <cell r="D4111">
            <v>0</v>
          </cell>
          <cell r="E4111">
            <v>0</v>
          </cell>
          <cell r="F4111">
            <v>0</v>
          </cell>
          <cell r="G4111">
            <v>0</v>
          </cell>
          <cell r="H4111">
            <v>0</v>
          </cell>
          <cell r="I4111">
            <v>0</v>
          </cell>
          <cell r="J4111">
            <v>0</v>
          </cell>
        </row>
        <row r="4112">
          <cell r="A4112">
            <v>1815730263</v>
          </cell>
          <cell r="B4112" t="str">
            <v>עובדי מינהלה</v>
          </cell>
          <cell r="C4112">
            <v>0</v>
          </cell>
          <cell r="D4112">
            <v>0</v>
          </cell>
          <cell r="E4112">
            <v>0</v>
          </cell>
          <cell r="F4112">
            <v>0</v>
          </cell>
          <cell r="G4112">
            <v>0</v>
          </cell>
          <cell r="H4112">
            <v>0</v>
          </cell>
          <cell r="I4112">
            <v>0</v>
          </cell>
          <cell r="J4112">
            <v>0</v>
          </cell>
        </row>
        <row r="4113">
          <cell r="A4113">
            <v>1815730391</v>
          </cell>
          <cell r="B4113" t="str">
            <v>הפרשה לפנסיה</v>
          </cell>
          <cell r="C4113">
            <v>0</v>
          </cell>
          <cell r="D4113">
            <v>0</v>
          </cell>
          <cell r="E4113">
            <v>0</v>
          </cell>
          <cell r="F4113">
            <v>0</v>
          </cell>
          <cell r="G4113">
            <v>0</v>
          </cell>
          <cell r="H4113">
            <v>0</v>
          </cell>
          <cell r="I4113">
            <v>0</v>
          </cell>
          <cell r="J4113">
            <v>0</v>
          </cell>
        </row>
        <row r="4114">
          <cell r="A4114">
            <v>1815730411</v>
          </cell>
          <cell r="B4114" t="str">
            <v>שכירת אולמות</v>
          </cell>
          <cell r="C4114">
            <v>0</v>
          </cell>
          <cell r="D4114">
            <v>0</v>
          </cell>
          <cell r="E4114">
            <v>0</v>
          </cell>
          <cell r="F4114">
            <v>0</v>
          </cell>
          <cell r="G4114">
            <v>0</v>
          </cell>
          <cell r="H4114">
            <v>0</v>
          </cell>
          <cell r="I4114">
            <v>0</v>
          </cell>
          <cell r="J4114">
            <v>0</v>
          </cell>
        </row>
        <row r="4115">
          <cell r="A4115">
            <v>1815730420</v>
          </cell>
          <cell r="B4115" t="str">
            <v>כיבוי אש</v>
          </cell>
          <cell r="C4115">
            <v>14250</v>
          </cell>
          <cell r="D4115">
            <v>13036.36</v>
          </cell>
          <cell r="E4115">
            <v>0</v>
          </cell>
          <cell r="F4115">
            <v>13036.36</v>
          </cell>
          <cell r="G4115">
            <v>1213.6400000000001</v>
          </cell>
          <cell r="H4115">
            <v>91.48</v>
          </cell>
          <cell r="I4115">
            <v>15000</v>
          </cell>
          <cell r="J4115">
            <v>13036.36</v>
          </cell>
        </row>
        <row r="4116">
          <cell r="A4116">
            <v>1815730423</v>
          </cell>
          <cell r="B4116" t="str">
            <v>תחזוקת מבנה</v>
          </cell>
          <cell r="C4116">
            <v>42750</v>
          </cell>
          <cell r="D4116">
            <v>45000</v>
          </cell>
          <cell r="E4116">
            <v>0</v>
          </cell>
          <cell r="F4116">
            <v>45000</v>
          </cell>
          <cell r="G4116">
            <v>-2250</v>
          </cell>
          <cell r="H4116">
            <v>105.26</v>
          </cell>
          <cell r="I4116">
            <v>45000</v>
          </cell>
          <cell r="J4116">
            <v>45000</v>
          </cell>
        </row>
        <row r="4117">
          <cell r="A4117">
            <v>1815730431</v>
          </cell>
          <cell r="B4117" t="str">
            <v>חשמל</v>
          </cell>
          <cell r="C4117">
            <v>139650</v>
          </cell>
          <cell r="D4117">
            <v>129167</v>
          </cell>
          <cell r="E4117">
            <v>0</v>
          </cell>
          <cell r="F4117">
            <v>129167</v>
          </cell>
          <cell r="G4117">
            <v>10483</v>
          </cell>
          <cell r="H4117">
            <v>92.49</v>
          </cell>
          <cell r="I4117">
            <v>147000</v>
          </cell>
          <cell r="J4117">
            <v>129167</v>
          </cell>
        </row>
        <row r="4118">
          <cell r="A4118">
            <v>1815730432</v>
          </cell>
          <cell r="B4118" t="str">
            <v>מים</v>
          </cell>
          <cell r="C4118">
            <v>34675</v>
          </cell>
          <cell r="D4118">
            <v>32001</v>
          </cell>
          <cell r="E4118">
            <v>0</v>
          </cell>
          <cell r="F4118">
            <v>32001</v>
          </cell>
          <cell r="G4118">
            <v>2674</v>
          </cell>
          <cell r="H4118">
            <v>92.28</v>
          </cell>
          <cell r="I4118">
            <v>36500</v>
          </cell>
          <cell r="J4118">
            <v>32001</v>
          </cell>
        </row>
        <row r="4119">
          <cell r="A4119">
            <v>1815730433</v>
          </cell>
          <cell r="B4119" t="str">
            <v>חומרי נקיון</v>
          </cell>
          <cell r="C4119">
            <v>0</v>
          </cell>
          <cell r="D4119">
            <v>0</v>
          </cell>
          <cell r="E4119">
            <v>0</v>
          </cell>
          <cell r="F4119">
            <v>0</v>
          </cell>
          <cell r="G4119">
            <v>0</v>
          </cell>
          <cell r="H4119">
            <v>0</v>
          </cell>
          <cell r="I4119">
            <v>0</v>
          </cell>
          <cell r="J4119">
            <v>0</v>
          </cell>
        </row>
        <row r="4120">
          <cell r="A4120">
            <v>1815730434</v>
          </cell>
          <cell r="B4120" t="str">
            <v>חיטוי והדברה</v>
          </cell>
          <cell r="C4120">
            <v>0</v>
          </cell>
          <cell r="D4120">
            <v>0</v>
          </cell>
          <cell r="E4120">
            <v>0</v>
          </cell>
          <cell r="F4120">
            <v>0</v>
          </cell>
          <cell r="G4120">
            <v>0</v>
          </cell>
          <cell r="H4120">
            <v>0</v>
          </cell>
          <cell r="I4120">
            <v>0</v>
          </cell>
          <cell r="J4120">
            <v>0</v>
          </cell>
        </row>
        <row r="4121">
          <cell r="A4121">
            <v>1815730437</v>
          </cell>
          <cell r="B4121" t="str">
            <v>אחזקת אזעקה</v>
          </cell>
          <cell r="C4121">
            <v>2375</v>
          </cell>
          <cell r="D4121">
            <v>1832.22</v>
          </cell>
          <cell r="E4121">
            <v>0</v>
          </cell>
          <cell r="F4121">
            <v>1832.22</v>
          </cell>
          <cell r="G4121">
            <v>542.78</v>
          </cell>
          <cell r="H4121">
            <v>77.14</v>
          </cell>
          <cell r="I4121">
            <v>2500</v>
          </cell>
          <cell r="J4121">
            <v>1832.22</v>
          </cell>
        </row>
        <row r="4122">
          <cell r="A4122">
            <v>1815730441</v>
          </cell>
          <cell r="B4122" t="str">
            <v>ביטוח</v>
          </cell>
          <cell r="C4122">
            <v>0</v>
          </cell>
          <cell r="D4122">
            <v>0</v>
          </cell>
          <cell r="E4122">
            <v>0</v>
          </cell>
          <cell r="F4122">
            <v>0</v>
          </cell>
          <cell r="G4122">
            <v>0</v>
          </cell>
          <cell r="H4122">
            <v>0</v>
          </cell>
          <cell r="I4122">
            <v>0</v>
          </cell>
          <cell r="J4122">
            <v>0</v>
          </cell>
        </row>
        <row r="4123">
          <cell r="A4123">
            <v>1815730450</v>
          </cell>
          <cell r="B4123" t="str">
            <v>ריהוט ואחזקתו</v>
          </cell>
          <cell r="C4123">
            <v>11115</v>
          </cell>
          <cell r="D4123">
            <v>9033</v>
          </cell>
          <cell r="E4123">
            <v>0</v>
          </cell>
          <cell r="F4123">
            <v>9033</v>
          </cell>
          <cell r="G4123">
            <v>2082</v>
          </cell>
          <cell r="H4123">
            <v>81.260000000000005</v>
          </cell>
          <cell r="I4123">
            <v>11700</v>
          </cell>
          <cell r="J4123">
            <v>9033</v>
          </cell>
        </row>
        <row r="4124">
          <cell r="A4124">
            <v>1815730451</v>
          </cell>
          <cell r="B4124" t="str">
            <v>הוצאות גפ"ן בית ספרי</v>
          </cell>
          <cell r="C4124">
            <v>0</v>
          </cell>
          <cell r="D4124">
            <v>0</v>
          </cell>
          <cell r="E4124">
            <v>0</v>
          </cell>
          <cell r="F4124">
            <v>0</v>
          </cell>
          <cell r="G4124">
            <v>0</v>
          </cell>
          <cell r="H4124">
            <v>0</v>
          </cell>
          <cell r="I4124">
            <v>0</v>
          </cell>
          <cell r="J4124">
            <v>0</v>
          </cell>
        </row>
        <row r="4125">
          <cell r="A4125">
            <v>1815730452</v>
          </cell>
          <cell r="B4125" t="str">
            <v>השתתפות עירונית בגפ"ן</v>
          </cell>
          <cell r="C4125">
            <v>0</v>
          </cell>
          <cell r="D4125">
            <v>0</v>
          </cell>
          <cell r="E4125">
            <v>0</v>
          </cell>
          <cell r="F4125">
            <v>0</v>
          </cell>
          <cell r="G4125">
            <v>0</v>
          </cell>
          <cell r="H4125">
            <v>0</v>
          </cell>
          <cell r="I4125">
            <v>0</v>
          </cell>
          <cell r="J4125">
            <v>0</v>
          </cell>
        </row>
        <row r="4126">
          <cell r="A4126">
            <v>1815730470</v>
          </cell>
          <cell r="B4126" t="str">
            <v>אחזקת מכונות משרד</v>
          </cell>
          <cell r="C4126">
            <v>0</v>
          </cell>
          <cell r="D4126">
            <v>0</v>
          </cell>
          <cell r="E4126">
            <v>0</v>
          </cell>
          <cell r="F4126">
            <v>0</v>
          </cell>
          <cell r="G4126">
            <v>0</v>
          </cell>
          <cell r="H4126">
            <v>0</v>
          </cell>
          <cell r="I4126">
            <v>0</v>
          </cell>
          <cell r="J4126">
            <v>0</v>
          </cell>
        </row>
        <row r="4127">
          <cell r="A4127">
            <v>1815730471</v>
          </cell>
          <cell r="B4127" t="str">
            <v>מכשירי כתיבה</v>
          </cell>
          <cell r="C4127">
            <v>0</v>
          </cell>
          <cell r="D4127">
            <v>0</v>
          </cell>
          <cell r="E4127">
            <v>0</v>
          </cell>
          <cell r="F4127">
            <v>0</v>
          </cell>
          <cell r="G4127">
            <v>0</v>
          </cell>
          <cell r="H4127">
            <v>0</v>
          </cell>
          <cell r="I4127">
            <v>0</v>
          </cell>
          <cell r="J4127">
            <v>0</v>
          </cell>
        </row>
        <row r="4128">
          <cell r="A4128">
            <v>1815730511</v>
          </cell>
          <cell r="B4128" t="str">
            <v>אירוח וכיבוד</v>
          </cell>
          <cell r="C4128">
            <v>11115</v>
          </cell>
          <cell r="D4128">
            <v>10991.94</v>
          </cell>
          <cell r="E4128">
            <v>0</v>
          </cell>
          <cell r="F4128">
            <v>10991.94</v>
          </cell>
          <cell r="G4128">
            <v>123.06</v>
          </cell>
          <cell r="H4128">
            <v>98.89</v>
          </cell>
          <cell r="I4128">
            <v>11700</v>
          </cell>
          <cell r="J4128">
            <v>10991.94</v>
          </cell>
        </row>
        <row r="4129">
          <cell r="A4129">
            <v>1815730512</v>
          </cell>
          <cell r="B4129" t="str">
            <v>נסיעות ואש"ל</v>
          </cell>
          <cell r="C4129">
            <v>0</v>
          </cell>
          <cell r="D4129">
            <v>0</v>
          </cell>
          <cell r="E4129">
            <v>0</v>
          </cell>
          <cell r="F4129">
            <v>0</v>
          </cell>
          <cell r="G4129">
            <v>0</v>
          </cell>
          <cell r="H4129">
            <v>0</v>
          </cell>
          <cell r="I4129">
            <v>0</v>
          </cell>
          <cell r="J4129">
            <v>0</v>
          </cell>
        </row>
        <row r="4130">
          <cell r="A4130">
            <v>1815730517</v>
          </cell>
          <cell r="B4130" t="str">
            <v>מסיבות מפקדים ושי</v>
          </cell>
          <cell r="C4130">
            <v>0</v>
          </cell>
          <cell r="D4130">
            <v>0</v>
          </cell>
          <cell r="E4130">
            <v>0</v>
          </cell>
          <cell r="F4130">
            <v>0</v>
          </cell>
          <cell r="G4130">
            <v>0</v>
          </cell>
          <cell r="H4130">
            <v>0</v>
          </cell>
          <cell r="I4130">
            <v>0</v>
          </cell>
          <cell r="J4130">
            <v>0</v>
          </cell>
        </row>
        <row r="4131">
          <cell r="A4131">
            <v>1815730522</v>
          </cell>
          <cell r="B4131" t="str">
            <v>ספריות</v>
          </cell>
          <cell r="C4131">
            <v>0</v>
          </cell>
          <cell r="D4131">
            <v>0</v>
          </cell>
          <cell r="E4131">
            <v>0</v>
          </cell>
          <cell r="F4131">
            <v>0</v>
          </cell>
          <cell r="G4131">
            <v>0</v>
          </cell>
          <cell r="H4131">
            <v>0</v>
          </cell>
          <cell r="I4131">
            <v>0</v>
          </cell>
          <cell r="J4131">
            <v>0</v>
          </cell>
        </row>
        <row r="4132">
          <cell r="A4132">
            <v>1815730530</v>
          </cell>
          <cell r="B4132" t="str">
            <v>אופניים לעובדים</v>
          </cell>
          <cell r="C4132">
            <v>0</v>
          </cell>
          <cell r="D4132">
            <v>0</v>
          </cell>
          <cell r="E4132">
            <v>0</v>
          </cell>
          <cell r="F4132">
            <v>0</v>
          </cell>
          <cell r="G4132">
            <v>0</v>
          </cell>
          <cell r="H4132">
            <v>0</v>
          </cell>
          <cell r="I4132">
            <v>0</v>
          </cell>
          <cell r="J4132">
            <v>0</v>
          </cell>
        </row>
        <row r="4133">
          <cell r="A4133">
            <v>1815730540</v>
          </cell>
          <cell r="B4133" t="str">
            <v>הוצאות טלפון</v>
          </cell>
          <cell r="C4133">
            <v>0</v>
          </cell>
          <cell r="D4133">
            <v>0</v>
          </cell>
          <cell r="E4133">
            <v>0</v>
          </cell>
          <cell r="F4133">
            <v>0</v>
          </cell>
          <cell r="G4133">
            <v>0</v>
          </cell>
          <cell r="H4133">
            <v>0</v>
          </cell>
          <cell r="I4133">
            <v>0</v>
          </cell>
          <cell r="J4133">
            <v>0</v>
          </cell>
        </row>
        <row r="4134">
          <cell r="A4134">
            <v>1815730544</v>
          </cell>
          <cell r="B4134" t="str">
            <v>הוצאות דאר</v>
          </cell>
          <cell r="C4134">
            <v>0</v>
          </cell>
          <cell r="D4134">
            <v>0</v>
          </cell>
          <cell r="E4134">
            <v>0</v>
          </cell>
          <cell r="F4134">
            <v>0</v>
          </cell>
          <cell r="G4134">
            <v>0</v>
          </cell>
          <cell r="H4134">
            <v>0</v>
          </cell>
          <cell r="I4134">
            <v>0</v>
          </cell>
          <cell r="J4134">
            <v>0</v>
          </cell>
        </row>
        <row r="4135">
          <cell r="A4135">
            <v>1815730562</v>
          </cell>
          <cell r="B4135" t="str">
            <v>הדפסות</v>
          </cell>
          <cell r="C4135">
            <v>0</v>
          </cell>
          <cell r="D4135">
            <v>0</v>
          </cell>
          <cell r="E4135">
            <v>0</v>
          </cell>
          <cell r="F4135">
            <v>0</v>
          </cell>
          <cell r="G4135">
            <v>0</v>
          </cell>
          <cell r="H4135">
            <v>0</v>
          </cell>
          <cell r="I4135">
            <v>0</v>
          </cell>
          <cell r="J4135">
            <v>0</v>
          </cell>
        </row>
        <row r="4136">
          <cell r="A4136">
            <v>1815730583</v>
          </cell>
          <cell r="B4136" t="str">
            <v>שרות רפואי</v>
          </cell>
          <cell r="C4136">
            <v>0</v>
          </cell>
          <cell r="D4136">
            <v>0</v>
          </cell>
          <cell r="E4136">
            <v>0</v>
          </cell>
          <cell r="F4136">
            <v>0</v>
          </cell>
          <cell r="G4136">
            <v>0</v>
          </cell>
          <cell r="H4136">
            <v>0</v>
          </cell>
          <cell r="I4136">
            <v>0</v>
          </cell>
          <cell r="J4136">
            <v>0</v>
          </cell>
        </row>
        <row r="4137">
          <cell r="A4137">
            <v>1815730584</v>
          </cell>
          <cell r="B4137" t="str">
            <v>שרות פסיכולוגי</v>
          </cell>
          <cell r="C4137">
            <v>0</v>
          </cell>
          <cell r="D4137">
            <v>0</v>
          </cell>
          <cell r="E4137">
            <v>0</v>
          </cell>
          <cell r="F4137">
            <v>0</v>
          </cell>
          <cell r="G4137">
            <v>0</v>
          </cell>
          <cell r="H4137">
            <v>0</v>
          </cell>
          <cell r="I4137">
            <v>0</v>
          </cell>
          <cell r="J4137">
            <v>0</v>
          </cell>
        </row>
        <row r="4138">
          <cell r="A4138">
            <v>1815730585</v>
          </cell>
          <cell r="B4138" t="str">
            <v>שרות אחות</v>
          </cell>
          <cell r="C4138">
            <v>0</v>
          </cell>
          <cell r="D4138">
            <v>0</v>
          </cell>
          <cell r="E4138">
            <v>0</v>
          </cell>
          <cell r="F4138">
            <v>0</v>
          </cell>
          <cell r="G4138">
            <v>0</v>
          </cell>
          <cell r="H4138">
            <v>0</v>
          </cell>
          <cell r="I4138">
            <v>0</v>
          </cell>
          <cell r="J4138">
            <v>0</v>
          </cell>
        </row>
        <row r="4139">
          <cell r="A4139">
            <v>1815730721</v>
          </cell>
          <cell r="B4139" t="str">
            <v>חמרים-תחזוקת מבנים</v>
          </cell>
          <cell r="C4139">
            <v>4275</v>
          </cell>
          <cell r="D4139">
            <v>0</v>
          </cell>
          <cell r="E4139">
            <v>0</v>
          </cell>
          <cell r="F4139">
            <v>0</v>
          </cell>
          <cell r="G4139">
            <v>4275</v>
          </cell>
          <cell r="H4139">
            <v>0</v>
          </cell>
          <cell r="I4139">
            <v>4500</v>
          </cell>
          <cell r="J4139">
            <v>0</v>
          </cell>
        </row>
        <row r="4140">
          <cell r="A4140">
            <v>1815730722</v>
          </cell>
          <cell r="B4140" t="str">
            <v>חמרים-תחזוקה עצמית</v>
          </cell>
          <cell r="C4140">
            <v>0</v>
          </cell>
          <cell r="D4140">
            <v>0</v>
          </cell>
          <cell r="E4140">
            <v>0</v>
          </cell>
          <cell r="F4140">
            <v>0</v>
          </cell>
          <cell r="G4140">
            <v>0</v>
          </cell>
          <cell r="H4140">
            <v>0</v>
          </cell>
          <cell r="I4140">
            <v>0</v>
          </cell>
          <cell r="J4140">
            <v>0</v>
          </cell>
        </row>
        <row r="4141">
          <cell r="A4141">
            <v>1815730723</v>
          </cell>
          <cell r="B4141" t="str">
            <v>חומרים אוזלים</v>
          </cell>
          <cell r="C4141">
            <v>0</v>
          </cell>
          <cell r="D4141">
            <v>0</v>
          </cell>
          <cell r="E4141">
            <v>0</v>
          </cell>
          <cell r="F4141">
            <v>0</v>
          </cell>
          <cell r="G4141">
            <v>0</v>
          </cell>
          <cell r="H4141">
            <v>0</v>
          </cell>
          <cell r="I4141">
            <v>0</v>
          </cell>
          <cell r="J4141">
            <v>0</v>
          </cell>
        </row>
        <row r="4142">
          <cell r="A4142">
            <v>1815730724</v>
          </cell>
          <cell r="B4142" t="str">
            <v>ציוד למגמות</v>
          </cell>
          <cell r="C4142">
            <v>0</v>
          </cell>
          <cell r="D4142">
            <v>0</v>
          </cell>
          <cell r="E4142">
            <v>0</v>
          </cell>
          <cell r="F4142">
            <v>0</v>
          </cell>
          <cell r="G4142">
            <v>0</v>
          </cell>
          <cell r="H4142">
            <v>0</v>
          </cell>
          <cell r="I4142">
            <v>0</v>
          </cell>
          <cell r="J4142">
            <v>0</v>
          </cell>
        </row>
        <row r="4143">
          <cell r="A4143">
            <v>1815730742</v>
          </cell>
          <cell r="B4143" t="str">
            <v>כלים וציוד</v>
          </cell>
          <cell r="C4143">
            <v>55765</v>
          </cell>
          <cell r="D4143">
            <v>64059</v>
          </cell>
          <cell r="E4143">
            <v>0</v>
          </cell>
          <cell r="F4143">
            <v>64059</v>
          </cell>
          <cell r="G4143">
            <v>-8294</v>
          </cell>
          <cell r="H4143">
            <v>114.87</v>
          </cell>
          <cell r="I4143">
            <v>58700</v>
          </cell>
          <cell r="J4143">
            <v>64059</v>
          </cell>
        </row>
        <row r="4144">
          <cell r="A4144">
            <v>1815730743</v>
          </cell>
          <cell r="B4144" t="str">
            <v>תחז' ציוד אלקטרוני</v>
          </cell>
          <cell r="C4144">
            <v>0</v>
          </cell>
          <cell r="D4144">
            <v>0</v>
          </cell>
          <cell r="E4144">
            <v>0</v>
          </cell>
          <cell r="F4144">
            <v>0</v>
          </cell>
          <cell r="G4144">
            <v>0</v>
          </cell>
          <cell r="H4144">
            <v>0</v>
          </cell>
          <cell r="I4144">
            <v>0</v>
          </cell>
          <cell r="J4144">
            <v>0</v>
          </cell>
        </row>
        <row r="4145">
          <cell r="A4145">
            <v>1815730744</v>
          </cell>
          <cell r="B4145" t="str">
            <v>ציוד מגמה טכנולוגי</v>
          </cell>
          <cell r="C4145">
            <v>0</v>
          </cell>
          <cell r="D4145">
            <v>0</v>
          </cell>
          <cell r="E4145">
            <v>0</v>
          </cell>
          <cell r="F4145">
            <v>0</v>
          </cell>
          <cell r="G4145">
            <v>0</v>
          </cell>
          <cell r="H4145">
            <v>0</v>
          </cell>
          <cell r="I4145">
            <v>0</v>
          </cell>
          <cell r="J4145">
            <v>0</v>
          </cell>
        </row>
        <row r="4146">
          <cell r="A4146">
            <v>1815730745</v>
          </cell>
          <cell r="B4146" t="str">
            <v>דמי פריצה - תכולה</v>
          </cell>
          <cell r="C4146">
            <v>0</v>
          </cell>
          <cell r="D4146">
            <v>0</v>
          </cell>
          <cell r="E4146">
            <v>0</v>
          </cell>
          <cell r="F4146">
            <v>0</v>
          </cell>
          <cell r="G4146">
            <v>0</v>
          </cell>
          <cell r="H4146">
            <v>0</v>
          </cell>
          <cell r="I4146">
            <v>0</v>
          </cell>
          <cell r="J4146">
            <v>0</v>
          </cell>
        </row>
        <row r="4147">
          <cell r="A4147">
            <v>1815730746</v>
          </cell>
          <cell r="B4147" t="str">
            <v>דמי פריצה - מבנה</v>
          </cell>
          <cell r="C4147">
            <v>0</v>
          </cell>
          <cell r="D4147">
            <v>0</v>
          </cell>
          <cell r="E4147">
            <v>0</v>
          </cell>
          <cell r="F4147">
            <v>0</v>
          </cell>
          <cell r="G4147">
            <v>0</v>
          </cell>
          <cell r="H4147">
            <v>0</v>
          </cell>
          <cell r="I4147">
            <v>0</v>
          </cell>
          <cell r="J4147">
            <v>0</v>
          </cell>
        </row>
        <row r="4148">
          <cell r="A4148">
            <v>1815730750</v>
          </cell>
          <cell r="B4148" t="str">
            <v>אחזקת מוסדות</v>
          </cell>
          <cell r="C4148">
            <v>377435</v>
          </cell>
          <cell r="D4148">
            <v>251199</v>
          </cell>
          <cell r="E4148">
            <v>0</v>
          </cell>
          <cell r="F4148">
            <v>251199</v>
          </cell>
          <cell r="G4148">
            <v>126236</v>
          </cell>
          <cell r="H4148">
            <v>66.55</v>
          </cell>
          <cell r="I4148">
            <v>397300</v>
          </cell>
          <cell r="J4148">
            <v>251199</v>
          </cell>
        </row>
        <row r="4149">
          <cell r="A4149">
            <v>1815730751</v>
          </cell>
          <cell r="B4149" t="str">
            <v>עבודות קבלניות</v>
          </cell>
          <cell r="C4149">
            <v>0</v>
          </cell>
          <cell r="D4149">
            <v>0</v>
          </cell>
          <cell r="E4149">
            <v>0</v>
          </cell>
          <cell r="F4149">
            <v>0</v>
          </cell>
          <cell r="G4149">
            <v>0</v>
          </cell>
          <cell r="H4149">
            <v>0</v>
          </cell>
          <cell r="I4149">
            <v>0</v>
          </cell>
          <cell r="J4149">
            <v>0</v>
          </cell>
        </row>
        <row r="4150">
          <cell r="A4150">
            <v>1815730752</v>
          </cell>
          <cell r="B4150" t="str">
            <v>נקיון בקבלנות</v>
          </cell>
          <cell r="C4150">
            <v>757625</v>
          </cell>
          <cell r="D4150">
            <v>797499.67</v>
          </cell>
          <cell r="E4150">
            <v>0</v>
          </cell>
          <cell r="F4150">
            <v>797499.67</v>
          </cell>
          <cell r="G4150">
            <v>-39874.67</v>
          </cell>
          <cell r="H4150">
            <v>105.26</v>
          </cell>
          <cell r="I4150">
            <v>797500</v>
          </cell>
          <cell r="J4150">
            <v>797499.67</v>
          </cell>
        </row>
        <row r="4151">
          <cell r="A4151">
            <v>1815730753</v>
          </cell>
          <cell r="B4151" t="str">
            <v>עובדים חיצוניים</v>
          </cell>
          <cell r="C4151">
            <v>0</v>
          </cell>
          <cell r="D4151">
            <v>0</v>
          </cell>
          <cell r="E4151">
            <v>0</v>
          </cell>
          <cell r="F4151">
            <v>0</v>
          </cell>
          <cell r="G4151">
            <v>0</v>
          </cell>
          <cell r="H4151">
            <v>0</v>
          </cell>
          <cell r="I4151">
            <v>0</v>
          </cell>
          <cell r="J4151">
            <v>0</v>
          </cell>
        </row>
        <row r="4152">
          <cell r="A4152">
            <v>1815730755</v>
          </cell>
          <cell r="B4152" t="str">
            <v>אחות-חברת כ"א</v>
          </cell>
          <cell r="C4152">
            <v>0</v>
          </cell>
          <cell r="D4152">
            <v>0</v>
          </cell>
          <cell r="E4152">
            <v>0</v>
          </cell>
          <cell r="F4152">
            <v>0</v>
          </cell>
          <cell r="G4152">
            <v>0</v>
          </cell>
          <cell r="H4152">
            <v>0</v>
          </cell>
          <cell r="I4152">
            <v>0</v>
          </cell>
          <cell r="J4152">
            <v>0</v>
          </cell>
        </row>
        <row r="4153">
          <cell r="A4153">
            <v>1815730757</v>
          </cell>
          <cell r="B4153" t="str">
            <v>פעילות מנ"ע</v>
          </cell>
          <cell r="C4153">
            <v>0</v>
          </cell>
          <cell r="D4153">
            <v>0</v>
          </cell>
          <cell r="E4153">
            <v>0</v>
          </cell>
          <cell r="F4153">
            <v>0</v>
          </cell>
          <cell r="G4153">
            <v>0</v>
          </cell>
          <cell r="H4153">
            <v>0</v>
          </cell>
          <cell r="I4153">
            <v>0</v>
          </cell>
          <cell r="J4153">
            <v>0</v>
          </cell>
        </row>
        <row r="4154">
          <cell r="A4154">
            <v>1815730759</v>
          </cell>
          <cell r="B4154" t="str">
            <v>שרותי סייעות</v>
          </cell>
          <cell r="C4154">
            <v>276300</v>
          </cell>
          <cell r="D4154">
            <v>283913.46000000002</v>
          </cell>
          <cell r="E4154">
            <v>0</v>
          </cell>
          <cell r="F4154">
            <v>283913.46000000002</v>
          </cell>
          <cell r="G4154">
            <v>-7613.46</v>
          </cell>
          <cell r="H4154">
            <v>102.75</v>
          </cell>
          <cell r="I4154">
            <v>276300</v>
          </cell>
          <cell r="J4154">
            <v>283913.46000000002</v>
          </cell>
        </row>
        <row r="4155">
          <cell r="A4155">
            <v>1815730761</v>
          </cell>
          <cell r="B4155" t="str">
            <v>השאלת מורים</v>
          </cell>
          <cell r="C4155">
            <v>0</v>
          </cell>
          <cell r="D4155">
            <v>0</v>
          </cell>
          <cell r="E4155">
            <v>0</v>
          </cell>
          <cell r="F4155">
            <v>0</v>
          </cell>
          <cell r="G4155">
            <v>0</v>
          </cell>
          <cell r="H4155">
            <v>0</v>
          </cell>
          <cell r="I4155">
            <v>0</v>
          </cell>
          <cell r="J4155">
            <v>0</v>
          </cell>
        </row>
        <row r="4156">
          <cell r="A4156">
            <v>1815730762</v>
          </cell>
          <cell r="B4156" t="str">
            <v>שאילת מורים</v>
          </cell>
          <cell r="C4156">
            <v>873905</v>
          </cell>
          <cell r="D4156">
            <v>870850.22</v>
          </cell>
          <cell r="E4156">
            <v>0</v>
          </cell>
          <cell r="F4156">
            <v>870850.22</v>
          </cell>
          <cell r="G4156">
            <v>3054.78</v>
          </cell>
          <cell r="H4156">
            <v>99.65</v>
          </cell>
          <cell r="I4156">
            <v>919900</v>
          </cell>
          <cell r="J4156">
            <v>870850.22</v>
          </cell>
        </row>
        <row r="4157">
          <cell r="A4157">
            <v>1815730763</v>
          </cell>
          <cell r="B4157" t="str">
            <v>עובדי מינהלה</v>
          </cell>
          <cell r="C4157">
            <v>0</v>
          </cell>
          <cell r="D4157">
            <v>0</v>
          </cell>
          <cell r="E4157">
            <v>0</v>
          </cell>
          <cell r="F4157">
            <v>0</v>
          </cell>
          <cell r="G4157">
            <v>0</v>
          </cell>
          <cell r="H4157">
            <v>0</v>
          </cell>
          <cell r="I4157">
            <v>0</v>
          </cell>
          <cell r="J4157">
            <v>0</v>
          </cell>
        </row>
        <row r="4158">
          <cell r="A4158">
            <v>1815730764</v>
          </cell>
          <cell r="B4158" t="str">
            <v>מוסדות מנ"ע</v>
          </cell>
          <cell r="C4158">
            <v>0</v>
          </cell>
          <cell r="D4158">
            <v>0</v>
          </cell>
          <cell r="E4158">
            <v>0</v>
          </cell>
          <cell r="F4158">
            <v>0</v>
          </cell>
          <cell r="G4158">
            <v>0</v>
          </cell>
          <cell r="H4158">
            <v>0</v>
          </cell>
          <cell r="I4158">
            <v>0</v>
          </cell>
          <cell r="J4158">
            <v>0</v>
          </cell>
        </row>
        <row r="4159">
          <cell r="A4159">
            <v>1815730765</v>
          </cell>
          <cell r="B4159" t="str">
            <v>רכז חברתי - חט"ב</v>
          </cell>
          <cell r="C4159">
            <v>0</v>
          </cell>
          <cell r="D4159">
            <v>0</v>
          </cell>
          <cell r="E4159">
            <v>0</v>
          </cell>
          <cell r="F4159">
            <v>0</v>
          </cell>
          <cell r="G4159">
            <v>0</v>
          </cell>
          <cell r="H4159">
            <v>0</v>
          </cell>
          <cell r="I4159">
            <v>0</v>
          </cell>
          <cell r="J4159">
            <v>0</v>
          </cell>
        </row>
        <row r="4160">
          <cell r="A4160">
            <v>1815730780</v>
          </cell>
          <cell r="B4160" t="str">
            <v>חינוך חברתי</v>
          </cell>
          <cell r="C4160">
            <v>11875</v>
          </cell>
          <cell r="D4160">
            <v>12372</v>
          </cell>
          <cell r="E4160">
            <v>0</v>
          </cell>
          <cell r="F4160">
            <v>12372</v>
          </cell>
          <cell r="G4160">
            <v>-497</v>
          </cell>
          <cell r="H4160">
            <v>104.18</v>
          </cell>
          <cell r="I4160">
            <v>12500</v>
          </cell>
          <cell r="J4160">
            <v>12372</v>
          </cell>
        </row>
        <row r="4161">
          <cell r="A4161">
            <v>1815730781</v>
          </cell>
          <cell r="B4161" t="str">
            <v>סיון מחשבים</v>
          </cell>
          <cell r="C4161">
            <v>0</v>
          </cell>
          <cell r="D4161">
            <v>0</v>
          </cell>
          <cell r="E4161">
            <v>0</v>
          </cell>
          <cell r="F4161">
            <v>0</v>
          </cell>
          <cell r="G4161">
            <v>0</v>
          </cell>
          <cell r="H4161">
            <v>0</v>
          </cell>
          <cell r="I4161">
            <v>0</v>
          </cell>
          <cell r="J4161">
            <v>0</v>
          </cell>
        </row>
        <row r="4162">
          <cell r="A4162">
            <v>1815730794</v>
          </cell>
          <cell r="B4162" t="str">
            <v>השתתפות בעזר 094</v>
          </cell>
          <cell r="C4162">
            <v>15865</v>
          </cell>
          <cell r="D4162">
            <v>19920</v>
          </cell>
          <cell r="E4162">
            <v>0</v>
          </cell>
          <cell r="F4162">
            <v>19920</v>
          </cell>
          <cell r="G4162">
            <v>-4055</v>
          </cell>
          <cell r="H4162">
            <v>125.55</v>
          </cell>
          <cell r="I4162">
            <v>16700</v>
          </cell>
          <cell r="J4162">
            <v>19920</v>
          </cell>
        </row>
        <row r="4163">
          <cell r="A4163">
            <v>1815730810</v>
          </cell>
          <cell r="B4163" t="str">
            <v>הקצבה לניהול עצמי</v>
          </cell>
          <cell r="C4163">
            <v>118085</v>
          </cell>
          <cell r="D4163">
            <v>100000</v>
          </cell>
          <cell r="E4163">
            <v>0</v>
          </cell>
          <cell r="F4163">
            <v>100000</v>
          </cell>
          <cell r="G4163">
            <v>18085</v>
          </cell>
          <cell r="H4163">
            <v>84.68</v>
          </cell>
          <cell r="I4163">
            <v>124300</v>
          </cell>
          <cell r="J4163">
            <v>100000</v>
          </cell>
        </row>
        <row r="4164">
          <cell r="A4164">
            <v>1815730812</v>
          </cell>
          <cell r="B4164" t="str">
            <v>מסיבות כיתתיות</v>
          </cell>
          <cell r="C4164">
            <v>17575</v>
          </cell>
          <cell r="D4164">
            <v>19690</v>
          </cell>
          <cell r="E4164">
            <v>0</v>
          </cell>
          <cell r="F4164">
            <v>19690</v>
          </cell>
          <cell r="G4164">
            <v>-2115</v>
          </cell>
          <cell r="H4164">
            <v>112.03</v>
          </cell>
          <cell r="I4164">
            <v>18500</v>
          </cell>
          <cell r="J4164">
            <v>19690</v>
          </cell>
        </row>
        <row r="4165">
          <cell r="A4165">
            <v>1815730816</v>
          </cell>
          <cell r="B4165" t="str">
            <v>חט"ב-הכלה והשתלבות</v>
          </cell>
          <cell r="C4165">
            <v>0</v>
          </cell>
          <cell r="D4165">
            <v>0</v>
          </cell>
          <cell r="E4165">
            <v>0</v>
          </cell>
          <cell r="F4165">
            <v>0</v>
          </cell>
          <cell r="G4165">
            <v>0</v>
          </cell>
          <cell r="H4165">
            <v>0</v>
          </cell>
          <cell r="I4165">
            <v>0</v>
          </cell>
          <cell r="J4165">
            <v>0</v>
          </cell>
        </row>
        <row r="4166">
          <cell r="A4166">
            <v>1815730838</v>
          </cell>
          <cell r="B4166" t="str">
            <v>העברה כנגד הכנסות מש' החינוך</v>
          </cell>
          <cell r="C4166">
            <v>0</v>
          </cell>
          <cell r="D4166">
            <v>0</v>
          </cell>
          <cell r="E4166">
            <v>0</v>
          </cell>
          <cell r="F4166">
            <v>0</v>
          </cell>
          <cell r="G4166">
            <v>0</v>
          </cell>
          <cell r="H4166">
            <v>0</v>
          </cell>
          <cell r="I4166">
            <v>0</v>
          </cell>
          <cell r="J4166">
            <v>0</v>
          </cell>
        </row>
        <row r="4167">
          <cell r="A4167">
            <v>1815730839</v>
          </cell>
          <cell r="B4167" t="str">
            <v>פרוייקט "מניפה"</v>
          </cell>
          <cell r="C4167">
            <v>0</v>
          </cell>
          <cell r="D4167">
            <v>0</v>
          </cell>
          <cell r="E4167">
            <v>0</v>
          </cell>
          <cell r="F4167">
            <v>0</v>
          </cell>
          <cell r="G4167">
            <v>0</v>
          </cell>
          <cell r="H4167">
            <v>0</v>
          </cell>
          <cell r="I4167">
            <v>0</v>
          </cell>
          <cell r="J4167">
            <v>0</v>
          </cell>
        </row>
        <row r="4168">
          <cell r="A4168">
            <v>1815730933</v>
          </cell>
          <cell r="B4168" t="str">
            <v>מזכירות פדגוגית</v>
          </cell>
          <cell r="C4168">
            <v>0</v>
          </cell>
          <cell r="D4168">
            <v>0</v>
          </cell>
          <cell r="E4168">
            <v>0</v>
          </cell>
          <cell r="F4168">
            <v>0</v>
          </cell>
          <cell r="G4168">
            <v>0</v>
          </cell>
          <cell r="H4168">
            <v>0</v>
          </cell>
          <cell r="I4168">
            <v>0</v>
          </cell>
          <cell r="J4168">
            <v>0</v>
          </cell>
        </row>
        <row r="4169">
          <cell r="A4169">
            <v>1815730953</v>
          </cell>
          <cell r="B4169" t="str">
            <v>מערכת גפ"ן</v>
          </cell>
          <cell r="C4169">
            <v>1239940</v>
          </cell>
          <cell r="D4169">
            <v>1135041.7</v>
          </cell>
          <cell r="E4169">
            <v>0</v>
          </cell>
          <cell r="F4169">
            <v>1135041.7</v>
          </cell>
          <cell r="G4169">
            <v>104898.3</v>
          </cell>
          <cell r="H4169">
            <v>91.54</v>
          </cell>
          <cell r="I4169">
            <v>1305200</v>
          </cell>
          <cell r="J4169">
            <v>1135041.7</v>
          </cell>
        </row>
        <row r="4170">
          <cell r="A4170">
            <v>1815730989</v>
          </cell>
          <cell r="B4170" t="str">
            <v>תקורה</v>
          </cell>
          <cell r="C4170">
            <v>1106940</v>
          </cell>
          <cell r="D4170">
            <v>1113872</v>
          </cell>
          <cell r="E4170">
            <v>0</v>
          </cell>
          <cell r="F4170">
            <v>1113872</v>
          </cell>
          <cell r="G4170">
            <v>-6932</v>
          </cell>
          <cell r="H4170">
            <v>100.62</v>
          </cell>
          <cell r="I4170">
            <v>1165200</v>
          </cell>
          <cell r="J4170">
            <v>1113872</v>
          </cell>
        </row>
        <row r="4171">
          <cell r="A4171">
            <v>1815740110</v>
          </cell>
          <cell r="B4171" t="str">
            <v>השכר הקובע-תקציבית</v>
          </cell>
          <cell r="C4171">
            <v>166250</v>
          </cell>
          <cell r="D4171">
            <v>170041.21</v>
          </cell>
          <cell r="E4171">
            <v>0</v>
          </cell>
          <cell r="F4171">
            <v>170041.21</v>
          </cell>
          <cell r="G4171">
            <v>-3791.21</v>
          </cell>
          <cell r="H4171">
            <v>102.28</v>
          </cell>
          <cell r="I4171">
            <v>175000</v>
          </cell>
          <cell r="J4171">
            <v>170041.21</v>
          </cell>
        </row>
        <row r="4172">
          <cell r="A4172">
            <v>1815740118</v>
          </cell>
          <cell r="B4172" t="str">
            <v>שכר עובדי הוראה</v>
          </cell>
          <cell r="C4172">
            <v>29127950</v>
          </cell>
          <cell r="D4172">
            <v>27098172.449999999</v>
          </cell>
          <cell r="E4172">
            <v>0</v>
          </cell>
          <cell r="F4172">
            <v>27098172.449999999</v>
          </cell>
          <cell r="G4172">
            <v>2029777.55</v>
          </cell>
          <cell r="H4172">
            <v>93.03</v>
          </cell>
          <cell r="I4172">
            <v>30661000</v>
          </cell>
          <cell r="J4172">
            <v>27098172.449999999</v>
          </cell>
        </row>
        <row r="4173">
          <cell r="A4173">
            <v>1815740119</v>
          </cell>
          <cell r="B4173" t="str">
            <v>השכר הקובע-צוברת</v>
          </cell>
          <cell r="C4173">
            <v>2555595</v>
          </cell>
          <cell r="D4173">
            <v>3372783.27</v>
          </cell>
          <cell r="E4173">
            <v>0</v>
          </cell>
          <cell r="F4173">
            <v>3372783.27</v>
          </cell>
          <cell r="G4173">
            <v>-817188.27</v>
          </cell>
          <cell r="H4173">
            <v>131.97</v>
          </cell>
          <cell r="I4173">
            <v>2690100</v>
          </cell>
          <cell r="J4173">
            <v>3372783.27</v>
          </cell>
        </row>
        <row r="4174">
          <cell r="A4174">
            <v>1815740122</v>
          </cell>
          <cell r="B4174" t="str">
            <v>ביגוד</v>
          </cell>
          <cell r="C4174">
            <v>243105</v>
          </cell>
          <cell r="D4174">
            <v>284095.77</v>
          </cell>
          <cell r="E4174">
            <v>0</v>
          </cell>
          <cell r="F4174">
            <v>284095.77</v>
          </cell>
          <cell r="G4174">
            <v>-40990.769999999997</v>
          </cell>
          <cell r="H4174">
            <v>116.86</v>
          </cell>
          <cell r="I4174">
            <v>255900</v>
          </cell>
          <cell r="J4174">
            <v>284095.77</v>
          </cell>
        </row>
        <row r="4175">
          <cell r="A4175">
            <v>1815740126</v>
          </cell>
          <cell r="B4175" t="str">
            <v>דמי הבראה</v>
          </cell>
          <cell r="C4175">
            <v>575225</v>
          </cell>
          <cell r="D4175">
            <v>617092.68000000005</v>
          </cell>
          <cell r="E4175">
            <v>0</v>
          </cell>
          <cell r="F4175">
            <v>617092.68000000005</v>
          </cell>
          <cell r="G4175">
            <v>-41867.68</v>
          </cell>
          <cell r="H4175">
            <v>107.27</v>
          </cell>
          <cell r="I4175">
            <v>605500</v>
          </cell>
          <cell r="J4175">
            <v>617092.68000000005</v>
          </cell>
        </row>
        <row r="4176">
          <cell r="A4176">
            <v>1815740130</v>
          </cell>
          <cell r="B4176" t="str">
            <v>שעות נוספות</v>
          </cell>
          <cell r="C4176">
            <v>11780</v>
          </cell>
          <cell r="D4176">
            <v>0</v>
          </cell>
          <cell r="E4176">
            <v>0</v>
          </cell>
          <cell r="F4176">
            <v>0</v>
          </cell>
          <cell r="G4176">
            <v>11780</v>
          </cell>
          <cell r="H4176">
            <v>0</v>
          </cell>
          <cell r="I4176">
            <v>12400</v>
          </cell>
          <cell r="J4176">
            <v>0</v>
          </cell>
        </row>
        <row r="4177">
          <cell r="A4177">
            <v>1815740140</v>
          </cell>
          <cell r="B4177" t="str">
            <v>השתתפות באחזקת רכב</v>
          </cell>
          <cell r="C4177">
            <v>133000</v>
          </cell>
          <cell r="D4177">
            <v>261396.61</v>
          </cell>
          <cell r="E4177">
            <v>0</v>
          </cell>
          <cell r="F4177">
            <v>261396.61</v>
          </cell>
          <cell r="G4177">
            <v>-128396.61</v>
          </cell>
          <cell r="H4177">
            <v>196.53</v>
          </cell>
          <cell r="I4177">
            <v>140000</v>
          </cell>
          <cell r="J4177">
            <v>261396.61</v>
          </cell>
        </row>
        <row r="4178">
          <cell r="A4178">
            <v>1815740181</v>
          </cell>
          <cell r="B4178" t="str">
            <v>ק'השתל'מורים-מעביד</v>
          </cell>
          <cell r="C4178">
            <v>0</v>
          </cell>
          <cell r="D4178">
            <v>0</v>
          </cell>
          <cell r="E4178">
            <v>0</v>
          </cell>
          <cell r="F4178">
            <v>0</v>
          </cell>
          <cell r="G4178">
            <v>0</v>
          </cell>
          <cell r="H4178">
            <v>0</v>
          </cell>
          <cell r="I4178">
            <v>0</v>
          </cell>
          <cell r="J4178">
            <v>0</v>
          </cell>
        </row>
        <row r="4179">
          <cell r="A4179">
            <v>1815740210</v>
          </cell>
          <cell r="B4179" t="str">
            <v>השכר הקובע</v>
          </cell>
          <cell r="C4179">
            <v>0</v>
          </cell>
          <cell r="D4179">
            <v>73274.39</v>
          </cell>
          <cell r="E4179">
            <v>0</v>
          </cell>
          <cell r="F4179">
            <v>73274.39</v>
          </cell>
          <cell r="G4179">
            <v>-73274.39</v>
          </cell>
          <cell r="H4179">
            <v>0</v>
          </cell>
          <cell r="I4179">
            <v>0</v>
          </cell>
          <cell r="J4179">
            <v>73274.39</v>
          </cell>
        </row>
        <row r="4180">
          <cell r="A4180">
            <v>1815740212</v>
          </cell>
          <cell r="B4180" t="str">
            <v>שעורי עזר לעולים</v>
          </cell>
          <cell r="C4180">
            <v>0</v>
          </cell>
          <cell r="D4180">
            <v>0</v>
          </cell>
          <cell r="E4180">
            <v>0</v>
          </cell>
          <cell r="F4180">
            <v>0</v>
          </cell>
          <cell r="G4180">
            <v>0</v>
          </cell>
          <cell r="H4180">
            <v>0</v>
          </cell>
          <cell r="I4180">
            <v>0</v>
          </cell>
          <cell r="J4180">
            <v>0</v>
          </cell>
        </row>
        <row r="4181">
          <cell r="A4181">
            <v>1815740213</v>
          </cell>
          <cell r="B4181" t="str">
            <v>שעורי עזר לנכים</v>
          </cell>
          <cell r="C4181">
            <v>0</v>
          </cell>
          <cell r="D4181">
            <v>3432.64</v>
          </cell>
          <cell r="E4181">
            <v>0</v>
          </cell>
          <cell r="F4181">
            <v>3432.64</v>
          </cell>
          <cell r="G4181">
            <v>-3432.64</v>
          </cell>
          <cell r="H4181">
            <v>0</v>
          </cell>
          <cell r="I4181">
            <v>0</v>
          </cell>
          <cell r="J4181">
            <v>3432.64</v>
          </cell>
        </row>
        <row r="4182">
          <cell r="A4182">
            <v>1815740214</v>
          </cell>
          <cell r="B4182" t="str">
            <v>שעורי עזר לתלמידים</v>
          </cell>
          <cell r="C4182">
            <v>0</v>
          </cell>
          <cell r="D4182">
            <v>21389.49</v>
          </cell>
          <cell r="E4182">
            <v>0</v>
          </cell>
          <cell r="F4182">
            <v>21389.49</v>
          </cell>
          <cell r="G4182">
            <v>-21389.49</v>
          </cell>
          <cell r="H4182">
            <v>0</v>
          </cell>
          <cell r="I4182">
            <v>0</v>
          </cell>
          <cell r="J4182">
            <v>21389.49</v>
          </cell>
        </row>
        <row r="4183">
          <cell r="A4183">
            <v>1815740215</v>
          </cell>
          <cell r="B4183" t="str">
            <v>קייטנת קיץ בחטיבות ותיכוניים</v>
          </cell>
          <cell r="C4183">
            <v>0</v>
          </cell>
          <cell r="D4183">
            <v>0</v>
          </cell>
          <cell r="E4183">
            <v>0</v>
          </cell>
          <cell r="F4183">
            <v>0</v>
          </cell>
          <cell r="G4183">
            <v>0</v>
          </cell>
          <cell r="H4183">
            <v>0</v>
          </cell>
          <cell r="I4183">
            <v>0</v>
          </cell>
          <cell r="J4183">
            <v>0</v>
          </cell>
        </row>
        <row r="4184">
          <cell r="A4184">
            <v>1815740216</v>
          </cell>
          <cell r="B4184" t="str">
            <v>פרוייקט קשישים-ק"ש</v>
          </cell>
          <cell r="C4184">
            <v>66500</v>
          </cell>
          <cell r="D4184">
            <v>50369.23</v>
          </cell>
          <cell r="E4184">
            <v>0</v>
          </cell>
          <cell r="F4184">
            <v>50369.23</v>
          </cell>
          <cell r="G4184">
            <v>16130.77</v>
          </cell>
          <cell r="H4184">
            <v>75.739999999999995</v>
          </cell>
          <cell r="I4184">
            <v>70000</v>
          </cell>
          <cell r="J4184">
            <v>50369.23</v>
          </cell>
        </row>
        <row r="4185">
          <cell r="A4185">
            <v>1815740250</v>
          </cell>
          <cell r="B4185" t="str">
            <v>שעות השאלה</v>
          </cell>
          <cell r="C4185">
            <v>188575</v>
          </cell>
          <cell r="D4185">
            <v>241071.09</v>
          </cell>
          <cell r="E4185">
            <v>0</v>
          </cell>
          <cell r="F4185">
            <v>241071.09</v>
          </cell>
          <cell r="G4185">
            <v>-52496.09</v>
          </cell>
          <cell r="H4185">
            <v>127.83</v>
          </cell>
          <cell r="I4185">
            <v>198500</v>
          </cell>
          <cell r="J4185">
            <v>241071.09</v>
          </cell>
        </row>
        <row r="4186">
          <cell r="A4186">
            <v>1815740261</v>
          </cell>
          <cell r="B4186" t="str">
            <v>תכנית גי"א / מש"ב</v>
          </cell>
          <cell r="C4186">
            <v>0</v>
          </cell>
          <cell r="D4186">
            <v>0</v>
          </cell>
          <cell r="E4186">
            <v>0</v>
          </cell>
          <cell r="F4186">
            <v>0</v>
          </cell>
          <cell r="G4186">
            <v>0</v>
          </cell>
          <cell r="H4186">
            <v>0</v>
          </cell>
          <cell r="I4186">
            <v>0</v>
          </cell>
          <cell r="J4186">
            <v>0</v>
          </cell>
        </row>
        <row r="4187">
          <cell r="A4187">
            <v>1815740262</v>
          </cell>
          <cell r="B4187" t="str">
            <v>שעות שאילה - משה"ח</v>
          </cell>
          <cell r="C4187">
            <v>0</v>
          </cell>
          <cell r="D4187">
            <v>0</v>
          </cell>
          <cell r="E4187">
            <v>0</v>
          </cell>
          <cell r="F4187">
            <v>0</v>
          </cell>
          <cell r="G4187">
            <v>0</v>
          </cell>
          <cell r="H4187">
            <v>0</v>
          </cell>
          <cell r="I4187">
            <v>0</v>
          </cell>
          <cell r="J4187">
            <v>0</v>
          </cell>
        </row>
        <row r="4188">
          <cell r="A4188">
            <v>1815740263</v>
          </cell>
          <cell r="B4188" t="str">
            <v>עובדי חברת מוסדות</v>
          </cell>
          <cell r="C4188">
            <v>0</v>
          </cell>
          <cell r="D4188">
            <v>0</v>
          </cell>
          <cell r="E4188">
            <v>0</v>
          </cell>
          <cell r="F4188">
            <v>0</v>
          </cell>
          <cell r="G4188">
            <v>0</v>
          </cell>
          <cell r="H4188">
            <v>0</v>
          </cell>
          <cell r="I4188">
            <v>0</v>
          </cell>
          <cell r="J4188">
            <v>0</v>
          </cell>
        </row>
        <row r="4189">
          <cell r="A4189">
            <v>1815740264</v>
          </cell>
          <cell r="B4189" t="str">
            <v>ימי מחלה לא מנוצלים-מורים</v>
          </cell>
          <cell r="C4189">
            <v>0</v>
          </cell>
          <cell r="D4189">
            <v>0</v>
          </cell>
          <cell r="E4189">
            <v>0</v>
          </cell>
          <cell r="F4189">
            <v>0</v>
          </cell>
          <cell r="G4189">
            <v>0</v>
          </cell>
          <cell r="H4189">
            <v>0</v>
          </cell>
          <cell r="I4189">
            <v>0</v>
          </cell>
          <cell r="J4189">
            <v>0</v>
          </cell>
        </row>
        <row r="4190">
          <cell r="A4190">
            <v>1815740391</v>
          </cell>
          <cell r="B4190" t="str">
            <v>הפרשה לפנסיה</v>
          </cell>
          <cell r="C4190">
            <v>0</v>
          </cell>
          <cell r="D4190">
            <v>0</v>
          </cell>
          <cell r="E4190">
            <v>0</v>
          </cell>
          <cell r="F4190">
            <v>0</v>
          </cell>
          <cell r="G4190">
            <v>0</v>
          </cell>
          <cell r="H4190">
            <v>0</v>
          </cell>
          <cell r="I4190">
            <v>0</v>
          </cell>
          <cell r="J4190">
            <v>0</v>
          </cell>
        </row>
        <row r="4191">
          <cell r="A4191">
            <v>1815740411</v>
          </cell>
          <cell r="B4191" t="str">
            <v>שכירת אולמות</v>
          </cell>
          <cell r="C4191">
            <v>0</v>
          </cell>
          <cell r="D4191">
            <v>0</v>
          </cell>
          <cell r="E4191">
            <v>0</v>
          </cell>
          <cell r="F4191">
            <v>0</v>
          </cell>
          <cell r="G4191">
            <v>0</v>
          </cell>
          <cell r="H4191">
            <v>0</v>
          </cell>
          <cell r="I4191">
            <v>0</v>
          </cell>
          <cell r="J4191">
            <v>0</v>
          </cell>
        </row>
        <row r="4192">
          <cell r="A4192">
            <v>1815740413</v>
          </cell>
          <cell r="B4192" t="str">
            <v>דמי שימוש באולם</v>
          </cell>
          <cell r="C4192">
            <v>199500</v>
          </cell>
          <cell r="D4192">
            <v>210000</v>
          </cell>
          <cell r="E4192">
            <v>0</v>
          </cell>
          <cell r="F4192">
            <v>210000</v>
          </cell>
          <cell r="G4192">
            <v>-10500</v>
          </cell>
          <cell r="H4192">
            <v>105.26</v>
          </cell>
          <cell r="I4192">
            <v>210000</v>
          </cell>
          <cell r="J4192">
            <v>210000</v>
          </cell>
        </row>
        <row r="4193">
          <cell r="A4193">
            <v>1815740420</v>
          </cell>
          <cell r="B4193" t="str">
            <v>כיבוי אש</v>
          </cell>
          <cell r="C4193">
            <v>19000</v>
          </cell>
          <cell r="D4193">
            <v>18152.8</v>
          </cell>
          <cell r="E4193">
            <v>0</v>
          </cell>
          <cell r="F4193">
            <v>18152.8</v>
          </cell>
          <cell r="G4193">
            <v>847.2</v>
          </cell>
          <cell r="H4193">
            <v>95.54</v>
          </cell>
          <cell r="I4193">
            <v>20000</v>
          </cell>
          <cell r="J4193">
            <v>18152.8</v>
          </cell>
        </row>
        <row r="4194">
          <cell r="A4194">
            <v>1815740423</v>
          </cell>
          <cell r="B4194" t="str">
            <v>תחזוקת מבנה</v>
          </cell>
          <cell r="C4194">
            <v>0</v>
          </cell>
          <cell r="D4194">
            <v>0</v>
          </cell>
          <cell r="E4194">
            <v>0</v>
          </cell>
          <cell r="F4194">
            <v>0</v>
          </cell>
          <cell r="G4194">
            <v>0</v>
          </cell>
          <cell r="H4194">
            <v>0</v>
          </cell>
          <cell r="I4194">
            <v>0</v>
          </cell>
          <cell r="J4194">
            <v>0</v>
          </cell>
        </row>
        <row r="4195">
          <cell r="A4195">
            <v>1815740431</v>
          </cell>
          <cell r="B4195" t="str">
            <v>חשמל</v>
          </cell>
          <cell r="C4195">
            <v>385035</v>
          </cell>
          <cell r="D4195">
            <v>355775</v>
          </cell>
          <cell r="E4195">
            <v>0</v>
          </cell>
          <cell r="F4195">
            <v>355775</v>
          </cell>
          <cell r="G4195">
            <v>29260</v>
          </cell>
          <cell r="H4195">
            <v>92.4</v>
          </cell>
          <cell r="I4195">
            <v>405300</v>
          </cell>
          <cell r="J4195">
            <v>355775</v>
          </cell>
        </row>
        <row r="4196">
          <cell r="A4196">
            <v>1815740432</v>
          </cell>
          <cell r="B4196" t="str">
            <v>מים</v>
          </cell>
          <cell r="C4196">
            <v>95000</v>
          </cell>
          <cell r="D4196">
            <v>87700</v>
          </cell>
          <cell r="E4196">
            <v>0</v>
          </cell>
          <cell r="F4196">
            <v>87700</v>
          </cell>
          <cell r="G4196">
            <v>7300</v>
          </cell>
          <cell r="H4196">
            <v>92.31</v>
          </cell>
          <cell r="I4196">
            <v>100000</v>
          </cell>
          <cell r="J4196">
            <v>87700</v>
          </cell>
        </row>
        <row r="4197">
          <cell r="A4197">
            <v>1815740433</v>
          </cell>
          <cell r="B4197" t="str">
            <v>חומרי נקיון</v>
          </cell>
          <cell r="C4197">
            <v>0</v>
          </cell>
          <cell r="D4197">
            <v>0</v>
          </cell>
          <cell r="E4197">
            <v>0</v>
          </cell>
          <cell r="F4197">
            <v>0</v>
          </cell>
          <cell r="G4197">
            <v>0</v>
          </cell>
          <cell r="H4197">
            <v>0</v>
          </cell>
          <cell r="I4197">
            <v>0</v>
          </cell>
          <cell r="J4197">
            <v>0</v>
          </cell>
        </row>
        <row r="4198">
          <cell r="A4198">
            <v>1815740434</v>
          </cell>
          <cell r="B4198" t="str">
            <v>חיטוי והדברה</v>
          </cell>
          <cell r="C4198">
            <v>0</v>
          </cell>
          <cell r="D4198">
            <v>0</v>
          </cell>
          <cell r="E4198">
            <v>0</v>
          </cell>
          <cell r="F4198">
            <v>0</v>
          </cell>
          <cell r="G4198">
            <v>0</v>
          </cell>
          <cell r="H4198">
            <v>0</v>
          </cell>
          <cell r="I4198">
            <v>0</v>
          </cell>
          <cell r="J4198">
            <v>0</v>
          </cell>
        </row>
        <row r="4199">
          <cell r="A4199">
            <v>1815740437</v>
          </cell>
          <cell r="B4199" t="str">
            <v>אחזקת אזעקה</v>
          </cell>
          <cell r="C4199">
            <v>3610</v>
          </cell>
          <cell r="D4199">
            <v>3664.44</v>
          </cell>
          <cell r="E4199">
            <v>0</v>
          </cell>
          <cell r="F4199">
            <v>3664.44</v>
          </cell>
          <cell r="G4199">
            <v>-54.44</v>
          </cell>
          <cell r="H4199">
            <v>101.5</v>
          </cell>
          <cell r="I4199">
            <v>3800</v>
          </cell>
          <cell r="J4199">
            <v>3664.44</v>
          </cell>
        </row>
        <row r="4200">
          <cell r="A4200">
            <v>1815740441</v>
          </cell>
          <cell r="B4200" t="str">
            <v>ביטוח</v>
          </cell>
          <cell r="C4200">
            <v>0</v>
          </cell>
          <cell r="D4200">
            <v>0</v>
          </cell>
          <cell r="E4200">
            <v>0</v>
          </cell>
          <cell r="F4200">
            <v>0</v>
          </cell>
          <cell r="G4200">
            <v>0</v>
          </cell>
          <cell r="H4200">
            <v>0</v>
          </cell>
          <cell r="I4200">
            <v>0</v>
          </cell>
          <cell r="J4200">
            <v>0</v>
          </cell>
        </row>
        <row r="4201">
          <cell r="A4201">
            <v>1815740450</v>
          </cell>
          <cell r="B4201" t="str">
            <v>ריהוט ואחזקתו</v>
          </cell>
          <cell r="C4201">
            <v>18620</v>
          </cell>
          <cell r="D4201">
            <v>19040</v>
          </cell>
          <cell r="E4201">
            <v>0</v>
          </cell>
          <cell r="F4201">
            <v>19040</v>
          </cell>
          <cell r="G4201">
            <v>-420</v>
          </cell>
          <cell r="H4201">
            <v>102.25</v>
          </cell>
          <cell r="I4201">
            <v>19600</v>
          </cell>
          <cell r="J4201">
            <v>19040</v>
          </cell>
        </row>
        <row r="4202">
          <cell r="A4202">
            <v>1815740451</v>
          </cell>
          <cell r="B4202" t="str">
            <v>הוצאות גפ"ן בית ספרי</v>
          </cell>
          <cell r="C4202">
            <v>0</v>
          </cell>
          <cell r="D4202">
            <v>0</v>
          </cell>
          <cell r="E4202">
            <v>0</v>
          </cell>
          <cell r="F4202">
            <v>0</v>
          </cell>
          <cell r="G4202">
            <v>0</v>
          </cell>
          <cell r="H4202">
            <v>0</v>
          </cell>
          <cell r="I4202">
            <v>0</v>
          </cell>
          <cell r="J4202">
            <v>0</v>
          </cell>
        </row>
        <row r="4203">
          <cell r="A4203">
            <v>1815740452</v>
          </cell>
          <cell r="B4203" t="str">
            <v>השתתפות עירונית בגפ"ן</v>
          </cell>
          <cell r="C4203">
            <v>0</v>
          </cell>
          <cell r="D4203">
            <v>0</v>
          </cell>
          <cell r="E4203">
            <v>0</v>
          </cell>
          <cell r="F4203">
            <v>0</v>
          </cell>
          <cell r="G4203">
            <v>0</v>
          </cell>
          <cell r="H4203">
            <v>0</v>
          </cell>
          <cell r="I4203">
            <v>0</v>
          </cell>
          <cell r="J4203">
            <v>0</v>
          </cell>
        </row>
        <row r="4204">
          <cell r="A4204">
            <v>1815740470</v>
          </cell>
          <cell r="B4204" t="str">
            <v>אחזקת מכונות משרד</v>
          </cell>
          <cell r="C4204">
            <v>0</v>
          </cell>
          <cell r="D4204">
            <v>0</v>
          </cell>
          <cell r="E4204">
            <v>0</v>
          </cell>
          <cell r="F4204">
            <v>0</v>
          </cell>
          <cell r="G4204">
            <v>0</v>
          </cell>
          <cell r="H4204">
            <v>0</v>
          </cell>
          <cell r="I4204">
            <v>0</v>
          </cell>
          <cell r="J4204">
            <v>0</v>
          </cell>
        </row>
        <row r="4205">
          <cell r="A4205">
            <v>1815740471</v>
          </cell>
          <cell r="B4205" t="str">
            <v>מכשירי כתיבה</v>
          </cell>
          <cell r="C4205">
            <v>0</v>
          </cell>
          <cell r="D4205">
            <v>0</v>
          </cell>
          <cell r="E4205">
            <v>0</v>
          </cell>
          <cell r="F4205">
            <v>0</v>
          </cell>
          <cell r="G4205">
            <v>0</v>
          </cell>
          <cell r="H4205">
            <v>0</v>
          </cell>
          <cell r="I4205">
            <v>0</v>
          </cell>
          <cell r="J4205">
            <v>0</v>
          </cell>
        </row>
        <row r="4206">
          <cell r="A4206">
            <v>1815740511</v>
          </cell>
          <cell r="B4206" t="str">
            <v>אירוח וכיבוד</v>
          </cell>
          <cell r="C4206">
            <v>22230</v>
          </cell>
          <cell r="D4206">
            <v>24759.99</v>
          </cell>
          <cell r="E4206">
            <v>0</v>
          </cell>
          <cell r="F4206">
            <v>24759.99</v>
          </cell>
          <cell r="G4206">
            <v>-2529.9899999999998</v>
          </cell>
          <cell r="H4206">
            <v>111.38</v>
          </cell>
          <cell r="I4206">
            <v>23400</v>
          </cell>
          <cell r="J4206">
            <v>24759.99</v>
          </cell>
        </row>
        <row r="4207">
          <cell r="A4207">
            <v>1815740512</v>
          </cell>
          <cell r="B4207" t="str">
            <v>נסיעות ואש"ל</v>
          </cell>
          <cell r="C4207">
            <v>0</v>
          </cell>
          <cell r="D4207">
            <v>0</v>
          </cell>
          <cell r="E4207">
            <v>0</v>
          </cell>
          <cell r="F4207">
            <v>0</v>
          </cell>
          <cell r="G4207">
            <v>0</v>
          </cell>
          <cell r="H4207">
            <v>0</v>
          </cell>
          <cell r="I4207">
            <v>0</v>
          </cell>
          <cell r="J4207">
            <v>0</v>
          </cell>
        </row>
        <row r="4208">
          <cell r="A4208">
            <v>1815740517</v>
          </cell>
          <cell r="B4208" t="str">
            <v>מסיבות מפקדים ושי</v>
          </cell>
          <cell r="C4208">
            <v>0</v>
          </cell>
          <cell r="D4208">
            <v>0</v>
          </cell>
          <cell r="E4208">
            <v>0</v>
          </cell>
          <cell r="F4208">
            <v>0</v>
          </cell>
          <cell r="G4208">
            <v>0</v>
          </cell>
          <cell r="H4208">
            <v>0</v>
          </cell>
          <cell r="I4208">
            <v>0</v>
          </cell>
          <cell r="J4208">
            <v>0</v>
          </cell>
        </row>
        <row r="4209">
          <cell r="A4209">
            <v>1815740522</v>
          </cell>
          <cell r="B4209" t="str">
            <v>ספריות</v>
          </cell>
          <cell r="C4209">
            <v>0</v>
          </cell>
          <cell r="D4209">
            <v>0</v>
          </cell>
          <cell r="E4209">
            <v>0</v>
          </cell>
          <cell r="F4209">
            <v>0</v>
          </cell>
          <cell r="G4209">
            <v>0</v>
          </cell>
          <cell r="H4209">
            <v>0</v>
          </cell>
          <cell r="I4209">
            <v>0</v>
          </cell>
          <cell r="J4209">
            <v>0</v>
          </cell>
        </row>
        <row r="4210">
          <cell r="A4210">
            <v>1815740530</v>
          </cell>
          <cell r="B4210" t="str">
            <v>אופניים לעובדים</v>
          </cell>
          <cell r="C4210">
            <v>0</v>
          </cell>
          <cell r="D4210">
            <v>0</v>
          </cell>
          <cell r="E4210">
            <v>0</v>
          </cell>
          <cell r="F4210">
            <v>0</v>
          </cell>
          <cell r="G4210">
            <v>0</v>
          </cell>
          <cell r="H4210">
            <v>0</v>
          </cell>
          <cell r="I4210">
            <v>0</v>
          </cell>
          <cell r="J4210">
            <v>0</v>
          </cell>
        </row>
        <row r="4211">
          <cell r="A4211">
            <v>1815740540</v>
          </cell>
          <cell r="B4211" t="str">
            <v>הוצאות טלפון</v>
          </cell>
          <cell r="C4211">
            <v>0</v>
          </cell>
          <cell r="D4211">
            <v>0</v>
          </cell>
          <cell r="E4211">
            <v>0</v>
          </cell>
          <cell r="F4211">
            <v>0</v>
          </cell>
          <cell r="G4211">
            <v>0</v>
          </cell>
          <cell r="H4211">
            <v>0</v>
          </cell>
          <cell r="I4211">
            <v>0</v>
          </cell>
          <cell r="J4211">
            <v>0</v>
          </cell>
        </row>
        <row r="4212">
          <cell r="A4212">
            <v>1815740544</v>
          </cell>
          <cell r="B4212" t="str">
            <v>הוצאות דאר</v>
          </cell>
          <cell r="C4212">
            <v>0</v>
          </cell>
          <cell r="D4212">
            <v>0</v>
          </cell>
          <cell r="E4212">
            <v>0</v>
          </cell>
          <cell r="F4212">
            <v>0</v>
          </cell>
          <cell r="G4212">
            <v>0</v>
          </cell>
          <cell r="H4212">
            <v>0</v>
          </cell>
          <cell r="I4212">
            <v>0</v>
          </cell>
          <cell r="J4212">
            <v>0</v>
          </cell>
        </row>
        <row r="4213">
          <cell r="A4213">
            <v>1815740562</v>
          </cell>
          <cell r="B4213" t="str">
            <v>הדפסות</v>
          </cell>
          <cell r="C4213">
            <v>0</v>
          </cell>
          <cell r="D4213">
            <v>0</v>
          </cell>
          <cell r="E4213">
            <v>0</v>
          </cell>
          <cell r="F4213">
            <v>0</v>
          </cell>
          <cell r="G4213">
            <v>0</v>
          </cell>
          <cell r="H4213">
            <v>0</v>
          </cell>
          <cell r="I4213">
            <v>0</v>
          </cell>
          <cell r="J4213">
            <v>0</v>
          </cell>
        </row>
        <row r="4214">
          <cell r="A4214">
            <v>1815740580</v>
          </cell>
          <cell r="B4214" t="str">
            <v>ניהול חשבונאי</v>
          </cell>
          <cell r="C4214">
            <v>57000</v>
          </cell>
          <cell r="D4214">
            <v>55000</v>
          </cell>
          <cell r="E4214">
            <v>0</v>
          </cell>
          <cell r="F4214">
            <v>55000</v>
          </cell>
          <cell r="G4214">
            <v>2000</v>
          </cell>
          <cell r="H4214">
            <v>96.49</v>
          </cell>
          <cell r="I4214">
            <v>60000</v>
          </cell>
          <cell r="J4214">
            <v>55000</v>
          </cell>
        </row>
        <row r="4215">
          <cell r="A4215">
            <v>1815740583</v>
          </cell>
          <cell r="B4215" t="str">
            <v>שרות רפואי</v>
          </cell>
          <cell r="C4215">
            <v>0</v>
          </cell>
          <cell r="D4215">
            <v>0</v>
          </cell>
          <cell r="E4215">
            <v>0</v>
          </cell>
          <cell r="F4215">
            <v>0</v>
          </cell>
          <cell r="G4215">
            <v>0</v>
          </cell>
          <cell r="H4215">
            <v>0</v>
          </cell>
          <cell r="I4215">
            <v>0</v>
          </cell>
          <cell r="J4215">
            <v>0</v>
          </cell>
        </row>
        <row r="4216">
          <cell r="A4216">
            <v>1815740585</v>
          </cell>
          <cell r="B4216" t="str">
            <v>שרות אחות</v>
          </cell>
          <cell r="C4216">
            <v>0</v>
          </cell>
          <cell r="D4216">
            <v>0</v>
          </cell>
          <cell r="E4216">
            <v>0</v>
          </cell>
          <cell r="F4216">
            <v>0</v>
          </cell>
          <cell r="G4216">
            <v>0</v>
          </cell>
          <cell r="H4216">
            <v>0</v>
          </cell>
          <cell r="I4216">
            <v>0</v>
          </cell>
          <cell r="J4216">
            <v>0</v>
          </cell>
        </row>
        <row r="4217">
          <cell r="A4217">
            <v>1815740721</v>
          </cell>
          <cell r="B4217" t="str">
            <v>חמרים-תחזוקת מבנים</v>
          </cell>
          <cell r="C4217">
            <v>0</v>
          </cell>
          <cell r="D4217">
            <v>0</v>
          </cell>
          <cell r="E4217">
            <v>0</v>
          </cell>
          <cell r="F4217">
            <v>0</v>
          </cell>
          <cell r="G4217">
            <v>0</v>
          </cell>
          <cell r="H4217">
            <v>0</v>
          </cell>
          <cell r="I4217">
            <v>0</v>
          </cell>
          <cell r="J4217">
            <v>0</v>
          </cell>
        </row>
        <row r="4218">
          <cell r="A4218">
            <v>1815740722</v>
          </cell>
          <cell r="B4218" t="str">
            <v>חמרים-תחזוקה עצמית</v>
          </cell>
          <cell r="C4218">
            <v>0</v>
          </cell>
          <cell r="D4218">
            <v>0</v>
          </cell>
          <cell r="E4218">
            <v>0</v>
          </cell>
          <cell r="F4218">
            <v>0</v>
          </cell>
          <cell r="G4218">
            <v>0</v>
          </cell>
          <cell r="H4218">
            <v>0</v>
          </cell>
          <cell r="I4218">
            <v>0</v>
          </cell>
          <cell r="J4218">
            <v>0</v>
          </cell>
        </row>
        <row r="4219">
          <cell r="A4219">
            <v>1815740724</v>
          </cell>
          <cell r="B4219" t="str">
            <v>ציוד למגמות</v>
          </cell>
          <cell r="C4219">
            <v>0</v>
          </cell>
          <cell r="D4219">
            <v>0</v>
          </cell>
          <cell r="E4219">
            <v>0</v>
          </cell>
          <cell r="F4219">
            <v>0</v>
          </cell>
          <cell r="G4219">
            <v>0</v>
          </cell>
          <cell r="H4219">
            <v>0</v>
          </cell>
          <cell r="I4219">
            <v>0</v>
          </cell>
          <cell r="J4219">
            <v>0</v>
          </cell>
        </row>
        <row r="4220">
          <cell r="A4220">
            <v>1815740742</v>
          </cell>
          <cell r="B4220" t="str">
            <v>כלים וציוד</v>
          </cell>
          <cell r="C4220">
            <v>81415</v>
          </cell>
          <cell r="D4220">
            <v>86234</v>
          </cell>
          <cell r="E4220">
            <v>0</v>
          </cell>
          <cell r="F4220">
            <v>86234</v>
          </cell>
          <cell r="G4220">
            <v>-4819</v>
          </cell>
          <cell r="H4220">
            <v>105.91</v>
          </cell>
          <cell r="I4220">
            <v>85700</v>
          </cell>
          <cell r="J4220">
            <v>86234</v>
          </cell>
        </row>
        <row r="4221">
          <cell r="A4221">
            <v>1815740744</v>
          </cell>
          <cell r="B4221" t="str">
            <v>ציוד מגמות</v>
          </cell>
          <cell r="C4221">
            <v>0</v>
          </cell>
          <cell r="D4221">
            <v>0</v>
          </cell>
          <cell r="E4221">
            <v>0</v>
          </cell>
          <cell r="F4221">
            <v>0</v>
          </cell>
          <cell r="G4221">
            <v>0</v>
          </cell>
          <cell r="H4221">
            <v>0</v>
          </cell>
          <cell r="I4221">
            <v>0</v>
          </cell>
          <cell r="J4221">
            <v>0</v>
          </cell>
        </row>
        <row r="4222">
          <cell r="A4222">
            <v>1815740745</v>
          </cell>
          <cell r="B4222" t="str">
            <v>דמי פריצה - תכולה</v>
          </cell>
          <cell r="C4222">
            <v>0</v>
          </cell>
          <cell r="D4222">
            <v>0</v>
          </cell>
          <cell r="E4222">
            <v>0</v>
          </cell>
          <cell r="F4222">
            <v>0</v>
          </cell>
          <cell r="G4222">
            <v>0</v>
          </cell>
          <cell r="H4222">
            <v>0</v>
          </cell>
          <cell r="I4222">
            <v>0</v>
          </cell>
          <cell r="J4222">
            <v>0</v>
          </cell>
        </row>
        <row r="4223">
          <cell r="A4223">
            <v>1815740746</v>
          </cell>
          <cell r="B4223" t="str">
            <v>דמי פריצה - מבנה</v>
          </cell>
          <cell r="C4223">
            <v>0</v>
          </cell>
          <cell r="D4223">
            <v>0</v>
          </cell>
          <cell r="E4223">
            <v>0</v>
          </cell>
          <cell r="F4223">
            <v>0</v>
          </cell>
          <cell r="G4223">
            <v>0</v>
          </cell>
          <cell r="H4223">
            <v>0</v>
          </cell>
          <cell r="I4223">
            <v>0</v>
          </cell>
          <cell r="J4223">
            <v>0</v>
          </cell>
        </row>
        <row r="4224">
          <cell r="A4224">
            <v>1815740750</v>
          </cell>
          <cell r="B4224" t="str">
            <v>אחזקת מוסדות</v>
          </cell>
          <cell r="C4224">
            <v>1173200</v>
          </cell>
          <cell r="D4224">
            <v>1162591</v>
          </cell>
          <cell r="E4224">
            <v>0</v>
          </cell>
          <cell r="F4224">
            <v>1162591</v>
          </cell>
          <cell r="G4224">
            <v>10609</v>
          </cell>
          <cell r="H4224">
            <v>99.09</v>
          </cell>
          <cell r="I4224">
            <v>1173200</v>
          </cell>
          <cell r="J4224">
            <v>1162591</v>
          </cell>
        </row>
        <row r="4225">
          <cell r="A4225">
            <v>1815740751</v>
          </cell>
          <cell r="B4225" t="str">
            <v>עבודות קבלניות</v>
          </cell>
          <cell r="C4225">
            <v>0</v>
          </cell>
          <cell r="D4225">
            <v>0</v>
          </cell>
          <cell r="E4225">
            <v>0</v>
          </cell>
          <cell r="F4225">
            <v>0</v>
          </cell>
          <cell r="G4225">
            <v>0</v>
          </cell>
          <cell r="H4225">
            <v>0</v>
          </cell>
          <cell r="I4225">
            <v>0</v>
          </cell>
          <cell r="J4225">
            <v>0</v>
          </cell>
        </row>
        <row r="4226">
          <cell r="A4226">
            <v>1815740752</v>
          </cell>
          <cell r="B4226" t="str">
            <v>נקיון בקבלנות</v>
          </cell>
          <cell r="C4226">
            <v>1365150</v>
          </cell>
          <cell r="D4226">
            <v>1436999.11</v>
          </cell>
          <cell r="E4226">
            <v>0</v>
          </cell>
          <cell r="F4226">
            <v>1436999.11</v>
          </cell>
          <cell r="G4226">
            <v>-71849.11</v>
          </cell>
          <cell r="H4226">
            <v>105.26</v>
          </cell>
          <cell r="I4226">
            <v>1437000</v>
          </cell>
          <cell r="J4226">
            <v>1436999.11</v>
          </cell>
        </row>
        <row r="4227">
          <cell r="A4227">
            <v>1815740753</v>
          </cell>
          <cell r="B4227" t="str">
            <v>עובדים חיצוניים</v>
          </cell>
          <cell r="C4227">
            <v>0</v>
          </cell>
          <cell r="D4227">
            <v>0</v>
          </cell>
          <cell r="E4227">
            <v>0</v>
          </cell>
          <cell r="F4227">
            <v>0</v>
          </cell>
          <cell r="G4227">
            <v>0</v>
          </cell>
          <cell r="H4227">
            <v>0</v>
          </cell>
          <cell r="I4227">
            <v>0</v>
          </cell>
          <cell r="J4227">
            <v>0</v>
          </cell>
        </row>
        <row r="4228">
          <cell r="A4228">
            <v>1815740755</v>
          </cell>
          <cell r="B4228" t="str">
            <v>אחות-חברת כ"א</v>
          </cell>
          <cell r="C4228">
            <v>0</v>
          </cell>
          <cell r="D4228">
            <v>0</v>
          </cell>
          <cell r="E4228">
            <v>0</v>
          </cell>
          <cell r="F4228">
            <v>0</v>
          </cell>
          <cell r="G4228">
            <v>0</v>
          </cell>
          <cell r="H4228">
            <v>0</v>
          </cell>
          <cell r="I4228">
            <v>0</v>
          </cell>
          <cell r="J4228">
            <v>0</v>
          </cell>
        </row>
        <row r="4229">
          <cell r="A4229">
            <v>1815740758</v>
          </cell>
          <cell r="B4229" t="str">
            <v>אב בית-מועדונית נחשונים</v>
          </cell>
          <cell r="C4229">
            <v>0</v>
          </cell>
          <cell r="D4229">
            <v>0</v>
          </cell>
          <cell r="E4229">
            <v>0</v>
          </cell>
          <cell r="F4229">
            <v>0</v>
          </cell>
          <cell r="G4229">
            <v>0</v>
          </cell>
          <cell r="H4229">
            <v>0</v>
          </cell>
          <cell r="I4229">
            <v>0</v>
          </cell>
          <cell r="J4229">
            <v>0</v>
          </cell>
        </row>
        <row r="4230">
          <cell r="A4230">
            <v>1815740759</v>
          </cell>
          <cell r="B4230" t="str">
            <v>שרותי סייעות</v>
          </cell>
          <cell r="C4230">
            <v>1760730</v>
          </cell>
          <cell r="D4230">
            <v>1585288.83</v>
          </cell>
          <cell r="E4230">
            <v>0</v>
          </cell>
          <cell r="F4230">
            <v>1585288.83</v>
          </cell>
          <cell r="G4230">
            <v>175441.17</v>
          </cell>
          <cell r="H4230">
            <v>90.03</v>
          </cell>
          <cell r="I4230">
            <v>1853400</v>
          </cell>
          <cell r="J4230">
            <v>1585288.83</v>
          </cell>
        </row>
        <row r="4231">
          <cell r="A4231">
            <v>1815740761</v>
          </cell>
          <cell r="B4231" t="str">
            <v>השאלת מורים חט"ב</v>
          </cell>
          <cell r="C4231">
            <v>0</v>
          </cell>
          <cell r="D4231">
            <v>0</v>
          </cell>
          <cell r="E4231">
            <v>0</v>
          </cell>
          <cell r="F4231">
            <v>0</v>
          </cell>
          <cell r="G4231">
            <v>0</v>
          </cell>
          <cell r="H4231">
            <v>0</v>
          </cell>
          <cell r="I4231">
            <v>0</v>
          </cell>
          <cell r="J4231">
            <v>0</v>
          </cell>
        </row>
        <row r="4232">
          <cell r="A4232">
            <v>1815740762</v>
          </cell>
          <cell r="B4232" t="str">
            <v>שאילת מורים</v>
          </cell>
          <cell r="C4232">
            <v>263055</v>
          </cell>
          <cell r="D4232">
            <v>285667.49</v>
          </cell>
          <cell r="E4232">
            <v>0</v>
          </cell>
          <cell r="F4232">
            <v>285667.49</v>
          </cell>
          <cell r="G4232">
            <v>-22612.49</v>
          </cell>
          <cell r="H4232">
            <v>108.59</v>
          </cell>
          <cell r="I4232">
            <v>276900</v>
          </cell>
          <cell r="J4232">
            <v>285667.49</v>
          </cell>
        </row>
        <row r="4233">
          <cell r="A4233">
            <v>1815740763</v>
          </cell>
          <cell r="B4233" t="str">
            <v>עובדי חברת מוסדות</v>
          </cell>
          <cell r="C4233">
            <v>0</v>
          </cell>
          <cell r="D4233">
            <v>0</v>
          </cell>
          <cell r="E4233">
            <v>0</v>
          </cell>
          <cell r="F4233">
            <v>0</v>
          </cell>
          <cell r="G4233">
            <v>0</v>
          </cell>
          <cell r="H4233">
            <v>0</v>
          </cell>
          <cell r="I4233">
            <v>0</v>
          </cell>
          <cell r="J4233">
            <v>0</v>
          </cell>
        </row>
        <row r="4234">
          <cell r="A4234">
            <v>1815740764</v>
          </cell>
          <cell r="B4234" t="str">
            <v>סייעות</v>
          </cell>
          <cell r="C4234">
            <v>0</v>
          </cell>
          <cell r="D4234">
            <v>0</v>
          </cell>
          <cell r="E4234">
            <v>0</v>
          </cell>
          <cell r="F4234">
            <v>0</v>
          </cell>
          <cell r="G4234">
            <v>0</v>
          </cell>
          <cell r="H4234">
            <v>0</v>
          </cell>
          <cell r="I4234">
            <v>0</v>
          </cell>
          <cell r="J4234">
            <v>0</v>
          </cell>
        </row>
        <row r="4235">
          <cell r="A4235">
            <v>1815740765</v>
          </cell>
          <cell r="B4235" t="str">
            <v>רכז חברתי - חט"ב</v>
          </cell>
          <cell r="C4235">
            <v>0</v>
          </cell>
          <cell r="D4235">
            <v>0</v>
          </cell>
          <cell r="E4235">
            <v>0</v>
          </cell>
          <cell r="F4235">
            <v>0</v>
          </cell>
          <cell r="G4235">
            <v>0</v>
          </cell>
          <cell r="H4235">
            <v>0</v>
          </cell>
          <cell r="I4235">
            <v>0</v>
          </cell>
          <cell r="J4235">
            <v>0</v>
          </cell>
        </row>
        <row r="4236">
          <cell r="A4236">
            <v>1815740780</v>
          </cell>
          <cell r="B4236" t="str">
            <v>חינוך חברתי</v>
          </cell>
          <cell r="C4236">
            <v>31065</v>
          </cell>
          <cell r="D4236">
            <v>29637</v>
          </cell>
          <cell r="E4236">
            <v>0</v>
          </cell>
          <cell r="F4236">
            <v>29637</v>
          </cell>
          <cell r="G4236">
            <v>1428</v>
          </cell>
          <cell r="H4236">
            <v>95.4</v>
          </cell>
          <cell r="I4236">
            <v>32700</v>
          </cell>
          <cell r="J4236">
            <v>29637</v>
          </cell>
        </row>
        <row r="4237">
          <cell r="A4237">
            <v>1815740781</v>
          </cell>
          <cell r="B4237" t="str">
            <v>השת' בהוצאות נבחרת</v>
          </cell>
          <cell r="C4237">
            <v>0</v>
          </cell>
          <cell r="D4237">
            <v>0</v>
          </cell>
          <cell r="E4237">
            <v>0</v>
          </cell>
          <cell r="F4237">
            <v>0</v>
          </cell>
          <cell r="G4237">
            <v>0</v>
          </cell>
          <cell r="H4237">
            <v>0</v>
          </cell>
          <cell r="I4237">
            <v>0</v>
          </cell>
          <cell r="J4237">
            <v>0</v>
          </cell>
        </row>
        <row r="4238">
          <cell r="A4238">
            <v>1815740782</v>
          </cell>
          <cell r="B4238" t="str">
            <v>השת' בהעסקת מאמנים</v>
          </cell>
          <cell r="C4238">
            <v>0</v>
          </cell>
          <cell r="D4238">
            <v>0</v>
          </cell>
          <cell r="E4238">
            <v>0</v>
          </cell>
          <cell r="F4238">
            <v>0</v>
          </cell>
          <cell r="G4238">
            <v>0</v>
          </cell>
          <cell r="H4238">
            <v>0</v>
          </cell>
          <cell r="I4238">
            <v>0</v>
          </cell>
          <cell r="J4238">
            <v>0</v>
          </cell>
        </row>
        <row r="4239">
          <cell r="A4239">
            <v>1815740783</v>
          </cell>
          <cell r="B4239" t="str">
            <v>תיגבור יהדות</v>
          </cell>
          <cell r="C4239">
            <v>0</v>
          </cell>
          <cell r="D4239">
            <v>0</v>
          </cell>
          <cell r="E4239">
            <v>0</v>
          </cell>
          <cell r="F4239">
            <v>0</v>
          </cell>
          <cell r="G4239">
            <v>0</v>
          </cell>
          <cell r="H4239">
            <v>0</v>
          </cell>
          <cell r="I4239">
            <v>0</v>
          </cell>
          <cell r="J4239">
            <v>0</v>
          </cell>
        </row>
        <row r="4240">
          <cell r="A4240">
            <v>1815740794</v>
          </cell>
          <cell r="B4240" t="str">
            <v>השתתפות בעזר 094</v>
          </cell>
          <cell r="C4240">
            <v>15865</v>
          </cell>
          <cell r="D4240">
            <v>19920</v>
          </cell>
          <cell r="E4240">
            <v>0</v>
          </cell>
          <cell r="F4240">
            <v>19920</v>
          </cell>
          <cell r="G4240">
            <v>-4055</v>
          </cell>
          <cell r="H4240">
            <v>125.55</v>
          </cell>
          <cell r="I4240">
            <v>16700</v>
          </cell>
          <cell r="J4240">
            <v>19920</v>
          </cell>
        </row>
        <row r="4241">
          <cell r="A4241">
            <v>1815740810</v>
          </cell>
          <cell r="B4241" t="str">
            <v>הקצבה לניהול עצמי</v>
          </cell>
          <cell r="C4241">
            <v>96045</v>
          </cell>
          <cell r="D4241">
            <v>0</v>
          </cell>
          <cell r="E4241">
            <v>0</v>
          </cell>
          <cell r="F4241">
            <v>0</v>
          </cell>
          <cell r="G4241">
            <v>96045</v>
          </cell>
          <cell r="H4241">
            <v>0</v>
          </cell>
          <cell r="I4241">
            <v>101100</v>
          </cell>
          <cell r="J4241">
            <v>0</v>
          </cell>
        </row>
        <row r="4242">
          <cell r="A4242">
            <v>1815740812</v>
          </cell>
          <cell r="B4242" t="str">
            <v>מסיבות כיתתיות</v>
          </cell>
          <cell r="C4242">
            <v>42750</v>
          </cell>
          <cell r="D4242">
            <v>45760</v>
          </cell>
          <cell r="E4242">
            <v>0</v>
          </cell>
          <cell r="F4242">
            <v>45760</v>
          </cell>
          <cell r="G4242">
            <v>-3010</v>
          </cell>
          <cell r="H4242">
            <v>107.04</v>
          </cell>
          <cell r="I4242">
            <v>45000</v>
          </cell>
          <cell r="J4242">
            <v>45760</v>
          </cell>
        </row>
        <row r="4243">
          <cell r="A4243">
            <v>1815740816</v>
          </cell>
          <cell r="B4243" t="str">
            <v>חט"ב-הכלה והשתלבות</v>
          </cell>
          <cell r="C4243">
            <v>0</v>
          </cell>
          <cell r="D4243">
            <v>0</v>
          </cell>
          <cell r="E4243">
            <v>0</v>
          </cell>
          <cell r="F4243">
            <v>0</v>
          </cell>
          <cell r="G4243">
            <v>0</v>
          </cell>
          <cell r="H4243">
            <v>0</v>
          </cell>
          <cell r="I4243">
            <v>0</v>
          </cell>
          <cell r="J4243">
            <v>0</v>
          </cell>
        </row>
        <row r="4244">
          <cell r="A4244">
            <v>1815740838</v>
          </cell>
          <cell r="B4244" t="str">
            <v>העברה כנגד הכנסות מש' החינוך</v>
          </cell>
          <cell r="C4244">
            <v>0</v>
          </cell>
          <cell r="D4244">
            <v>0</v>
          </cell>
          <cell r="E4244">
            <v>0</v>
          </cell>
          <cell r="F4244">
            <v>0</v>
          </cell>
          <cell r="G4244">
            <v>0</v>
          </cell>
          <cell r="H4244">
            <v>0</v>
          </cell>
          <cell r="I4244">
            <v>0</v>
          </cell>
          <cell r="J4244">
            <v>0</v>
          </cell>
        </row>
        <row r="4245">
          <cell r="A4245">
            <v>1815740930</v>
          </cell>
          <cell r="B4245" t="str">
            <v>רכ' כלי נגינה-מוז'</v>
          </cell>
          <cell r="C4245">
            <v>0</v>
          </cell>
          <cell r="D4245">
            <v>0</v>
          </cell>
          <cell r="E4245">
            <v>0</v>
          </cell>
          <cell r="F4245">
            <v>0</v>
          </cell>
          <cell r="G4245">
            <v>0</v>
          </cell>
          <cell r="H4245">
            <v>0</v>
          </cell>
          <cell r="I4245">
            <v>0</v>
          </cell>
          <cell r="J4245">
            <v>0</v>
          </cell>
        </row>
        <row r="4246">
          <cell r="A4246">
            <v>1815740931</v>
          </cell>
          <cell r="B4246" t="str">
            <v>הפרשים</v>
          </cell>
          <cell r="C4246">
            <v>0</v>
          </cell>
          <cell r="D4246">
            <v>0</v>
          </cell>
          <cell r="E4246">
            <v>0</v>
          </cell>
          <cell r="F4246">
            <v>0</v>
          </cell>
          <cell r="G4246">
            <v>0</v>
          </cell>
          <cell r="H4246">
            <v>0</v>
          </cell>
          <cell r="I4246">
            <v>0</v>
          </cell>
          <cell r="J4246">
            <v>0</v>
          </cell>
        </row>
        <row r="4247">
          <cell r="A4247">
            <v>1815740953</v>
          </cell>
          <cell r="B4247" t="str">
            <v>מערכת גפ"ן</v>
          </cell>
          <cell r="C4247">
            <v>2407965</v>
          </cell>
          <cell r="D4247">
            <v>1949795.19</v>
          </cell>
          <cell r="E4247">
            <v>0</v>
          </cell>
          <cell r="F4247">
            <v>1949795.19</v>
          </cell>
          <cell r="G4247">
            <v>458169.81</v>
          </cell>
          <cell r="H4247">
            <v>80.97</v>
          </cell>
          <cell r="I4247">
            <v>2534700</v>
          </cell>
          <cell r="J4247">
            <v>1949795.19</v>
          </cell>
        </row>
        <row r="4248">
          <cell r="A4248">
            <v>1815740989</v>
          </cell>
          <cell r="B4248" t="str">
            <v>תקורה</v>
          </cell>
          <cell r="C4248">
            <v>2395805</v>
          </cell>
          <cell r="D4248">
            <v>2309255</v>
          </cell>
          <cell r="E4248">
            <v>0</v>
          </cell>
          <cell r="F4248">
            <v>2309255</v>
          </cell>
          <cell r="G4248">
            <v>86550</v>
          </cell>
          <cell r="H4248">
            <v>96.38</v>
          </cell>
          <cell r="I4248">
            <v>2521900</v>
          </cell>
          <cell r="J4248">
            <v>2309255</v>
          </cell>
        </row>
        <row r="4249">
          <cell r="A4249">
            <v>1815750110</v>
          </cell>
          <cell r="B4249" t="str">
            <v>השכר הקובע-תקציבית</v>
          </cell>
          <cell r="C4249">
            <v>214985</v>
          </cell>
          <cell r="D4249">
            <v>274498.71999999997</v>
          </cell>
          <cell r="E4249">
            <v>0</v>
          </cell>
          <cell r="F4249">
            <v>274498.71999999997</v>
          </cell>
          <cell r="G4249">
            <v>-59513.72</v>
          </cell>
          <cell r="H4249">
            <v>127.68</v>
          </cell>
          <cell r="I4249">
            <v>226300</v>
          </cell>
          <cell r="J4249">
            <v>274498.71999999997</v>
          </cell>
        </row>
        <row r="4250">
          <cell r="A4250">
            <v>1815750118</v>
          </cell>
          <cell r="B4250" t="str">
            <v>שכר עובדי הוראה</v>
          </cell>
          <cell r="C4250">
            <v>20991200</v>
          </cell>
          <cell r="D4250">
            <v>21240961.559999999</v>
          </cell>
          <cell r="E4250">
            <v>0</v>
          </cell>
          <cell r="F4250">
            <v>21240961.559999999</v>
          </cell>
          <cell r="G4250">
            <v>-249761.56</v>
          </cell>
          <cell r="H4250">
            <v>101.18</v>
          </cell>
          <cell r="I4250">
            <v>22096000</v>
          </cell>
          <cell r="J4250">
            <v>21240961.559999999</v>
          </cell>
        </row>
        <row r="4251">
          <cell r="A4251">
            <v>1815750119</v>
          </cell>
          <cell r="B4251" t="str">
            <v>השכר הקובע-צוברת</v>
          </cell>
          <cell r="C4251">
            <v>1550970</v>
          </cell>
          <cell r="D4251">
            <v>1851898.47</v>
          </cell>
          <cell r="E4251">
            <v>0</v>
          </cell>
          <cell r="F4251">
            <v>1851898.47</v>
          </cell>
          <cell r="G4251">
            <v>-300928.46999999997</v>
          </cell>
          <cell r="H4251">
            <v>119.4</v>
          </cell>
          <cell r="I4251">
            <v>1632600</v>
          </cell>
          <cell r="J4251">
            <v>1851898.47</v>
          </cell>
        </row>
        <row r="4252">
          <cell r="A4252">
            <v>1815750122</v>
          </cell>
          <cell r="B4252" t="str">
            <v>ביגוד</v>
          </cell>
          <cell r="C4252">
            <v>192565</v>
          </cell>
          <cell r="D4252">
            <v>209626.2</v>
          </cell>
          <cell r="E4252">
            <v>0</v>
          </cell>
          <cell r="F4252">
            <v>209626.2</v>
          </cell>
          <cell r="G4252">
            <v>-17061.2</v>
          </cell>
          <cell r="H4252">
            <v>108.85</v>
          </cell>
          <cell r="I4252">
            <v>202700</v>
          </cell>
          <cell r="J4252">
            <v>209626.2</v>
          </cell>
        </row>
        <row r="4253">
          <cell r="A4253">
            <v>1815750126</v>
          </cell>
          <cell r="B4253" t="str">
            <v>דמי הבראה</v>
          </cell>
          <cell r="C4253">
            <v>402325</v>
          </cell>
          <cell r="D4253">
            <v>450287.08</v>
          </cell>
          <cell r="E4253">
            <v>0</v>
          </cell>
          <cell r="F4253">
            <v>450287.08</v>
          </cell>
          <cell r="G4253">
            <v>-47962.080000000002</v>
          </cell>
          <cell r="H4253">
            <v>111.92</v>
          </cell>
          <cell r="I4253">
            <v>423500</v>
          </cell>
          <cell r="J4253">
            <v>450287.08</v>
          </cell>
        </row>
        <row r="4254">
          <cell r="A4254">
            <v>1815750130</v>
          </cell>
          <cell r="B4254" t="str">
            <v>שעות נוספות</v>
          </cell>
          <cell r="C4254">
            <v>14535</v>
          </cell>
          <cell r="D4254">
            <v>5355.16</v>
          </cell>
          <cell r="E4254">
            <v>0</v>
          </cell>
          <cell r="F4254">
            <v>5355.16</v>
          </cell>
          <cell r="G4254">
            <v>9179.84</v>
          </cell>
          <cell r="H4254">
            <v>36.840000000000003</v>
          </cell>
          <cell r="I4254">
            <v>15300</v>
          </cell>
          <cell r="J4254">
            <v>5355.16</v>
          </cell>
        </row>
        <row r="4255">
          <cell r="A4255">
            <v>1815750140</v>
          </cell>
          <cell r="B4255" t="str">
            <v>השתתפות באחזקת רכב</v>
          </cell>
          <cell r="C4255">
            <v>126065</v>
          </cell>
          <cell r="D4255">
            <v>173643.53</v>
          </cell>
          <cell r="E4255">
            <v>0</v>
          </cell>
          <cell r="F4255">
            <v>173643.53</v>
          </cell>
          <cell r="G4255">
            <v>-47578.53</v>
          </cell>
          <cell r="H4255">
            <v>137.74</v>
          </cell>
          <cell r="I4255">
            <v>132700</v>
          </cell>
          <cell r="J4255">
            <v>173643.53</v>
          </cell>
        </row>
        <row r="4256">
          <cell r="A4256">
            <v>1815750181</v>
          </cell>
          <cell r="B4256" t="str">
            <v>ק'השתל'מורים-מעביד</v>
          </cell>
          <cell r="C4256">
            <v>0</v>
          </cell>
          <cell r="D4256">
            <v>0</v>
          </cell>
          <cell r="E4256">
            <v>0</v>
          </cell>
          <cell r="F4256">
            <v>0</v>
          </cell>
          <cell r="G4256">
            <v>0</v>
          </cell>
          <cell r="H4256">
            <v>0</v>
          </cell>
          <cell r="I4256">
            <v>0</v>
          </cell>
          <cell r="J4256">
            <v>0</v>
          </cell>
        </row>
        <row r="4257">
          <cell r="A4257">
            <v>1815750210</v>
          </cell>
          <cell r="B4257" t="str">
            <v>תכנית גי"א / מש"ב</v>
          </cell>
          <cell r="C4257">
            <v>0</v>
          </cell>
          <cell r="D4257">
            <v>4581.53</v>
          </cell>
          <cell r="E4257">
            <v>0</v>
          </cell>
          <cell r="F4257">
            <v>4581.53</v>
          </cell>
          <cell r="G4257">
            <v>-4581.53</v>
          </cell>
          <cell r="H4257">
            <v>0</v>
          </cell>
          <cell r="I4257">
            <v>0</v>
          </cell>
          <cell r="J4257">
            <v>4581.53</v>
          </cell>
        </row>
        <row r="4258">
          <cell r="A4258">
            <v>1815750212</v>
          </cell>
          <cell r="B4258" t="str">
            <v>שעורי עזר לעולים</v>
          </cell>
          <cell r="C4258">
            <v>0</v>
          </cell>
          <cell r="D4258">
            <v>0</v>
          </cell>
          <cell r="E4258">
            <v>0</v>
          </cell>
          <cell r="F4258">
            <v>0</v>
          </cell>
          <cell r="G4258">
            <v>0</v>
          </cell>
          <cell r="H4258">
            <v>0</v>
          </cell>
          <cell r="I4258">
            <v>0</v>
          </cell>
          <cell r="J4258">
            <v>0</v>
          </cell>
        </row>
        <row r="4259">
          <cell r="A4259">
            <v>1815750213</v>
          </cell>
          <cell r="B4259" t="str">
            <v>שעורי עזר לנכים</v>
          </cell>
          <cell r="C4259">
            <v>0</v>
          </cell>
          <cell r="D4259">
            <v>135614.81</v>
          </cell>
          <cell r="E4259">
            <v>0</v>
          </cell>
          <cell r="F4259">
            <v>135614.81</v>
          </cell>
          <cell r="G4259">
            <v>-135614.81</v>
          </cell>
          <cell r="H4259">
            <v>0</v>
          </cell>
          <cell r="I4259">
            <v>0</v>
          </cell>
          <cell r="J4259">
            <v>135614.81</v>
          </cell>
        </row>
        <row r="4260">
          <cell r="A4260">
            <v>1815750214</v>
          </cell>
          <cell r="B4260" t="str">
            <v>שעורי עזר לתלמידים</v>
          </cell>
          <cell r="C4260">
            <v>0</v>
          </cell>
          <cell r="D4260">
            <v>0</v>
          </cell>
          <cell r="E4260">
            <v>0</v>
          </cell>
          <cell r="F4260">
            <v>0</v>
          </cell>
          <cell r="G4260">
            <v>0</v>
          </cell>
          <cell r="H4260">
            <v>0</v>
          </cell>
          <cell r="I4260">
            <v>0</v>
          </cell>
          <cell r="J4260">
            <v>0</v>
          </cell>
        </row>
        <row r="4261">
          <cell r="A4261">
            <v>1815750215</v>
          </cell>
          <cell r="B4261" t="str">
            <v>קייטנת קיץ בחטיבות ותיכוניים</v>
          </cell>
          <cell r="C4261">
            <v>0</v>
          </cell>
          <cell r="D4261">
            <v>0</v>
          </cell>
          <cell r="E4261">
            <v>0</v>
          </cell>
          <cell r="F4261">
            <v>0</v>
          </cell>
          <cell r="G4261">
            <v>0</v>
          </cell>
          <cell r="H4261">
            <v>0</v>
          </cell>
          <cell r="I4261">
            <v>0</v>
          </cell>
          <cell r="J4261">
            <v>0</v>
          </cell>
        </row>
        <row r="4262">
          <cell r="A4262">
            <v>1815750216</v>
          </cell>
          <cell r="B4262" t="str">
            <v>קשישים - שוויון  חברתי</v>
          </cell>
          <cell r="C4262">
            <v>28500</v>
          </cell>
          <cell r="D4262">
            <v>13328.24</v>
          </cell>
          <cell r="E4262">
            <v>0</v>
          </cell>
          <cell r="F4262">
            <v>13328.24</v>
          </cell>
          <cell r="G4262">
            <v>15171.76</v>
          </cell>
          <cell r="H4262">
            <v>46.76</v>
          </cell>
          <cell r="I4262">
            <v>30000</v>
          </cell>
          <cell r="J4262">
            <v>13328.24</v>
          </cell>
        </row>
        <row r="4263">
          <cell r="A4263">
            <v>1815750250</v>
          </cell>
          <cell r="B4263" t="str">
            <v>שעות השאלה למשה"ח</v>
          </cell>
          <cell r="C4263">
            <v>291365</v>
          </cell>
          <cell r="D4263">
            <v>279019.53999999998</v>
          </cell>
          <cell r="E4263">
            <v>0</v>
          </cell>
          <cell r="F4263">
            <v>279019.53999999998</v>
          </cell>
          <cell r="G4263">
            <v>12345.46</v>
          </cell>
          <cell r="H4263">
            <v>95.76</v>
          </cell>
          <cell r="I4263">
            <v>306700</v>
          </cell>
          <cell r="J4263">
            <v>279019.53999999998</v>
          </cell>
        </row>
        <row r="4264">
          <cell r="A4264">
            <v>1815750261</v>
          </cell>
          <cell r="B4264" t="str">
            <v>תכנית גי"א / מש"ב</v>
          </cell>
          <cell r="C4264">
            <v>0</v>
          </cell>
          <cell r="D4264">
            <v>0</v>
          </cell>
          <cell r="E4264">
            <v>0</v>
          </cell>
          <cell r="F4264">
            <v>0</v>
          </cell>
          <cell r="G4264">
            <v>0</v>
          </cell>
          <cell r="H4264">
            <v>0</v>
          </cell>
          <cell r="I4264">
            <v>0</v>
          </cell>
          <cell r="J4264">
            <v>0</v>
          </cell>
        </row>
        <row r="4265">
          <cell r="A4265">
            <v>1815750262</v>
          </cell>
          <cell r="B4265" t="str">
            <v>שעות שאילה - משה"ח</v>
          </cell>
          <cell r="C4265">
            <v>0</v>
          </cell>
          <cell r="D4265">
            <v>0</v>
          </cell>
          <cell r="E4265">
            <v>0</v>
          </cell>
          <cell r="F4265">
            <v>0</v>
          </cell>
          <cell r="G4265">
            <v>0</v>
          </cell>
          <cell r="H4265">
            <v>0</v>
          </cell>
          <cell r="I4265">
            <v>0</v>
          </cell>
          <cell r="J4265">
            <v>0</v>
          </cell>
        </row>
        <row r="4266">
          <cell r="A4266">
            <v>1815750263</v>
          </cell>
          <cell r="B4266" t="str">
            <v>עובדי חברת מוסדות</v>
          </cell>
          <cell r="C4266">
            <v>0</v>
          </cell>
          <cell r="D4266">
            <v>0</v>
          </cell>
          <cell r="E4266">
            <v>0</v>
          </cell>
          <cell r="F4266">
            <v>0</v>
          </cell>
          <cell r="G4266">
            <v>0</v>
          </cell>
          <cell r="H4266">
            <v>0</v>
          </cell>
          <cell r="I4266">
            <v>0</v>
          </cell>
          <cell r="J4266">
            <v>0</v>
          </cell>
        </row>
        <row r="4267">
          <cell r="A4267">
            <v>1815750264</v>
          </cell>
          <cell r="B4267" t="str">
            <v>עובדי חברת מוסדות</v>
          </cell>
          <cell r="C4267">
            <v>0</v>
          </cell>
          <cell r="D4267">
            <v>0</v>
          </cell>
          <cell r="E4267">
            <v>0</v>
          </cell>
          <cell r="F4267">
            <v>0</v>
          </cell>
          <cell r="G4267">
            <v>0</v>
          </cell>
          <cell r="H4267">
            <v>0</v>
          </cell>
          <cell r="I4267">
            <v>0</v>
          </cell>
          <cell r="J4267">
            <v>0</v>
          </cell>
        </row>
        <row r="4268">
          <cell r="A4268">
            <v>1815750391</v>
          </cell>
          <cell r="B4268" t="str">
            <v>הפרשה לפנסיה</v>
          </cell>
          <cell r="C4268">
            <v>0</v>
          </cell>
          <cell r="D4268">
            <v>0</v>
          </cell>
          <cell r="E4268">
            <v>0</v>
          </cell>
          <cell r="F4268">
            <v>0</v>
          </cell>
          <cell r="G4268">
            <v>0</v>
          </cell>
          <cell r="H4268">
            <v>0</v>
          </cell>
          <cell r="I4268">
            <v>0</v>
          </cell>
          <cell r="J4268">
            <v>0</v>
          </cell>
        </row>
        <row r="4269">
          <cell r="A4269">
            <v>1815750411</v>
          </cell>
          <cell r="B4269" t="str">
            <v>שכירת אולמות</v>
          </cell>
          <cell r="C4269">
            <v>0</v>
          </cell>
          <cell r="D4269">
            <v>0</v>
          </cell>
          <cell r="E4269">
            <v>0</v>
          </cell>
          <cell r="F4269">
            <v>0</v>
          </cell>
          <cell r="G4269">
            <v>0</v>
          </cell>
          <cell r="H4269">
            <v>0</v>
          </cell>
          <cell r="I4269">
            <v>0</v>
          </cell>
          <cell r="J4269">
            <v>0</v>
          </cell>
        </row>
        <row r="4270">
          <cell r="A4270">
            <v>1815750420</v>
          </cell>
          <cell r="B4270" t="str">
            <v>כיבוי אש</v>
          </cell>
          <cell r="C4270">
            <v>8550</v>
          </cell>
          <cell r="D4270">
            <v>9536.39</v>
          </cell>
          <cell r="E4270">
            <v>0</v>
          </cell>
          <cell r="F4270">
            <v>9536.39</v>
          </cell>
          <cell r="G4270">
            <v>-986.39</v>
          </cell>
          <cell r="H4270">
            <v>111.53</v>
          </cell>
          <cell r="I4270">
            <v>9000</v>
          </cell>
          <cell r="J4270">
            <v>9536.39</v>
          </cell>
        </row>
        <row r="4271">
          <cell r="A4271">
            <v>1815750423</v>
          </cell>
          <cell r="B4271" t="str">
            <v>תחזוקת מבנה</v>
          </cell>
          <cell r="C4271">
            <v>29165</v>
          </cell>
          <cell r="D4271">
            <v>30700</v>
          </cell>
          <cell r="E4271">
            <v>0</v>
          </cell>
          <cell r="F4271">
            <v>30700</v>
          </cell>
          <cell r="G4271">
            <v>-1535</v>
          </cell>
          <cell r="H4271">
            <v>105.26</v>
          </cell>
          <cell r="I4271">
            <v>30700</v>
          </cell>
          <cell r="J4271">
            <v>30700</v>
          </cell>
        </row>
        <row r="4272">
          <cell r="A4272">
            <v>1815750431</v>
          </cell>
          <cell r="B4272" t="str">
            <v>חשמל</v>
          </cell>
          <cell r="C4272">
            <v>247000</v>
          </cell>
          <cell r="D4272">
            <v>228125</v>
          </cell>
          <cell r="E4272">
            <v>0</v>
          </cell>
          <cell r="F4272">
            <v>228125</v>
          </cell>
          <cell r="G4272">
            <v>18875</v>
          </cell>
          <cell r="H4272">
            <v>92.35</v>
          </cell>
          <cell r="I4272">
            <v>260000</v>
          </cell>
          <cell r="J4272">
            <v>228125</v>
          </cell>
        </row>
        <row r="4273">
          <cell r="A4273">
            <v>1815750432</v>
          </cell>
          <cell r="B4273" t="str">
            <v>מים</v>
          </cell>
          <cell r="C4273">
            <v>39425</v>
          </cell>
          <cell r="D4273">
            <v>36377</v>
          </cell>
          <cell r="E4273">
            <v>0</v>
          </cell>
          <cell r="F4273">
            <v>36377</v>
          </cell>
          <cell r="G4273">
            <v>3048</v>
          </cell>
          <cell r="H4273">
            <v>92.26</v>
          </cell>
          <cell r="I4273">
            <v>41500</v>
          </cell>
          <cell r="J4273">
            <v>36377</v>
          </cell>
        </row>
        <row r="4274">
          <cell r="A4274">
            <v>1815750433</v>
          </cell>
          <cell r="B4274" t="str">
            <v>חומרי נקיון</v>
          </cell>
          <cell r="C4274">
            <v>0</v>
          </cell>
          <cell r="D4274">
            <v>0</v>
          </cell>
          <cell r="E4274">
            <v>0</v>
          </cell>
          <cell r="F4274">
            <v>0</v>
          </cell>
          <cell r="G4274">
            <v>0</v>
          </cell>
          <cell r="H4274">
            <v>0</v>
          </cell>
          <cell r="I4274">
            <v>0</v>
          </cell>
          <cell r="J4274">
            <v>0</v>
          </cell>
        </row>
        <row r="4275">
          <cell r="A4275">
            <v>1815750434</v>
          </cell>
          <cell r="B4275" t="str">
            <v>חיטוי והדברה</v>
          </cell>
          <cell r="C4275">
            <v>0</v>
          </cell>
          <cell r="D4275">
            <v>0</v>
          </cell>
          <cell r="E4275">
            <v>0</v>
          </cell>
          <cell r="F4275">
            <v>0</v>
          </cell>
          <cell r="G4275">
            <v>0</v>
          </cell>
          <cell r="H4275">
            <v>0</v>
          </cell>
          <cell r="I4275">
            <v>0</v>
          </cell>
          <cell r="J4275">
            <v>0</v>
          </cell>
        </row>
        <row r="4276">
          <cell r="A4276">
            <v>1815750437</v>
          </cell>
          <cell r="B4276" t="str">
            <v>אחזקת אזעקה</v>
          </cell>
          <cell r="C4276">
            <v>3610</v>
          </cell>
          <cell r="D4276">
            <v>3664.45</v>
          </cell>
          <cell r="E4276">
            <v>0</v>
          </cell>
          <cell r="F4276">
            <v>3664.45</v>
          </cell>
          <cell r="G4276">
            <v>-54.45</v>
          </cell>
          <cell r="H4276">
            <v>101.5</v>
          </cell>
          <cell r="I4276">
            <v>3800</v>
          </cell>
          <cell r="J4276">
            <v>3664.45</v>
          </cell>
        </row>
        <row r="4277">
          <cell r="A4277">
            <v>1815750441</v>
          </cell>
          <cell r="B4277" t="str">
            <v>ביטוח</v>
          </cell>
          <cell r="C4277">
            <v>0</v>
          </cell>
          <cell r="D4277">
            <v>0</v>
          </cell>
          <cell r="E4277">
            <v>0</v>
          </cell>
          <cell r="F4277">
            <v>0</v>
          </cell>
          <cell r="G4277">
            <v>0</v>
          </cell>
          <cell r="H4277">
            <v>0</v>
          </cell>
          <cell r="I4277">
            <v>0</v>
          </cell>
          <cell r="J4277">
            <v>0</v>
          </cell>
        </row>
        <row r="4278">
          <cell r="A4278">
            <v>1815750450</v>
          </cell>
          <cell r="B4278" t="str">
            <v>ריהוט ואחזקתו</v>
          </cell>
          <cell r="C4278">
            <v>19095</v>
          </cell>
          <cell r="D4278">
            <v>17698</v>
          </cell>
          <cell r="E4278">
            <v>0</v>
          </cell>
          <cell r="F4278">
            <v>17698</v>
          </cell>
          <cell r="G4278">
            <v>1397</v>
          </cell>
          <cell r="H4278">
            <v>92.68</v>
          </cell>
          <cell r="I4278">
            <v>20100</v>
          </cell>
          <cell r="J4278">
            <v>17698</v>
          </cell>
        </row>
        <row r="4279">
          <cell r="A4279">
            <v>1815750451</v>
          </cell>
          <cell r="B4279" t="str">
            <v>הוצאות גפ"ן בית ספרי</v>
          </cell>
          <cell r="C4279">
            <v>0</v>
          </cell>
          <cell r="D4279">
            <v>0</v>
          </cell>
          <cell r="E4279">
            <v>0</v>
          </cell>
          <cell r="F4279">
            <v>0</v>
          </cell>
          <cell r="G4279">
            <v>0</v>
          </cell>
          <cell r="H4279">
            <v>0</v>
          </cell>
          <cell r="I4279">
            <v>0</v>
          </cell>
          <cell r="J4279">
            <v>0</v>
          </cell>
        </row>
        <row r="4280">
          <cell r="A4280">
            <v>1815750452</v>
          </cell>
          <cell r="B4280" t="str">
            <v>השתתפות עירונית בגפ"ן</v>
          </cell>
          <cell r="C4280">
            <v>0</v>
          </cell>
          <cell r="D4280">
            <v>0</v>
          </cell>
          <cell r="E4280">
            <v>0</v>
          </cell>
          <cell r="F4280">
            <v>0</v>
          </cell>
          <cell r="G4280">
            <v>0</v>
          </cell>
          <cell r="H4280">
            <v>0</v>
          </cell>
          <cell r="I4280">
            <v>0</v>
          </cell>
          <cell r="J4280">
            <v>0</v>
          </cell>
        </row>
        <row r="4281">
          <cell r="A4281">
            <v>1815750470</v>
          </cell>
          <cell r="B4281" t="str">
            <v>אחזקת מכונות משרד</v>
          </cell>
          <cell r="C4281">
            <v>0</v>
          </cell>
          <cell r="D4281">
            <v>0</v>
          </cell>
          <cell r="E4281">
            <v>0</v>
          </cell>
          <cell r="F4281">
            <v>0</v>
          </cell>
          <cell r="G4281">
            <v>0</v>
          </cell>
          <cell r="H4281">
            <v>0</v>
          </cell>
          <cell r="I4281">
            <v>0</v>
          </cell>
          <cell r="J4281">
            <v>0</v>
          </cell>
        </row>
        <row r="4282">
          <cell r="A4282">
            <v>1815750471</v>
          </cell>
          <cell r="B4282" t="str">
            <v>מכשירי כתיבה</v>
          </cell>
          <cell r="C4282">
            <v>0</v>
          </cell>
          <cell r="D4282">
            <v>0</v>
          </cell>
          <cell r="E4282">
            <v>0</v>
          </cell>
          <cell r="F4282">
            <v>0</v>
          </cell>
          <cell r="G4282">
            <v>0</v>
          </cell>
          <cell r="H4282">
            <v>0</v>
          </cell>
          <cell r="I4282">
            <v>0</v>
          </cell>
          <cell r="J4282">
            <v>0</v>
          </cell>
        </row>
        <row r="4283">
          <cell r="A4283">
            <v>1815750511</v>
          </cell>
          <cell r="B4283" t="str">
            <v>אירוח וכיבוד</v>
          </cell>
          <cell r="C4283">
            <v>18810</v>
          </cell>
          <cell r="D4283">
            <v>19503.900000000001</v>
          </cell>
          <cell r="E4283">
            <v>0</v>
          </cell>
          <cell r="F4283">
            <v>19503.900000000001</v>
          </cell>
          <cell r="G4283">
            <v>-693.9</v>
          </cell>
          <cell r="H4283">
            <v>103.68</v>
          </cell>
          <cell r="I4283">
            <v>19800</v>
          </cell>
          <cell r="J4283">
            <v>19503.900000000001</v>
          </cell>
        </row>
        <row r="4284">
          <cell r="A4284">
            <v>1815750512</v>
          </cell>
          <cell r="B4284" t="str">
            <v>נסיעות ואש"ל</v>
          </cell>
          <cell r="C4284">
            <v>0</v>
          </cell>
          <cell r="D4284">
            <v>0</v>
          </cell>
          <cell r="E4284">
            <v>0</v>
          </cell>
          <cell r="F4284">
            <v>0</v>
          </cell>
          <cell r="G4284">
            <v>0</v>
          </cell>
          <cell r="H4284">
            <v>0</v>
          </cell>
          <cell r="I4284">
            <v>0</v>
          </cell>
          <cell r="J4284">
            <v>0</v>
          </cell>
        </row>
        <row r="4285">
          <cell r="A4285">
            <v>1815750517</v>
          </cell>
          <cell r="B4285" t="str">
            <v>מסיבות מפקדים ושי</v>
          </cell>
          <cell r="C4285">
            <v>0</v>
          </cell>
          <cell r="D4285">
            <v>0</v>
          </cell>
          <cell r="E4285">
            <v>0</v>
          </cell>
          <cell r="F4285">
            <v>0</v>
          </cell>
          <cell r="G4285">
            <v>0</v>
          </cell>
          <cell r="H4285">
            <v>0</v>
          </cell>
          <cell r="I4285">
            <v>0</v>
          </cell>
          <cell r="J4285">
            <v>0</v>
          </cell>
        </row>
        <row r="4286">
          <cell r="A4286">
            <v>1815750522</v>
          </cell>
          <cell r="B4286" t="str">
            <v>ספריות</v>
          </cell>
          <cell r="C4286">
            <v>0</v>
          </cell>
          <cell r="D4286">
            <v>0</v>
          </cell>
          <cell r="E4286">
            <v>0</v>
          </cell>
          <cell r="F4286">
            <v>0</v>
          </cell>
          <cell r="G4286">
            <v>0</v>
          </cell>
          <cell r="H4286">
            <v>0</v>
          </cell>
          <cell r="I4286">
            <v>0</v>
          </cell>
          <cell r="J4286">
            <v>0</v>
          </cell>
        </row>
        <row r="4287">
          <cell r="A4287">
            <v>1815750530</v>
          </cell>
          <cell r="B4287" t="str">
            <v>אופניים לעובדים</v>
          </cell>
          <cell r="C4287">
            <v>0</v>
          </cell>
          <cell r="D4287">
            <v>0</v>
          </cell>
          <cell r="E4287">
            <v>0</v>
          </cell>
          <cell r="F4287">
            <v>0</v>
          </cell>
          <cell r="G4287">
            <v>0</v>
          </cell>
          <cell r="H4287">
            <v>0</v>
          </cell>
          <cell r="I4287">
            <v>0</v>
          </cell>
          <cell r="J4287">
            <v>0</v>
          </cell>
        </row>
        <row r="4288">
          <cell r="A4288">
            <v>1815750540</v>
          </cell>
          <cell r="B4288" t="str">
            <v>הוצאות טלפון</v>
          </cell>
          <cell r="C4288">
            <v>0</v>
          </cell>
          <cell r="D4288">
            <v>0</v>
          </cell>
          <cell r="E4288">
            <v>0</v>
          </cell>
          <cell r="F4288">
            <v>0</v>
          </cell>
          <cell r="G4288">
            <v>0</v>
          </cell>
          <cell r="H4288">
            <v>0</v>
          </cell>
          <cell r="I4288">
            <v>0</v>
          </cell>
          <cell r="J4288">
            <v>0</v>
          </cell>
        </row>
        <row r="4289">
          <cell r="A4289">
            <v>1815750544</v>
          </cell>
          <cell r="B4289" t="str">
            <v>הוצאות דאר</v>
          </cell>
          <cell r="C4289">
            <v>0</v>
          </cell>
          <cell r="D4289">
            <v>0</v>
          </cell>
          <cell r="E4289">
            <v>0</v>
          </cell>
          <cell r="F4289">
            <v>0</v>
          </cell>
          <cell r="G4289">
            <v>0</v>
          </cell>
          <cell r="H4289">
            <v>0</v>
          </cell>
          <cell r="I4289">
            <v>0</v>
          </cell>
          <cell r="J4289">
            <v>0</v>
          </cell>
        </row>
        <row r="4290">
          <cell r="A4290">
            <v>1815750562</v>
          </cell>
          <cell r="B4290" t="str">
            <v>הדפסות</v>
          </cell>
          <cell r="C4290">
            <v>0</v>
          </cell>
          <cell r="D4290">
            <v>0</v>
          </cell>
          <cell r="E4290">
            <v>0</v>
          </cell>
          <cell r="F4290">
            <v>0</v>
          </cell>
          <cell r="G4290">
            <v>0</v>
          </cell>
          <cell r="H4290">
            <v>0</v>
          </cell>
          <cell r="I4290">
            <v>0</v>
          </cell>
          <cell r="J4290">
            <v>0</v>
          </cell>
        </row>
        <row r="4291">
          <cell r="A4291">
            <v>1815750583</v>
          </cell>
          <cell r="B4291" t="str">
            <v>שרות רפואי</v>
          </cell>
          <cell r="C4291">
            <v>0</v>
          </cell>
          <cell r="D4291">
            <v>0</v>
          </cell>
          <cell r="E4291">
            <v>0</v>
          </cell>
          <cell r="F4291">
            <v>0</v>
          </cell>
          <cell r="G4291">
            <v>0</v>
          </cell>
          <cell r="H4291">
            <v>0</v>
          </cell>
          <cell r="I4291">
            <v>0</v>
          </cell>
          <cell r="J4291">
            <v>0</v>
          </cell>
        </row>
        <row r="4292">
          <cell r="A4292">
            <v>1815750585</v>
          </cell>
          <cell r="B4292" t="str">
            <v>שרות אחות</v>
          </cell>
          <cell r="C4292">
            <v>0</v>
          </cell>
          <cell r="D4292">
            <v>0</v>
          </cell>
          <cell r="E4292">
            <v>0</v>
          </cell>
          <cell r="F4292">
            <v>0</v>
          </cell>
          <cell r="G4292">
            <v>0</v>
          </cell>
          <cell r="H4292">
            <v>0</v>
          </cell>
          <cell r="I4292">
            <v>0</v>
          </cell>
          <cell r="J4292">
            <v>0</v>
          </cell>
        </row>
        <row r="4293">
          <cell r="A4293">
            <v>1815750721</v>
          </cell>
          <cell r="B4293" t="str">
            <v>חמרים-תחזוקת מבנים</v>
          </cell>
          <cell r="C4293">
            <v>2565</v>
          </cell>
          <cell r="D4293">
            <v>0</v>
          </cell>
          <cell r="E4293">
            <v>0</v>
          </cell>
          <cell r="F4293">
            <v>0</v>
          </cell>
          <cell r="G4293">
            <v>2565</v>
          </cell>
          <cell r="H4293">
            <v>0</v>
          </cell>
          <cell r="I4293">
            <v>2700</v>
          </cell>
          <cell r="J4293">
            <v>0</v>
          </cell>
        </row>
        <row r="4294">
          <cell r="A4294">
            <v>1815750722</v>
          </cell>
          <cell r="B4294" t="str">
            <v>חמרים-תחזוקה עצמית</v>
          </cell>
          <cell r="C4294">
            <v>0</v>
          </cell>
          <cell r="D4294">
            <v>0</v>
          </cell>
          <cell r="E4294">
            <v>0</v>
          </cell>
          <cell r="F4294">
            <v>0</v>
          </cell>
          <cell r="G4294">
            <v>0</v>
          </cell>
          <cell r="H4294">
            <v>0</v>
          </cell>
          <cell r="I4294">
            <v>0</v>
          </cell>
          <cell r="J4294">
            <v>0</v>
          </cell>
        </row>
        <row r="4295">
          <cell r="A4295">
            <v>1815750724</v>
          </cell>
          <cell r="B4295" t="str">
            <v>ציוד למגמות</v>
          </cell>
          <cell r="C4295">
            <v>0</v>
          </cell>
          <cell r="D4295">
            <v>0</v>
          </cell>
          <cell r="E4295">
            <v>0</v>
          </cell>
          <cell r="F4295">
            <v>0</v>
          </cell>
          <cell r="G4295">
            <v>0</v>
          </cell>
          <cell r="H4295">
            <v>0</v>
          </cell>
          <cell r="I4295">
            <v>0</v>
          </cell>
          <cell r="J4295">
            <v>0</v>
          </cell>
        </row>
        <row r="4296">
          <cell r="A4296">
            <v>1815750742</v>
          </cell>
          <cell r="B4296" t="str">
            <v>כלים וציוד</v>
          </cell>
          <cell r="C4296">
            <v>49495</v>
          </cell>
          <cell r="D4296">
            <v>53020</v>
          </cell>
          <cell r="E4296">
            <v>0</v>
          </cell>
          <cell r="F4296">
            <v>53020</v>
          </cell>
          <cell r="G4296">
            <v>-3525</v>
          </cell>
          <cell r="H4296">
            <v>107.12</v>
          </cell>
          <cell r="I4296">
            <v>52100</v>
          </cell>
          <cell r="J4296">
            <v>53020</v>
          </cell>
        </row>
        <row r="4297">
          <cell r="A4297">
            <v>1815750744</v>
          </cell>
          <cell r="B4297" t="str">
            <v>ציוד מגמת  טלויזיה</v>
          </cell>
          <cell r="C4297">
            <v>0</v>
          </cell>
          <cell r="D4297">
            <v>0</v>
          </cell>
          <cell r="E4297">
            <v>0</v>
          </cell>
          <cell r="F4297">
            <v>0</v>
          </cell>
          <cell r="G4297">
            <v>0</v>
          </cell>
          <cell r="H4297">
            <v>0</v>
          </cell>
          <cell r="I4297">
            <v>0</v>
          </cell>
          <cell r="J4297">
            <v>0</v>
          </cell>
        </row>
        <row r="4298">
          <cell r="A4298">
            <v>1815750745</v>
          </cell>
          <cell r="B4298" t="str">
            <v>דמי פריצה - תכולה</v>
          </cell>
          <cell r="C4298">
            <v>0</v>
          </cell>
          <cell r="D4298">
            <v>0</v>
          </cell>
          <cell r="E4298">
            <v>0</v>
          </cell>
          <cell r="F4298">
            <v>0</v>
          </cell>
          <cell r="G4298">
            <v>0</v>
          </cell>
          <cell r="H4298">
            <v>0</v>
          </cell>
          <cell r="I4298">
            <v>0</v>
          </cell>
          <cell r="J4298">
            <v>0</v>
          </cell>
        </row>
        <row r="4299">
          <cell r="A4299">
            <v>1815750746</v>
          </cell>
          <cell r="B4299" t="str">
            <v>דמי פריצה - מבנה</v>
          </cell>
          <cell r="C4299">
            <v>0</v>
          </cell>
          <cell r="D4299">
            <v>0</v>
          </cell>
          <cell r="E4299">
            <v>0</v>
          </cell>
          <cell r="F4299">
            <v>0</v>
          </cell>
          <cell r="G4299">
            <v>0</v>
          </cell>
          <cell r="H4299">
            <v>0</v>
          </cell>
          <cell r="I4299">
            <v>0</v>
          </cell>
          <cell r="J4299">
            <v>0</v>
          </cell>
        </row>
        <row r="4300">
          <cell r="A4300">
            <v>1815750750</v>
          </cell>
          <cell r="B4300" t="str">
            <v>אחזקת מוסדות</v>
          </cell>
          <cell r="C4300">
            <v>546600</v>
          </cell>
          <cell r="D4300">
            <v>527521</v>
          </cell>
          <cell r="E4300">
            <v>0</v>
          </cell>
          <cell r="F4300">
            <v>527521</v>
          </cell>
          <cell r="G4300">
            <v>19079</v>
          </cell>
          <cell r="H4300">
            <v>96.5</v>
          </cell>
          <cell r="I4300">
            <v>546600</v>
          </cell>
          <cell r="J4300">
            <v>527521</v>
          </cell>
        </row>
        <row r="4301">
          <cell r="A4301">
            <v>1815750751</v>
          </cell>
          <cell r="B4301" t="str">
            <v>עבודות קבלניות</v>
          </cell>
          <cell r="C4301">
            <v>23750</v>
          </cell>
          <cell r="D4301">
            <v>9061</v>
          </cell>
          <cell r="E4301">
            <v>0</v>
          </cell>
          <cell r="F4301">
            <v>9061</v>
          </cell>
          <cell r="G4301">
            <v>14689</v>
          </cell>
          <cell r="H4301">
            <v>38.15</v>
          </cell>
          <cell r="I4301">
            <v>25000</v>
          </cell>
          <cell r="J4301">
            <v>9061</v>
          </cell>
        </row>
        <row r="4302">
          <cell r="A4302">
            <v>1815750752</v>
          </cell>
          <cell r="B4302" t="str">
            <v>נקיון בקבלנות</v>
          </cell>
          <cell r="C4302">
            <v>838200</v>
          </cell>
          <cell r="D4302">
            <v>838199.49</v>
          </cell>
          <cell r="E4302">
            <v>0</v>
          </cell>
          <cell r="F4302">
            <v>838199.49</v>
          </cell>
          <cell r="G4302">
            <v>0.51</v>
          </cell>
          <cell r="H4302">
            <v>99.99</v>
          </cell>
          <cell r="I4302">
            <v>838200</v>
          </cell>
          <cell r="J4302">
            <v>838199.49</v>
          </cell>
        </row>
        <row r="4303">
          <cell r="A4303">
            <v>1815750753</v>
          </cell>
          <cell r="B4303" t="str">
            <v>עובדים חיצוניים</v>
          </cell>
          <cell r="C4303">
            <v>0</v>
          </cell>
          <cell r="D4303">
            <v>0</v>
          </cell>
          <cell r="E4303">
            <v>0</v>
          </cell>
          <cell r="F4303">
            <v>0</v>
          </cell>
          <cell r="G4303">
            <v>0</v>
          </cell>
          <cell r="H4303">
            <v>0</v>
          </cell>
          <cell r="I4303">
            <v>0</v>
          </cell>
          <cell r="J4303">
            <v>0</v>
          </cell>
        </row>
        <row r="4304">
          <cell r="A4304">
            <v>1815750755</v>
          </cell>
          <cell r="B4304" t="str">
            <v>אחות</v>
          </cell>
          <cell r="C4304">
            <v>0</v>
          </cell>
          <cell r="D4304">
            <v>0</v>
          </cell>
          <cell r="E4304">
            <v>0</v>
          </cell>
          <cell r="F4304">
            <v>0</v>
          </cell>
          <cell r="G4304">
            <v>0</v>
          </cell>
          <cell r="H4304">
            <v>0</v>
          </cell>
          <cell r="I4304">
            <v>0</v>
          </cell>
          <cell r="J4304">
            <v>0</v>
          </cell>
        </row>
        <row r="4305">
          <cell r="A4305">
            <v>1815750759</v>
          </cell>
          <cell r="B4305" t="str">
            <v>שרותי סייעות</v>
          </cell>
          <cell r="C4305">
            <v>3241020</v>
          </cell>
          <cell r="D4305">
            <v>2495858.69</v>
          </cell>
          <cell r="E4305">
            <v>0</v>
          </cell>
          <cell r="F4305">
            <v>2495858.69</v>
          </cell>
          <cell r="G4305">
            <v>745161.31</v>
          </cell>
          <cell r="H4305">
            <v>77</v>
          </cell>
          <cell r="I4305">
            <v>3411600</v>
          </cell>
          <cell r="J4305">
            <v>2495858.69</v>
          </cell>
        </row>
        <row r="4306">
          <cell r="A4306">
            <v>1815750761</v>
          </cell>
          <cell r="B4306" t="str">
            <v>השאלת מורים חט"ב</v>
          </cell>
          <cell r="C4306">
            <v>0</v>
          </cell>
          <cell r="D4306">
            <v>0</v>
          </cell>
          <cell r="E4306">
            <v>0</v>
          </cell>
          <cell r="F4306">
            <v>0</v>
          </cell>
          <cell r="G4306">
            <v>0</v>
          </cell>
          <cell r="H4306">
            <v>0</v>
          </cell>
          <cell r="I4306">
            <v>0</v>
          </cell>
          <cell r="J4306">
            <v>0</v>
          </cell>
        </row>
        <row r="4307">
          <cell r="A4307">
            <v>1815750762</v>
          </cell>
          <cell r="B4307" t="str">
            <v>שאילת מורים</v>
          </cell>
          <cell r="C4307">
            <v>266380</v>
          </cell>
          <cell r="D4307">
            <v>498653.27</v>
          </cell>
          <cell r="E4307">
            <v>0</v>
          </cell>
          <cell r="F4307">
            <v>498653.27</v>
          </cell>
          <cell r="G4307">
            <v>-232273.27</v>
          </cell>
          <cell r="H4307">
            <v>187.19</v>
          </cell>
          <cell r="I4307">
            <v>280400</v>
          </cell>
          <cell r="J4307">
            <v>498653.27</v>
          </cell>
        </row>
        <row r="4308">
          <cell r="A4308">
            <v>1815750763</v>
          </cell>
          <cell r="B4308" t="str">
            <v>עובדי חברת מוסדות</v>
          </cell>
          <cell r="C4308">
            <v>0</v>
          </cell>
          <cell r="D4308">
            <v>0</v>
          </cell>
          <cell r="E4308">
            <v>0</v>
          </cell>
          <cell r="F4308">
            <v>0</v>
          </cell>
          <cell r="G4308">
            <v>0</v>
          </cell>
          <cell r="H4308">
            <v>0</v>
          </cell>
          <cell r="I4308">
            <v>0</v>
          </cell>
          <cell r="J4308">
            <v>0</v>
          </cell>
        </row>
        <row r="4309">
          <cell r="A4309">
            <v>1815750765</v>
          </cell>
          <cell r="B4309" t="str">
            <v>רכז חברתי - חט"ב</v>
          </cell>
          <cell r="C4309">
            <v>0</v>
          </cell>
          <cell r="D4309">
            <v>0</v>
          </cell>
          <cell r="E4309">
            <v>0</v>
          </cell>
          <cell r="F4309">
            <v>0</v>
          </cell>
          <cell r="G4309">
            <v>0</v>
          </cell>
          <cell r="H4309">
            <v>0</v>
          </cell>
          <cell r="I4309">
            <v>0</v>
          </cell>
          <cell r="J4309">
            <v>0</v>
          </cell>
        </row>
        <row r="4310">
          <cell r="A4310">
            <v>1815750780</v>
          </cell>
          <cell r="B4310" t="str">
            <v>חינוך חברתי</v>
          </cell>
          <cell r="C4310">
            <v>22800</v>
          </cell>
          <cell r="D4310">
            <v>21556</v>
          </cell>
          <cell r="E4310">
            <v>0</v>
          </cell>
          <cell r="F4310">
            <v>21556</v>
          </cell>
          <cell r="G4310">
            <v>1244</v>
          </cell>
          <cell r="H4310">
            <v>94.54</v>
          </cell>
          <cell r="I4310">
            <v>24000</v>
          </cell>
          <cell r="J4310">
            <v>21556</v>
          </cell>
        </row>
        <row r="4311">
          <cell r="A4311">
            <v>1815750794</v>
          </cell>
          <cell r="B4311" t="str">
            <v>השתתפות בעזר 094</v>
          </cell>
          <cell r="C4311">
            <v>15865</v>
          </cell>
          <cell r="D4311">
            <v>19920</v>
          </cell>
          <cell r="E4311">
            <v>0</v>
          </cell>
          <cell r="F4311">
            <v>19920</v>
          </cell>
          <cell r="G4311">
            <v>-4055</v>
          </cell>
          <cell r="H4311">
            <v>125.55</v>
          </cell>
          <cell r="I4311">
            <v>16700</v>
          </cell>
          <cell r="J4311">
            <v>19920</v>
          </cell>
        </row>
        <row r="4312">
          <cell r="A4312">
            <v>1815750810</v>
          </cell>
          <cell r="B4312" t="str">
            <v>הקצבה לניהול עצמי</v>
          </cell>
          <cell r="C4312">
            <v>103170</v>
          </cell>
          <cell r="D4312">
            <v>0</v>
          </cell>
          <cell r="E4312">
            <v>0</v>
          </cell>
          <cell r="F4312">
            <v>0</v>
          </cell>
          <cell r="G4312">
            <v>103170</v>
          </cell>
          <cell r="H4312">
            <v>0</v>
          </cell>
          <cell r="I4312">
            <v>108600</v>
          </cell>
          <cell r="J4312">
            <v>0</v>
          </cell>
        </row>
        <row r="4313">
          <cell r="A4313">
            <v>1815750811</v>
          </cell>
          <cell r="B4313" t="str">
            <v>העשרה למחוננים</v>
          </cell>
          <cell r="C4313">
            <v>250000</v>
          </cell>
          <cell r="D4313">
            <v>244482.2</v>
          </cell>
          <cell r="E4313">
            <v>0</v>
          </cell>
          <cell r="F4313">
            <v>244482.2</v>
          </cell>
          <cell r="G4313">
            <v>5517.8</v>
          </cell>
          <cell r="H4313">
            <v>97.79</v>
          </cell>
          <cell r="I4313">
            <v>250000</v>
          </cell>
          <cell r="J4313">
            <v>244482.2</v>
          </cell>
        </row>
        <row r="4314">
          <cell r="A4314">
            <v>1815750812</v>
          </cell>
          <cell r="B4314" t="str">
            <v>מסיבות כיתתיות</v>
          </cell>
          <cell r="C4314">
            <v>23750</v>
          </cell>
          <cell r="D4314">
            <v>24706</v>
          </cell>
          <cell r="E4314">
            <v>0</v>
          </cell>
          <cell r="F4314">
            <v>24706</v>
          </cell>
          <cell r="G4314">
            <v>-956</v>
          </cell>
          <cell r="H4314">
            <v>104.02</v>
          </cell>
          <cell r="I4314">
            <v>25000</v>
          </cell>
          <cell r="J4314">
            <v>24706</v>
          </cell>
        </row>
        <row r="4315">
          <cell r="A4315">
            <v>1815750816</v>
          </cell>
          <cell r="B4315" t="str">
            <v>חט"ב-הכלה והשתלבות</v>
          </cell>
          <cell r="C4315">
            <v>0</v>
          </cell>
          <cell r="D4315">
            <v>0</v>
          </cell>
          <cell r="E4315">
            <v>0</v>
          </cell>
          <cell r="F4315">
            <v>0</v>
          </cell>
          <cell r="G4315">
            <v>0</v>
          </cell>
          <cell r="H4315">
            <v>0</v>
          </cell>
          <cell r="I4315">
            <v>0</v>
          </cell>
          <cell r="J4315">
            <v>0</v>
          </cell>
        </row>
        <row r="4316">
          <cell r="A4316">
            <v>1815750838</v>
          </cell>
          <cell r="B4316" t="str">
            <v>העברה כנגד הכנסות מש' החינוך</v>
          </cell>
          <cell r="C4316">
            <v>0</v>
          </cell>
          <cell r="D4316">
            <v>0</v>
          </cell>
          <cell r="E4316">
            <v>0</v>
          </cell>
          <cell r="F4316">
            <v>0</v>
          </cell>
          <cell r="G4316">
            <v>0</v>
          </cell>
          <cell r="H4316">
            <v>0</v>
          </cell>
          <cell r="I4316">
            <v>0</v>
          </cell>
          <cell r="J4316">
            <v>0</v>
          </cell>
        </row>
        <row r="4317">
          <cell r="A4317">
            <v>1815750953</v>
          </cell>
          <cell r="B4317" t="str">
            <v>מערכת גפ"ן</v>
          </cell>
          <cell r="C4317">
            <v>1297320</v>
          </cell>
          <cell r="D4317">
            <v>1459166.03</v>
          </cell>
          <cell r="E4317">
            <v>0</v>
          </cell>
          <cell r="F4317">
            <v>1459166.03</v>
          </cell>
          <cell r="G4317">
            <v>-161846.03</v>
          </cell>
          <cell r="H4317">
            <v>112.47</v>
          </cell>
          <cell r="I4317">
            <v>1365600</v>
          </cell>
          <cell r="J4317">
            <v>1459166.03</v>
          </cell>
        </row>
        <row r="4318">
          <cell r="A4318">
            <v>1815750989</v>
          </cell>
          <cell r="B4318" t="str">
            <v>תקורה</v>
          </cell>
          <cell r="C4318">
            <v>1778400</v>
          </cell>
          <cell r="D4318">
            <v>1801468</v>
          </cell>
          <cell r="E4318">
            <v>0</v>
          </cell>
          <cell r="F4318">
            <v>1801468</v>
          </cell>
          <cell r="G4318">
            <v>-23068</v>
          </cell>
          <cell r="H4318">
            <v>101.29</v>
          </cell>
          <cell r="I4318">
            <v>1872000</v>
          </cell>
          <cell r="J4318">
            <v>1801468</v>
          </cell>
        </row>
        <row r="4319">
          <cell r="A4319">
            <v>1815760110</v>
          </cell>
          <cell r="B4319" t="str">
            <v>השכר הקובע-תקציבית</v>
          </cell>
          <cell r="C4319">
            <v>340100</v>
          </cell>
          <cell r="D4319">
            <v>370592.44</v>
          </cell>
          <cell r="E4319">
            <v>0</v>
          </cell>
          <cell r="F4319">
            <v>370592.44</v>
          </cell>
          <cell r="G4319">
            <v>-30492.44</v>
          </cell>
          <cell r="H4319">
            <v>108.96</v>
          </cell>
          <cell r="I4319">
            <v>358000</v>
          </cell>
          <cell r="J4319">
            <v>370592.44</v>
          </cell>
        </row>
        <row r="4320">
          <cell r="A4320">
            <v>1815760118</v>
          </cell>
          <cell r="B4320" t="str">
            <v>שכר עובדי הוראה</v>
          </cell>
          <cell r="C4320">
            <v>3536850</v>
          </cell>
          <cell r="D4320">
            <v>4698077.4800000004</v>
          </cell>
          <cell r="E4320">
            <v>0</v>
          </cell>
          <cell r="F4320">
            <v>4698077.4800000004</v>
          </cell>
          <cell r="G4320">
            <v>-1161227.48</v>
          </cell>
          <cell r="H4320">
            <v>132.83000000000001</v>
          </cell>
          <cell r="I4320">
            <v>3723000</v>
          </cell>
          <cell r="J4320">
            <v>4698077.4800000004</v>
          </cell>
        </row>
        <row r="4321">
          <cell r="A4321">
            <v>1815760119</v>
          </cell>
          <cell r="B4321" t="str">
            <v>השכר הקובע-צוברת</v>
          </cell>
          <cell r="C4321">
            <v>631845</v>
          </cell>
          <cell r="D4321">
            <v>714749.98</v>
          </cell>
          <cell r="E4321">
            <v>0</v>
          </cell>
          <cell r="F4321">
            <v>714749.98</v>
          </cell>
          <cell r="G4321">
            <v>-82904.98</v>
          </cell>
          <cell r="H4321">
            <v>113.12</v>
          </cell>
          <cell r="I4321">
            <v>665100</v>
          </cell>
          <cell r="J4321">
            <v>714749.98</v>
          </cell>
        </row>
        <row r="4322">
          <cell r="A4322">
            <v>1815760122</v>
          </cell>
          <cell r="B4322" t="str">
            <v>ביגוד</v>
          </cell>
          <cell r="C4322">
            <v>65265</v>
          </cell>
          <cell r="D4322">
            <v>54560.69</v>
          </cell>
          <cell r="E4322">
            <v>0</v>
          </cell>
          <cell r="F4322">
            <v>54560.69</v>
          </cell>
          <cell r="G4322">
            <v>10704.31</v>
          </cell>
          <cell r="H4322">
            <v>83.59</v>
          </cell>
          <cell r="I4322">
            <v>68700</v>
          </cell>
          <cell r="J4322">
            <v>54560.69</v>
          </cell>
        </row>
        <row r="4323">
          <cell r="A4323">
            <v>1815760126</v>
          </cell>
          <cell r="B4323" t="str">
            <v>דמי הבראה</v>
          </cell>
          <cell r="C4323">
            <v>113525</v>
          </cell>
          <cell r="D4323">
            <v>125385.26</v>
          </cell>
          <cell r="E4323">
            <v>0</v>
          </cell>
          <cell r="F4323">
            <v>125385.26</v>
          </cell>
          <cell r="G4323">
            <v>-11860.26</v>
          </cell>
          <cell r="H4323">
            <v>110.44</v>
          </cell>
          <cell r="I4323">
            <v>119500</v>
          </cell>
          <cell r="J4323">
            <v>125385.26</v>
          </cell>
        </row>
        <row r="4324">
          <cell r="A4324">
            <v>1815760130</v>
          </cell>
          <cell r="B4324" t="str">
            <v>שעות נוספות</v>
          </cell>
          <cell r="C4324">
            <v>26410</v>
          </cell>
          <cell r="D4324">
            <v>61615.9</v>
          </cell>
          <cell r="E4324">
            <v>0</v>
          </cell>
          <cell r="F4324">
            <v>61615.9</v>
          </cell>
          <cell r="G4324">
            <v>-35205.9</v>
          </cell>
          <cell r="H4324">
            <v>233.3</v>
          </cell>
          <cell r="I4324">
            <v>27800</v>
          </cell>
          <cell r="J4324">
            <v>61615.9</v>
          </cell>
        </row>
        <row r="4325">
          <cell r="A4325">
            <v>1815760140</v>
          </cell>
          <cell r="B4325" t="str">
            <v>השתתפות באחזקת רכב</v>
          </cell>
          <cell r="C4325">
            <v>91105</v>
          </cell>
          <cell r="D4325">
            <v>111366.28</v>
          </cell>
          <cell r="E4325">
            <v>0</v>
          </cell>
          <cell r="F4325">
            <v>111366.28</v>
          </cell>
          <cell r="G4325">
            <v>-20261.28</v>
          </cell>
          <cell r="H4325">
            <v>122.23</v>
          </cell>
          <cell r="I4325">
            <v>95900</v>
          </cell>
          <cell r="J4325">
            <v>111366.28</v>
          </cell>
        </row>
        <row r="4326">
          <cell r="A4326">
            <v>1815760181</v>
          </cell>
          <cell r="B4326" t="str">
            <v>ק'השתל'מורים-מעביד</v>
          </cell>
          <cell r="C4326">
            <v>0</v>
          </cell>
          <cell r="D4326">
            <v>0</v>
          </cell>
          <cell r="E4326">
            <v>0</v>
          </cell>
          <cell r="F4326">
            <v>0</v>
          </cell>
          <cell r="G4326">
            <v>0</v>
          </cell>
          <cell r="H4326">
            <v>0</v>
          </cell>
          <cell r="I4326">
            <v>0</v>
          </cell>
          <cell r="J4326">
            <v>0</v>
          </cell>
        </row>
        <row r="4327">
          <cell r="A4327">
            <v>1815760210</v>
          </cell>
          <cell r="B4327" t="str">
            <v>השכר הקובע</v>
          </cell>
          <cell r="C4327">
            <v>0</v>
          </cell>
          <cell r="D4327">
            <v>0</v>
          </cell>
          <cell r="E4327">
            <v>0</v>
          </cell>
          <cell r="F4327">
            <v>0</v>
          </cell>
          <cell r="G4327">
            <v>0</v>
          </cell>
          <cell r="H4327">
            <v>0</v>
          </cell>
          <cell r="I4327">
            <v>0</v>
          </cell>
          <cell r="J4327">
            <v>0</v>
          </cell>
        </row>
        <row r="4328">
          <cell r="A4328">
            <v>1815760212</v>
          </cell>
          <cell r="B4328" t="str">
            <v>שעורי עזר לעולים</v>
          </cell>
          <cell r="C4328">
            <v>0</v>
          </cell>
          <cell r="D4328">
            <v>0</v>
          </cell>
          <cell r="E4328">
            <v>0</v>
          </cell>
          <cell r="F4328">
            <v>0</v>
          </cell>
          <cell r="G4328">
            <v>0</v>
          </cell>
          <cell r="H4328">
            <v>0</v>
          </cell>
          <cell r="I4328">
            <v>0</v>
          </cell>
          <cell r="J4328">
            <v>0</v>
          </cell>
        </row>
        <row r="4329">
          <cell r="A4329">
            <v>1815760213</v>
          </cell>
          <cell r="B4329" t="str">
            <v>שעורי עזר לנכים</v>
          </cell>
          <cell r="C4329">
            <v>0</v>
          </cell>
          <cell r="D4329">
            <v>0</v>
          </cell>
          <cell r="E4329">
            <v>0</v>
          </cell>
          <cell r="F4329">
            <v>0</v>
          </cell>
          <cell r="G4329">
            <v>0</v>
          </cell>
          <cell r="H4329">
            <v>0</v>
          </cell>
          <cell r="I4329">
            <v>0</v>
          </cell>
          <cell r="J4329">
            <v>0</v>
          </cell>
        </row>
        <row r="4330">
          <cell r="A4330">
            <v>1815760214</v>
          </cell>
          <cell r="B4330" t="str">
            <v>שעורי עזר-אולפנא</v>
          </cell>
          <cell r="C4330">
            <v>0</v>
          </cell>
          <cell r="D4330">
            <v>0</v>
          </cell>
          <cell r="E4330">
            <v>0</v>
          </cell>
          <cell r="F4330">
            <v>0</v>
          </cell>
          <cell r="G4330">
            <v>0</v>
          </cell>
          <cell r="H4330">
            <v>0</v>
          </cell>
          <cell r="I4330">
            <v>0</v>
          </cell>
          <cell r="J4330">
            <v>0</v>
          </cell>
        </row>
        <row r="4331">
          <cell r="A4331">
            <v>1815760215</v>
          </cell>
          <cell r="B4331" t="str">
            <v>קייטנת קיץ בחטיבות ותיכוניים</v>
          </cell>
          <cell r="C4331">
            <v>0</v>
          </cell>
          <cell r="D4331">
            <v>0</v>
          </cell>
          <cell r="E4331">
            <v>0</v>
          </cell>
          <cell r="F4331">
            <v>0</v>
          </cell>
          <cell r="G4331">
            <v>0</v>
          </cell>
          <cell r="H4331">
            <v>0</v>
          </cell>
          <cell r="I4331">
            <v>0</v>
          </cell>
          <cell r="J4331">
            <v>0</v>
          </cell>
        </row>
        <row r="4332">
          <cell r="A4332">
            <v>1815760216</v>
          </cell>
          <cell r="B4332" t="str">
            <v>פרויקט גימלאים</v>
          </cell>
          <cell r="C4332">
            <v>19000</v>
          </cell>
          <cell r="D4332">
            <v>0</v>
          </cell>
          <cell r="E4332">
            <v>0</v>
          </cell>
          <cell r="F4332">
            <v>0</v>
          </cell>
          <cell r="G4332">
            <v>19000</v>
          </cell>
          <cell r="H4332">
            <v>0</v>
          </cell>
          <cell r="I4332">
            <v>20000</v>
          </cell>
          <cell r="J4332">
            <v>0</v>
          </cell>
        </row>
        <row r="4333">
          <cell r="A4333">
            <v>1815760250</v>
          </cell>
          <cell r="B4333" t="str">
            <v>שעות השאלה</v>
          </cell>
          <cell r="C4333">
            <v>203775</v>
          </cell>
          <cell r="D4333">
            <v>162239.20000000001</v>
          </cell>
          <cell r="E4333">
            <v>0</v>
          </cell>
          <cell r="F4333">
            <v>162239.20000000001</v>
          </cell>
          <cell r="G4333">
            <v>41535.800000000003</v>
          </cell>
          <cell r="H4333">
            <v>79.61</v>
          </cell>
          <cell r="I4333">
            <v>214500</v>
          </cell>
          <cell r="J4333">
            <v>162239.20000000001</v>
          </cell>
        </row>
        <row r="4334">
          <cell r="A4334">
            <v>1815760261</v>
          </cell>
          <cell r="B4334" t="str">
            <v>תכנית גי"א / מש"ב</v>
          </cell>
          <cell r="C4334">
            <v>0</v>
          </cell>
          <cell r="D4334">
            <v>0</v>
          </cell>
          <cell r="E4334">
            <v>0</v>
          </cell>
          <cell r="F4334">
            <v>0</v>
          </cell>
          <cell r="G4334">
            <v>0</v>
          </cell>
          <cell r="H4334">
            <v>0</v>
          </cell>
          <cell r="I4334">
            <v>0</v>
          </cell>
          <cell r="J4334">
            <v>0</v>
          </cell>
        </row>
        <row r="4335">
          <cell r="A4335">
            <v>1815760262</v>
          </cell>
          <cell r="B4335" t="str">
            <v>שעות שאילה - משה"ח</v>
          </cell>
          <cell r="C4335">
            <v>0</v>
          </cell>
          <cell r="D4335">
            <v>0</v>
          </cell>
          <cell r="E4335">
            <v>0</v>
          </cell>
          <cell r="F4335">
            <v>0</v>
          </cell>
          <cell r="G4335">
            <v>0</v>
          </cell>
          <cell r="H4335">
            <v>0</v>
          </cell>
          <cell r="I4335">
            <v>0</v>
          </cell>
          <cell r="J4335">
            <v>0</v>
          </cell>
        </row>
        <row r="4336">
          <cell r="A4336">
            <v>1815760263</v>
          </cell>
          <cell r="B4336" t="str">
            <v>עובדי חברת מוסדות</v>
          </cell>
          <cell r="C4336">
            <v>0</v>
          </cell>
          <cell r="D4336">
            <v>0</v>
          </cell>
          <cell r="E4336">
            <v>0</v>
          </cell>
          <cell r="F4336">
            <v>0</v>
          </cell>
          <cell r="G4336">
            <v>0</v>
          </cell>
          <cell r="H4336">
            <v>0</v>
          </cell>
          <cell r="I4336">
            <v>0</v>
          </cell>
          <cell r="J4336">
            <v>0</v>
          </cell>
        </row>
        <row r="4337">
          <cell r="A4337">
            <v>1815760391</v>
          </cell>
          <cell r="B4337" t="str">
            <v>הפרשה לפנסיה</v>
          </cell>
          <cell r="C4337">
            <v>0</v>
          </cell>
          <cell r="D4337">
            <v>0</v>
          </cell>
          <cell r="E4337">
            <v>0</v>
          </cell>
          <cell r="F4337">
            <v>0</v>
          </cell>
          <cell r="G4337">
            <v>0</v>
          </cell>
          <cell r="H4337">
            <v>0</v>
          </cell>
          <cell r="I4337">
            <v>0</v>
          </cell>
          <cell r="J4337">
            <v>0</v>
          </cell>
        </row>
        <row r="4338">
          <cell r="A4338">
            <v>1815760411</v>
          </cell>
          <cell r="B4338" t="str">
            <v>שכירת אולמות</v>
          </cell>
          <cell r="C4338">
            <v>0</v>
          </cell>
          <cell r="D4338">
            <v>0</v>
          </cell>
          <cell r="E4338">
            <v>0</v>
          </cell>
          <cell r="F4338">
            <v>0</v>
          </cell>
          <cell r="G4338">
            <v>0</v>
          </cell>
          <cell r="H4338">
            <v>0</v>
          </cell>
          <cell r="I4338">
            <v>0</v>
          </cell>
          <cell r="J4338">
            <v>0</v>
          </cell>
        </row>
        <row r="4339">
          <cell r="A4339">
            <v>1815760420</v>
          </cell>
          <cell r="B4339" t="str">
            <v>כיבוי אש</v>
          </cell>
          <cell r="C4339">
            <v>6650</v>
          </cell>
          <cell r="D4339">
            <v>4430.42</v>
          </cell>
          <cell r="E4339">
            <v>0</v>
          </cell>
          <cell r="F4339">
            <v>4430.42</v>
          </cell>
          <cell r="G4339">
            <v>2219.58</v>
          </cell>
          <cell r="H4339">
            <v>66.62</v>
          </cell>
          <cell r="I4339">
            <v>7000</v>
          </cell>
          <cell r="J4339">
            <v>4430.42</v>
          </cell>
        </row>
        <row r="4340">
          <cell r="A4340">
            <v>1815760423</v>
          </cell>
          <cell r="B4340" t="str">
            <v>תחזוקת מבנה</v>
          </cell>
          <cell r="C4340">
            <v>32870</v>
          </cell>
          <cell r="D4340">
            <v>34600</v>
          </cell>
          <cell r="E4340">
            <v>0</v>
          </cell>
          <cell r="F4340">
            <v>34600</v>
          </cell>
          <cell r="G4340">
            <v>-1730</v>
          </cell>
          <cell r="H4340">
            <v>105.26</v>
          </cell>
          <cell r="I4340">
            <v>34600</v>
          </cell>
          <cell r="J4340">
            <v>34600</v>
          </cell>
        </row>
        <row r="4341">
          <cell r="A4341">
            <v>1815760431</v>
          </cell>
          <cell r="B4341" t="str">
            <v>חשמל</v>
          </cell>
          <cell r="C4341">
            <v>42655</v>
          </cell>
          <cell r="D4341">
            <v>41026</v>
          </cell>
          <cell r="E4341">
            <v>0</v>
          </cell>
          <cell r="F4341">
            <v>41026</v>
          </cell>
          <cell r="G4341">
            <v>1629</v>
          </cell>
          <cell r="H4341">
            <v>96.18</v>
          </cell>
          <cell r="I4341">
            <v>44900</v>
          </cell>
          <cell r="J4341">
            <v>41026</v>
          </cell>
        </row>
        <row r="4342">
          <cell r="A4342">
            <v>1815760432</v>
          </cell>
          <cell r="B4342" t="str">
            <v>מים</v>
          </cell>
          <cell r="C4342">
            <v>19000</v>
          </cell>
          <cell r="D4342">
            <v>18168</v>
          </cell>
          <cell r="E4342">
            <v>0</v>
          </cell>
          <cell r="F4342">
            <v>18168</v>
          </cell>
          <cell r="G4342">
            <v>832</v>
          </cell>
          <cell r="H4342">
            <v>95.62</v>
          </cell>
          <cell r="I4342">
            <v>20000</v>
          </cell>
          <cell r="J4342">
            <v>18168</v>
          </cell>
        </row>
        <row r="4343">
          <cell r="A4343">
            <v>1815760433</v>
          </cell>
          <cell r="B4343" t="str">
            <v>חומרי נקיון</v>
          </cell>
          <cell r="C4343">
            <v>0</v>
          </cell>
          <cell r="D4343">
            <v>0</v>
          </cell>
          <cell r="E4343">
            <v>0</v>
          </cell>
          <cell r="F4343">
            <v>0</v>
          </cell>
          <cell r="G4343">
            <v>0</v>
          </cell>
          <cell r="H4343">
            <v>0</v>
          </cell>
          <cell r="I4343">
            <v>0</v>
          </cell>
          <cell r="J4343">
            <v>0</v>
          </cell>
        </row>
        <row r="4344">
          <cell r="A4344">
            <v>1815760434</v>
          </cell>
          <cell r="B4344" t="str">
            <v>חיטוי והדברה</v>
          </cell>
          <cell r="C4344">
            <v>0</v>
          </cell>
          <cell r="D4344">
            <v>0</v>
          </cell>
          <cell r="E4344">
            <v>0</v>
          </cell>
          <cell r="F4344">
            <v>0</v>
          </cell>
          <cell r="G4344">
            <v>0</v>
          </cell>
          <cell r="H4344">
            <v>0</v>
          </cell>
          <cell r="I4344">
            <v>0</v>
          </cell>
          <cell r="J4344">
            <v>0</v>
          </cell>
        </row>
        <row r="4345">
          <cell r="A4345">
            <v>1815760437</v>
          </cell>
          <cell r="B4345" t="str">
            <v>אחזקת אזעקה</v>
          </cell>
          <cell r="C4345">
            <v>1235</v>
          </cell>
          <cell r="D4345">
            <v>1221.48</v>
          </cell>
          <cell r="E4345">
            <v>0</v>
          </cell>
          <cell r="F4345">
            <v>1221.48</v>
          </cell>
          <cell r="G4345">
            <v>13.52</v>
          </cell>
          <cell r="H4345">
            <v>98.9</v>
          </cell>
          <cell r="I4345">
            <v>1300</v>
          </cell>
          <cell r="J4345">
            <v>1221.48</v>
          </cell>
        </row>
        <row r="4346">
          <cell r="A4346">
            <v>1815760441</v>
          </cell>
          <cell r="B4346" t="str">
            <v>ביטוח</v>
          </cell>
          <cell r="C4346">
            <v>0</v>
          </cell>
          <cell r="D4346">
            <v>0</v>
          </cell>
          <cell r="E4346">
            <v>0</v>
          </cell>
          <cell r="F4346">
            <v>0</v>
          </cell>
          <cell r="G4346">
            <v>0</v>
          </cell>
          <cell r="H4346">
            <v>0</v>
          </cell>
          <cell r="I4346">
            <v>0</v>
          </cell>
          <cell r="J4346">
            <v>0</v>
          </cell>
        </row>
        <row r="4347">
          <cell r="A4347">
            <v>1815760450</v>
          </cell>
          <cell r="B4347" t="str">
            <v>ריהוט ואחזקתו</v>
          </cell>
          <cell r="C4347">
            <v>7695</v>
          </cell>
          <cell r="D4347">
            <v>9750</v>
          </cell>
          <cell r="E4347">
            <v>0</v>
          </cell>
          <cell r="F4347">
            <v>9750</v>
          </cell>
          <cell r="G4347">
            <v>-2055</v>
          </cell>
          <cell r="H4347">
            <v>126.7</v>
          </cell>
          <cell r="I4347">
            <v>8100</v>
          </cell>
          <cell r="J4347">
            <v>9750</v>
          </cell>
        </row>
        <row r="4348">
          <cell r="A4348">
            <v>1815760451</v>
          </cell>
          <cell r="B4348" t="str">
            <v>הוצאות גפ"ן בית ספרי</v>
          </cell>
          <cell r="C4348">
            <v>0</v>
          </cell>
          <cell r="D4348">
            <v>0</v>
          </cell>
          <cell r="E4348">
            <v>0</v>
          </cell>
          <cell r="F4348">
            <v>0</v>
          </cell>
          <cell r="G4348">
            <v>0</v>
          </cell>
          <cell r="H4348">
            <v>0</v>
          </cell>
          <cell r="I4348">
            <v>0</v>
          </cell>
          <cell r="J4348">
            <v>0</v>
          </cell>
        </row>
        <row r="4349">
          <cell r="A4349">
            <v>1815760452</v>
          </cell>
          <cell r="B4349" t="str">
            <v>השתתפות עירונית בגפ"ן</v>
          </cell>
          <cell r="C4349">
            <v>0</v>
          </cell>
          <cell r="D4349">
            <v>0</v>
          </cell>
          <cell r="E4349">
            <v>0</v>
          </cell>
          <cell r="F4349">
            <v>0</v>
          </cell>
          <cell r="G4349">
            <v>0</v>
          </cell>
          <cell r="H4349">
            <v>0</v>
          </cell>
          <cell r="I4349">
            <v>0</v>
          </cell>
          <cell r="J4349">
            <v>0</v>
          </cell>
        </row>
        <row r="4350">
          <cell r="A4350">
            <v>1815760470</v>
          </cell>
          <cell r="B4350" t="str">
            <v>אחזקת מכונות משרד</v>
          </cell>
          <cell r="C4350">
            <v>0</v>
          </cell>
          <cell r="D4350">
            <v>0</v>
          </cell>
          <cell r="E4350">
            <v>0</v>
          </cell>
          <cell r="F4350">
            <v>0</v>
          </cell>
          <cell r="G4350">
            <v>0</v>
          </cell>
          <cell r="H4350">
            <v>0</v>
          </cell>
          <cell r="I4350">
            <v>0</v>
          </cell>
          <cell r="J4350">
            <v>0</v>
          </cell>
        </row>
        <row r="4351">
          <cell r="A4351">
            <v>1815760471</v>
          </cell>
          <cell r="B4351" t="str">
            <v>מכשירי כתיבה</v>
          </cell>
          <cell r="C4351">
            <v>0</v>
          </cell>
          <cell r="D4351">
            <v>0</v>
          </cell>
          <cell r="E4351">
            <v>0</v>
          </cell>
          <cell r="F4351">
            <v>0</v>
          </cell>
          <cell r="G4351">
            <v>0</v>
          </cell>
          <cell r="H4351">
            <v>0</v>
          </cell>
          <cell r="I4351">
            <v>0</v>
          </cell>
          <cell r="J4351">
            <v>0</v>
          </cell>
        </row>
        <row r="4352">
          <cell r="A4352">
            <v>1815760511</v>
          </cell>
          <cell r="B4352" t="str">
            <v>אירוח וכיבוד</v>
          </cell>
          <cell r="C4352">
            <v>7315</v>
          </cell>
          <cell r="D4352">
            <v>6847.3</v>
          </cell>
          <cell r="E4352">
            <v>0</v>
          </cell>
          <cell r="F4352">
            <v>6847.3</v>
          </cell>
          <cell r="G4352">
            <v>467.7</v>
          </cell>
          <cell r="H4352">
            <v>93.6</v>
          </cell>
          <cell r="I4352">
            <v>7700</v>
          </cell>
          <cell r="J4352">
            <v>6847.3</v>
          </cell>
        </row>
        <row r="4353">
          <cell r="A4353">
            <v>1815760512</v>
          </cell>
          <cell r="B4353" t="str">
            <v>נסיעות ואש"ל</v>
          </cell>
          <cell r="C4353">
            <v>0</v>
          </cell>
          <cell r="D4353">
            <v>0</v>
          </cell>
          <cell r="E4353">
            <v>0</v>
          </cell>
          <cell r="F4353">
            <v>0</v>
          </cell>
          <cell r="G4353">
            <v>0</v>
          </cell>
          <cell r="H4353">
            <v>0</v>
          </cell>
          <cell r="I4353">
            <v>0</v>
          </cell>
          <cell r="J4353">
            <v>0</v>
          </cell>
        </row>
        <row r="4354">
          <cell r="A4354">
            <v>1815760517</v>
          </cell>
          <cell r="B4354" t="str">
            <v>מסיבות מפקדים ושי</v>
          </cell>
          <cell r="C4354">
            <v>0</v>
          </cell>
          <cell r="D4354">
            <v>0</v>
          </cell>
          <cell r="E4354">
            <v>0</v>
          </cell>
          <cell r="F4354">
            <v>0</v>
          </cell>
          <cell r="G4354">
            <v>0</v>
          </cell>
          <cell r="H4354">
            <v>0</v>
          </cell>
          <cell r="I4354">
            <v>0</v>
          </cell>
          <cell r="J4354">
            <v>0</v>
          </cell>
        </row>
        <row r="4355">
          <cell r="A4355">
            <v>1815760522</v>
          </cell>
          <cell r="B4355" t="str">
            <v>ספריות</v>
          </cell>
          <cell r="C4355">
            <v>0</v>
          </cell>
          <cell r="D4355">
            <v>0</v>
          </cell>
          <cell r="E4355">
            <v>0</v>
          </cell>
          <cell r="F4355">
            <v>0</v>
          </cell>
          <cell r="G4355">
            <v>0</v>
          </cell>
          <cell r="H4355">
            <v>0</v>
          </cell>
          <cell r="I4355">
            <v>0</v>
          </cell>
          <cell r="J4355">
            <v>0</v>
          </cell>
        </row>
        <row r="4356">
          <cell r="A4356">
            <v>1815760530</v>
          </cell>
          <cell r="B4356" t="str">
            <v>אופניים לעובדים</v>
          </cell>
          <cell r="C4356">
            <v>0</v>
          </cell>
          <cell r="D4356">
            <v>0</v>
          </cell>
          <cell r="E4356">
            <v>0</v>
          </cell>
          <cell r="F4356">
            <v>0</v>
          </cell>
          <cell r="G4356">
            <v>0</v>
          </cell>
          <cell r="H4356">
            <v>0</v>
          </cell>
          <cell r="I4356">
            <v>0</v>
          </cell>
          <cell r="J4356">
            <v>0</v>
          </cell>
        </row>
        <row r="4357">
          <cell r="A4357">
            <v>1815760540</v>
          </cell>
          <cell r="B4357" t="str">
            <v>הוצאות טלפון</v>
          </cell>
          <cell r="C4357">
            <v>0</v>
          </cell>
          <cell r="D4357">
            <v>0</v>
          </cell>
          <cell r="E4357">
            <v>0</v>
          </cell>
          <cell r="F4357">
            <v>0</v>
          </cell>
          <cell r="G4357">
            <v>0</v>
          </cell>
          <cell r="H4357">
            <v>0</v>
          </cell>
          <cell r="I4357">
            <v>0</v>
          </cell>
          <cell r="J4357">
            <v>0</v>
          </cell>
        </row>
        <row r="4358">
          <cell r="A4358">
            <v>1815760544</v>
          </cell>
          <cell r="B4358" t="str">
            <v>הוצאות דאר</v>
          </cell>
          <cell r="C4358">
            <v>0</v>
          </cell>
          <cell r="D4358">
            <v>0</v>
          </cell>
          <cell r="E4358">
            <v>0</v>
          </cell>
          <cell r="F4358">
            <v>0</v>
          </cell>
          <cell r="G4358">
            <v>0</v>
          </cell>
          <cell r="H4358">
            <v>0</v>
          </cell>
          <cell r="I4358">
            <v>0</v>
          </cell>
          <cell r="J4358">
            <v>0</v>
          </cell>
        </row>
        <row r="4359">
          <cell r="A4359">
            <v>1815760562</v>
          </cell>
          <cell r="B4359" t="str">
            <v>הדפסות</v>
          </cell>
          <cell r="C4359">
            <v>0</v>
          </cell>
          <cell r="D4359">
            <v>0</v>
          </cell>
          <cell r="E4359">
            <v>0</v>
          </cell>
          <cell r="F4359">
            <v>0</v>
          </cell>
          <cell r="G4359">
            <v>0</v>
          </cell>
          <cell r="H4359">
            <v>0</v>
          </cell>
          <cell r="I4359">
            <v>0</v>
          </cell>
          <cell r="J4359">
            <v>0</v>
          </cell>
        </row>
        <row r="4360">
          <cell r="A4360">
            <v>1815760583</v>
          </cell>
          <cell r="B4360" t="str">
            <v>שרות רפואי</v>
          </cell>
          <cell r="C4360">
            <v>0</v>
          </cell>
          <cell r="D4360">
            <v>0</v>
          </cell>
          <cell r="E4360">
            <v>0</v>
          </cell>
          <cell r="F4360">
            <v>0</v>
          </cell>
          <cell r="G4360">
            <v>0</v>
          </cell>
          <cell r="H4360">
            <v>0</v>
          </cell>
          <cell r="I4360">
            <v>0</v>
          </cell>
          <cell r="J4360">
            <v>0</v>
          </cell>
        </row>
        <row r="4361">
          <cell r="A4361">
            <v>1815760585</v>
          </cell>
          <cell r="B4361" t="str">
            <v>שרות אחות</v>
          </cell>
          <cell r="C4361">
            <v>0</v>
          </cell>
          <cell r="D4361">
            <v>0</v>
          </cell>
          <cell r="E4361">
            <v>0</v>
          </cell>
          <cell r="F4361">
            <v>0</v>
          </cell>
          <cell r="G4361">
            <v>0</v>
          </cell>
          <cell r="H4361">
            <v>0</v>
          </cell>
          <cell r="I4361">
            <v>0</v>
          </cell>
          <cell r="J4361">
            <v>0</v>
          </cell>
        </row>
        <row r="4362">
          <cell r="A4362">
            <v>1815760721</v>
          </cell>
          <cell r="B4362" t="str">
            <v>חמרים-תחזוקת מבנים</v>
          </cell>
          <cell r="C4362">
            <v>2565</v>
          </cell>
          <cell r="D4362">
            <v>0</v>
          </cell>
          <cell r="E4362">
            <v>0</v>
          </cell>
          <cell r="F4362">
            <v>0</v>
          </cell>
          <cell r="G4362">
            <v>2565</v>
          </cell>
          <cell r="H4362">
            <v>0</v>
          </cell>
          <cell r="I4362">
            <v>2700</v>
          </cell>
          <cell r="J4362">
            <v>0</v>
          </cell>
        </row>
        <row r="4363">
          <cell r="A4363">
            <v>1815760722</v>
          </cell>
          <cell r="B4363" t="str">
            <v>חמרים-תחזוקה עצמית</v>
          </cell>
          <cell r="C4363">
            <v>0</v>
          </cell>
          <cell r="D4363">
            <v>0</v>
          </cell>
          <cell r="E4363">
            <v>0</v>
          </cell>
          <cell r="F4363">
            <v>0</v>
          </cell>
          <cell r="G4363">
            <v>0</v>
          </cell>
          <cell r="H4363">
            <v>0</v>
          </cell>
          <cell r="I4363">
            <v>0</v>
          </cell>
          <cell r="J4363">
            <v>0</v>
          </cell>
        </row>
        <row r="4364">
          <cell r="A4364">
            <v>1815760724</v>
          </cell>
          <cell r="B4364" t="str">
            <v>ציוד למגמות</v>
          </cell>
          <cell r="C4364">
            <v>0</v>
          </cell>
          <cell r="D4364">
            <v>0</v>
          </cell>
          <cell r="E4364">
            <v>0</v>
          </cell>
          <cell r="F4364">
            <v>0</v>
          </cell>
          <cell r="G4364">
            <v>0</v>
          </cell>
          <cell r="H4364">
            <v>0</v>
          </cell>
          <cell r="I4364">
            <v>0</v>
          </cell>
          <cell r="J4364">
            <v>0</v>
          </cell>
        </row>
        <row r="4365">
          <cell r="A4365">
            <v>1815760742</v>
          </cell>
          <cell r="B4365" t="str">
            <v>כלים וציוד</v>
          </cell>
          <cell r="C4365">
            <v>1710</v>
          </cell>
          <cell r="D4365">
            <v>4253</v>
          </cell>
          <cell r="E4365">
            <v>0</v>
          </cell>
          <cell r="F4365">
            <v>4253</v>
          </cell>
          <cell r="G4365">
            <v>-2543</v>
          </cell>
          <cell r="H4365">
            <v>248.71</v>
          </cell>
          <cell r="I4365">
            <v>1800</v>
          </cell>
          <cell r="J4365">
            <v>4253</v>
          </cell>
        </row>
        <row r="4366">
          <cell r="A4366">
            <v>1815760745</v>
          </cell>
          <cell r="B4366" t="str">
            <v>דמי פריצה - תכולה</v>
          </cell>
          <cell r="C4366">
            <v>0</v>
          </cell>
          <cell r="D4366">
            <v>0</v>
          </cell>
          <cell r="E4366">
            <v>0</v>
          </cell>
          <cell r="F4366">
            <v>0</v>
          </cell>
          <cell r="G4366">
            <v>0</v>
          </cell>
          <cell r="H4366">
            <v>0</v>
          </cell>
          <cell r="I4366">
            <v>0</v>
          </cell>
          <cell r="J4366">
            <v>0</v>
          </cell>
        </row>
        <row r="4367">
          <cell r="A4367">
            <v>1815760746</v>
          </cell>
          <cell r="B4367" t="str">
            <v>דמי פריצה - מבנה</v>
          </cell>
          <cell r="C4367">
            <v>0</v>
          </cell>
          <cell r="D4367">
            <v>0</v>
          </cell>
          <cell r="E4367">
            <v>0</v>
          </cell>
          <cell r="F4367">
            <v>0</v>
          </cell>
          <cell r="G4367">
            <v>0</v>
          </cell>
          <cell r="H4367">
            <v>0</v>
          </cell>
          <cell r="I4367">
            <v>0</v>
          </cell>
          <cell r="J4367">
            <v>0</v>
          </cell>
        </row>
        <row r="4368">
          <cell r="A4368">
            <v>1815760750</v>
          </cell>
          <cell r="B4368" t="str">
            <v>אחזקת מוסדות</v>
          </cell>
          <cell r="C4368">
            <v>254600</v>
          </cell>
          <cell r="D4368">
            <v>253098</v>
          </cell>
          <cell r="E4368">
            <v>0</v>
          </cell>
          <cell r="F4368">
            <v>253098</v>
          </cell>
          <cell r="G4368">
            <v>1502</v>
          </cell>
          <cell r="H4368">
            <v>99.41</v>
          </cell>
          <cell r="I4368">
            <v>268000</v>
          </cell>
          <cell r="J4368">
            <v>253098</v>
          </cell>
        </row>
        <row r="4369">
          <cell r="A4369">
            <v>1815760751</v>
          </cell>
          <cell r="B4369" t="str">
            <v>עבודות קבלניות</v>
          </cell>
          <cell r="C4369">
            <v>21850</v>
          </cell>
          <cell r="D4369">
            <v>6646</v>
          </cell>
          <cell r="E4369">
            <v>0</v>
          </cell>
          <cell r="F4369">
            <v>6646</v>
          </cell>
          <cell r="G4369">
            <v>15204</v>
          </cell>
          <cell r="H4369">
            <v>30.41</v>
          </cell>
          <cell r="I4369">
            <v>23000</v>
          </cell>
          <cell r="J4369">
            <v>6646</v>
          </cell>
        </row>
        <row r="4370">
          <cell r="A4370">
            <v>1815760752</v>
          </cell>
          <cell r="B4370" t="str">
            <v>נקיון בקבלנות</v>
          </cell>
          <cell r="C4370">
            <v>304000</v>
          </cell>
          <cell r="D4370">
            <v>319999.03999999998</v>
          </cell>
          <cell r="E4370">
            <v>0</v>
          </cell>
          <cell r="F4370">
            <v>319999.03999999998</v>
          </cell>
          <cell r="G4370">
            <v>-15999.04</v>
          </cell>
          <cell r="H4370">
            <v>105.26</v>
          </cell>
          <cell r="I4370">
            <v>320000</v>
          </cell>
          <cell r="J4370">
            <v>319999.03999999998</v>
          </cell>
        </row>
        <row r="4371">
          <cell r="A4371">
            <v>1815760753</v>
          </cell>
          <cell r="B4371" t="str">
            <v>עובדים חיצוניים</v>
          </cell>
          <cell r="C4371">
            <v>0</v>
          </cell>
          <cell r="D4371">
            <v>0</v>
          </cell>
          <cell r="E4371">
            <v>0</v>
          </cell>
          <cell r="F4371">
            <v>0</v>
          </cell>
          <cell r="G4371">
            <v>0</v>
          </cell>
          <cell r="H4371">
            <v>0</v>
          </cell>
          <cell r="I4371">
            <v>0</v>
          </cell>
          <cell r="J4371">
            <v>0</v>
          </cell>
        </row>
        <row r="4372">
          <cell r="A4372">
            <v>1815760755</v>
          </cell>
          <cell r="B4372" t="str">
            <v>אחות-חברת כ"א</v>
          </cell>
          <cell r="C4372">
            <v>0</v>
          </cell>
          <cell r="D4372">
            <v>0</v>
          </cell>
          <cell r="E4372">
            <v>0</v>
          </cell>
          <cell r="F4372">
            <v>0</v>
          </cell>
          <cell r="G4372">
            <v>0</v>
          </cell>
          <cell r="H4372">
            <v>0</v>
          </cell>
          <cell r="I4372">
            <v>0</v>
          </cell>
          <cell r="J4372">
            <v>0</v>
          </cell>
        </row>
        <row r="4373">
          <cell r="A4373">
            <v>1815760759</v>
          </cell>
          <cell r="B4373" t="str">
            <v>שרותי סייעות</v>
          </cell>
          <cell r="C4373">
            <v>288300</v>
          </cell>
          <cell r="D4373">
            <v>295408.99</v>
          </cell>
          <cell r="E4373">
            <v>0</v>
          </cell>
          <cell r="F4373">
            <v>295408.99</v>
          </cell>
          <cell r="G4373">
            <v>-7108.99</v>
          </cell>
          <cell r="H4373">
            <v>102.46</v>
          </cell>
          <cell r="I4373">
            <v>288300</v>
          </cell>
          <cell r="J4373">
            <v>295408.99</v>
          </cell>
        </row>
        <row r="4374">
          <cell r="A4374">
            <v>1815760761</v>
          </cell>
          <cell r="B4374" t="str">
            <v>השאלת מורים חט"ב</v>
          </cell>
          <cell r="C4374">
            <v>0</v>
          </cell>
          <cell r="D4374">
            <v>0</v>
          </cell>
          <cell r="E4374">
            <v>0</v>
          </cell>
          <cell r="F4374">
            <v>0</v>
          </cell>
          <cell r="G4374">
            <v>0</v>
          </cell>
          <cell r="H4374">
            <v>0</v>
          </cell>
          <cell r="I4374">
            <v>0</v>
          </cell>
          <cell r="J4374">
            <v>0</v>
          </cell>
        </row>
        <row r="4375">
          <cell r="A4375">
            <v>1815760762</v>
          </cell>
          <cell r="B4375" t="str">
            <v>שאילת מורים</v>
          </cell>
          <cell r="C4375">
            <v>1598850</v>
          </cell>
          <cell r="D4375">
            <v>1840040.16</v>
          </cell>
          <cell r="E4375">
            <v>0</v>
          </cell>
          <cell r="F4375">
            <v>1840040.16</v>
          </cell>
          <cell r="G4375">
            <v>-241190.16</v>
          </cell>
          <cell r="H4375">
            <v>115.08</v>
          </cell>
          <cell r="I4375">
            <v>1683000</v>
          </cell>
          <cell r="J4375">
            <v>1840040.16</v>
          </cell>
        </row>
        <row r="4376">
          <cell r="A4376">
            <v>1815760763</v>
          </cell>
          <cell r="B4376" t="str">
            <v>עובדי חברת מוסדות</v>
          </cell>
          <cell r="C4376">
            <v>0</v>
          </cell>
          <cell r="D4376">
            <v>0</v>
          </cell>
          <cell r="E4376">
            <v>0</v>
          </cell>
          <cell r="F4376">
            <v>0</v>
          </cell>
          <cell r="G4376">
            <v>0</v>
          </cell>
          <cell r="H4376">
            <v>0</v>
          </cell>
          <cell r="I4376">
            <v>0</v>
          </cell>
          <cell r="J4376">
            <v>0</v>
          </cell>
        </row>
        <row r="4377">
          <cell r="A4377">
            <v>1815760765</v>
          </cell>
          <cell r="B4377" t="str">
            <v>רכז חברתי - חט"ב</v>
          </cell>
          <cell r="C4377">
            <v>0</v>
          </cell>
          <cell r="D4377">
            <v>0</v>
          </cell>
          <cell r="E4377">
            <v>0</v>
          </cell>
          <cell r="F4377">
            <v>0</v>
          </cell>
          <cell r="G4377">
            <v>0</v>
          </cell>
          <cell r="H4377">
            <v>0</v>
          </cell>
          <cell r="I4377">
            <v>0</v>
          </cell>
          <cell r="J4377">
            <v>0</v>
          </cell>
        </row>
        <row r="4378">
          <cell r="A4378">
            <v>1815760780</v>
          </cell>
          <cell r="B4378" t="str">
            <v>חינוך חברתי</v>
          </cell>
          <cell r="C4378">
            <v>5035</v>
          </cell>
          <cell r="D4378">
            <v>5031</v>
          </cell>
          <cell r="E4378">
            <v>0</v>
          </cell>
          <cell r="F4378">
            <v>5031</v>
          </cell>
          <cell r="G4378">
            <v>4</v>
          </cell>
          <cell r="H4378">
            <v>99.92</v>
          </cell>
          <cell r="I4378">
            <v>5300</v>
          </cell>
          <cell r="J4378">
            <v>5031</v>
          </cell>
        </row>
        <row r="4379">
          <cell r="A4379">
            <v>1815760781</v>
          </cell>
          <cell r="B4379" t="str">
            <v>יהדות המזרח</v>
          </cell>
          <cell r="C4379">
            <v>0</v>
          </cell>
          <cell r="D4379">
            <v>0</v>
          </cell>
          <cell r="E4379">
            <v>0</v>
          </cell>
          <cell r="F4379">
            <v>0</v>
          </cell>
          <cell r="G4379">
            <v>0</v>
          </cell>
          <cell r="H4379">
            <v>0</v>
          </cell>
          <cell r="I4379">
            <v>0</v>
          </cell>
          <cell r="J4379">
            <v>0</v>
          </cell>
        </row>
        <row r="4380">
          <cell r="A4380">
            <v>1815760794</v>
          </cell>
          <cell r="B4380" t="str">
            <v>השתתפות בעזר 094</v>
          </cell>
          <cell r="C4380">
            <v>15865</v>
          </cell>
          <cell r="D4380">
            <v>19920</v>
          </cell>
          <cell r="E4380">
            <v>0</v>
          </cell>
          <cell r="F4380">
            <v>19920</v>
          </cell>
          <cell r="G4380">
            <v>-4055</v>
          </cell>
          <cell r="H4380">
            <v>125.55</v>
          </cell>
          <cell r="I4380">
            <v>16700</v>
          </cell>
          <cell r="J4380">
            <v>19920</v>
          </cell>
        </row>
        <row r="4381">
          <cell r="A4381">
            <v>1815760810</v>
          </cell>
          <cell r="B4381" t="str">
            <v>הקצבה לניהול עצמי</v>
          </cell>
          <cell r="C4381">
            <v>86300</v>
          </cell>
          <cell r="D4381">
            <v>86300</v>
          </cell>
          <cell r="E4381">
            <v>0</v>
          </cell>
          <cell r="F4381">
            <v>86300</v>
          </cell>
          <cell r="G4381">
            <v>0</v>
          </cell>
          <cell r="H4381">
            <v>100</v>
          </cell>
          <cell r="I4381">
            <v>86300</v>
          </cell>
          <cell r="J4381">
            <v>86300</v>
          </cell>
        </row>
        <row r="4382">
          <cell r="A4382">
            <v>1815760812</v>
          </cell>
          <cell r="B4382" t="str">
            <v>מסיבות כיתתיות</v>
          </cell>
          <cell r="C4382">
            <v>8550</v>
          </cell>
          <cell r="D4382">
            <v>10186</v>
          </cell>
          <cell r="E4382">
            <v>0</v>
          </cell>
          <cell r="F4382">
            <v>10186</v>
          </cell>
          <cell r="G4382">
            <v>-1636</v>
          </cell>
          <cell r="H4382">
            <v>119.13</v>
          </cell>
          <cell r="I4382">
            <v>9000</v>
          </cell>
          <cell r="J4382">
            <v>10186</v>
          </cell>
        </row>
        <row r="4383">
          <cell r="A4383">
            <v>1815760816</v>
          </cell>
          <cell r="B4383" t="str">
            <v>חט"ב-הכלה והשתלבות</v>
          </cell>
          <cell r="C4383">
            <v>0</v>
          </cell>
          <cell r="D4383">
            <v>0</v>
          </cell>
          <cell r="E4383">
            <v>0</v>
          </cell>
          <cell r="F4383">
            <v>0</v>
          </cell>
          <cell r="G4383">
            <v>0</v>
          </cell>
          <cell r="H4383">
            <v>0</v>
          </cell>
          <cell r="I4383">
            <v>0</v>
          </cell>
          <cell r="J4383">
            <v>0</v>
          </cell>
        </row>
        <row r="4384">
          <cell r="A4384">
            <v>1815760838</v>
          </cell>
          <cell r="B4384" t="str">
            <v>העברה כנגד הכנסות מש' החינוך</v>
          </cell>
          <cell r="C4384">
            <v>0</v>
          </cell>
          <cell r="D4384">
            <v>0</v>
          </cell>
          <cell r="E4384">
            <v>0</v>
          </cell>
          <cell r="F4384">
            <v>0</v>
          </cell>
          <cell r="G4384">
            <v>0</v>
          </cell>
          <cell r="H4384">
            <v>0</v>
          </cell>
          <cell r="I4384">
            <v>0</v>
          </cell>
          <cell r="J4384">
            <v>0</v>
          </cell>
        </row>
        <row r="4385">
          <cell r="A4385">
            <v>1815760953</v>
          </cell>
          <cell r="B4385" t="str">
            <v>מערכת גפ"ן</v>
          </cell>
          <cell r="C4385">
            <v>583205</v>
          </cell>
          <cell r="D4385">
            <v>608819.6</v>
          </cell>
          <cell r="E4385">
            <v>0</v>
          </cell>
          <cell r="F4385">
            <v>608819.6</v>
          </cell>
          <cell r="G4385">
            <v>-25614.6</v>
          </cell>
          <cell r="H4385">
            <v>104.39</v>
          </cell>
          <cell r="I4385">
            <v>613900</v>
          </cell>
          <cell r="J4385">
            <v>608819.6</v>
          </cell>
        </row>
        <row r="4386">
          <cell r="A4386">
            <v>1815760989</v>
          </cell>
          <cell r="B4386" t="str">
            <v>תקורה</v>
          </cell>
          <cell r="C4386">
            <v>492860</v>
          </cell>
          <cell r="D4386">
            <v>588099</v>
          </cell>
          <cell r="E4386">
            <v>0</v>
          </cell>
          <cell r="F4386">
            <v>588099</v>
          </cell>
          <cell r="G4386">
            <v>-95239</v>
          </cell>
          <cell r="H4386">
            <v>119.32</v>
          </cell>
          <cell r="I4386">
            <v>518800</v>
          </cell>
          <cell r="J4386">
            <v>588099</v>
          </cell>
        </row>
        <row r="4387">
          <cell r="A4387">
            <v>1815770110</v>
          </cell>
          <cell r="B4387" t="str">
            <v>השכר הקובע-תקציבית</v>
          </cell>
          <cell r="C4387">
            <v>0</v>
          </cell>
          <cell r="D4387">
            <v>0</v>
          </cell>
          <cell r="E4387">
            <v>0</v>
          </cell>
          <cell r="F4387">
            <v>0</v>
          </cell>
          <cell r="G4387">
            <v>0</v>
          </cell>
          <cell r="H4387">
            <v>0</v>
          </cell>
          <cell r="I4387">
            <v>0</v>
          </cell>
          <cell r="J4387">
            <v>0</v>
          </cell>
        </row>
        <row r="4388">
          <cell r="A4388">
            <v>1815770118</v>
          </cell>
          <cell r="B4388" t="str">
            <v>שכר עובדי הוראה</v>
          </cell>
          <cell r="C4388">
            <v>16225050</v>
          </cell>
          <cell r="D4388">
            <v>15046099.369999999</v>
          </cell>
          <cell r="E4388">
            <v>0</v>
          </cell>
          <cell r="F4388">
            <v>15046099.369999999</v>
          </cell>
          <cell r="G4388">
            <v>1178950.6299999999</v>
          </cell>
          <cell r="H4388">
            <v>92.73</v>
          </cell>
          <cell r="I4388">
            <v>17079000</v>
          </cell>
          <cell r="J4388">
            <v>15046099.369999999</v>
          </cell>
        </row>
        <row r="4389">
          <cell r="A4389">
            <v>1815770119</v>
          </cell>
          <cell r="B4389" t="str">
            <v>השכר הקובע-צוברת</v>
          </cell>
          <cell r="C4389">
            <v>1411985</v>
          </cell>
          <cell r="D4389">
            <v>2050821.77</v>
          </cell>
          <cell r="E4389">
            <v>0</v>
          </cell>
          <cell r="F4389">
            <v>2050821.77</v>
          </cell>
          <cell r="G4389">
            <v>-638836.77</v>
          </cell>
          <cell r="H4389">
            <v>145.24</v>
          </cell>
          <cell r="I4389">
            <v>1486300</v>
          </cell>
          <cell r="J4389">
            <v>2050821.77</v>
          </cell>
        </row>
        <row r="4390">
          <cell r="A4390">
            <v>1815770122</v>
          </cell>
          <cell r="B4390" t="str">
            <v>ביגוד</v>
          </cell>
          <cell r="C4390">
            <v>179835</v>
          </cell>
          <cell r="D4390">
            <v>161974.44</v>
          </cell>
          <cell r="E4390">
            <v>0</v>
          </cell>
          <cell r="F4390">
            <v>161974.44</v>
          </cell>
          <cell r="G4390">
            <v>17860.560000000001</v>
          </cell>
          <cell r="H4390">
            <v>90.06</v>
          </cell>
          <cell r="I4390">
            <v>189300</v>
          </cell>
          <cell r="J4390">
            <v>161974.44</v>
          </cell>
        </row>
        <row r="4391">
          <cell r="A4391">
            <v>1815770126</v>
          </cell>
          <cell r="B4391" t="str">
            <v>דמי הבראה</v>
          </cell>
          <cell r="C4391">
            <v>332500</v>
          </cell>
          <cell r="D4391">
            <v>350376.18</v>
          </cell>
          <cell r="E4391">
            <v>0</v>
          </cell>
          <cell r="F4391">
            <v>350376.18</v>
          </cell>
          <cell r="G4391">
            <v>-17876.18</v>
          </cell>
          <cell r="H4391">
            <v>105.37</v>
          </cell>
          <cell r="I4391">
            <v>350000</v>
          </cell>
          <cell r="J4391">
            <v>350376.18</v>
          </cell>
        </row>
        <row r="4392">
          <cell r="A4392">
            <v>1815770130</v>
          </cell>
          <cell r="B4392" t="str">
            <v>שעות נוספות</v>
          </cell>
          <cell r="C4392">
            <v>9405</v>
          </cell>
          <cell r="D4392">
            <v>270.45999999999998</v>
          </cell>
          <cell r="E4392">
            <v>0</v>
          </cell>
          <cell r="F4392">
            <v>270.45999999999998</v>
          </cell>
          <cell r="G4392">
            <v>9134.5400000000009</v>
          </cell>
          <cell r="H4392">
            <v>2.87</v>
          </cell>
          <cell r="I4392">
            <v>9900</v>
          </cell>
          <cell r="J4392">
            <v>270.45999999999998</v>
          </cell>
        </row>
        <row r="4393">
          <cell r="A4393">
            <v>1815770140</v>
          </cell>
          <cell r="B4393" t="str">
            <v>השתתפות באחזקת רכב</v>
          </cell>
          <cell r="C4393">
            <v>101650</v>
          </cell>
          <cell r="D4393">
            <v>146169.79</v>
          </cell>
          <cell r="E4393">
            <v>0</v>
          </cell>
          <cell r="F4393">
            <v>146169.79</v>
          </cell>
          <cell r="G4393">
            <v>-44519.79</v>
          </cell>
          <cell r="H4393">
            <v>143.79</v>
          </cell>
          <cell r="I4393">
            <v>107000</v>
          </cell>
          <cell r="J4393">
            <v>146169.79</v>
          </cell>
        </row>
        <row r="4394">
          <cell r="A4394">
            <v>1815770181</v>
          </cell>
          <cell r="B4394" t="str">
            <v>ק'השתל'מורים-מעביד</v>
          </cell>
          <cell r="C4394">
            <v>0</v>
          </cell>
          <cell r="D4394">
            <v>0</v>
          </cell>
          <cell r="E4394">
            <v>0</v>
          </cell>
          <cell r="F4394">
            <v>0</v>
          </cell>
          <cell r="G4394">
            <v>0</v>
          </cell>
          <cell r="H4394">
            <v>0</v>
          </cell>
          <cell r="I4394">
            <v>0</v>
          </cell>
          <cell r="J4394">
            <v>0</v>
          </cell>
        </row>
        <row r="4395">
          <cell r="A4395">
            <v>1815770210</v>
          </cell>
          <cell r="B4395" t="str">
            <v>השכר הקובע</v>
          </cell>
          <cell r="C4395">
            <v>0</v>
          </cell>
          <cell r="D4395">
            <v>0</v>
          </cell>
          <cell r="E4395">
            <v>0</v>
          </cell>
          <cell r="F4395">
            <v>0</v>
          </cell>
          <cell r="G4395">
            <v>0</v>
          </cell>
          <cell r="H4395">
            <v>0</v>
          </cell>
          <cell r="I4395">
            <v>0</v>
          </cell>
          <cell r="J4395">
            <v>0</v>
          </cell>
        </row>
        <row r="4396">
          <cell r="A4396">
            <v>1815770211</v>
          </cell>
          <cell r="B4396" t="str">
            <v>הזדמנות ראשונה</v>
          </cell>
          <cell r="C4396">
            <v>0</v>
          </cell>
          <cell r="D4396">
            <v>0</v>
          </cell>
          <cell r="E4396">
            <v>0</v>
          </cell>
          <cell r="F4396">
            <v>0</v>
          </cell>
          <cell r="G4396">
            <v>0</v>
          </cell>
          <cell r="H4396">
            <v>0</v>
          </cell>
          <cell r="I4396">
            <v>0</v>
          </cell>
          <cell r="J4396">
            <v>0</v>
          </cell>
        </row>
        <row r="4397">
          <cell r="A4397">
            <v>1815770212</v>
          </cell>
          <cell r="B4397" t="str">
            <v>שעורי עזר לעולים</v>
          </cell>
          <cell r="C4397">
            <v>0</v>
          </cell>
          <cell r="D4397">
            <v>0</v>
          </cell>
          <cell r="E4397">
            <v>0</v>
          </cell>
          <cell r="F4397">
            <v>0</v>
          </cell>
          <cell r="G4397">
            <v>0</v>
          </cell>
          <cell r="H4397">
            <v>0</v>
          </cell>
          <cell r="I4397">
            <v>0</v>
          </cell>
          <cell r="J4397">
            <v>0</v>
          </cell>
        </row>
        <row r="4398">
          <cell r="A4398">
            <v>1815770213</v>
          </cell>
          <cell r="B4398" t="str">
            <v>שעורי עזר לנכים</v>
          </cell>
          <cell r="C4398">
            <v>0</v>
          </cell>
          <cell r="D4398">
            <v>0</v>
          </cell>
          <cell r="E4398">
            <v>0</v>
          </cell>
          <cell r="F4398">
            <v>0</v>
          </cell>
          <cell r="G4398">
            <v>0</v>
          </cell>
          <cell r="H4398">
            <v>0</v>
          </cell>
          <cell r="I4398">
            <v>0</v>
          </cell>
          <cell r="J4398">
            <v>0</v>
          </cell>
        </row>
        <row r="4399">
          <cell r="A4399">
            <v>1815770214</v>
          </cell>
          <cell r="B4399" t="str">
            <v>שעורי עזר לתלמידים</v>
          </cell>
          <cell r="C4399">
            <v>0</v>
          </cell>
          <cell r="D4399">
            <v>1234.1300000000001</v>
          </cell>
          <cell r="E4399">
            <v>0</v>
          </cell>
          <cell r="F4399">
            <v>1234.1300000000001</v>
          </cell>
          <cell r="G4399">
            <v>-1234.1300000000001</v>
          </cell>
          <cell r="H4399">
            <v>0</v>
          </cell>
          <cell r="I4399">
            <v>0</v>
          </cell>
          <cell r="J4399">
            <v>1234.1300000000001</v>
          </cell>
        </row>
        <row r="4400">
          <cell r="A4400">
            <v>1815770215</v>
          </cell>
          <cell r="B4400" t="str">
            <v>קייטנת קיץ בחטיבות ותיכוניים</v>
          </cell>
          <cell r="C4400">
            <v>0</v>
          </cell>
          <cell r="D4400">
            <v>0</v>
          </cell>
          <cell r="E4400">
            <v>0</v>
          </cell>
          <cell r="F4400">
            <v>0</v>
          </cell>
          <cell r="G4400">
            <v>0</v>
          </cell>
          <cell r="H4400">
            <v>0</v>
          </cell>
          <cell r="I4400">
            <v>0</v>
          </cell>
          <cell r="J4400">
            <v>0</v>
          </cell>
        </row>
        <row r="4401">
          <cell r="A4401">
            <v>1815770216</v>
          </cell>
          <cell r="B4401" t="str">
            <v>פרויקט גימלאים</v>
          </cell>
          <cell r="C4401">
            <v>0</v>
          </cell>
          <cell r="D4401">
            <v>0</v>
          </cell>
          <cell r="E4401">
            <v>0</v>
          </cell>
          <cell r="F4401">
            <v>0</v>
          </cell>
          <cell r="G4401">
            <v>0</v>
          </cell>
          <cell r="H4401">
            <v>0</v>
          </cell>
          <cell r="I4401">
            <v>0</v>
          </cell>
          <cell r="J4401">
            <v>0</v>
          </cell>
        </row>
        <row r="4402">
          <cell r="A4402">
            <v>1815770250</v>
          </cell>
          <cell r="B4402" t="str">
            <v>שעות השאלה</v>
          </cell>
          <cell r="C4402">
            <v>74290</v>
          </cell>
          <cell r="D4402">
            <v>-447.5</v>
          </cell>
          <cell r="E4402">
            <v>0</v>
          </cell>
          <cell r="F4402">
            <v>-447.5</v>
          </cell>
          <cell r="G4402">
            <v>74737.5</v>
          </cell>
          <cell r="H4402">
            <v>-0.6</v>
          </cell>
          <cell r="I4402">
            <v>78200</v>
          </cell>
          <cell r="J4402">
            <v>-447.5</v>
          </cell>
        </row>
        <row r="4403">
          <cell r="A4403">
            <v>1815770261</v>
          </cell>
          <cell r="B4403" t="str">
            <v>תכנית גי"א / מש"ב</v>
          </cell>
          <cell r="C4403">
            <v>0</v>
          </cell>
          <cell r="D4403">
            <v>0</v>
          </cell>
          <cell r="E4403">
            <v>0</v>
          </cell>
          <cell r="F4403">
            <v>0</v>
          </cell>
          <cell r="G4403">
            <v>0</v>
          </cell>
          <cell r="H4403">
            <v>0</v>
          </cell>
          <cell r="I4403">
            <v>0</v>
          </cell>
          <cell r="J4403">
            <v>0</v>
          </cell>
        </row>
        <row r="4404">
          <cell r="A4404">
            <v>1815770262</v>
          </cell>
          <cell r="B4404" t="str">
            <v>שעות שאילה - משה"ח</v>
          </cell>
          <cell r="C4404">
            <v>0</v>
          </cell>
          <cell r="D4404">
            <v>0</v>
          </cell>
          <cell r="E4404">
            <v>0</v>
          </cell>
          <cell r="F4404">
            <v>0</v>
          </cell>
          <cell r="G4404">
            <v>0</v>
          </cell>
          <cell r="H4404">
            <v>0</v>
          </cell>
          <cell r="I4404">
            <v>0</v>
          </cell>
          <cell r="J4404">
            <v>0</v>
          </cell>
        </row>
        <row r="4405">
          <cell r="A4405">
            <v>1815770263</v>
          </cell>
          <cell r="B4405" t="str">
            <v>עובדי חברת מוסדות</v>
          </cell>
          <cell r="C4405">
            <v>0</v>
          </cell>
          <cell r="D4405">
            <v>0</v>
          </cell>
          <cell r="E4405">
            <v>0</v>
          </cell>
          <cell r="F4405">
            <v>0</v>
          </cell>
          <cell r="G4405">
            <v>0</v>
          </cell>
          <cell r="H4405">
            <v>0</v>
          </cell>
          <cell r="I4405">
            <v>0</v>
          </cell>
          <cell r="J4405">
            <v>0</v>
          </cell>
        </row>
        <row r="4406">
          <cell r="A4406">
            <v>1815770264</v>
          </cell>
          <cell r="B4406" t="str">
            <v>מוסדות מנ"ע</v>
          </cell>
          <cell r="C4406">
            <v>0</v>
          </cell>
          <cell r="D4406">
            <v>0</v>
          </cell>
          <cell r="E4406">
            <v>0</v>
          </cell>
          <cell r="F4406">
            <v>0</v>
          </cell>
          <cell r="G4406">
            <v>0</v>
          </cell>
          <cell r="H4406">
            <v>0</v>
          </cell>
          <cell r="I4406">
            <v>0</v>
          </cell>
          <cell r="J4406">
            <v>0</v>
          </cell>
        </row>
        <row r="4407">
          <cell r="A4407">
            <v>1815770391</v>
          </cell>
          <cell r="B4407" t="str">
            <v>הפרשה לפנסיה</v>
          </cell>
          <cell r="C4407">
            <v>0</v>
          </cell>
          <cell r="D4407">
            <v>0</v>
          </cell>
          <cell r="E4407">
            <v>0</v>
          </cell>
          <cell r="F4407">
            <v>0</v>
          </cell>
          <cell r="G4407">
            <v>0</v>
          </cell>
          <cell r="H4407">
            <v>0</v>
          </cell>
          <cell r="I4407">
            <v>0</v>
          </cell>
          <cell r="J4407">
            <v>0</v>
          </cell>
        </row>
        <row r="4408">
          <cell r="A4408">
            <v>1815770411</v>
          </cell>
          <cell r="B4408" t="str">
            <v>שכירת אולמות</v>
          </cell>
          <cell r="C4408">
            <v>0</v>
          </cell>
          <cell r="D4408">
            <v>0</v>
          </cell>
          <cell r="E4408">
            <v>0</v>
          </cell>
          <cell r="F4408">
            <v>0</v>
          </cell>
          <cell r="G4408">
            <v>0</v>
          </cell>
          <cell r="H4408">
            <v>0</v>
          </cell>
          <cell r="I4408">
            <v>0</v>
          </cell>
          <cell r="J4408">
            <v>0</v>
          </cell>
        </row>
        <row r="4409">
          <cell r="A4409">
            <v>1815770413</v>
          </cell>
          <cell r="B4409" t="str">
            <v>דמי שימוש באולם</v>
          </cell>
          <cell r="C4409">
            <v>199500</v>
          </cell>
          <cell r="D4409">
            <v>210000</v>
          </cell>
          <cell r="E4409">
            <v>0</v>
          </cell>
          <cell r="F4409">
            <v>210000</v>
          </cell>
          <cell r="G4409">
            <v>-10500</v>
          </cell>
          <cell r="H4409">
            <v>105.26</v>
          </cell>
          <cell r="I4409">
            <v>210000</v>
          </cell>
          <cell r="J4409">
            <v>210000</v>
          </cell>
        </row>
        <row r="4410">
          <cell r="A4410">
            <v>1815770420</v>
          </cell>
          <cell r="B4410" t="str">
            <v>כיבוי אש</v>
          </cell>
          <cell r="C4410">
            <v>12350</v>
          </cell>
          <cell r="D4410">
            <v>12148.71</v>
          </cell>
          <cell r="E4410">
            <v>0</v>
          </cell>
          <cell r="F4410">
            <v>12148.71</v>
          </cell>
          <cell r="G4410">
            <v>201.29</v>
          </cell>
          <cell r="H4410">
            <v>98.37</v>
          </cell>
          <cell r="I4410">
            <v>13000</v>
          </cell>
          <cell r="J4410">
            <v>12148.71</v>
          </cell>
        </row>
        <row r="4411">
          <cell r="A4411">
            <v>1815770423</v>
          </cell>
          <cell r="B4411" t="str">
            <v>תחזוקת מבנה</v>
          </cell>
          <cell r="C4411">
            <v>39140</v>
          </cell>
          <cell r="D4411">
            <v>41200</v>
          </cell>
          <cell r="E4411">
            <v>0</v>
          </cell>
          <cell r="F4411">
            <v>41200</v>
          </cell>
          <cell r="G4411">
            <v>-2060</v>
          </cell>
          <cell r="H4411">
            <v>105.26</v>
          </cell>
          <cell r="I4411">
            <v>41200</v>
          </cell>
          <cell r="J4411">
            <v>41200</v>
          </cell>
        </row>
        <row r="4412">
          <cell r="A4412">
            <v>1815770431</v>
          </cell>
          <cell r="B4412" t="str">
            <v>חשמל</v>
          </cell>
          <cell r="C4412">
            <v>274740</v>
          </cell>
          <cell r="D4412">
            <v>259062</v>
          </cell>
          <cell r="E4412">
            <v>0</v>
          </cell>
          <cell r="F4412">
            <v>259062</v>
          </cell>
          <cell r="G4412">
            <v>15678</v>
          </cell>
          <cell r="H4412">
            <v>94.29</v>
          </cell>
          <cell r="I4412">
            <v>289200</v>
          </cell>
          <cell r="J4412">
            <v>259062</v>
          </cell>
        </row>
        <row r="4413">
          <cell r="A4413">
            <v>1815770432</v>
          </cell>
          <cell r="B4413" t="str">
            <v>מים</v>
          </cell>
          <cell r="C4413">
            <v>74385</v>
          </cell>
          <cell r="D4413">
            <v>70123</v>
          </cell>
          <cell r="E4413">
            <v>0</v>
          </cell>
          <cell r="F4413">
            <v>70123</v>
          </cell>
          <cell r="G4413">
            <v>4262</v>
          </cell>
          <cell r="H4413">
            <v>94.27</v>
          </cell>
          <cell r="I4413">
            <v>78300</v>
          </cell>
          <cell r="J4413">
            <v>70123</v>
          </cell>
        </row>
        <row r="4414">
          <cell r="A4414">
            <v>1815770433</v>
          </cell>
          <cell r="B4414" t="str">
            <v>חומרי נקיון</v>
          </cell>
          <cell r="C4414">
            <v>0</v>
          </cell>
          <cell r="D4414">
            <v>0</v>
          </cell>
          <cell r="E4414">
            <v>0</v>
          </cell>
          <cell r="F4414">
            <v>0</v>
          </cell>
          <cell r="G4414">
            <v>0</v>
          </cell>
          <cell r="H4414">
            <v>0</v>
          </cell>
          <cell r="I4414">
            <v>0</v>
          </cell>
          <cell r="J4414">
            <v>0</v>
          </cell>
        </row>
        <row r="4415">
          <cell r="A4415">
            <v>1815770434</v>
          </cell>
          <cell r="B4415" t="str">
            <v>חיטוי והדברה</v>
          </cell>
          <cell r="C4415">
            <v>0</v>
          </cell>
          <cell r="D4415">
            <v>0</v>
          </cell>
          <cell r="E4415">
            <v>0</v>
          </cell>
          <cell r="F4415">
            <v>0</v>
          </cell>
          <cell r="G4415">
            <v>0</v>
          </cell>
          <cell r="H4415">
            <v>0</v>
          </cell>
          <cell r="I4415">
            <v>0</v>
          </cell>
          <cell r="J4415">
            <v>0</v>
          </cell>
        </row>
        <row r="4416">
          <cell r="A4416">
            <v>1815770435</v>
          </cell>
          <cell r="B4416" t="str">
            <v>השת' באחזקת מחשבים</v>
          </cell>
          <cell r="C4416">
            <v>0</v>
          </cell>
          <cell r="D4416">
            <v>0</v>
          </cell>
          <cell r="E4416">
            <v>0</v>
          </cell>
          <cell r="F4416">
            <v>0</v>
          </cell>
          <cell r="G4416">
            <v>0</v>
          </cell>
          <cell r="H4416">
            <v>0</v>
          </cell>
          <cell r="I4416">
            <v>0</v>
          </cell>
          <cell r="J4416">
            <v>0</v>
          </cell>
        </row>
        <row r="4417">
          <cell r="A4417">
            <v>1815770437</v>
          </cell>
          <cell r="B4417" t="str">
            <v>אחזקת אזעקה</v>
          </cell>
          <cell r="C4417">
            <v>4750</v>
          </cell>
          <cell r="D4417">
            <v>4885.92</v>
          </cell>
          <cell r="E4417">
            <v>0</v>
          </cell>
          <cell r="F4417">
            <v>4885.92</v>
          </cell>
          <cell r="G4417">
            <v>-135.91999999999999</v>
          </cell>
          <cell r="H4417">
            <v>102.86</v>
          </cell>
          <cell r="I4417">
            <v>5000</v>
          </cell>
          <cell r="J4417">
            <v>4885.92</v>
          </cell>
        </row>
        <row r="4418">
          <cell r="A4418">
            <v>1815770441</v>
          </cell>
          <cell r="B4418" t="str">
            <v>ביטוח</v>
          </cell>
          <cell r="C4418">
            <v>0</v>
          </cell>
          <cell r="D4418">
            <v>0</v>
          </cell>
          <cell r="E4418">
            <v>0</v>
          </cell>
          <cell r="F4418">
            <v>0</v>
          </cell>
          <cell r="G4418">
            <v>0</v>
          </cell>
          <cell r="H4418">
            <v>0</v>
          </cell>
          <cell r="I4418">
            <v>0</v>
          </cell>
          <cell r="J4418">
            <v>0</v>
          </cell>
        </row>
        <row r="4419">
          <cell r="A4419">
            <v>1815770450</v>
          </cell>
          <cell r="B4419" t="str">
            <v>ריהוט ואחזקתו</v>
          </cell>
          <cell r="C4419">
            <v>29925</v>
          </cell>
          <cell r="D4419">
            <v>29687</v>
          </cell>
          <cell r="E4419">
            <v>0</v>
          </cell>
          <cell r="F4419">
            <v>29687</v>
          </cell>
          <cell r="G4419">
            <v>238</v>
          </cell>
          <cell r="H4419">
            <v>99.2</v>
          </cell>
          <cell r="I4419">
            <v>31500</v>
          </cell>
          <cell r="J4419">
            <v>29687</v>
          </cell>
        </row>
        <row r="4420">
          <cell r="A4420">
            <v>1815770451</v>
          </cell>
          <cell r="B4420" t="str">
            <v>הוצאות גפ"ן בית ספרי</v>
          </cell>
          <cell r="C4420">
            <v>0</v>
          </cell>
          <cell r="D4420">
            <v>0</v>
          </cell>
          <cell r="E4420">
            <v>0</v>
          </cell>
          <cell r="F4420">
            <v>0</v>
          </cell>
          <cell r="G4420">
            <v>0</v>
          </cell>
          <cell r="H4420">
            <v>0</v>
          </cell>
          <cell r="I4420">
            <v>0</v>
          </cell>
          <cell r="J4420">
            <v>0</v>
          </cell>
        </row>
        <row r="4421">
          <cell r="A4421">
            <v>1815770452</v>
          </cell>
          <cell r="B4421" t="str">
            <v>השתתפות עירונית בגפ"ן</v>
          </cell>
          <cell r="C4421">
            <v>0</v>
          </cell>
          <cell r="D4421">
            <v>0</v>
          </cell>
          <cell r="E4421">
            <v>0</v>
          </cell>
          <cell r="F4421">
            <v>0</v>
          </cell>
          <cell r="G4421">
            <v>0</v>
          </cell>
          <cell r="H4421">
            <v>0</v>
          </cell>
          <cell r="I4421">
            <v>0</v>
          </cell>
          <cell r="J4421">
            <v>0</v>
          </cell>
        </row>
        <row r="4422">
          <cell r="A4422">
            <v>1815770470</v>
          </cell>
          <cell r="B4422" t="str">
            <v>אחזקת מכונות משרד</v>
          </cell>
          <cell r="C4422">
            <v>0</v>
          </cell>
          <cell r="D4422">
            <v>0</v>
          </cell>
          <cell r="E4422">
            <v>0</v>
          </cell>
          <cell r="F4422">
            <v>0</v>
          </cell>
          <cell r="G4422">
            <v>0</v>
          </cell>
          <cell r="H4422">
            <v>0</v>
          </cell>
          <cell r="I4422">
            <v>0</v>
          </cell>
          <cell r="J4422">
            <v>0</v>
          </cell>
        </row>
        <row r="4423">
          <cell r="A4423">
            <v>1815770471</v>
          </cell>
          <cell r="B4423" t="str">
            <v>מכשירי כתיבה</v>
          </cell>
          <cell r="C4423">
            <v>0</v>
          </cell>
          <cell r="D4423">
            <v>0</v>
          </cell>
          <cell r="E4423">
            <v>0</v>
          </cell>
          <cell r="F4423">
            <v>0</v>
          </cell>
          <cell r="G4423">
            <v>0</v>
          </cell>
          <cell r="H4423">
            <v>0</v>
          </cell>
          <cell r="I4423">
            <v>0</v>
          </cell>
          <cell r="J4423">
            <v>0</v>
          </cell>
        </row>
        <row r="4424">
          <cell r="A4424">
            <v>1815770511</v>
          </cell>
          <cell r="B4424" t="str">
            <v>אירוח וכיבוד</v>
          </cell>
          <cell r="C4424">
            <v>11970</v>
          </cell>
          <cell r="D4424">
            <v>13795.47</v>
          </cell>
          <cell r="E4424">
            <v>0</v>
          </cell>
          <cell r="F4424">
            <v>13795.47</v>
          </cell>
          <cell r="G4424">
            <v>-1825.47</v>
          </cell>
          <cell r="H4424">
            <v>115.25</v>
          </cell>
          <cell r="I4424">
            <v>12600</v>
          </cell>
          <cell r="J4424">
            <v>13795.47</v>
          </cell>
        </row>
        <row r="4425">
          <cell r="A4425">
            <v>1815770512</v>
          </cell>
          <cell r="B4425" t="str">
            <v>נסיעות ואש"ל</v>
          </cell>
          <cell r="C4425">
            <v>0</v>
          </cell>
          <cell r="D4425">
            <v>0</v>
          </cell>
          <cell r="E4425">
            <v>0</v>
          </cell>
          <cell r="F4425">
            <v>0</v>
          </cell>
          <cell r="G4425">
            <v>0</v>
          </cell>
          <cell r="H4425">
            <v>0</v>
          </cell>
          <cell r="I4425">
            <v>0</v>
          </cell>
          <cell r="J4425">
            <v>0</v>
          </cell>
        </row>
        <row r="4426">
          <cell r="A4426">
            <v>1815770517</v>
          </cell>
          <cell r="B4426" t="str">
            <v>מסיבות מפקדים ושי</v>
          </cell>
          <cell r="C4426">
            <v>0</v>
          </cell>
          <cell r="D4426">
            <v>0</v>
          </cell>
          <cell r="E4426">
            <v>0</v>
          </cell>
          <cell r="F4426">
            <v>0</v>
          </cell>
          <cell r="G4426">
            <v>0</v>
          </cell>
          <cell r="H4426">
            <v>0</v>
          </cell>
          <cell r="I4426">
            <v>0</v>
          </cell>
          <cell r="J4426">
            <v>0</v>
          </cell>
        </row>
        <row r="4427">
          <cell r="A4427">
            <v>1815770522</v>
          </cell>
          <cell r="B4427" t="str">
            <v>ספריות</v>
          </cell>
          <cell r="C4427">
            <v>0</v>
          </cell>
          <cell r="D4427">
            <v>0</v>
          </cell>
          <cell r="E4427">
            <v>0</v>
          </cell>
          <cell r="F4427">
            <v>0</v>
          </cell>
          <cell r="G4427">
            <v>0</v>
          </cell>
          <cell r="H4427">
            <v>0</v>
          </cell>
          <cell r="I4427">
            <v>0</v>
          </cell>
          <cell r="J4427">
            <v>0</v>
          </cell>
        </row>
        <row r="4428">
          <cell r="A4428">
            <v>1815770530</v>
          </cell>
          <cell r="B4428" t="str">
            <v>אופניים לעובדים</v>
          </cell>
          <cell r="C4428">
            <v>0</v>
          </cell>
          <cell r="D4428">
            <v>0</v>
          </cell>
          <cell r="E4428">
            <v>0</v>
          </cell>
          <cell r="F4428">
            <v>0</v>
          </cell>
          <cell r="G4428">
            <v>0</v>
          </cell>
          <cell r="H4428">
            <v>0</v>
          </cell>
          <cell r="I4428">
            <v>0</v>
          </cell>
          <cell r="J4428">
            <v>0</v>
          </cell>
        </row>
        <row r="4429">
          <cell r="A4429">
            <v>1815770540</v>
          </cell>
          <cell r="B4429" t="str">
            <v>הוצאות טלפון</v>
          </cell>
          <cell r="C4429">
            <v>0</v>
          </cell>
          <cell r="D4429">
            <v>0</v>
          </cell>
          <cell r="E4429">
            <v>0</v>
          </cell>
          <cell r="F4429">
            <v>0</v>
          </cell>
          <cell r="G4429">
            <v>0</v>
          </cell>
          <cell r="H4429">
            <v>0</v>
          </cell>
          <cell r="I4429">
            <v>0</v>
          </cell>
          <cell r="J4429">
            <v>0</v>
          </cell>
        </row>
        <row r="4430">
          <cell r="A4430">
            <v>1815770544</v>
          </cell>
          <cell r="B4430" t="str">
            <v>הוצאות דאר</v>
          </cell>
          <cell r="C4430">
            <v>0</v>
          </cell>
          <cell r="D4430">
            <v>0</v>
          </cell>
          <cell r="E4430">
            <v>0</v>
          </cell>
          <cell r="F4430">
            <v>0</v>
          </cell>
          <cell r="G4430">
            <v>0</v>
          </cell>
          <cell r="H4430">
            <v>0</v>
          </cell>
          <cell r="I4430">
            <v>0</v>
          </cell>
          <cell r="J4430">
            <v>0</v>
          </cell>
        </row>
        <row r="4431">
          <cell r="A4431">
            <v>1815770562</v>
          </cell>
          <cell r="B4431" t="str">
            <v>הדפסות</v>
          </cell>
          <cell r="C4431">
            <v>0</v>
          </cell>
          <cell r="D4431">
            <v>0</v>
          </cell>
          <cell r="E4431">
            <v>0</v>
          </cell>
          <cell r="F4431">
            <v>0</v>
          </cell>
          <cell r="G4431">
            <v>0</v>
          </cell>
          <cell r="H4431">
            <v>0</v>
          </cell>
          <cell r="I4431">
            <v>0</v>
          </cell>
          <cell r="J4431">
            <v>0</v>
          </cell>
        </row>
        <row r="4432">
          <cell r="A4432">
            <v>1815770583</v>
          </cell>
          <cell r="B4432" t="str">
            <v>שרות רפואי</v>
          </cell>
          <cell r="C4432">
            <v>0</v>
          </cell>
          <cell r="D4432">
            <v>0</v>
          </cell>
          <cell r="E4432">
            <v>0</v>
          </cell>
          <cell r="F4432">
            <v>0</v>
          </cell>
          <cell r="G4432">
            <v>0</v>
          </cell>
          <cell r="H4432">
            <v>0</v>
          </cell>
          <cell r="I4432">
            <v>0</v>
          </cell>
          <cell r="J4432">
            <v>0</v>
          </cell>
        </row>
        <row r="4433">
          <cell r="A4433">
            <v>1815770585</v>
          </cell>
          <cell r="B4433" t="str">
            <v>שרות אחות</v>
          </cell>
          <cell r="C4433">
            <v>0</v>
          </cell>
          <cell r="D4433">
            <v>0</v>
          </cell>
          <cell r="E4433">
            <v>0</v>
          </cell>
          <cell r="F4433">
            <v>0</v>
          </cell>
          <cell r="G4433">
            <v>0</v>
          </cell>
          <cell r="H4433">
            <v>0</v>
          </cell>
          <cell r="I4433">
            <v>0</v>
          </cell>
          <cell r="J4433">
            <v>0</v>
          </cell>
        </row>
        <row r="4434">
          <cell r="A4434">
            <v>1815770721</v>
          </cell>
          <cell r="B4434" t="str">
            <v>חמרים-תחזוקת מבנים</v>
          </cell>
          <cell r="C4434">
            <v>0</v>
          </cell>
          <cell r="D4434">
            <v>0</v>
          </cell>
          <cell r="E4434">
            <v>0</v>
          </cell>
          <cell r="F4434">
            <v>0</v>
          </cell>
          <cell r="G4434">
            <v>0</v>
          </cell>
          <cell r="H4434">
            <v>0</v>
          </cell>
          <cell r="I4434">
            <v>0</v>
          </cell>
          <cell r="J4434">
            <v>0</v>
          </cell>
        </row>
        <row r="4435">
          <cell r="A4435">
            <v>1815770722</v>
          </cell>
          <cell r="B4435" t="str">
            <v>חמרים-תחזוקה עצמית</v>
          </cell>
          <cell r="C4435">
            <v>0</v>
          </cell>
          <cell r="D4435">
            <v>0</v>
          </cell>
          <cell r="E4435">
            <v>0</v>
          </cell>
          <cell r="F4435">
            <v>0</v>
          </cell>
          <cell r="G4435">
            <v>0</v>
          </cell>
          <cell r="H4435">
            <v>0</v>
          </cell>
          <cell r="I4435">
            <v>0</v>
          </cell>
          <cell r="J4435">
            <v>0</v>
          </cell>
        </row>
        <row r="4436">
          <cell r="A4436">
            <v>1815770723</v>
          </cell>
          <cell r="B4436" t="str">
            <v>חומרי לימוד</v>
          </cell>
          <cell r="C4436">
            <v>0</v>
          </cell>
          <cell r="D4436">
            <v>0</v>
          </cell>
          <cell r="E4436">
            <v>0</v>
          </cell>
          <cell r="F4436">
            <v>0</v>
          </cell>
          <cell r="G4436">
            <v>0</v>
          </cell>
          <cell r="H4436">
            <v>0</v>
          </cell>
          <cell r="I4436">
            <v>0</v>
          </cell>
          <cell r="J4436">
            <v>0</v>
          </cell>
        </row>
        <row r="4437">
          <cell r="A4437">
            <v>1815770724</v>
          </cell>
          <cell r="B4437" t="str">
            <v>ציוד למגמות</v>
          </cell>
          <cell r="C4437">
            <v>0</v>
          </cell>
          <cell r="D4437">
            <v>0</v>
          </cell>
          <cell r="E4437">
            <v>0</v>
          </cell>
          <cell r="F4437">
            <v>0</v>
          </cell>
          <cell r="G4437">
            <v>0</v>
          </cell>
          <cell r="H4437">
            <v>0</v>
          </cell>
          <cell r="I4437">
            <v>0</v>
          </cell>
          <cell r="J4437">
            <v>0</v>
          </cell>
        </row>
        <row r="4438">
          <cell r="A4438">
            <v>1815770742</v>
          </cell>
          <cell r="B4438" t="str">
            <v>כלים וציוד</v>
          </cell>
          <cell r="C4438">
            <v>90630</v>
          </cell>
          <cell r="D4438">
            <v>94815</v>
          </cell>
          <cell r="E4438">
            <v>0</v>
          </cell>
          <cell r="F4438">
            <v>94815</v>
          </cell>
          <cell r="G4438">
            <v>-4185</v>
          </cell>
          <cell r="H4438">
            <v>104.61</v>
          </cell>
          <cell r="I4438">
            <v>95400</v>
          </cell>
          <cell r="J4438">
            <v>94815</v>
          </cell>
        </row>
        <row r="4439">
          <cell r="A4439">
            <v>1815770743</v>
          </cell>
          <cell r="B4439" t="str">
            <v>תחז' ציוד אלקטרוני</v>
          </cell>
          <cell r="C4439">
            <v>0</v>
          </cell>
          <cell r="D4439">
            <v>0</v>
          </cell>
          <cell r="E4439">
            <v>0</v>
          </cell>
          <cell r="F4439">
            <v>0</v>
          </cell>
          <cell r="G4439">
            <v>0</v>
          </cell>
          <cell r="H4439">
            <v>0</v>
          </cell>
          <cell r="I4439">
            <v>0</v>
          </cell>
          <cell r="J4439">
            <v>0</v>
          </cell>
        </row>
        <row r="4440">
          <cell r="A4440">
            <v>1815770744</v>
          </cell>
          <cell r="B4440" t="str">
            <v>ציוד מגמה טכנולוגי</v>
          </cell>
          <cell r="C4440">
            <v>0</v>
          </cell>
          <cell r="D4440">
            <v>0</v>
          </cell>
          <cell r="E4440">
            <v>0</v>
          </cell>
          <cell r="F4440">
            <v>0</v>
          </cell>
          <cell r="G4440">
            <v>0</v>
          </cell>
          <cell r="H4440">
            <v>0</v>
          </cell>
          <cell r="I4440">
            <v>0</v>
          </cell>
          <cell r="J4440">
            <v>0</v>
          </cell>
        </row>
        <row r="4441">
          <cell r="A4441">
            <v>1815770745</v>
          </cell>
          <cell r="B4441" t="str">
            <v>דמי פריצה - תכולה</v>
          </cell>
          <cell r="C4441">
            <v>0</v>
          </cell>
          <cell r="D4441">
            <v>0</v>
          </cell>
          <cell r="E4441">
            <v>0</v>
          </cell>
          <cell r="F4441">
            <v>0</v>
          </cell>
          <cell r="G4441">
            <v>0</v>
          </cell>
          <cell r="H4441">
            <v>0</v>
          </cell>
          <cell r="I4441">
            <v>0</v>
          </cell>
          <cell r="J4441">
            <v>0</v>
          </cell>
        </row>
        <row r="4442">
          <cell r="A4442">
            <v>1815770746</v>
          </cell>
          <cell r="B4442" t="str">
            <v>דמי פריצה - מבנה</v>
          </cell>
          <cell r="C4442">
            <v>0</v>
          </cell>
          <cell r="D4442">
            <v>0</v>
          </cell>
          <cell r="E4442">
            <v>0</v>
          </cell>
          <cell r="F4442">
            <v>0</v>
          </cell>
          <cell r="G4442">
            <v>0</v>
          </cell>
          <cell r="H4442">
            <v>0</v>
          </cell>
          <cell r="I4442">
            <v>0</v>
          </cell>
          <cell r="J4442">
            <v>0</v>
          </cell>
        </row>
        <row r="4443">
          <cell r="A4443">
            <v>1815770750</v>
          </cell>
          <cell r="B4443" t="str">
            <v>אחזקת מוסדות</v>
          </cell>
          <cell r="C4443">
            <v>677700</v>
          </cell>
          <cell r="D4443">
            <v>649199</v>
          </cell>
          <cell r="E4443">
            <v>0</v>
          </cell>
          <cell r="F4443">
            <v>649199</v>
          </cell>
          <cell r="G4443">
            <v>28501</v>
          </cell>
          <cell r="H4443">
            <v>95.79</v>
          </cell>
          <cell r="I4443">
            <v>677700</v>
          </cell>
          <cell r="J4443">
            <v>649199</v>
          </cell>
        </row>
        <row r="4444">
          <cell r="A4444">
            <v>1815770751</v>
          </cell>
          <cell r="B4444" t="str">
            <v>עבודות קבלניות</v>
          </cell>
          <cell r="C4444">
            <v>0</v>
          </cell>
          <cell r="D4444">
            <v>0</v>
          </cell>
          <cell r="E4444">
            <v>0</v>
          </cell>
          <cell r="F4444">
            <v>0</v>
          </cell>
          <cell r="G4444">
            <v>0</v>
          </cell>
          <cell r="H4444">
            <v>0</v>
          </cell>
          <cell r="I4444">
            <v>0</v>
          </cell>
          <cell r="J4444">
            <v>0</v>
          </cell>
        </row>
        <row r="4445">
          <cell r="A4445">
            <v>1815770752</v>
          </cell>
          <cell r="B4445" t="str">
            <v>נקיון בקבלנות</v>
          </cell>
          <cell r="C4445">
            <v>682000</v>
          </cell>
          <cell r="D4445">
            <v>681999.53</v>
          </cell>
          <cell r="E4445">
            <v>0</v>
          </cell>
          <cell r="F4445">
            <v>681999.53</v>
          </cell>
          <cell r="G4445">
            <v>0.47</v>
          </cell>
          <cell r="H4445">
            <v>99.99</v>
          </cell>
          <cell r="I4445">
            <v>682000</v>
          </cell>
          <cell r="J4445">
            <v>681999.53</v>
          </cell>
        </row>
        <row r="4446">
          <cell r="A4446">
            <v>1815770753</v>
          </cell>
          <cell r="B4446" t="str">
            <v>עובדים חיצוניים</v>
          </cell>
          <cell r="C4446">
            <v>0</v>
          </cell>
          <cell r="D4446">
            <v>0</v>
          </cell>
          <cell r="E4446">
            <v>0</v>
          </cell>
          <cell r="F4446">
            <v>0</v>
          </cell>
          <cell r="G4446">
            <v>0</v>
          </cell>
          <cell r="H4446">
            <v>0</v>
          </cell>
          <cell r="I4446">
            <v>0</v>
          </cell>
          <cell r="J4446">
            <v>0</v>
          </cell>
        </row>
        <row r="4447">
          <cell r="A4447">
            <v>1815770755</v>
          </cell>
          <cell r="B4447" t="str">
            <v>אחות-חברת כ"א</v>
          </cell>
          <cell r="C4447">
            <v>0</v>
          </cell>
          <cell r="D4447">
            <v>0</v>
          </cell>
          <cell r="E4447">
            <v>0</v>
          </cell>
          <cell r="F4447">
            <v>0</v>
          </cell>
          <cell r="G4447">
            <v>0</v>
          </cell>
          <cell r="H4447">
            <v>0</v>
          </cell>
          <cell r="I4447">
            <v>0</v>
          </cell>
          <cell r="J4447">
            <v>0</v>
          </cell>
        </row>
        <row r="4448">
          <cell r="A4448">
            <v>1815770757</v>
          </cell>
          <cell r="B4448" t="str">
            <v>פעילות מנ"ע</v>
          </cell>
          <cell r="C4448">
            <v>0</v>
          </cell>
          <cell r="D4448">
            <v>0</v>
          </cell>
          <cell r="E4448">
            <v>0</v>
          </cell>
          <cell r="F4448">
            <v>0</v>
          </cell>
          <cell r="G4448">
            <v>0</v>
          </cell>
          <cell r="H4448">
            <v>0</v>
          </cell>
          <cell r="I4448">
            <v>0</v>
          </cell>
          <cell r="J4448">
            <v>0</v>
          </cell>
        </row>
        <row r="4449">
          <cell r="A4449">
            <v>1815770759</v>
          </cell>
          <cell r="B4449" t="str">
            <v>שרותי סייעות</v>
          </cell>
          <cell r="C4449">
            <v>797000</v>
          </cell>
          <cell r="D4449">
            <v>1024669.65</v>
          </cell>
          <cell r="E4449">
            <v>0</v>
          </cell>
          <cell r="F4449">
            <v>1024669.65</v>
          </cell>
          <cell r="G4449">
            <v>-227669.65</v>
          </cell>
          <cell r="H4449">
            <v>128.56</v>
          </cell>
          <cell r="I4449">
            <v>797000</v>
          </cell>
          <cell r="J4449">
            <v>1024669.65</v>
          </cell>
        </row>
        <row r="4450">
          <cell r="A4450">
            <v>1815770761</v>
          </cell>
          <cell r="B4450" t="str">
            <v>השאלת מורים חט"ב</v>
          </cell>
          <cell r="C4450">
            <v>0</v>
          </cell>
          <cell r="D4450">
            <v>0</v>
          </cell>
          <cell r="E4450">
            <v>0</v>
          </cell>
          <cell r="F4450">
            <v>0</v>
          </cell>
          <cell r="G4450">
            <v>0</v>
          </cell>
          <cell r="H4450">
            <v>0</v>
          </cell>
          <cell r="I4450">
            <v>0</v>
          </cell>
          <cell r="J4450">
            <v>0</v>
          </cell>
        </row>
        <row r="4451">
          <cell r="A4451">
            <v>1815770762</v>
          </cell>
          <cell r="B4451" t="str">
            <v>שאילת מורים</v>
          </cell>
          <cell r="C4451">
            <v>573800</v>
          </cell>
          <cell r="D4451">
            <v>622693.98</v>
          </cell>
          <cell r="E4451">
            <v>0</v>
          </cell>
          <cell r="F4451">
            <v>622693.98</v>
          </cell>
          <cell r="G4451">
            <v>-48893.98</v>
          </cell>
          <cell r="H4451">
            <v>108.52</v>
          </cell>
          <cell r="I4451">
            <v>604000</v>
          </cell>
          <cell r="J4451">
            <v>622693.98</v>
          </cell>
        </row>
        <row r="4452">
          <cell r="A4452">
            <v>1815770763</v>
          </cell>
          <cell r="B4452" t="str">
            <v>עובדי חברת מוסדות</v>
          </cell>
          <cell r="C4452">
            <v>0</v>
          </cell>
          <cell r="D4452">
            <v>0</v>
          </cell>
          <cell r="E4452">
            <v>0</v>
          </cell>
          <cell r="F4452">
            <v>0</v>
          </cell>
          <cell r="G4452">
            <v>0</v>
          </cell>
          <cell r="H4452">
            <v>0</v>
          </cell>
          <cell r="I4452">
            <v>0</v>
          </cell>
          <cell r="J4452">
            <v>0</v>
          </cell>
        </row>
        <row r="4453">
          <cell r="A4453">
            <v>1815770764</v>
          </cell>
          <cell r="B4453" t="str">
            <v>מוסדות מנ"ע</v>
          </cell>
          <cell r="C4453">
            <v>0</v>
          </cell>
          <cell r="D4453">
            <v>0</v>
          </cell>
          <cell r="E4453">
            <v>0</v>
          </cell>
          <cell r="F4453">
            <v>0</v>
          </cell>
          <cell r="G4453">
            <v>0</v>
          </cell>
          <cell r="H4453">
            <v>0</v>
          </cell>
          <cell r="I4453">
            <v>0</v>
          </cell>
          <cell r="J4453">
            <v>0</v>
          </cell>
        </row>
        <row r="4454">
          <cell r="A4454">
            <v>1815770765</v>
          </cell>
          <cell r="B4454" t="str">
            <v>רכז חברתי - חט"ב</v>
          </cell>
          <cell r="C4454">
            <v>0</v>
          </cell>
          <cell r="D4454">
            <v>0</v>
          </cell>
          <cell r="E4454">
            <v>0</v>
          </cell>
          <cell r="F4454">
            <v>0</v>
          </cell>
          <cell r="G4454">
            <v>0</v>
          </cell>
          <cell r="H4454">
            <v>0</v>
          </cell>
          <cell r="I4454">
            <v>0</v>
          </cell>
          <cell r="J4454">
            <v>0</v>
          </cell>
        </row>
        <row r="4455">
          <cell r="A4455">
            <v>1815770780</v>
          </cell>
          <cell r="B4455" t="str">
            <v>חינוך חברתי</v>
          </cell>
          <cell r="C4455">
            <v>19190</v>
          </cell>
          <cell r="D4455">
            <v>17675</v>
          </cell>
          <cell r="E4455">
            <v>0</v>
          </cell>
          <cell r="F4455">
            <v>17675</v>
          </cell>
          <cell r="G4455">
            <v>1515</v>
          </cell>
          <cell r="H4455">
            <v>92.1</v>
          </cell>
          <cell r="I4455">
            <v>20200</v>
          </cell>
          <cell r="J4455">
            <v>17675</v>
          </cell>
        </row>
        <row r="4456">
          <cell r="A4456">
            <v>1815770781</v>
          </cell>
          <cell r="B4456" t="str">
            <v>הפעלת אשכולות פיס</v>
          </cell>
          <cell r="C4456">
            <v>142500</v>
          </cell>
          <cell r="D4456">
            <v>137500</v>
          </cell>
          <cell r="E4456">
            <v>0</v>
          </cell>
          <cell r="F4456">
            <v>137500</v>
          </cell>
          <cell r="G4456">
            <v>5000</v>
          </cell>
          <cell r="H4456">
            <v>96.49</v>
          </cell>
          <cell r="I4456">
            <v>150000</v>
          </cell>
          <cell r="J4456">
            <v>137500</v>
          </cell>
        </row>
        <row r="4457">
          <cell r="A4457">
            <v>1815770782</v>
          </cell>
          <cell r="B4457" t="str">
            <v>אחזקת אשכול פיס</v>
          </cell>
          <cell r="C4457">
            <v>40000</v>
          </cell>
          <cell r="D4457">
            <v>1001</v>
          </cell>
          <cell r="E4457">
            <v>0</v>
          </cell>
          <cell r="F4457">
            <v>1001</v>
          </cell>
          <cell r="G4457">
            <v>38999</v>
          </cell>
          <cell r="H4457">
            <v>2.5</v>
          </cell>
          <cell r="I4457">
            <v>40000</v>
          </cell>
          <cell r="J4457">
            <v>1001</v>
          </cell>
        </row>
        <row r="4458">
          <cell r="A4458">
            <v>1815770783</v>
          </cell>
          <cell r="B4458" t="str">
            <v>תגבור יהדות(משה"ח)</v>
          </cell>
          <cell r="C4458">
            <v>0</v>
          </cell>
          <cell r="D4458">
            <v>0</v>
          </cell>
          <cell r="E4458">
            <v>0</v>
          </cell>
          <cell r="F4458">
            <v>0</v>
          </cell>
          <cell r="G4458">
            <v>0</v>
          </cell>
          <cell r="H4458">
            <v>0</v>
          </cell>
          <cell r="I4458">
            <v>0</v>
          </cell>
          <cell r="J4458">
            <v>0</v>
          </cell>
        </row>
        <row r="4459">
          <cell r="A4459">
            <v>1815770794</v>
          </cell>
          <cell r="B4459" t="str">
            <v>השתתפות בעזר 094</v>
          </cell>
          <cell r="C4459">
            <v>15865</v>
          </cell>
          <cell r="D4459">
            <v>19920</v>
          </cell>
          <cell r="E4459">
            <v>0</v>
          </cell>
          <cell r="F4459">
            <v>19920</v>
          </cell>
          <cell r="G4459">
            <v>-4055</v>
          </cell>
          <cell r="H4459">
            <v>125.55</v>
          </cell>
          <cell r="I4459">
            <v>16700</v>
          </cell>
          <cell r="J4459">
            <v>19920</v>
          </cell>
        </row>
        <row r="4460">
          <cell r="A4460">
            <v>1815770810</v>
          </cell>
          <cell r="B4460" t="str">
            <v>הקצבה לניהול עצמי</v>
          </cell>
          <cell r="C4460">
            <v>134425</v>
          </cell>
          <cell r="D4460">
            <v>0</v>
          </cell>
          <cell r="E4460">
            <v>0</v>
          </cell>
          <cell r="F4460">
            <v>0</v>
          </cell>
          <cell r="G4460">
            <v>134425</v>
          </cell>
          <cell r="H4460">
            <v>0</v>
          </cell>
          <cell r="I4460">
            <v>141500</v>
          </cell>
          <cell r="J4460">
            <v>0</v>
          </cell>
        </row>
        <row r="4461">
          <cell r="A4461">
            <v>1815770812</v>
          </cell>
          <cell r="B4461" t="str">
            <v>מסיבות כיתתיות</v>
          </cell>
          <cell r="C4461">
            <v>28500</v>
          </cell>
          <cell r="D4461">
            <v>33484</v>
          </cell>
          <cell r="E4461">
            <v>0</v>
          </cell>
          <cell r="F4461">
            <v>33484</v>
          </cell>
          <cell r="G4461">
            <v>-4984</v>
          </cell>
          <cell r="H4461">
            <v>117.48</v>
          </cell>
          <cell r="I4461">
            <v>30000</v>
          </cell>
          <cell r="J4461">
            <v>33484</v>
          </cell>
        </row>
        <row r="4462">
          <cell r="A4462">
            <v>1815770816</v>
          </cell>
          <cell r="B4462" t="str">
            <v>חט"ב-הכלה והשתלבות</v>
          </cell>
          <cell r="C4462">
            <v>0</v>
          </cell>
          <cell r="D4462">
            <v>0</v>
          </cell>
          <cell r="E4462">
            <v>0</v>
          </cell>
          <cell r="F4462">
            <v>0</v>
          </cell>
          <cell r="G4462">
            <v>0</v>
          </cell>
          <cell r="H4462">
            <v>0</v>
          </cell>
          <cell r="I4462">
            <v>0</v>
          </cell>
          <cell r="J4462">
            <v>0</v>
          </cell>
        </row>
        <row r="4463">
          <cell r="A4463">
            <v>1815770838</v>
          </cell>
          <cell r="B4463" t="str">
            <v>העברה כנגד הכנסות מש' החינוך</v>
          </cell>
          <cell r="C4463">
            <v>0</v>
          </cell>
          <cell r="D4463">
            <v>0</v>
          </cell>
          <cell r="E4463">
            <v>0</v>
          </cell>
          <cell r="F4463">
            <v>0</v>
          </cell>
          <cell r="G4463">
            <v>0</v>
          </cell>
          <cell r="H4463">
            <v>0</v>
          </cell>
          <cell r="I4463">
            <v>0</v>
          </cell>
          <cell r="J4463">
            <v>0</v>
          </cell>
        </row>
        <row r="4464">
          <cell r="A4464">
            <v>1815770927</v>
          </cell>
          <cell r="B4464" t="str">
            <v>מנ"ע-קב' טיפוליות</v>
          </cell>
          <cell r="C4464">
            <v>0</v>
          </cell>
          <cell r="D4464">
            <v>0</v>
          </cell>
          <cell r="E4464">
            <v>0</v>
          </cell>
          <cell r="F4464">
            <v>0</v>
          </cell>
          <cell r="G4464">
            <v>0</v>
          </cell>
          <cell r="H4464">
            <v>0</v>
          </cell>
          <cell r="I4464">
            <v>0</v>
          </cell>
          <cell r="J4464">
            <v>0</v>
          </cell>
        </row>
        <row r="4465">
          <cell r="A4465">
            <v>1815770953</v>
          </cell>
          <cell r="B4465" t="str">
            <v>מערכת גפ"ן</v>
          </cell>
          <cell r="C4465">
            <v>1608350</v>
          </cell>
          <cell r="D4465">
            <v>1868030.7</v>
          </cell>
          <cell r="E4465">
            <v>0</v>
          </cell>
          <cell r="F4465">
            <v>1868030.7</v>
          </cell>
          <cell r="G4465">
            <v>-259680.7</v>
          </cell>
          <cell r="H4465">
            <v>116.14</v>
          </cell>
          <cell r="I4465">
            <v>1693000</v>
          </cell>
          <cell r="J4465">
            <v>1868030.7</v>
          </cell>
        </row>
        <row r="4466">
          <cell r="A4466">
            <v>1815770989</v>
          </cell>
          <cell r="B4466" t="str">
            <v>תקורה</v>
          </cell>
          <cell r="C4466">
            <v>1360970</v>
          </cell>
          <cell r="D4466">
            <v>1353289</v>
          </cell>
          <cell r="E4466">
            <v>0</v>
          </cell>
          <cell r="F4466">
            <v>1353289</v>
          </cell>
          <cell r="G4466">
            <v>7681</v>
          </cell>
          <cell r="H4466">
            <v>99.43</v>
          </cell>
          <cell r="I4466">
            <v>1432600</v>
          </cell>
          <cell r="J4466">
            <v>1353289</v>
          </cell>
        </row>
        <row r="4467">
          <cell r="A4467">
            <v>1815780110</v>
          </cell>
          <cell r="B4467" t="str">
            <v>השכר הקובע-תקציבית</v>
          </cell>
          <cell r="C4467">
            <v>0</v>
          </cell>
          <cell r="D4467">
            <v>0</v>
          </cell>
          <cell r="E4467">
            <v>0</v>
          </cell>
          <cell r="F4467">
            <v>0</v>
          </cell>
          <cell r="G4467">
            <v>0</v>
          </cell>
          <cell r="H4467">
            <v>0</v>
          </cell>
          <cell r="I4467">
            <v>0</v>
          </cell>
          <cell r="J4467">
            <v>0</v>
          </cell>
        </row>
        <row r="4468">
          <cell r="A4468">
            <v>1815780118</v>
          </cell>
          <cell r="B4468" t="str">
            <v>שכר עובדי הוראה</v>
          </cell>
          <cell r="C4468">
            <v>0</v>
          </cell>
          <cell r="D4468">
            <v>0</v>
          </cell>
          <cell r="E4468">
            <v>0</v>
          </cell>
          <cell r="F4468">
            <v>0</v>
          </cell>
          <cell r="G4468">
            <v>0</v>
          </cell>
          <cell r="H4468">
            <v>0</v>
          </cell>
          <cell r="I4468">
            <v>0</v>
          </cell>
          <cell r="J4468">
            <v>0</v>
          </cell>
        </row>
        <row r="4469">
          <cell r="A4469">
            <v>1815780119</v>
          </cell>
          <cell r="B4469" t="str">
            <v>הכר  הקובע-צוברת</v>
          </cell>
          <cell r="C4469">
            <v>0</v>
          </cell>
          <cell r="D4469">
            <v>0</v>
          </cell>
          <cell r="E4469">
            <v>0</v>
          </cell>
          <cell r="F4469">
            <v>0</v>
          </cell>
          <cell r="G4469">
            <v>0</v>
          </cell>
          <cell r="H4469">
            <v>0</v>
          </cell>
          <cell r="I4469">
            <v>0</v>
          </cell>
          <cell r="J4469">
            <v>0</v>
          </cell>
        </row>
        <row r="4470">
          <cell r="A4470">
            <v>1815780122</v>
          </cell>
          <cell r="B4470" t="str">
            <v>ביגוד</v>
          </cell>
          <cell r="C4470">
            <v>0</v>
          </cell>
          <cell r="D4470">
            <v>0</v>
          </cell>
          <cell r="E4470">
            <v>0</v>
          </cell>
          <cell r="F4470">
            <v>0</v>
          </cell>
          <cell r="G4470">
            <v>0</v>
          </cell>
          <cell r="H4470">
            <v>0</v>
          </cell>
          <cell r="I4470">
            <v>0</v>
          </cell>
          <cell r="J4470">
            <v>0</v>
          </cell>
        </row>
        <row r="4471">
          <cell r="A4471">
            <v>1815780126</v>
          </cell>
          <cell r="B4471" t="str">
            <v>דמי הבראה</v>
          </cell>
          <cell r="C4471">
            <v>0</v>
          </cell>
          <cell r="D4471">
            <v>0</v>
          </cell>
          <cell r="E4471">
            <v>0</v>
          </cell>
          <cell r="F4471">
            <v>0</v>
          </cell>
          <cell r="G4471">
            <v>0</v>
          </cell>
          <cell r="H4471">
            <v>0</v>
          </cell>
          <cell r="I4471">
            <v>0</v>
          </cell>
          <cell r="J4471">
            <v>0</v>
          </cell>
        </row>
        <row r="4472">
          <cell r="A4472">
            <v>1815780130</v>
          </cell>
          <cell r="B4472" t="str">
            <v>שעות נוספות</v>
          </cell>
          <cell r="C4472">
            <v>0</v>
          </cell>
          <cell r="D4472">
            <v>0</v>
          </cell>
          <cell r="E4472">
            <v>0</v>
          </cell>
          <cell r="F4472">
            <v>0</v>
          </cell>
          <cell r="G4472">
            <v>0</v>
          </cell>
          <cell r="H4472">
            <v>0</v>
          </cell>
          <cell r="I4472">
            <v>0</v>
          </cell>
          <cell r="J4472">
            <v>0</v>
          </cell>
        </row>
        <row r="4473">
          <cell r="A4473">
            <v>1815780140</v>
          </cell>
          <cell r="B4473" t="str">
            <v>השתתפות באחזקת רכב</v>
          </cell>
          <cell r="C4473">
            <v>0</v>
          </cell>
          <cell r="D4473">
            <v>0</v>
          </cell>
          <cell r="E4473">
            <v>0</v>
          </cell>
          <cell r="F4473">
            <v>0</v>
          </cell>
          <cell r="G4473">
            <v>0</v>
          </cell>
          <cell r="H4473">
            <v>0</v>
          </cell>
          <cell r="I4473">
            <v>0</v>
          </cell>
          <cell r="J4473">
            <v>0</v>
          </cell>
        </row>
        <row r="4474">
          <cell r="A4474">
            <v>1815780212</v>
          </cell>
          <cell r="B4474" t="str">
            <v>שעורי עזר לעולים</v>
          </cell>
          <cell r="C4474">
            <v>0</v>
          </cell>
          <cell r="D4474">
            <v>0</v>
          </cell>
          <cell r="E4474">
            <v>0</v>
          </cell>
          <cell r="F4474">
            <v>0</v>
          </cell>
          <cell r="G4474">
            <v>0</v>
          </cell>
          <cell r="H4474">
            <v>0</v>
          </cell>
          <cell r="I4474">
            <v>0</v>
          </cell>
          <cell r="J4474">
            <v>0</v>
          </cell>
        </row>
        <row r="4475">
          <cell r="A4475">
            <v>1815780213</v>
          </cell>
          <cell r="B4475" t="str">
            <v>שעורי עזר לנכים</v>
          </cell>
          <cell r="C4475">
            <v>0</v>
          </cell>
          <cell r="D4475">
            <v>0</v>
          </cell>
          <cell r="E4475">
            <v>0</v>
          </cell>
          <cell r="F4475">
            <v>0</v>
          </cell>
          <cell r="G4475">
            <v>0</v>
          </cell>
          <cell r="H4475">
            <v>0</v>
          </cell>
          <cell r="I4475">
            <v>0</v>
          </cell>
          <cell r="J4475">
            <v>0</v>
          </cell>
        </row>
        <row r="4476">
          <cell r="A4476">
            <v>1815780215</v>
          </cell>
          <cell r="B4476" t="str">
            <v>קייטנת קיץ בחטיבות ותיכוניים</v>
          </cell>
          <cell r="C4476">
            <v>0</v>
          </cell>
          <cell r="D4476">
            <v>0</v>
          </cell>
          <cell r="E4476">
            <v>0</v>
          </cell>
          <cell r="F4476">
            <v>0</v>
          </cell>
          <cell r="G4476">
            <v>0</v>
          </cell>
          <cell r="H4476">
            <v>0</v>
          </cell>
          <cell r="I4476">
            <v>0</v>
          </cell>
          <cell r="J4476">
            <v>0</v>
          </cell>
        </row>
        <row r="4477">
          <cell r="A4477">
            <v>1815780217</v>
          </cell>
          <cell r="B4477" t="str">
            <v>תגבור יהדות</v>
          </cell>
          <cell r="C4477">
            <v>0</v>
          </cell>
          <cell r="D4477">
            <v>0</v>
          </cell>
          <cell r="E4477">
            <v>0</v>
          </cell>
          <cell r="F4477">
            <v>0</v>
          </cell>
          <cell r="G4477">
            <v>0</v>
          </cell>
          <cell r="H4477">
            <v>0</v>
          </cell>
          <cell r="I4477">
            <v>0</v>
          </cell>
          <cell r="J4477">
            <v>0</v>
          </cell>
        </row>
        <row r="4478">
          <cell r="A4478">
            <v>1815780250</v>
          </cell>
          <cell r="B4478" t="str">
            <v>שעות השאלה</v>
          </cell>
          <cell r="C4478">
            <v>0</v>
          </cell>
          <cell r="D4478">
            <v>0</v>
          </cell>
          <cell r="E4478">
            <v>0</v>
          </cell>
          <cell r="F4478">
            <v>0</v>
          </cell>
          <cell r="G4478">
            <v>0</v>
          </cell>
          <cell r="H4478">
            <v>0</v>
          </cell>
          <cell r="I4478">
            <v>0</v>
          </cell>
          <cell r="J4478">
            <v>0</v>
          </cell>
        </row>
        <row r="4479">
          <cell r="A4479">
            <v>1815780261</v>
          </cell>
          <cell r="B4479" t="str">
            <v>שעות השאלה_למשה"ח</v>
          </cell>
          <cell r="C4479">
            <v>0</v>
          </cell>
          <cell r="D4479">
            <v>0</v>
          </cell>
          <cell r="E4479">
            <v>0</v>
          </cell>
          <cell r="F4479">
            <v>0</v>
          </cell>
          <cell r="G4479">
            <v>0</v>
          </cell>
          <cell r="H4479">
            <v>0</v>
          </cell>
          <cell r="I4479">
            <v>0</v>
          </cell>
          <cell r="J4479">
            <v>0</v>
          </cell>
        </row>
        <row r="4480">
          <cell r="A4480">
            <v>1815780262</v>
          </cell>
          <cell r="B4480" t="str">
            <v>שעות שאילה - משה"ח</v>
          </cell>
          <cell r="C4480">
            <v>0</v>
          </cell>
          <cell r="D4480">
            <v>0</v>
          </cell>
          <cell r="E4480">
            <v>0</v>
          </cell>
          <cell r="F4480">
            <v>0</v>
          </cell>
          <cell r="G4480">
            <v>0</v>
          </cell>
          <cell r="H4480">
            <v>0</v>
          </cell>
          <cell r="I4480">
            <v>0</v>
          </cell>
          <cell r="J4480">
            <v>0</v>
          </cell>
        </row>
        <row r="4481">
          <cell r="A4481">
            <v>1815780263</v>
          </cell>
          <cell r="B4481" t="str">
            <v>עובדי חברת מוסדות</v>
          </cell>
          <cell r="C4481">
            <v>0</v>
          </cell>
          <cell r="D4481">
            <v>0</v>
          </cell>
          <cell r="E4481">
            <v>0</v>
          </cell>
          <cell r="F4481">
            <v>0</v>
          </cell>
          <cell r="G4481">
            <v>0</v>
          </cell>
          <cell r="H4481">
            <v>0</v>
          </cell>
          <cell r="I4481">
            <v>0</v>
          </cell>
          <cell r="J4481">
            <v>0</v>
          </cell>
        </row>
        <row r="4482">
          <cell r="A4482">
            <v>1815780420</v>
          </cell>
          <cell r="B4482" t="str">
            <v>כיבוי אש</v>
          </cell>
          <cell r="C4482">
            <v>0</v>
          </cell>
          <cell r="D4482">
            <v>0</v>
          </cell>
          <cell r="E4482">
            <v>0</v>
          </cell>
          <cell r="F4482">
            <v>0</v>
          </cell>
          <cell r="G4482">
            <v>0</v>
          </cell>
          <cell r="H4482">
            <v>0</v>
          </cell>
          <cell r="I4482">
            <v>0</v>
          </cell>
          <cell r="J4482">
            <v>0</v>
          </cell>
        </row>
        <row r="4483">
          <cell r="A4483">
            <v>1815780431</v>
          </cell>
          <cell r="B4483" t="str">
            <v>חשמל</v>
          </cell>
          <cell r="C4483">
            <v>0</v>
          </cell>
          <cell r="D4483">
            <v>0</v>
          </cell>
          <cell r="E4483">
            <v>0</v>
          </cell>
          <cell r="F4483">
            <v>0</v>
          </cell>
          <cell r="G4483">
            <v>0</v>
          </cell>
          <cell r="H4483">
            <v>0</v>
          </cell>
          <cell r="I4483">
            <v>0</v>
          </cell>
          <cell r="J4483">
            <v>0</v>
          </cell>
        </row>
        <row r="4484">
          <cell r="A4484">
            <v>1815780432</v>
          </cell>
          <cell r="B4484" t="str">
            <v>מים</v>
          </cell>
          <cell r="C4484">
            <v>0</v>
          </cell>
          <cell r="D4484">
            <v>0</v>
          </cell>
          <cell r="E4484">
            <v>0</v>
          </cell>
          <cell r="F4484">
            <v>0</v>
          </cell>
          <cell r="G4484">
            <v>0</v>
          </cell>
          <cell r="H4484">
            <v>0</v>
          </cell>
          <cell r="I4484">
            <v>0</v>
          </cell>
          <cell r="J4484">
            <v>0</v>
          </cell>
        </row>
        <row r="4485">
          <cell r="A4485">
            <v>1815780437</v>
          </cell>
          <cell r="B4485" t="str">
            <v>אחזקת אזעקה</v>
          </cell>
          <cell r="C4485">
            <v>0</v>
          </cell>
          <cell r="D4485">
            <v>0</v>
          </cell>
          <cell r="E4485">
            <v>0</v>
          </cell>
          <cell r="F4485">
            <v>0</v>
          </cell>
          <cell r="G4485">
            <v>0</v>
          </cell>
          <cell r="H4485">
            <v>0</v>
          </cell>
          <cell r="I4485">
            <v>0</v>
          </cell>
          <cell r="J4485">
            <v>0</v>
          </cell>
        </row>
        <row r="4486">
          <cell r="A4486">
            <v>1815780441</v>
          </cell>
          <cell r="B4486" t="str">
            <v>ביטוח</v>
          </cell>
          <cell r="C4486">
            <v>0</v>
          </cell>
          <cell r="D4486">
            <v>0</v>
          </cell>
          <cell r="E4486">
            <v>0</v>
          </cell>
          <cell r="F4486">
            <v>0</v>
          </cell>
          <cell r="G4486">
            <v>0</v>
          </cell>
          <cell r="H4486">
            <v>0</v>
          </cell>
          <cell r="I4486">
            <v>0</v>
          </cell>
          <cell r="J4486">
            <v>0</v>
          </cell>
        </row>
        <row r="4487">
          <cell r="A4487">
            <v>1815780450</v>
          </cell>
          <cell r="B4487" t="str">
            <v>ריהוט ואחזקתו</v>
          </cell>
          <cell r="C4487">
            <v>0</v>
          </cell>
          <cell r="D4487">
            <v>0</v>
          </cell>
          <cell r="E4487">
            <v>0</v>
          </cell>
          <cell r="F4487">
            <v>0</v>
          </cell>
          <cell r="G4487">
            <v>0</v>
          </cell>
          <cell r="H4487">
            <v>0</v>
          </cell>
          <cell r="I4487">
            <v>0</v>
          </cell>
          <cell r="J4487">
            <v>0</v>
          </cell>
        </row>
        <row r="4488">
          <cell r="A4488">
            <v>1815780471</v>
          </cell>
          <cell r="B4488" t="str">
            <v>מכשירי כתיבה</v>
          </cell>
          <cell r="C4488">
            <v>0</v>
          </cell>
          <cell r="D4488">
            <v>0</v>
          </cell>
          <cell r="E4488">
            <v>0</v>
          </cell>
          <cell r="F4488">
            <v>0</v>
          </cell>
          <cell r="G4488">
            <v>0</v>
          </cell>
          <cell r="H4488">
            <v>0</v>
          </cell>
          <cell r="I4488">
            <v>0</v>
          </cell>
          <cell r="J4488">
            <v>0</v>
          </cell>
        </row>
        <row r="4489">
          <cell r="A4489">
            <v>1815780511</v>
          </cell>
          <cell r="B4489" t="str">
            <v>אירוח וכיבוד</v>
          </cell>
          <cell r="C4489">
            <v>0</v>
          </cell>
          <cell r="D4489">
            <v>0</v>
          </cell>
          <cell r="E4489">
            <v>0</v>
          </cell>
          <cell r="F4489">
            <v>0</v>
          </cell>
          <cell r="G4489">
            <v>0</v>
          </cell>
          <cell r="H4489">
            <v>0</v>
          </cell>
          <cell r="I4489">
            <v>0</v>
          </cell>
          <cell r="J4489">
            <v>0</v>
          </cell>
        </row>
        <row r="4490">
          <cell r="A4490">
            <v>1815780512</v>
          </cell>
          <cell r="B4490" t="str">
            <v>נסיעות ואש"ל</v>
          </cell>
          <cell r="C4490">
            <v>0</v>
          </cell>
          <cell r="D4490">
            <v>0</v>
          </cell>
          <cell r="E4490">
            <v>0</v>
          </cell>
          <cell r="F4490">
            <v>0</v>
          </cell>
          <cell r="G4490">
            <v>0</v>
          </cell>
          <cell r="H4490">
            <v>0</v>
          </cell>
          <cell r="I4490">
            <v>0</v>
          </cell>
          <cell r="J4490">
            <v>0</v>
          </cell>
        </row>
        <row r="4491">
          <cell r="A4491">
            <v>1815780517</v>
          </cell>
          <cell r="B4491" t="str">
            <v>מסיבות מפקדים ושי</v>
          </cell>
          <cell r="C4491">
            <v>0</v>
          </cell>
          <cell r="D4491">
            <v>0</v>
          </cell>
          <cell r="E4491">
            <v>0</v>
          </cell>
          <cell r="F4491">
            <v>0</v>
          </cell>
          <cell r="G4491">
            <v>0</v>
          </cell>
          <cell r="H4491">
            <v>0</v>
          </cell>
          <cell r="I4491">
            <v>0</v>
          </cell>
          <cell r="J4491">
            <v>0</v>
          </cell>
        </row>
        <row r="4492">
          <cell r="A4492">
            <v>1815780522</v>
          </cell>
          <cell r="B4492" t="str">
            <v>ספריות</v>
          </cell>
          <cell r="C4492">
            <v>0</v>
          </cell>
          <cell r="D4492">
            <v>0</v>
          </cell>
          <cell r="E4492">
            <v>0</v>
          </cell>
          <cell r="F4492">
            <v>0</v>
          </cell>
          <cell r="G4492">
            <v>0</v>
          </cell>
          <cell r="H4492">
            <v>0</v>
          </cell>
          <cell r="I4492">
            <v>0</v>
          </cell>
          <cell r="J4492">
            <v>0</v>
          </cell>
        </row>
        <row r="4493">
          <cell r="A4493">
            <v>1815780530</v>
          </cell>
          <cell r="B4493" t="str">
            <v>אופניים לעובדים</v>
          </cell>
          <cell r="C4493">
            <v>0</v>
          </cell>
          <cell r="D4493">
            <v>0</v>
          </cell>
          <cell r="E4493">
            <v>0</v>
          </cell>
          <cell r="F4493">
            <v>0</v>
          </cell>
          <cell r="G4493">
            <v>0</v>
          </cell>
          <cell r="H4493">
            <v>0</v>
          </cell>
          <cell r="I4493">
            <v>0</v>
          </cell>
          <cell r="J4493">
            <v>0</v>
          </cell>
        </row>
        <row r="4494">
          <cell r="A4494">
            <v>1815780540</v>
          </cell>
          <cell r="B4494" t="str">
            <v>הוצאות טלפון</v>
          </cell>
          <cell r="C4494">
            <v>0</v>
          </cell>
          <cell r="D4494">
            <v>0</v>
          </cell>
          <cell r="E4494">
            <v>0</v>
          </cell>
          <cell r="F4494">
            <v>0</v>
          </cell>
          <cell r="G4494">
            <v>0</v>
          </cell>
          <cell r="H4494">
            <v>0</v>
          </cell>
          <cell r="I4494">
            <v>0</v>
          </cell>
          <cell r="J4494">
            <v>0</v>
          </cell>
        </row>
        <row r="4495">
          <cell r="A4495">
            <v>1815780583</v>
          </cell>
          <cell r="B4495" t="str">
            <v>שרות רפואי</v>
          </cell>
          <cell r="C4495">
            <v>0</v>
          </cell>
          <cell r="D4495">
            <v>0</v>
          </cell>
          <cell r="E4495">
            <v>0</v>
          </cell>
          <cell r="F4495">
            <v>0</v>
          </cell>
          <cell r="G4495">
            <v>0</v>
          </cell>
          <cell r="H4495">
            <v>0</v>
          </cell>
          <cell r="I4495">
            <v>0</v>
          </cell>
          <cell r="J4495">
            <v>0</v>
          </cell>
        </row>
        <row r="4496">
          <cell r="A4496">
            <v>1815780585</v>
          </cell>
          <cell r="B4496" t="str">
            <v>שרות אחות</v>
          </cell>
          <cell r="C4496">
            <v>0</v>
          </cell>
          <cell r="D4496">
            <v>0</v>
          </cell>
          <cell r="E4496">
            <v>0</v>
          </cell>
          <cell r="F4496">
            <v>0</v>
          </cell>
          <cell r="G4496">
            <v>0</v>
          </cell>
          <cell r="H4496">
            <v>0</v>
          </cell>
          <cell r="I4496">
            <v>0</v>
          </cell>
          <cell r="J4496">
            <v>0</v>
          </cell>
        </row>
        <row r="4497">
          <cell r="A4497">
            <v>1815780721</v>
          </cell>
          <cell r="B4497" t="str">
            <v>חמרים-תחזוקת מבנים</v>
          </cell>
          <cell r="C4497">
            <v>0</v>
          </cell>
          <cell r="D4497">
            <v>0</v>
          </cell>
          <cell r="E4497">
            <v>0</v>
          </cell>
          <cell r="F4497">
            <v>0</v>
          </cell>
          <cell r="G4497">
            <v>0</v>
          </cell>
          <cell r="H4497">
            <v>0</v>
          </cell>
          <cell r="I4497">
            <v>0</v>
          </cell>
          <cell r="J4497">
            <v>0</v>
          </cell>
        </row>
        <row r="4498">
          <cell r="A4498">
            <v>1815780722</v>
          </cell>
          <cell r="B4498" t="str">
            <v>חמרים-לתחזוקה עצמית</v>
          </cell>
          <cell r="C4498">
            <v>0</v>
          </cell>
          <cell r="D4498">
            <v>0</v>
          </cell>
          <cell r="E4498">
            <v>0</v>
          </cell>
          <cell r="F4498">
            <v>0</v>
          </cell>
          <cell r="G4498">
            <v>0</v>
          </cell>
          <cell r="H4498">
            <v>0</v>
          </cell>
          <cell r="I4498">
            <v>0</v>
          </cell>
          <cell r="J4498">
            <v>0</v>
          </cell>
        </row>
        <row r="4499">
          <cell r="A4499">
            <v>1815780742</v>
          </cell>
          <cell r="B4499" t="str">
            <v>כלים וציוד</v>
          </cell>
          <cell r="C4499">
            <v>0</v>
          </cell>
          <cell r="D4499">
            <v>0</v>
          </cell>
          <cell r="E4499">
            <v>0</v>
          </cell>
          <cell r="F4499">
            <v>0</v>
          </cell>
          <cell r="G4499">
            <v>0</v>
          </cell>
          <cell r="H4499">
            <v>0</v>
          </cell>
          <cell r="I4499">
            <v>0</v>
          </cell>
          <cell r="J4499">
            <v>0</v>
          </cell>
        </row>
        <row r="4500">
          <cell r="A4500">
            <v>1815780751</v>
          </cell>
          <cell r="B4500" t="str">
            <v>עבודות קבלניות</v>
          </cell>
          <cell r="C4500">
            <v>0</v>
          </cell>
          <cell r="D4500">
            <v>0</v>
          </cell>
          <cell r="E4500">
            <v>0</v>
          </cell>
          <cell r="F4500">
            <v>0</v>
          </cell>
          <cell r="G4500">
            <v>0</v>
          </cell>
          <cell r="H4500">
            <v>0</v>
          </cell>
          <cell r="I4500">
            <v>0</v>
          </cell>
          <cell r="J4500">
            <v>0</v>
          </cell>
        </row>
        <row r="4501">
          <cell r="A4501">
            <v>1815780752</v>
          </cell>
          <cell r="B4501" t="str">
            <v>נקיון בקבלנות</v>
          </cell>
          <cell r="C4501">
            <v>0</v>
          </cell>
          <cell r="D4501">
            <v>0</v>
          </cell>
          <cell r="E4501">
            <v>0</v>
          </cell>
          <cell r="F4501">
            <v>0</v>
          </cell>
          <cell r="G4501">
            <v>0</v>
          </cell>
          <cell r="H4501">
            <v>0</v>
          </cell>
          <cell r="I4501">
            <v>0</v>
          </cell>
          <cell r="J4501">
            <v>0</v>
          </cell>
        </row>
        <row r="4502">
          <cell r="A4502">
            <v>1815780759</v>
          </cell>
          <cell r="B4502" t="str">
            <v>שרותי סייעות</v>
          </cell>
          <cell r="C4502">
            <v>0</v>
          </cell>
          <cell r="D4502">
            <v>0</v>
          </cell>
          <cell r="E4502">
            <v>0</v>
          </cell>
          <cell r="F4502">
            <v>0</v>
          </cell>
          <cell r="G4502">
            <v>0</v>
          </cell>
          <cell r="H4502">
            <v>0</v>
          </cell>
          <cell r="I4502">
            <v>0</v>
          </cell>
          <cell r="J4502">
            <v>0</v>
          </cell>
        </row>
        <row r="4503">
          <cell r="A4503">
            <v>1815780762</v>
          </cell>
          <cell r="B4503" t="str">
            <v>שאילת מורים</v>
          </cell>
          <cell r="C4503">
            <v>0</v>
          </cell>
          <cell r="D4503">
            <v>0</v>
          </cell>
          <cell r="E4503">
            <v>0</v>
          </cell>
          <cell r="F4503">
            <v>0</v>
          </cell>
          <cell r="G4503">
            <v>0</v>
          </cell>
          <cell r="H4503">
            <v>0</v>
          </cell>
          <cell r="I4503">
            <v>0</v>
          </cell>
          <cell r="J4503">
            <v>0</v>
          </cell>
        </row>
        <row r="4504">
          <cell r="A4504">
            <v>1815780763</v>
          </cell>
          <cell r="B4504" t="str">
            <v>עובדי חברת מוסדות</v>
          </cell>
          <cell r="C4504">
            <v>0</v>
          </cell>
          <cell r="D4504">
            <v>0</v>
          </cell>
          <cell r="E4504">
            <v>0</v>
          </cell>
          <cell r="F4504">
            <v>0</v>
          </cell>
          <cell r="G4504">
            <v>0</v>
          </cell>
          <cell r="H4504">
            <v>0</v>
          </cell>
          <cell r="I4504">
            <v>0</v>
          </cell>
          <cell r="J4504">
            <v>0</v>
          </cell>
        </row>
        <row r="4505">
          <cell r="A4505">
            <v>1815780780</v>
          </cell>
          <cell r="B4505" t="str">
            <v>חינוך חברתי</v>
          </cell>
          <cell r="C4505">
            <v>0</v>
          </cell>
          <cell r="D4505">
            <v>0</v>
          </cell>
          <cell r="E4505">
            <v>0</v>
          </cell>
          <cell r="F4505">
            <v>0</v>
          </cell>
          <cell r="G4505">
            <v>0</v>
          </cell>
          <cell r="H4505">
            <v>0</v>
          </cell>
          <cell r="I4505">
            <v>0</v>
          </cell>
          <cell r="J4505">
            <v>0</v>
          </cell>
        </row>
        <row r="4506">
          <cell r="A4506">
            <v>1815780781</v>
          </cell>
          <cell r="B4506" t="str">
            <v>ישיבת בני עקיבא</v>
          </cell>
          <cell r="C4506">
            <v>500000</v>
          </cell>
          <cell r="D4506">
            <v>635310.56000000006</v>
          </cell>
          <cell r="E4506">
            <v>0</v>
          </cell>
          <cell r="F4506">
            <v>635310.56000000006</v>
          </cell>
          <cell r="G4506">
            <v>-135310.56</v>
          </cell>
          <cell r="H4506">
            <v>127.06</v>
          </cell>
          <cell r="I4506">
            <v>500000</v>
          </cell>
          <cell r="J4506">
            <v>635310.56000000006</v>
          </cell>
        </row>
        <row r="4507">
          <cell r="A4507">
            <v>1815780783</v>
          </cell>
          <cell r="B4507" t="str">
            <v>תיגבור יהדות-מהכנ'</v>
          </cell>
          <cell r="C4507">
            <v>0</v>
          </cell>
          <cell r="D4507">
            <v>0</v>
          </cell>
          <cell r="E4507">
            <v>0</v>
          </cell>
          <cell r="F4507">
            <v>0</v>
          </cell>
          <cell r="G4507">
            <v>0</v>
          </cell>
          <cell r="H4507">
            <v>0</v>
          </cell>
          <cell r="I4507">
            <v>0</v>
          </cell>
          <cell r="J4507">
            <v>0</v>
          </cell>
        </row>
        <row r="4508">
          <cell r="A4508">
            <v>1815780784</v>
          </cell>
          <cell r="B4508" t="str">
            <v>חוגים תורניים</v>
          </cell>
          <cell r="C4508">
            <v>0</v>
          </cell>
          <cell r="D4508">
            <v>0</v>
          </cell>
          <cell r="E4508">
            <v>0</v>
          </cell>
          <cell r="F4508">
            <v>0</v>
          </cell>
          <cell r="G4508">
            <v>0</v>
          </cell>
          <cell r="H4508">
            <v>0</v>
          </cell>
          <cell r="I4508">
            <v>0</v>
          </cell>
          <cell r="J4508">
            <v>0</v>
          </cell>
        </row>
        <row r="4509">
          <cell r="A4509">
            <v>1815780810</v>
          </cell>
          <cell r="B4509" t="str">
            <v>הקצבה לניהול עצמי</v>
          </cell>
          <cell r="C4509">
            <v>0</v>
          </cell>
          <cell r="D4509">
            <v>0</v>
          </cell>
          <cell r="E4509">
            <v>0</v>
          </cell>
          <cell r="F4509">
            <v>0</v>
          </cell>
          <cell r="G4509">
            <v>0</v>
          </cell>
          <cell r="H4509">
            <v>0</v>
          </cell>
          <cell r="I4509">
            <v>0</v>
          </cell>
          <cell r="J4509">
            <v>0</v>
          </cell>
        </row>
        <row r="4510">
          <cell r="A4510">
            <v>1815780811</v>
          </cell>
          <cell r="B4510" t="str">
            <v>הפעלת ביה"ס</v>
          </cell>
          <cell r="C4510">
            <v>0</v>
          </cell>
          <cell r="D4510">
            <v>0</v>
          </cell>
          <cell r="E4510">
            <v>0</v>
          </cell>
          <cell r="F4510">
            <v>0</v>
          </cell>
          <cell r="G4510">
            <v>0</v>
          </cell>
          <cell r="H4510">
            <v>0</v>
          </cell>
          <cell r="I4510">
            <v>0</v>
          </cell>
          <cell r="J4510">
            <v>0</v>
          </cell>
        </row>
        <row r="4511">
          <cell r="A4511">
            <v>1815780816</v>
          </cell>
          <cell r="B4511" t="str">
            <v>חט"ב-הכלה והשתלבות</v>
          </cell>
          <cell r="C4511">
            <v>0</v>
          </cell>
          <cell r="D4511">
            <v>0</v>
          </cell>
          <cell r="E4511">
            <v>0</v>
          </cell>
          <cell r="F4511">
            <v>0</v>
          </cell>
          <cell r="G4511">
            <v>0</v>
          </cell>
          <cell r="H4511">
            <v>0</v>
          </cell>
          <cell r="I4511">
            <v>0</v>
          </cell>
          <cell r="J4511">
            <v>0</v>
          </cell>
        </row>
        <row r="4512">
          <cell r="A4512">
            <v>1815780838</v>
          </cell>
          <cell r="B4512" t="str">
            <v>העברה כנגד הכנסות מש' החינוך</v>
          </cell>
          <cell r="C4512">
            <v>0</v>
          </cell>
          <cell r="D4512">
            <v>0</v>
          </cell>
          <cell r="E4512">
            <v>0</v>
          </cell>
          <cell r="F4512">
            <v>0</v>
          </cell>
          <cell r="G4512">
            <v>0</v>
          </cell>
          <cell r="H4512">
            <v>0</v>
          </cell>
          <cell r="I4512">
            <v>0</v>
          </cell>
          <cell r="J4512">
            <v>0</v>
          </cell>
        </row>
        <row r="4513">
          <cell r="A4513">
            <v>1815780953</v>
          </cell>
          <cell r="B4513" t="str">
            <v>מערכת גפ"ן</v>
          </cell>
          <cell r="C4513">
            <v>0</v>
          </cell>
          <cell r="D4513">
            <v>0</v>
          </cell>
          <cell r="E4513">
            <v>0</v>
          </cell>
          <cell r="F4513">
            <v>0</v>
          </cell>
          <cell r="G4513">
            <v>0</v>
          </cell>
          <cell r="H4513">
            <v>0</v>
          </cell>
          <cell r="I4513">
            <v>0</v>
          </cell>
          <cell r="J4513">
            <v>0</v>
          </cell>
        </row>
        <row r="4514">
          <cell r="A4514">
            <v>1815781816</v>
          </cell>
          <cell r="B4514" t="str">
            <v>חט"ב-הכלה והשתלבות</v>
          </cell>
          <cell r="C4514">
            <v>0</v>
          </cell>
          <cell r="D4514">
            <v>0</v>
          </cell>
          <cell r="E4514">
            <v>0</v>
          </cell>
          <cell r="F4514">
            <v>0</v>
          </cell>
          <cell r="G4514">
            <v>0</v>
          </cell>
          <cell r="H4514">
            <v>0</v>
          </cell>
          <cell r="I4514">
            <v>0</v>
          </cell>
          <cell r="J4514">
            <v>0</v>
          </cell>
        </row>
        <row r="4515">
          <cell r="A4515">
            <v>1815782816</v>
          </cell>
          <cell r="B4515" t="str">
            <v>חט"ב-הכלה והשתלבות</v>
          </cell>
          <cell r="C4515">
            <v>0</v>
          </cell>
          <cell r="D4515">
            <v>0</v>
          </cell>
          <cell r="E4515">
            <v>0</v>
          </cell>
          <cell r="F4515">
            <v>0</v>
          </cell>
          <cell r="G4515">
            <v>0</v>
          </cell>
          <cell r="H4515">
            <v>0</v>
          </cell>
          <cell r="I4515">
            <v>0</v>
          </cell>
          <cell r="J4515">
            <v>0</v>
          </cell>
        </row>
        <row r="4516">
          <cell r="A4516">
            <v>1815790110</v>
          </cell>
          <cell r="B4516" t="str">
            <v>השכר הקובע-תקציבית</v>
          </cell>
          <cell r="C4516">
            <v>0</v>
          </cell>
          <cell r="D4516">
            <v>0</v>
          </cell>
          <cell r="E4516">
            <v>0</v>
          </cell>
          <cell r="F4516">
            <v>0</v>
          </cell>
          <cell r="G4516">
            <v>0</v>
          </cell>
          <cell r="H4516">
            <v>0</v>
          </cell>
          <cell r="I4516">
            <v>0</v>
          </cell>
          <cell r="J4516">
            <v>0</v>
          </cell>
        </row>
        <row r="4517">
          <cell r="A4517">
            <v>1815790118</v>
          </cell>
          <cell r="B4517" t="str">
            <v>שכר עובדי הוראה</v>
          </cell>
          <cell r="C4517">
            <v>0</v>
          </cell>
          <cell r="D4517">
            <v>0</v>
          </cell>
          <cell r="E4517">
            <v>0</v>
          </cell>
          <cell r="F4517">
            <v>0</v>
          </cell>
          <cell r="G4517">
            <v>0</v>
          </cell>
          <cell r="H4517">
            <v>0</v>
          </cell>
          <cell r="I4517">
            <v>0</v>
          </cell>
          <cell r="J4517">
            <v>0</v>
          </cell>
        </row>
        <row r="4518">
          <cell r="A4518">
            <v>1815790119</v>
          </cell>
          <cell r="B4518" t="str">
            <v>השכר הקובע-צוברת</v>
          </cell>
          <cell r="C4518">
            <v>161690</v>
          </cell>
          <cell r="D4518">
            <v>67354.75</v>
          </cell>
          <cell r="E4518">
            <v>0</v>
          </cell>
          <cell r="F4518">
            <v>67354.75</v>
          </cell>
          <cell r="G4518">
            <v>94335.25</v>
          </cell>
          <cell r="H4518">
            <v>41.65</v>
          </cell>
          <cell r="I4518">
            <v>170200</v>
          </cell>
          <cell r="J4518">
            <v>67354.75</v>
          </cell>
        </row>
        <row r="4519">
          <cell r="A4519">
            <v>1815790122</v>
          </cell>
          <cell r="B4519" t="str">
            <v>ביגוד</v>
          </cell>
          <cell r="C4519">
            <v>1900</v>
          </cell>
          <cell r="D4519">
            <v>962</v>
          </cell>
          <cell r="E4519">
            <v>0</v>
          </cell>
          <cell r="F4519">
            <v>962</v>
          </cell>
          <cell r="G4519">
            <v>938</v>
          </cell>
          <cell r="H4519">
            <v>50.63</v>
          </cell>
          <cell r="I4519">
            <v>2000</v>
          </cell>
          <cell r="J4519">
            <v>962</v>
          </cell>
        </row>
        <row r="4520">
          <cell r="A4520">
            <v>1815790126</v>
          </cell>
          <cell r="B4520" t="str">
            <v>דמי הבראה</v>
          </cell>
          <cell r="C4520">
            <v>2090</v>
          </cell>
          <cell r="D4520">
            <v>0</v>
          </cell>
          <cell r="E4520">
            <v>0</v>
          </cell>
          <cell r="F4520">
            <v>0</v>
          </cell>
          <cell r="G4520">
            <v>2090</v>
          </cell>
          <cell r="H4520">
            <v>0</v>
          </cell>
          <cell r="I4520">
            <v>2200</v>
          </cell>
          <cell r="J4520">
            <v>0</v>
          </cell>
        </row>
        <row r="4521">
          <cell r="A4521">
            <v>1815790130</v>
          </cell>
          <cell r="B4521" t="str">
            <v>שעות נוספות</v>
          </cell>
          <cell r="C4521">
            <v>0</v>
          </cell>
          <cell r="D4521">
            <v>0</v>
          </cell>
          <cell r="E4521">
            <v>0</v>
          </cell>
          <cell r="F4521">
            <v>0</v>
          </cell>
          <cell r="G4521">
            <v>0</v>
          </cell>
          <cell r="H4521">
            <v>0</v>
          </cell>
          <cell r="I4521">
            <v>0</v>
          </cell>
          <cell r="J4521">
            <v>0</v>
          </cell>
        </row>
        <row r="4522">
          <cell r="A4522">
            <v>1815790140</v>
          </cell>
          <cell r="B4522" t="str">
            <v>השתתפות באחזקת רכב</v>
          </cell>
          <cell r="C4522">
            <v>0</v>
          </cell>
          <cell r="D4522">
            <v>0</v>
          </cell>
          <cell r="E4522">
            <v>0</v>
          </cell>
          <cell r="F4522">
            <v>0</v>
          </cell>
          <cell r="G4522">
            <v>0</v>
          </cell>
          <cell r="H4522">
            <v>0</v>
          </cell>
          <cell r="I4522">
            <v>0</v>
          </cell>
          <cell r="J4522">
            <v>0</v>
          </cell>
        </row>
        <row r="4523">
          <cell r="A4523">
            <v>1815790250</v>
          </cell>
          <cell r="B4523" t="str">
            <v>שעות השאלה</v>
          </cell>
          <cell r="C4523">
            <v>0</v>
          </cell>
          <cell r="D4523">
            <v>0</v>
          </cell>
          <cell r="E4523">
            <v>0</v>
          </cell>
          <cell r="F4523">
            <v>0</v>
          </cell>
          <cell r="G4523">
            <v>0</v>
          </cell>
          <cell r="H4523">
            <v>0</v>
          </cell>
          <cell r="I4523">
            <v>0</v>
          </cell>
          <cell r="J4523">
            <v>0</v>
          </cell>
        </row>
        <row r="4524">
          <cell r="A4524">
            <v>1815790261</v>
          </cell>
          <cell r="B4524" t="str">
            <v>שעות השאלה_למשה"ח</v>
          </cell>
          <cell r="C4524">
            <v>0</v>
          </cell>
          <cell r="D4524">
            <v>0</v>
          </cell>
          <cell r="E4524">
            <v>0</v>
          </cell>
          <cell r="F4524">
            <v>0</v>
          </cell>
          <cell r="G4524">
            <v>0</v>
          </cell>
          <cell r="H4524">
            <v>0</v>
          </cell>
          <cell r="I4524">
            <v>0</v>
          </cell>
          <cell r="J4524">
            <v>0</v>
          </cell>
        </row>
        <row r="4525">
          <cell r="A4525">
            <v>1815790262</v>
          </cell>
          <cell r="B4525" t="str">
            <v>שעות שאילה - משה"ח</v>
          </cell>
          <cell r="C4525">
            <v>0</v>
          </cell>
          <cell r="D4525">
            <v>0</v>
          </cell>
          <cell r="E4525">
            <v>0</v>
          </cell>
          <cell r="F4525">
            <v>0</v>
          </cell>
          <cell r="G4525">
            <v>0</v>
          </cell>
          <cell r="H4525">
            <v>0</v>
          </cell>
          <cell r="I4525">
            <v>0</v>
          </cell>
          <cell r="J4525">
            <v>0</v>
          </cell>
        </row>
        <row r="4526">
          <cell r="A4526">
            <v>1815790263</v>
          </cell>
          <cell r="B4526" t="str">
            <v>עובדי חברת מוסדות</v>
          </cell>
          <cell r="C4526">
            <v>0</v>
          </cell>
          <cell r="D4526">
            <v>0</v>
          </cell>
          <cell r="E4526">
            <v>0</v>
          </cell>
          <cell r="F4526">
            <v>0</v>
          </cell>
          <cell r="G4526">
            <v>0</v>
          </cell>
          <cell r="H4526">
            <v>0</v>
          </cell>
          <cell r="I4526">
            <v>0</v>
          </cell>
          <cell r="J4526">
            <v>0</v>
          </cell>
        </row>
        <row r="4527">
          <cell r="A4527">
            <v>1815790391</v>
          </cell>
          <cell r="B4527" t="str">
            <v>הפרשה לפנסיה</v>
          </cell>
          <cell r="C4527">
            <v>0</v>
          </cell>
          <cell r="D4527">
            <v>0</v>
          </cell>
          <cell r="E4527">
            <v>0</v>
          </cell>
          <cell r="F4527">
            <v>0</v>
          </cell>
          <cell r="G4527">
            <v>0</v>
          </cell>
          <cell r="H4527">
            <v>0</v>
          </cell>
          <cell r="I4527">
            <v>0</v>
          </cell>
          <cell r="J4527">
            <v>0</v>
          </cell>
        </row>
        <row r="4528">
          <cell r="A4528">
            <v>1815790431</v>
          </cell>
          <cell r="B4528" t="str">
            <v>חשמל</v>
          </cell>
          <cell r="C4528">
            <v>0</v>
          </cell>
          <cell r="D4528">
            <v>0</v>
          </cell>
          <cell r="E4528">
            <v>0</v>
          </cell>
          <cell r="F4528">
            <v>0</v>
          </cell>
          <cell r="G4528">
            <v>0</v>
          </cell>
          <cell r="H4528">
            <v>0</v>
          </cell>
          <cell r="I4528">
            <v>0</v>
          </cell>
          <cell r="J4528">
            <v>0</v>
          </cell>
        </row>
        <row r="4529">
          <cell r="A4529">
            <v>1815790437</v>
          </cell>
          <cell r="B4529" t="str">
            <v>אחזקת הזעקה</v>
          </cell>
          <cell r="C4529">
            <v>0</v>
          </cell>
          <cell r="D4529">
            <v>0</v>
          </cell>
          <cell r="E4529">
            <v>0</v>
          </cell>
          <cell r="F4529">
            <v>0</v>
          </cell>
          <cell r="G4529">
            <v>0</v>
          </cell>
          <cell r="H4529">
            <v>0</v>
          </cell>
          <cell r="I4529">
            <v>0</v>
          </cell>
          <cell r="J4529">
            <v>0</v>
          </cell>
        </row>
        <row r="4530">
          <cell r="A4530">
            <v>1815790441</v>
          </cell>
          <cell r="B4530" t="str">
            <v>ביטוח</v>
          </cell>
          <cell r="C4530">
            <v>0</v>
          </cell>
          <cell r="D4530">
            <v>0</v>
          </cell>
          <cell r="E4530">
            <v>0</v>
          </cell>
          <cell r="F4530">
            <v>0</v>
          </cell>
          <cell r="G4530">
            <v>0</v>
          </cell>
          <cell r="H4530">
            <v>0</v>
          </cell>
          <cell r="I4530">
            <v>0</v>
          </cell>
          <cell r="J4530">
            <v>0</v>
          </cell>
        </row>
        <row r="4531">
          <cell r="A4531">
            <v>1815790583</v>
          </cell>
          <cell r="B4531" t="str">
            <v>שרות רפואי</v>
          </cell>
          <cell r="C4531">
            <v>0</v>
          </cell>
          <cell r="D4531">
            <v>0</v>
          </cell>
          <cell r="E4531">
            <v>0</v>
          </cell>
          <cell r="F4531">
            <v>0</v>
          </cell>
          <cell r="G4531">
            <v>0</v>
          </cell>
          <cell r="H4531">
            <v>0</v>
          </cell>
          <cell r="I4531">
            <v>0</v>
          </cell>
          <cell r="J4531">
            <v>0</v>
          </cell>
        </row>
        <row r="4532">
          <cell r="A4532">
            <v>1815790585</v>
          </cell>
          <cell r="B4532" t="str">
            <v>שרות אחות</v>
          </cell>
          <cell r="C4532">
            <v>0</v>
          </cell>
          <cell r="D4532">
            <v>0</v>
          </cell>
          <cell r="E4532">
            <v>0</v>
          </cell>
          <cell r="F4532">
            <v>0</v>
          </cell>
          <cell r="G4532">
            <v>0</v>
          </cell>
          <cell r="H4532">
            <v>0</v>
          </cell>
          <cell r="I4532">
            <v>0</v>
          </cell>
          <cell r="J4532">
            <v>0</v>
          </cell>
        </row>
        <row r="4533">
          <cell r="A4533">
            <v>1815790721</v>
          </cell>
          <cell r="B4533" t="str">
            <v>חמרים-תחזוקת מבנים</v>
          </cell>
          <cell r="C4533">
            <v>0</v>
          </cell>
          <cell r="D4533">
            <v>0</v>
          </cell>
          <cell r="E4533">
            <v>0</v>
          </cell>
          <cell r="F4533">
            <v>0</v>
          </cell>
          <cell r="G4533">
            <v>0</v>
          </cell>
          <cell r="H4533">
            <v>0</v>
          </cell>
          <cell r="I4533">
            <v>0</v>
          </cell>
          <cell r="J4533">
            <v>0</v>
          </cell>
        </row>
        <row r="4534">
          <cell r="A4534">
            <v>1815790751</v>
          </cell>
          <cell r="B4534" t="str">
            <v>עבודות קבלניות</v>
          </cell>
          <cell r="C4534">
            <v>0</v>
          </cell>
          <cell r="D4534">
            <v>0</v>
          </cell>
          <cell r="E4534">
            <v>0</v>
          </cell>
          <cell r="F4534">
            <v>0</v>
          </cell>
          <cell r="G4534">
            <v>0</v>
          </cell>
          <cell r="H4534">
            <v>0</v>
          </cell>
          <cell r="I4534">
            <v>0</v>
          </cell>
          <cell r="J4534">
            <v>0</v>
          </cell>
        </row>
        <row r="4535">
          <cell r="A4535">
            <v>1815790752</v>
          </cell>
          <cell r="B4535" t="str">
            <v>נקיון בקבלנות</v>
          </cell>
          <cell r="C4535">
            <v>0</v>
          </cell>
          <cell r="D4535">
            <v>0</v>
          </cell>
          <cell r="E4535">
            <v>0</v>
          </cell>
          <cell r="F4535">
            <v>0</v>
          </cell>
          <cell r="G4535">
            <v>0</v>
          </cell>
          <cell r="H4535">
            <v>0</v>
          </cell>
          <cell r="I4535">
            <v>0</v>
          </cell>
          <cell r="J4535">
            <v>0</v>
          </cell>
        </row>
        <row r="4536">
          <cell r="A4536">
            <v>1815790759</v>
          </cell>
          <cell r="B4536" t="str">
            <v>מ"מ תיכוניים</v>
          </cell>
          <cell r="C4536">
            <v>0</v>
          </cell>
          <cell r="D4536">
            <v>0</v>
          </cell>
          <cell r="E4536">
            <v>0</v>
          </cell>
          <cell r="F4536">
            <v>0</v>
          </cell>
          <cell r="G4536">
            <v>0</v>
          </cell>
          <cell r="H4536">
            <v>0</v>
          </cell>
          <cell r="I4536">
            <v>0</v>
          </cell>
          <cell r="J4536">
            <v>0</v>
          </cell>
        </row>
        <row r="4537">
          <cell r="A4537">
            <v>1815790762</v>
          </cell>
          <cell r="B4537" t="str">
            <v>שאילת מורים</v>
          </cell>
          <cell r="C4537">
            <v>0</v>
          </cell>
          <cell r="D4537">
            <v>0</v>
          </cell>
          <cell r="E4537">
            <v>0</v>
          </cell>
          <cell r="F4537">
            <v>0</v>
          </cell>
          <cell r="G4537">
            <v>0</v>
          </cell>
          <cell r="H4537">
            <v>0</v>
          </cell>
          <cell r="I4537">
            <v>0</v>
          </cell>
          <cell r="J4537">
            <v>0</v>
          </cell>
        </row>
        <row r="4538">
          <cell r="A4538">
            <v>1815790763</v>
          </cell>
          <cell r="B4538" t="str">
            <v>עובדי חברת מוסדות</v>
          </cell>
          <cell r="C4538">
            <v>0</v>
          </cell>
          <cell r="D4538">
            <v>0</v>
          </cell>
          <cell r="E4538">
            <v>0</v>
          </cell>
          <cell r="F4538">
            <v>0</v>
          </cell>
          <cell r="G4538">
            <v>0</v>
          </cell>
          <cell r="H4538">
            <v>0</v>
          </cell>
          <cell r="I4538">
            <v>0</v>
          </cell>
          <cell r="J4538">
            <v>0</v>
          </cell>
        </row>
        <row r="4539">
          <cell r="A4539">
            <v>1815790780</v>
          </cell>
          <cell r="B4539" t="str">
            <v>חינוך חברתי</v>
          </cell>
          <cell r="C4539">
            <v>0</v>
          </cell>
          <cell r="D4539">
            <v>0</v>
          </cell>
          <cell r="E4539">
            <v>0</v>
          </cell>
          <cell r="F4539">
            <v>0</v>
          </cell>
          <cell r="G4539">
            <v>0</v>
          </cell>
          <cell r="H4539">
            <v>0</v>
          </cell>
          <cell r="I4539">
            <v>0</v>
          </cell>
          <cell r="J4539">
            <v>0</v>
          </cell>
        </row>
        <row r="4540">
          <cell r="A4540">
            <v>1815790810</v>
          </cell>
          <cell r="B4540" t="str">
            <v>השתת' בהפעלת ביה"ס</v>
          </cell>
          <cell r="C4540">
            <v>0</v>
          </cell>
          <cell r="D4540">
            <v>0</v>
          </cell>
          <cell r="E4540">
            <v>0</v>
          </cell>
          <cell r="F4540">
            <v>0</v>
          </cell>
          <cell r="G4540">
            <v>0</v>
          </cell>
          <cell r="H4540">
            <v>0</v>
          </cell>
          <cell r="I4540">
            <v>0</v>
          </cell>
          <cell r="J4540">
            <v>0</v>
          </cell>
        </row>
        <row r="4541">
          <cell r="A4541">
            <v>1815790811</v>
          </cell>
          <cell r="B4541" t="str">
            <v>הפעלת ביה"ס</v>
          </cell>
          <cell r="C4541">
            <v>0</v>
          </cell>
          <cell r="D4541">
            <v>0</v>
          </cell>
          <cell r="E4541">
            <v>0</v>
          </cell>
          <cell r="F4541">
            <v>0</v>
          </cell>
          <cell r="G4541">
            <v>0</v>
          </cell>
          <cell r="H4541">
            <v>0</v>
          </cell>
          <cell r="I4541">
            <v>0</v>
          </cell>
          <cell r="J4541">
            <v>0</v>
          </cell>
        </row>
        <row r="4542">
          <cell r="A4542">
            <v>1815790812</v>
          </cell>
          <cell r="B4542" t="str">
            <v>מסיבות כיתתיות</v>
          </cell>
          <cell r="C4542">
            <v>0</v>
          </cell>
          <cell r="D4542">
            <v>0</v>
          </cell>
          <cell r="E4542">
            <v>0</v>
          </cell>
          <cell r="F4542">
            <v>0</v>
          </cell>
          <cell r="G4542">
            <v>0</v>
          </cell>
          <cell r="H4542">
            <v>0</v>
          </cell>
          <cell r="I4542">
            <v>0</v>
          </cell>
          <cell r="J4542">
            <v>0</v>
          </cell>
        </row>
        <row r="4543">
          <cell r="A4543">
            <v>1815790838</v>
          </cell>
          <cell r="B4543" t="str">
            <v>העברה כנגד הכנסות מש' החינוך</v>
          </cell>
          <cell r="C4543">
            <v>0</v>
          </cell>
          <cell r="D4543">
            <v>0</v>
          </cell>
          <cell r="E4543">
            <v>0</v>
          </cell>
          <cell r="F4543">
            <v>0</v>
          </cell>
          <cell r="G4543">
            <v>0</v>
          </cell>
          <cell r="H4543">
            <v>0</v>
          </cell>
          <cell r="I4543">
            <v>0</v>
          </cell>
          <cell r="J4543">
            <v>0</v>
          </cell>
        </row>
        <row r="4544">
          <cell r="A4544">
            <v>1815790961</v>
          </cell>
          <cell r="B4544" t="str">
            <v>רז' פעולות ורכישות</v>
          </cell>
          <cell r="C4544">
            <v>0</v>
          </cell>
          <cell r="D4544">
            <v>0</v>
          </cell>
          <cell r="E4544">
            <v>0</v>
          </cell>
          <cell r="F4544">
            <v>0</v>
          </cell>
          <cell r="G4544">
            <v>0</v>
          </cell>
          <cell r="H4544">
            <v>0</v>
          </cell>
          <cell r="I4544">
            <v>0</v>
          </cell>
          <cell r="J4544">
            <v>0</v>
          </cell>
        </row>
        <row r="4545">
          <cell r="A4545">
            <v>1815800000</v>
          </cell>
          <cell r="B4545" t="str">
            <v>בי"ס תיכון עתידים</v>
          </cell>
          <cell r="C4545">
            <v>0</v>
          </cell>
          <cell r="D4545">
            <v>0</v>
          </cell>
          <cell r="E4545">
            <v>0</v>
          </cell>
          <cell r="F4545">
            <v>0</v>
          </cell>
          <cell r="G4545">
            <v>0</v>
          </cell>
          <cell r="H4545">
            <v>0</v>
          </cell>
          <cell r="I4545">
            <v>0</v>
          </cell>
          <cell r="J4545">
            <v>0</v>
          </cell>
        </row>
        <row r="4546">
          <cell r="A4546">
            <v>1815800110</v>
          </cell>
          <cell r="B4546" t="str">
            <v>השכר הקובע-תקציבית</v>
          </cell>
          <cell r="C4546">
            <v>114950</v>
          </cell>
          <cell r="D4546">
            <v>163782.75</v>
          </cell>
          <cell r="E4546">
            <v>0</v>
          </cell>
          <cell r="F4546">
            <v>163782.75</v>
          </cell>
          <cell r="G4546">
            <v>-48832.75</v>
          </cell>
          <cell r="H4546">
            <v>142.47999999999999</v>
          </cell>
          <cell r="I4546">
            <v>121000</v>
          </cell>
          <cell r="J4546">
            <v>163782.75</v>
          </cell>
        </row>
        <row r="4547">
          <cell r="A4547">
            <v>1815800118</v>
          </cell>
          <cell r="B4547" t="str">
            <v>שכר עובדי הוראה</v>
          </cell>
          <cell r="C4547">
            <v>11685000</v>
          </cell>
          <cell r="D4547">
            <v>13927255.35</v>
          </cell>
          <cell r="E4547">
            <v>0</v>
          </cell>
          <cell r="F4547">
            <v>13927255.35</v>
          </cell>
          <cell r="G4547">
            <v>-2242255.35</v>
          </cell>
          <cell r="H4547">
            <v>119.18</v>
          </cell>
          <cell r="I4547">
            <v>12300000</v>
          </cell>
          <cell r="J4547">
            <v>13927255.35</v>
          </cell>
        </row>
        <row r="4548">
          <cell r="A4548">
            <v>1815800119</v>
          </cell>
          <cell r="B4548" t="str">
            <v>השכר הקובע-צוברת</v>
          </cell>
          <cell r="C4548">
            <v>1209255</v>
          </cell>
          <cell r="D4548">
            <v>1419993.51</v>
          </cell>
          <cell r="E4548">
            <v>0</v>
          </cell>
          <cell r="F4548">
            <v>1419993.51</v>
          </cell>
          <cell r="G4548">
            <v>-210738.51</v>
          </cell>
          <cell r="H4548">
            <v>117.42</v>
          </cell>
          <cell r="I4548">
            <v>1272900</v>
          </cell>
          <cell r="J4548">
            <v>1419993.51</v>
          </cell>
        </row>
        <row r="4549">
          <cell r="A4549">
            <v>1815800122</v>
          </cell>
          <cell r="B4549" t="str">
            <v>ביגוד</v>
          </cell>
          <cell r="C4549">
            <v>133665</v>
          </cell>
          <cell r="D4549">
            <v>145204.31</v>
          </cell>
          <cell r="E4549">
            <v>0</v>
          </cell>
          <cell r="F4549">
            <v>145204.31</v>
          </cell>
          <cell r="G4549">
            <v>-11539.31</v>
          </cell>
          <cell r="H4549">
            <v>108.63</v>
          </cell>
          <cell r="I4549">
            <v>140700</v>
          </cell>
          <cell r="J4549">
            <v>145204.31</v>
          </cell>
        </row>
        <row r="4550">
          <cell r="A4550">
            <v>1815800126</v>
          </cell>
          <cell r="B4550" t="str">
            <v>דמי הבראה</v>
          </cell>
          <cell r="C4550">
            <v>248900</v>
          </cell>
          <cell r="D4550">
            <v>294719.37</v>
          </cell>
          <cell r="E4550">
            <v>0</v>
          </cell>
          <cell r="F4550">
            <v>294719.37</v>
          </cell>
          <cell r="G4550">
            <v>-45819.37</v>
          </cell>
          <cell r="H4550">
            <v>118.4</v>
          </cell>
          <cell r="I4550">
            <v>262000</v>
          </cell>
          <cell r="J4550">
            <v>294719.37</v>
          </cell>
        </row>
        <row r="4551">
          <cell r="A4551">
            <v>1815800130</v>
          </cell>
          <cell r="B4551" t="str">
            <v>שעות נוספות</v>
          </cell>
          <cell r="C4551">
            <v>11400</v>
          </cell>
          <cell r="D4551">
            <v>6533.77</v>
          </cell>
          <cell r="E4551">
            <v>0</v>
          </cell>
          <cell r="F4551">
            <v>6533.77</v>
          </cell>
          <cell r="G4551">
            <v>4866.2299999999996</v>
          </cell>
          <cell r="H4551">
            <v>57.31</v>
          </cell>
          <cell r="I4551">
            <v>12000</v>
          </cell>
          <cell r="J4551">
            <v>6533.77</v>
          </cell>
        </row>
        <row r="4552">
          <cell r="A4552">
            <v>1815800140</v>
          </cell>
          <cell r="B4552" t="str">
            <v>השתתפות באחזקת רכב</v>
          </cell>
          <cell r="C4552">
            <v>33250</v>
          </cell>
          <cell r="D4552">
            <v>57118.26</v>
          </cell>
          <cell r="E4552">
            <v>0</v>
          </cell>
          <cell r="F4552">
            <v>57118.26</v>
          </cell>
          <cell r="G4552">
            <v>-23868.26</v>
          </cell>
          <cell r="H4552">
            <v>171.78</v>
          </cell>
          <cell r="I4552">
            <v>35000</v>
          </cell>
          <cell r="J4552">
            <v>57118.26</v>
          </cell>
        </row>
        <row r="4553">
          <cell r="A4553">
            <v>1815800210</v>
          </cell>
          <cell r="B4553" t="str">
            <v>תכנית גי"א / מש"ב</v>
          </cell>
          <cell r="C4553">
            <v>0</v>
          </cell>
          <cell r="D4553">
            <v>0</v>
          </cell>
          <cell r="E4553">
            <v>0</v>
          </cell>
          <cell r="F4553">
            <v>0</v>
          </cell>
          <cell r="G4553">
            <v>0</v>
          </cell>
          <cell r="H4553">
            <v>0</v>
          </cell>
          <cell r="I4553">
            <v>0</v>
          </cell>
          <cell r="J4553">
            <v>0</v>
          </cell>
        </row>
        <row r="4554">
          <cell r="A4554">
            <v>1815800212</v>
          </cell>
          <cell r="B4554" t="str">
            <v>שעורי עזר לעולים</v>
          </cell>
          <cell r="C4554">
            <v>0</v>
          </cell>
          <cell r="D4554">
            <v>9807.26</v>
          </cell>
          <cell r="E4554">
            <v>0</v>
          </cell>
          <cell r="F4554">
            <v>9807.26</v>
          </cell>
          <cell r="G4554">
            <v>-9807.26</v>
          </cell>
          <cell r="H4554">
            <v>0</v>
          </cell>
          <cell r="I4554">
            <v>0</v>
          </cell>
          <cell r="J4554">
            <v>9807.26</v>
          </cell>
        </row>
        <row r="4555">
          <cell r="A4555">
            <v>1815800213</v>
          </cell>
          <cell r="B4555" t="str">
            <v>שעורי עזר לנכים</v>
          </cell>
          <cell r="C4555">
            <v>0</v>
          </cell>
          <cell r="D4555">
            <v>2.2999999999999998</v>
          </cell>
          <cell r="E4555">
            <v>0</v>
          </cell>
          <cell r="F4555">
            <v>2.2999999999999998</v>
          </cell>
          <cell r="G4555">
            <v>-2.2999999999999998</v>
          </cell>
          <cell r="H4555">
            <v>0</v>
          </cell>
          <cell r="I4555">
            <v>0</v>
          </cell>
          <cell r="J4555">
            <v>2.2999999999999998</v>
          </cell>
        </row>
        <row r="4556">
          <cell r="A4556">
            <v>1815800214</v>
          </cell>
          <cell r="B4556" t="str">
            <v>שעורי עזר לתלמידים</v>
          </cell>
          <cell r="C4556">
            <v>0</v>
          </cell>
          <cell r="D4556">
            <v>6495.41</v>
          </cell>
          <cell r="E4556">
            <v>0</v>
          </cell>
          <cell r="F4556">
            <v>6495.41</v>
          </cell>
          <cell r="G4556">
            <v>-6495.41</v>
          </cell>
          <cell r="H4556">
            <v>0</v>
          </cell>
          <cell r="I4556">
            <v>0</v>
          </cell>
          <cell r="J4556">
            <v>6495.41</v>
          </cell>
        </row>
        <row r="4557">
          <cell r="A4557">
            <v>1815800215</v>
          </cell>
          <cell r="B4557" t="str">
            <v>קייטנת קיץ בחטיבות ותיכוניים</v>
          </cell>
          <cell r="C4557">
            <v>0</v>
          </cell>
          <cell r="D4557">
            <v>0</v>
          </cell>
          <cell r="E4557">
            <v>0</v>
          </cell>
          <cell r="F4557">
            <v>0</v>
          </cell>
          <cell r="G4557">
            <v>0</v>
          </cell>
          <cell r="H4557">
            <v>0</v>
          </cell>
          <cell r="I4557">
            <v>0</v>
          </cell>
          <cell r="J4557">
            <v>0</v>
          </cell>
        </row>
        <row r="4558">
          <cell r="A4558">
            <v>1815800216</v>
          </cell>
          <cell r="B4558" t="str">
            <v>פרויקט גימלאים</v>
          </cell>
          <cell r="C4558">
            <v>28500</v>
          </cell>
          <cell r="D4558">
            <v>10250.17</v>
          </cell>
          <cell r="E4558">
            <v>0</v>
          </cell>
          <cell r="F4558">
            <v>10250.17</v>
          </cell>
          <cell r="G4558">
            <v>18249.830000000002</v>
          </cell>
          <cell r="H4558">
            <v>35.96</v>
          </cell>
          <cell r="I4558">
            <v>30000</v>
          </cell>
          <cell r="J4558">
            <v>10250.17</v>
          </cell>
        </row>
        <row r="4559">
          <cell r="A4559">
            <v>1815800250</v>
          </cell>
          <cell r="B4559" t="str">
            <v>שעות השאלה למשה"ח</v>
          </cell>
          <cell r="C4559">
            <v>179930</v>
          </cell>
          <cell r="D4559">
            <v>196046.3</v>
          </cell>
          <cell r="E4559">
            <v>0</v>
          </cell>
          <cell r="F4559">
            <v>196046.3</v>
          </cell>
          <cell r="G4559">
            <v>-16116.3</v>
          </cell>
          <cell r="H4559">
            <v>108.95</v>
          </cell>
          <cell r="I4559">
            <v>189400</v>
          </cell>
          <cell r="J4559">
            <v>196046.3</v>
          </cell>
        </row>
        <row r="4560">
          <cell r="A4560">
            <v>1815800261</v>
          </cell>
          <cell r="B4560" t="str">
            <v>תכנית גי"א / מש"ב</v>
          </cell>
          <cell r="C4560">
            <v>0</v>
          </cell>
          <cell r="D4560">
            <v>0</v>
          </cell>
          <cell r="E4560">
            <v>0</v>
          </cell>
          <cell r="F4560">
            <v>0</v>
          </cell>
          <cell r="G4560">
            <v>0</v>
          </cell>
          <cell r="H4560">
            <v>0</v>
          </cell>
          <cell r="I4560">
            <v>0</v>
          </cell>
          <cell r="J4560">
            <v>0</v>
          </cell>
        </row>
        <row r="4561">
          <cell r="A4561">
            <v>1815800263</v>
          </cell>
          <cell r="B4561" t="str">
            <v>עובדי מינהלה</v>
          </cell>
          <cell r="C4561">
            <v>0</v>
          </cell>
          <cell r="D4561">
            <v>0</v>
          </cell>
          <cell r="E4561">
            <v>0</v>
          </cell>
          <cell r="F4561">
            <v>0</v>
          </cell>
          <cell r="G4561">
            <v>0</v>
          </cell>
          <cell r="H4561">
            <v>0</v>
          </cell>
          <cell r="I4561">
            <v>0</v>
          </cell>
          <cell r="J4561">
            <v>0</v>
          </cell>
        </row>
        <row r="4562">
          <cell r="A4562">
            <v>1815800264</v>
          </cell>
          <cell r="B4562" t="str">
            <v>סייעות-מוסדות+חברה</v>
          </cell>
          <cell r="C4562">
            <v>0</v>
          </cell>
          <cell r="D4562">
            <v>0</v>
          </cell>
          <cell r="E4562">
            <v>0</v>
          </cell>
          <cell r="F4562">
            <v>0</v>
          </cell>
          <cell r="G4562">
            <v>0</v>
          </cell>
          <cell r="H4562">
            <v>0</v>
          </cell>
          <cell r="I4562">
            <v>0</v>
          </cell>
          <cell r="J4562">
            <v>0</v>
          </cell>
        </row>
        <row r="4563">
          <cell r="A4563">
            <v>1815800350</v>
          </cell>
          <cell r="B4563" t="str">
            <v>ליסינג - 320-65-103</v>
          </cell>
          <cell r="C4563">
            <v>48450</v>
          </cell>
          <cell r="D4563">
            <v>53711.63</v>
          </cell>
          <cell r="E4563">
            <v>0</v>
          </cell>
          <cell r="F4563">
            <v>53711.63</v>
          </cell>
          <cell r="G4563">
            <v>-5261.63</v>
          </cell>
          <cell r="H4563">
            <v>110.85</v>
          </cell>
          <cell r="I4563">
            <v>51000</v>
          </cell>
          <cell r="J4563">
            <v>53711.63</v>
          </cell>
        </row>
        <row r="4564">
          <cell r="A4564">
            <v>1815800351</v>
          </cell>
          <cell r="B4564" t="str">
            <v>הוצאות - 320-65-103</v>
          </cell>
          <cell r="C4564">
            <v>24130</v>
          </cell>
          <cell r="D4564">
            <v>19620.099999999999</v>
          </cell>
          <cell r="E4564">
            <v>0</v>
          </cell>
          <cell r="F4564">
            <v>19620.099999999999</v>
          </cell>
          <cell r="G4564">
            <v>4509.8999999999996</v>
          </cell>
          <cell r="H4564">
            <v>81.3</v>
          </cell>
          <cell r="I4564">
            <v>25400</v>
          </cell>
          <cell r="J4564">
            <v>19620.099999999999</v>
          </cell>
        </row>
        <row r="4565">
          <cell r="A4565">
            <v>1815800410</v>
          </cell>
          <cell r="B4565" t="str">
            <v>השכרת אולם הפועל חולון</v>
          </cell>
          <cell r="C4565">
            <v>0</v>
          </cell>
          <cell r="D4565">
            <v>0</v>
          </cell>
          <cell r="E4565">
            <v>0</v>
          </cell>
          <cell r="F4565">
            <v>0</v>
          </cell>
          <cell r="G4565">
            <v>0</v>
          </cell>
          <cell r="H4565">
            <v>0</v>
          </cell>
          <cell r="I4565">
            <v>0</v>
          </cell>
          <cell r="J4565">
            <v>0</v>
          </cell>
        </row>
        <row r="4566">
          <cell r="A4566">
            <v>1815800420</v>
          </cell>
          <cell r="B4566" t="str">
            <v>כיבוי אש</v>
          </cell>
          <cell r="C4566">
            <v>7600</v>
          </cell>
          <cell r="D4566">
            <v>7072.14</v>
          </cell>
          <cell r="E4566">
            <v>0</v>
          </cell>
          <cell r="F4566">
            <v>7072.14</v>
          </cell>
          <cell r="G4566">
            <v>527.86</v>
          </cell>
          <cell r="H4566">
            <v>93.05</v>
          </cell>
          <cell r="I4566">
            <v>8000</v>
          </cell>
          <cell r="J4566">
            <v>7072.14</v>
          </cell>
        </row>
        <row r="4567">
          <cell r="A4567">
            <v>1815800423</v>
          </cell>
          <cell r="B4567" t="str">
            <v>תחזוקת מבנה</v>
          </cell>
          <cell r="C4567">
            <v>0</v>
          </cell>
          <cell r="D4567">
            <v>0</v>
          </cell>
          <cell r="E4567">
            <v>0</v>
          </cell>
          <cell r="F4567">
            <v>0</v>
          </cell>
          <cell r="G4567">
            <v>0</v>
          </cell>
          <cell r="H4567">
            <v>0</v>
          </cell>
          <cell r="I4567">
            <v>0</v>
          </cell>
          <cell r="J4567">
            <v>0</v>
          </cell>
        </row>
        <row r="4568">
          <cell r="A4568">
            <v>1815800431</v>
          </cell>
          <cell r="B4568" t="str">
            <v>חשמל</v>
          </cell>
          <cell r="C4568">
            <v>135755</v>
          </cell>
          <cell r="D4568">
            <v>127983</v>
          </cell>
          <cell r="E4568">
            <v>0</v>
          </cell>
          <cell r="F4568">
            <v>127983</v>
          </cell>
          <cell r="G4568">
            <v>7772</v>
          </cell>
          <cell r="H4568">
            <v>94.27</v>
          </cell>
          <cell r="I4568">
            <v>142900</v>
          </cell>
          <cell r="J4568">
            <v>127983</v>
          </cell>
        </row>
        <row r="4569">
          <cell r="A4569">
            <v>1815800432</v>
          </cell>
          <cell r="B4569" t="str">
            <v>מים</v>
          </cell>
          <cell r="C4569">
            <v>80085</v>
          </cell>
          <cell r="D4569">
            <v>75451</v>
          </cell>
          <cell r="E4569">
            <v>0</v>
          </cell>
          <cell r="F4569">
            <v>75451</v>
          </cell>
          <cell r="G4569">
            <v>4634</v>
          </cell>
          <cell r="H4569">
            <v>94.21</v>
          </cell>
          <cell r="I4569">
            <v>84300</v>
          </cell>
          <cell r="J4569">
            <v>75451</v>
          </cell>
        </row>
        <row r="4570">
          <cell r="A4570">
            <v>1815800433</v>
          </cell>
          <cell r="B4570" t="str">
            <v>חומרי נקיון</v>
          </cell>
          <cell r="C4570">
            <v>0</v>
          </cell>
          <cell r="D4570">
            <v>0</v>
          </cell>
          <cell r="E4570">
            <v>0</v>
          </cell>
          <cell r="F4570">
            <v>0</v>
          </cell>
          <cell r="G4570">
            <v>0</v>
          </cell>
          <cell r="H4570">
            <v>0</v>
          </cell>
          <cell r="I4570">
            <v>0</v>
          </cell>
          <cell r="J4570">
            <v>0</v>
          </cell>
        </row>
        <row r="4571">
          <cell r="A4571">
            <v>1815800434</v>
          </cell>
          <cell r="B4571" t="str">
            <v>חיטוי והדברה</v>
          </cell>
          <cell r="C4571">
            <v>0</v>
          </cell>
          <cell r="D4571">
            <v>0</v>
          </cell>
          <cell r="E4571">
            <v>0</v>
          </cell>
          <cell r="F4571">
            <v>0</v>
          </cell>
          <cell r="G4571">
            <v>0</v>
          </cell>
          <cell r="H4571">
            <v>0</v>
          </cell>
          <cell r="I4571">
            <v>0</v>
          </cell>
          <cell r="J4571">
            <v>0</v>
          </cell>
        </row>
        <row r="4572">
          <cell r="A4572">
            <v>1815800437</v>
          </cell>
          <cell r="B4572" t="str">
            <v>אחזקת אזעקה</v>
          </cell>
          <cell r="C4572">
            <v>1235</v>
          </cell>
          <cell r="D4572">
            <v>1763.26</v>
          </cell>
          <cell r="E4572">
            <v>0</v>
          </cell>
          <cell r="F4572">
            <v>1763.26</v>
          </cell>
          <cell r="G4572">
            <v>-528.26</v>
          </cell>
          <cell r="H4572">
            <v>142.77000000000001</v>
          </cell>
          <cell r="I4572">
            <v>1300</v>
          </cell>
          <cell r="J4572">
            <v>1763.26</v>
          </cell>
        </row>
        <row r="4573">
          <cell r="A4573">
            <v>1815800441</v>
          </cell>
          <cell r="B4573" t="str">
            <v>ביטוח</v>
          </cell>
          <cell r="C4573">
            <v>0</v>
          </cell>
          <cell r="D4573">
            <v>0</v>
          </cell>
          <cell r="E4573">
            <v>0</v>
          </cell>
          <cell r="F4573">
            <v>0</v>
          </cell>
          <cell r="G4573">
            <v>0</v>
          </cell>
          <cell r="H4573">
            <v>0</v>
          </cell>
          <cell r="I4573">
            <v>0</v>
          </cell>
          <cell r="J4573">
            <v>0</v>
          </cell>
        </row>
        <row r="4574">
          <cell r="A4574">
            <v>1815800450</v>
          </cell>
          <cell r="B4574" t="str">
            <v>ריהוט ואחזקתו</v>
          </cell>
          <cell r="C4574">
            <v>15295</v>
          </cell>
          <cell r="D4574">
            <v>16167</v>
          </cell>
          <cell r="E4574">
            <v>0</v>
          </cell>
          <cell r="F4574">
            <v>16167</v>
          </cell>
          <cell r="G4574">
            <v>-872</v>
          </cell>
          <cell r="H4574">
            <v>105.7</v>
          </cell>
          <cell r="I4574">
            <v>16100</v>
          </cell>
          <cell r="J4574">
            <v>16167</v>
          </cell>
        </row>
        <row r="4575">
          <cell r="A4575">
            <v>1815800451</v>
          </cell>
          <cell r="B4575" t="str">
            <v>הוצאות גפ"ן בית ספרי</v>
          </cell>
          <cell r="C4575">
            <v>0</v>
          </cell>
          <cell r="D4575">
            <v>0</v>
          </cell>
          <cell r="E4575">
            <v>0</v>
          </cell>
          <cell r="F4575">
            <v>0</v>
          </cell>
          <cell r="G4575">
            <v>0</v>
          </cell>
          <cell r="H4575">
            <v>0</v>
          </cell>
          <cell r="I4575">
            <v>0</v>
          </cell>
          <cell r="J4575">
            <v>0</v>
          </cell>
        </row>
        <row r="4576">
          <cell r="A4576">
            <v>1815800452</v>
          </cell>
          <cell r="B4576" t="str">
            <v>השתתפות עירונית בגפ"ן</v>
          </cell>
          <cell r="C4576">
            <v>0</v>
          </cell>
          <cell r="D4576">
            <v>0</v>
          </cell>
          <cell r="E4576">
            <v>0</v>
          </cell>
          <cell r="F4576">
            <v>0</v>
          </cell>
          <cell r="G4576">
            <v>0</v>
          </cell>
          <cell r="H4576">
            <v>0</v>
          </cell>
          <cell r="I4576">
            <v>0</v>
          </cell>
          <cell r="J4576">
            <v>0</v>
          </cell>
        </row>
        <row r="4577">
          <cell r="A4577">
            <v>1815800470</v>
          </cell>
          <cell r="B4577" t="str">
            <v>אחזקת מכונות משרד</v>
          </cell>
          <cell r="C4577">
            <v>0</v>
          </cell>
          <cell r="D4577">
            <v>0</v>
          </cell>
          <cell r="E4577">
            <v>0</v>
          </cell>
          <cell r="F4577">
            <v>0</v>
          </cell>
          <cell r="G4577">
            <v>0</v>
          </cell>
          <cell r="H4577">
            <v>0</v>
          </cell>
          <cell r="I4577">
            <v>0</v>
          </cell>
          <cell r="J4577">
            <v>0</v>
          </cell>
        </row>
        <row r="4578">
          <cell r="A4578">
            <v>1815800471</v>
          </cell>
          <cell r="B4578" t="str">
            <v>מכשירי כתיבה</v>
          </cell>
          <cell r="C4578">
            <v>0</v>
          </cell>
          <cell r="D4578">
            <v>0</v>
          </cell>
          <cell r="E4578">
            <v>0</v>
          </cell>
          <cell r="F4578">
            <v>0</v>
          </cell>
          <cell r="G4578">
            <v>0</v>
          </cell>
          <cell r="H4578">
            <v>0</v>
          </cell>
          <cell r="I4578">
            <v>0</v>
          </cell>
          <cell r="J4578">
            <v>0</v>
          </cell>
        </row>
        <row r="4579">
          <cell r="A4579">
            <v>1815800511</v>
          </cell>
          <cell r="B4579" t="str">
            <v>אירוח וכיבוד</v>
          </cell>
          <cell r="C4579">
            <v>9405</v>
          </cell>
          <cell r="D4579">
            <v>10284.52</v>
          </cell>
          <cell r="E4579">
            <v>0</v>
          </cell>
          <cell r="F4579">
            <v>10284.52</v>
          </cell>
          <cell r="G4579">
            <v>-879.52</v>
          </cell>
          <cell r="H4579">
            <v>109.35</v>
          </cell>
          <cell r="I4579">
            <v>9900</v>
          </cell>
          <cell r="J4579">
            <v>10284.52</v>
          </cell>
        </row>
        <row r="4580">
          <cell r="A4580">
            <v>1815800512</v>
          </cell>
          <cell r="B4580" t="str">
            <v>נסיעות ואש"ל</v>
          </cell>
          <cell r="C4580">
            <v>0</v>
          </cell>
          <cell r="D4580">
            <v>0</v>
          </cell>
          <cell r="E4580">
            <v>0</v>
          </cell>
          <cell r="F4580">
            <v>0</v>
          </cell>
          <cell r="G4580">
            <v>0</v>
          </cell>
          <cell r="H4580">
            <v>0</v>
          </cell>
          <cell r="I4580">
            <v>0</v>
          </cell>
          <cell r="J4580">
            <v>0</v>
          </cell>
        </row>
        <row r="4581">
          <cell r="A4581">
            <v>1815800517</v>
          </cell>
          <cell r="B4581" t="str">
            <v>מסיבות מפקדים ושי</v>
          </cell>
          <cell r="C4581">
            <v>0</v>
          </cell>
          <cell r="D4581">
            <v>0</v>
          </cell>
          <cell r="E4581">
            <v>0</v>
          </cell>
          <cell r="F4581">
            <v>0</v>
          </cell>
          <cell r="G4581">
            <v>0</v>
          </cell>
          <cell r="H4581">
            <v>0</v>
          </cell>
          <cell r="I4581">
            <v>0</v>
          </cell>
          <cell r="J4581">
            <v>0</v>
          </cell>
        </row>
        <row r="4582">
          <cell r="A4582">
            <v>1815800522</v>
          </cell>
          <cell r="B4582" t="str">
            <v>ספרים ועיתונים</v>
          </cell>
          <cell r="C4582">
            <v>0</v>
          </cell>
          <cell r="D4582">
            <v>0</v>
          </cell>
          <cell r="E4582">
            <v>0</v>
          </cell>
          <cell r="F4582">
            <v>0</v>
          </cell>
          <cell r="G4582">
            <v>0</v>
          </cell>
          <cell r="H4582">
            <v>0</v>
          </cell>
          <cell r="I4582">
            <v>0</v>
          </cell>
          <cell r="J4582">
            <v>0</v>
          </cell>
        </row>
        <row r="4583">
          <cell r="A4583">
            <v>1815800530</v>
          </cell>
          <cell r="B4583" t="str">
            <v>אופניים לעובדים</v>
          </cell>
          <cell r="C4583">
            <v>0</v>
          </cell>
          <cell r="D4583">
            <v>0</v>
          </cell>
          <cell r="E4583">
            <v>0</v>
          </cell>
          <cell r="F4583">
            <v>0</v>
          </cell>
          <cell r="G4583">
            <v>0</v>
          </cell>
          <cell r="H4583">
            <v>0</v>
          </cell>
          <cell r="I4583">
            <v>0</v>
          </cell>
          <cell r="J4583">
            <v>0</v>
          </cell>
        </row>
        <row r="4584">
          <cell r="A4584">
            <v>1815800540</v>
          </cell>
          <cell r="B4584" t="str">
            <v>הוצאות טלפון</v>
          </cell>
          <cell r="C4584">
            <v>0</v>
          </cell>
          <cell r="D4584">
            <v>0</v>
          </cell>
          <cell r="E4584">
            <v>0</v>
          </cell>
          <cell r="F4584">
            <v>0</v>
          </cell>
          <cell r="G4584">
            <v>0</v>
          </cell>
          <cell r="H4584">
            <v>0</v>
          </cell>
          <cell r="I4584">
            <v>0</v>
          </cell>
          <cell r="J4584">
            <v>0</v>
          </cell>
        </row>
        <row r="4585">
          <cell r="A4585">
            <v>1815800544</v>
          </cell>
          <cell r="B4585" t="str">
            <v>הוצאות דאר</v>
          </cell>
          <cell r="C4585">
            <v>0</v>
          </cell>
          <cell r="D4585">
            <v>0</v>
          </cell>
          <cell r="E4585">
            <v>0</v>
          </cell>
          <cell r="F4585">
            <v>0</v>
          </cell>
          <cell r="G4585">
            <v>0</v>
          </cell>
          <cell r="H4585">
            <v>0</v>
          </cell>
          <cell r="I4585">
            <v>0</v>
          </cell>
          <cell r="J4585">
            <v>0</v>
          </cell>
        </row>
        <row r="4586">
          <cell r="A4586">
            <v>1815800562</v>
          </cell>
          <cell r="B4586" t="str">
            <v>הדפסות</v>
          </cell>
          <cell r="C4586">
            <v>0</v>
          </cell>
          <cell r="D4586">
            <v>0</v>
          </cell>
          <cell r="E4586">
            <v>0</v>
          </cell>
          <cell r="F4586">
            <v>0</v>
          </cell>
          <cell r="G4586">
            <v>0</v>
          </cell>
          <cell r="H4586">
            <v>0</v>
          </cell>
          <cell r="I4586">
            <v>0</v>
          </cell>
          <cell r="J4586">
            <v>0</v>
          </cell>
        </row>
        <row r="4587">
          <cell r="A4587">
            <v>1815800583</v>
          </cell>
          <cell r="B4587" t="str">
            <v>שרות רפואי</v>
          </cell>
          <cell r="C4587">
            <v>0</v>
          </cell>
          <cell r="D4587">
            <v>0</v>
          </cell>
          <cell r="E4587">
            <v>0</v>
          </cell>
          <cell r="F4587">
            <v>0</v>
          </cell>
          <cell r="G4587">
            <v>0</v>
          </cell>
          <cell r="H4587">
            <v>0</v>
          </cell>
          <cell r="I4587">
            <v>0</v>
          </cell>
          <cell r="J4587">
            <v>0</v>
          </cell>
        </row>
        <row r="4588">
          <cell r="A4588">
            <v>1815800585</v>
          </cell>
          <cell r="B4588" t="str">
            <v>שרות אחות</v>
          </cell>
          <cell r="C4588">
            <v>0</v>
          </cell>
          <cell r="D4588">
            <v>0</v>
          </cell>
          <cell r="E4588">
            <v>0</v>
          </cell>
          <cell r="F4588">
            <v>0</v>
          </cell>
          <cell r="G4588">
            <v>0</v>
          </cell>
          <cell r="H4588">
            <v>0</v>
          </cell>
          <cell r="I4588">
            <v>0</v>
          </cell>
          <cell r="J4588">
            <v>0</v>
          </cell>
        </row>
        <row r="4589">
          <cell r="A4589">
            <v>1815800721</v>
          </cell>
          <cell r="B4589" t="str">
            <v>חמרים-תחזוקת מבנים</v>
          </cell>
          <cell r="C4589">
            <v>2470</v>
          </cell>
          <cell r="D4589">
            <v>0</v>
          </cell>
          <cell r="E4589">
            <v>0</v>
          </cell>
          <cell r="F4589">
            <v>0</v>
          </cell>
          <cell r="G4589">
            <v>2470</v>
          </cell>
          <cell r="H4589">
            <v>0</v>
          </cell>
          <cell r="I4589">
            <v>2600</v>
          </cell>
          <cell r="J4589">
            <v>0</v>
          </cell>
        </row>
        <row r="4590">
          <cell r="A4590">
            <v>1815800722</v>
          </cell>
          <cell r="B4590" t="str">
            <v>חמרים-תחזוקה עצמית</v>
          </cell>
          <cell r="C4590">
            <v>0</v>
          </cell>
          <cell r="D4590">
            <v>0</v>
          </cell>
          <cell r="E4590">
            <v>0</v>
          </cell>
          <cell r="F4590">
            <v>0</v>
          </cell>
          <cell r="G4590">
            <v>0</v>
          </cell>
          <cell r="H4590">
            <v>0</v>
          </cell>
          <cell r="I4590">
            <v>0</v>
          </cell>
          <cell r="J4590">
            <v>0</v>
          </cell>
        </row>
        <row r="4591">
          <cell r="A4591">
            <v>1815800724</v>
          </cell>
          <cell r="B4591" t="str">
            <v>ציוד למגמות</v>
          </cell>
          <cell r="C4591">
            <v>0</v>
          </cell>
          <cell r="D4591">
            <v>0</v>
          </cell>
          <cell r="E4591">
            <v>0</v>
          </cell>
          <cell r="F4591">
            <v>0</v>
          </cell>
          <cell r="G4591">
            <v>0</v>
          </cell>
          <cell r="H4591">
            <v>0</v>
          </cell>
          <cell r="I4591">
            <v>0</v>
          </cell>
          <cell r="J4591">
            <v>0</v>
          </cell>
        </row>
        <row r="4592">
          <cell r="A4592">
            <v>1815800742</v>
          </cell>
          <cell r="B4592" t="str">
            <v>כלים וציוד</v>
          </cell>
          <cell r="C4592">
            <v>39045</v>
          </cell>
          <cell r="D4592">
            <v>33489</v>
          </cell>
          <cell r="E4592">
            <v>0</v>
          </cell>
          <cell r="F4592">
            <v>33489</v>
          </cell>
          <cell r="G4592">
            <v>5556</v>
          </cell>
          <cell r="H4592">
            <v>85.77</v>
          </cell>
          <cell r="I4592">
            <v>41100</v>
          </cell>
          <cell r="J4592">
            <v>33489</v>
          </cell>
        </row>
        <row r="4593">
          <cell r="A4593">
            <v>1815800745</v>
          </cell>
          <cell r="B4593" t="str">
            <v>דמי פריצה - ציוד</v>
          </cell>
          <cell r="C4593">
            <v>0</v>
          </cell>
          <cell r="D4593">
            <v>0</v>
          </cell>
          <cell r="E4593">
            <v>0</v>
          </cell>
          <cell r="F4593">
            <v>0</v>
          </cell>
          <cell r="G4593">
            <v>0</v>
          </cell>
          <cell r="H4593">
            <v>0</v>
          </cell>
          <cell r="I4593">
            <v>0</v>
          </cell>
          <cell r="J4593">
            <v>0</v>
          </cell>
        </row>
        <row r="4594">
          <cell r="A4594">
            <v>1815800746</v>
          </cell>
          <cell r="B4594" t="str">
            <v>דמי פריצה - מבנה</v>
          </cell>
          <cell r="C4594">
            <v>0</v>
          </cell>
          <cell r="D4594">
            <v>0</v>
          </cell>
          <cell r="E4594">
            <v>0</v>
          </cell>
          <cell r="F4594">
            <v>0</v>
          </cell>
          <cell r="G4594">
            <v>0</v>
          </cell>
          <cell r="H4594">
            <v>0</v>
          </cell>
          <cell r="I4594">
            <v>0</v>
          </cell>
          <cell r="J4594">
            <v>0</v>
          </cell>
        </row>
        <row r="4595">
          <cell r="A4595">
            <v>1815800750</v>
          </cell>
          <cell r="B4595" t="str">
            <v>אחזקת מוסדות</v>
          </cell>
          <cell r="C4595">
            <v>377435</v>
          </cell>
          <cell r="D4595">
            <v>253098</v>
          </cell>
          <cell r="E4595">
            <v>0</v>
          </cell>
          <cell r="F4595">
            <v>253098</v>
          </cell>
          <cell r="G4595">
            <v>124337</v>
          </cell>
          <cell r="H4595">
            <v>67.05</v>
          </cell>
          <cell r="I4595">
            <v>397300</v>
          </cell>
          <cell r="J4595">
            <v>253098</v>
          </cell>
        </row>
        <row r="4596">
          <cell r="A4596">
            <v>1815800751</v>
          </cell>
          <cell r="B4596" t="str">
            <v>עבודות קבלניות</v>
          </cell>
          <cell r="C4596">
            <v>7600</v>
          </cell>
          <cell r="D4596">
            <v>3231</v>
          </cell>
          <cell r="E4596">
            <v>0</v>
          </cell>
          <cell r="F4596">
            <v>3231</v>
          </cell>
          <cell r="G4596">
            <v>4369</v>
          </cell>
          <cell r="H4596">
            <v>42.51</v>
          </cell>
          <cell r="I4596">
            <v>8000</v>
          </cell>
          <cell r="J4596">
            <v>3231</v>
          </cell>
        </row>
        <row r="4597">
          <cell r="A4597">
            <v>1815800752</v>
          </cell>
          <cell r="B4597" t="str">
            <v>נקיון בקבלנות</v>
          </cell>
          <cell r="C4597">
            <v>374110</v>
          </cell>
          <cell r="D4597">
            <v>393799.92</v>
          </cell>
          <cell r="E4597">
            <v>0</v>
          </cell>
          <cell r="F4597">
            <v>393799.92</v>
          </cell>
          <cell r="G4597">
            <v>-19689.919999999998</v>
          </cell>
          <cell r="H4597">
            <v>105.26</v>
          </cell>
          <cell r="I4597">
            <v>393800</v>
          </cell>
          <cell r="J4597">
            <v>393799.92</v>
          </cell>
        </row>
        <row r="4598">
          <cell r="A4598">
            <v>1815800753</v>
          </cell>
          <cell r="B4598" t="str">
            <v>עובדים חיצוניים</v>
          </cell>
          <cell r="C4598">
            <v>0</v>
          </cell>
          <cell r="D4598">
            <v>0</v>
          </cell>
          <cell r="E4598">
            <v>0</v>
          </cell>
          <cell r="F4598">
            <v>0</v>
          </cell>
          <cell r="G4598">
            <v>0</v>
          </cell>
          <cell r="H4598">
            <v>0</v>
          </cell>
          <cell r="I4598">
            <v>0</v>
          </cell>
          <cell r="J4598">
            <v>0</v>
          </cell>
        </row>
        <row r="4599">
          <cell r="A4599">
            <v>1815800755</v>
          </cell>
          <cell r="B4599" t="str">
            <v>אחות</v>
          </cell>
          <cell r="C4599">
            <v>0</v>
          </cell>
          <cell r="D4599">
            <v>0</v>
          </cell>
          <cell r="E4599">
            <v>0</v>
          </cell>
          <cell r="F4599">
            <v>0</v>
          </cell>
          <cell r="G4599">
            <v>0</v>
          </cell>
          <cell r="H4599">
            <v>0</v>
          </cell>
          <cell r="I4599">
            <v>0</v>
          </cell>
          <cell r="J4599">
            <v>0</v>
          </cell>
        </row>
        <row r="4600">
          <cell r="A4600">
            <v>1815800759</v>
          </cell>
          <cell r="B4600" t="str">
            <v>שרותי סייעות</v>
          </cell>
          <cell r="C4600">
            <v>251400</v>
          </cell>
          <cell r="D4600">
            <v>156974.9</v>
          </cell>
          <cell r="E4600">
            <v>0</v>
          </cell>
          <cell r="F4600">
            <v>156974.9</v>
          </cell>
          <cell r="G4600">
            <v>94425.1</v>
          </cell>
          <cell r="H4600">
            <v>62.44</v>
          </cell>
          <cell r="I4600">
            <v>251400</v>
          </cell>
          <cell r="J4600">
            <v>156974.9</v>
          </cell>
        </row>
        <row r="4601">
          <cell r="A4601">
            <v>1815800762</v>
          </cell>
          <cell r="B4601" t="str">
            <v>שעות שאילה - משה"ח</v>
          </cell>
          <cell r="C4601">
            <v>211375</v>
          </cell>
          <cell r="D4601">
            <v>272751.38</v>
          </cell>
          <cell r="E4601">
            <v>0</v>
          </cell>
          <cell r="F4601">
            <v>272751.38</v>
          </cell>
          <cell r="G4601">
            <v>-61376.38</v>
          </cell>
          <cell r="H4601">
            <v>129.03</v>
          </cell>
          <cell r="I4601">
            <v>222500</v>
          </cell>
          <cell r="J4601">
            <v>272751.38</v>
          </cell>
        </row>
        <row r="4602">
          <cell r="A4602">
            <v>1815800763</v>
          </cell>
          <cell r="B4602" t="str">
            <v>עובדי מינהלה</v>
          </cell>
          <cell r="C4602">
            <v>0</v>
          </cell>
          <cell r="D4602">
            <v>0</v>
          </cell>
          <cell r="E4602">
            <v>0</v>
          </cell>
          <cell r="F4602">
            <v>0</v>
          </cell>
          <cell r="G4602">
            <v>0</v>
          </cell>
          <cell r="H4602">
            <v>0</v>
          </cell>
          <cell r="I4602">
            <v>0</v>
          </cell>
          <cell r="J4602">
            <v>0</v>
          </cell>
        </row>
        <row r="4603">
          <cell r="A4603">
            <v>1815800764</v>
          </cell>
          <cell r="B4603" t="str">
            <v>סייעות-מוסדות+חברה</v>
          </cell>
          <cell r="C4603">
            <v>0</v>
          </cell>
          <cell r="D4603">
            <v>0</v>
          </cell>
          <cell r="E4603">
            <v>0</v>
          </cell>
          <cell r="F4603">
            <v>0</v>
          </cell>
          <cell r="G4603">
            <v>0</v>
          </cell>
          <cell r="H4603">
            <v>0</v>
          </cell>
          <cell r="I4603">
            <v>0</v>
          </cell>
          <cell r="J4603">
            <v>0</v>
          </cell>
        </row>
        <row r="4604">
          <cell r="A4604">
            <v>1815800765</v>
          </cell>
          <cell r="B4604" t="str">
            <v>רכז חברתי - חט"ב</v>
          </cell>
          <cell r="C4604">
            <v>0</v>
          </cell>
          <cell r="D4604">
            <v>0</v>
          </cell>
          <cell r="E4604">
            <v>0</v>
          </cell>
          <cell r="F4604">
            <v>0</v>
          </cell>
          <cell r="G4604">
            <v>0</v>
          </cell>
          <cell r="H4604">
            <v>0</v>
          </cell>
          <cell r="I4604">
            <v>0</v>
          </cell>
          <cell r="J4604">
            <v>0</v>
          </cell>
        </row>
        <row r="4605">
          <cell r="A4605">
            <v>1815800780</v>
          </cell>
          <cell r="B4605" t="str">
            <v>חינוך חברתי</v>
          </cell>
          <cell r="C4605">
            <v>14060</v>
          </cell>
          <cell r="D4605">
            <v>13715</v>
          </cell>
          <cell r="E4605">
            <v>0</v>
          </cell>
          <cell r="F4605">
            <v>13715</v>
          </cell>
          <cell r="G4605">
            <v>345</v>
          </cell>
          <cell r="H4605">
            <v>97.54</v>
          </cell>
          <cell r="I4605">
            <v>14800</v>
          </cell>
          <cell r="J4605">
            <v>13715</v>
          </cell>
        </row>
        <row r="4606">
          <cell r="A4606">
            <v>1815800781</v>
          </cell>
          <cell r="B4606" t="str">
            <v>אחזקת מכשירים</v>
          </cell>
          <cell r="C4606">
            <v>0</v>
          </cell>
          <cell r="D4606">
            <v>0</v>
          </cell>
          <cell r="E4606">
            <v>0</v>
          </cell>
          <cell r="F4606">
            <v>0</v>
          </cell>
          <cell r="G4606">
            <v>0</v>
          </cell>
          <cell r="H4606">
            <v>0</v>
          </cell>
          <cell r="I4606">
            <v>0</v>
          </cell>
          <cell r="J4606">
            <v>0</v>
          </cell>
        </row>
        <row r="4607">
          <cell r="A4607">
            <v>1815800783</v>
          </cell>
          <cell r="B4607" t="str">
            <v>תיגבור לימודי יהדות</v>
          </cell>
          <cell r="C4607">
            <v>0</v>
          </cell>
          <cell r="D4607">
            <v>0</v>
          </cell>
          <cell r="E4607">
            <v>0</v>
          </cell>
          <cell r="F4607">
            <v>0</v>
          </cell>
          <cell r="G4607">
            <v>0</v>
          </cell>
          <cell r="H4607">
            <v>0</v>
          </cell>
          <cell r="I4607">
            <v>0</v>
          </cell>
          <cell r="J4607">
            <v>0</v>
          </cell>
        </row>
        <row r="4608">
          <cell r="A4608">
            <v>1815800794</v>
          </cell>
          <cell r="B4608" t="str">
            <v>השתתפות בעזר 094</v>
          </cell>
          <cell r="C4608">
            <v>15865</v>
          </cell>
          <cell r="D4608">
            <v>19920</v>
          </cell>
          <cell r="E4608">
            <v>0</v>
          </cell>
          <cell r="F4608">
            <v>19920</v>
          </cell>
          <cell r="G4608">
            <v>-4055</v>
          </cell>
          <cell r="H4608">
            <v>125.55</v>
          </cell>
          <cell r="I4608">
            <v>16700</v>
          </cell>
          <cell r="J4608">
            <v>19920</v>
          </cell>
        </row>
        <row r="4609">
          <cell r="A4609">
            <v>1815800810</v>
          </cell>
          <cell r="B4609" t="str">
            <v>הקצבה לניהול עצמי</v>
          </cell>
          <cell r="C4609">
            <v>108110</v>
          </cell>
          <cell r="D4609">
            <v>0</v>
          </cell>
          <cell r="E4609">
            <v>0</v>
          </cell>
          <cell r="F4609">
            <v>0</v>
          </cell>
          <cell r="G4609">
            <v>108110</v>
          </cell>
          <cell r="H4609">
            <v>0</v>
          </cell>
          <cell r="I4609">
            <v>113800</v>
          </cell>
          <cell r="J4609">
            <v>0</v>
          </cell>
        </row>
        <row r="4610">
          <cell r="A4610">
            <v>1815800812</v>
          </cell>
          <cell r="B4610" t="str">
            <v>מסיבות כיתתיות</v>
          </cell>
          <cell r="C4610">
            <v>19000</v>
          </cell>
          <cell r="D4610">
            <v>21164</v>
          </cell>
          <cell r="E4610">
            <v>0</v>
          </cell>
          <cell r="F4610">
            <v>21164</v>
          </cell>
          <cell r="G4610">
            <v>-2164</v>
          </cell>
          <cell r="H4610">
            <v>111.38</v>
          </cell>
          <cell r="I4610">
            <v>20000</v>
          </cell>
          <cell r="J4610">
            <v>21164</v>
          </cell>
        </row>
        <row r="4611">
          <cell r="A4611">
            <v>1815800816</v>
          </cell>
          <cell r="B4611" t="str">
            <v>חט"ב - הכלה והשתלבות</v>
          </cell>
          <cell r="C4611">
            <v>0</v>
          </cell>
          <cell r="D4611">
            <v>0</v>
          </cell>
          <cell r="E4611">
            <v>0</v>
          </cell>
          <cell r="F4611">
            <v>0</v>
          </cell>
          <cell r="G4611">
            <v>0</v>
          </cell>
          <cell r="H4611">
            <v>0</v>
          </cell>
          <cell r="I4611">
            <v>0</v>
          </cell>
          <cell r="J4611">
            <v>0</v>
          </cell>
        </row>
        <row r="4612">
          <cell r="A4612">
            <v>1815800838</v>
          </cell>
          <cell r="B4612" t="str">
            <v>העברה כנגד הכנסות מש' החינוך</v>
          </cell>
          <cell r="C4612">
            <v>0</v>
          </cell>
          <cell r="D4612">
            <v>0</v>
          </cell>
          <cell r="E4612">
            <v>0</v>
          </cell>
          <cell r="F4612">
            <v>0</v>
          </cell>
          <cell r="G4612">
            <v>0</v>
          </cell>
          <cell r="H4612">
            <v>0</v>
          </cell>
          <cell r="I4612">
            <v>0</v>
          </cell>
          <cell r="J4612">
            <v>0</v>
          </cell>
        </row>
        <row r="4613">
          <cell r="A4613">
            <v>1815800953</v>
          </cell>
          <cell r="B4613" t="str">
            <v>מערכת גפ"ן</v>
          </cell>
          <cell r="C4613">
            <v>1343965</v>
          </cell>
          <cell r="D4613">
            <v>1589636.77</v>
          </cell>
          <cell r="E4613">
            <v>0</v>
          </cell>
          <cell r="F4613">
            <v>1589636.77</v>
          </cell>
          <cell r="G4613">
            <v>-245671.77</v>
          </cell>
          <cell r="H4613">
            <v>118.27</v>
          </cell>
          <cell r="I4613">
            <v>1414700</v>
          </cell>
          <cell r="J4613">
            <v>1589636.77</v>
          </cell>
        </row>
        <row r="4614">
          <cell r="A4614">
            <v>1815800961</v>
          </cell>
          <cell r="B4614" t="str">
            <v>רז' לפעולות+רכישות</v>
          </cell>
          <cell r="C4614">
            <v>0</v>
          </cell>
          <cell r="D4614">
            <v>0</v>
          </cell>
          <cell r="E4614">
            <v>0</v>
          </cell>
          <cell r="F4614">
            <v>0</v>
          </cell>
          <cell r="G4614">
            <v>0</v>
          </cell>
          <cell r="H4614">
            <v>0</v>
          </cell>
          <cell r="I4614">
            <v>0</v>
          </cell>
          <cell r="J4614">
            <v>0</v>
          </cell>
        </row>
        <row r="4615">
          <cell r="A4615">
            <v>1815800989</v>
          </cell>
          <cell r="B4615" t="str">
            <v>תקורה</v>
          </cell>
          <cell r="C4615">
            <v>1003010</v>
          </cell>
          <cell r="D4615">
            <v>1158295</v>
          </cell>
          <cell r="E4615">
            <v>0</v>
          </cell>
          <cell r="F4615">
            <v>1158295</v>
          </cell>
          <cell r="G4615">
            <v>-155285</v>
          </cell>
          <cell r="H4615">
            <v>115.48</v>
          </cell>
          <cell r="I4615">
            <v>1055800</v>
          </cell>
          <cell r="J4615">
            <v>1158295</v>
          </cell>
        </row>
        <row r="4616">
          <cell r="A4616">
            <v>1815810118</v>
          </cell>
          <cell r="B4616" t="str">
            <v>שכר עובדי הוראה</v>
          </cell>
          <cell r="C4616">
            <v>8642150</v>
          </cell>
          <cell r="D4616">
            <v>11058145.890000001</v>
          </cell>
          <cell r="E4616">
            <v>0</v>
          </cell>
          <cell r="F4616">
            <v>11058145.890000001</v>
          </cell>
          <cell r="G4616">
            <v>-2415995.89</v>
          </cell>
          <cell r="H4616">
            <v>127.95</v>
          </cell>
          <cell r="I4616">
            <v>9097000</v>
          </cell>
          <cell r="J4616">
            <v>11058145.890000001</v>
          </cell>
        </row>
        <row r="4617">
          <cell r="A4617">
            <v>1815810119</v>
          </cell>
          <cell r="B4617" t="str">
            <v>השכר הקובע-צוברת</v>
          </cell>
          <cell r="C4617">
            <v>679630</v>
          </cell>
          <cell r="D4617">
            <v>985045.43</v>
          </cell>
          <cell r="E4617">
            <v>25714.7</v>
          </cell>
          <cell r="F4617">
            <v>1010760.13</v>
          </cell>
          <cell r="G4617">
            <v>-331130.13</v>
          </cell>
          <cell r="H4617">
            <v>148.72</v>
          </cell>
          <cell r="I4617">
            <v>715400</v>
          </cell>
          <cell r="J4617">
            <v>985045.43</v>
          </cell>
        </row>
        <row r="4618">
          <cell r="A4618">
            <v>1815810122</v>
          </cell>
          <cell r="B4618" t="str">
            <v>ביגוד</v>
          </cell>
          <cell r="C4618">
            <v>90820</v>
          </cell>
          <cell r="D4618">
            <v>114420.47</v>
          </cell>
          <cell r="E4618">
            <v>0</v>
          </cell>
          <cell r="F4618">
            <v>114420.47</v>
          </cell>
          <cell r="G4618">
            <v>-23600.47</v>
          </cell>
          <cell r="H4618">
            <v>125.98</v>
          </cell>
          <cell r="I4618">
            <v>95600</v>
          </cell>
          <cell r="J4618">
            <v>114420.47</v>
          </cell>
        </row>
        <row r="4619">
          <cell r="A4619">
            <v>1815810126</v>
          </cell>
          <cell r="B4619" t="str">
            <v>דמי הבראה</v>
          </cell>
          <cell r="C4619">
            <v>179550</v>
          </cell>
          <cell r="D4619">
            <v>220138.04</v>
          </cell>
          <cell r="E4619">
            <v>0</v>
          </cell>
          <cell r="F4619">
            <v>220138.04</v>
          </cell>
          <cell r="G4619">
            <v>-40588.04</v>
          </cell>
          <cell r="H4619">
            <v>122.6</v>
          </cell>
          <cell r="I4619">
            <v>189000</v>
          </cell>
          <cell r="J4619">
            <v>220138.04</v>
          </cell>
        </row>
        <row r="4620">
          <cell r="A4620">
            <v>1815810140</v>
          </cell>
          <cell r="B4620" t="str">
            <v>השתתפות באחזקת רכב</v>
          </cell>
          <cell r="C4620">
            <v>61275</v>
          </cell>
          <cell r="D4620">
            <v>82966.61</v>
          </cell>
          <cell r="E4620">
            <v>0</v>
          </cell>
          <cell r="F4620">
            <v>82966.61</v>
          </cell>
          <cell r="G4620">
            <v>-21691.61</v>
          </cell>
          <cell r="H4620">
            <v>135.4</v>
          </cell>
          <cell r="I4620">
            <v>64500</v>
          </cell>
          <cell r="J4620">
            <v>82966.61</v>
          </cell>
        </row>
        <row r="4621">
          <cell r="A4621">
            <v>1815810210</v>
          </cell>
          <cell r="B4621" t="str">
            <v>השכר הקובע</v>
          </cell>
          <cell r="C4621">
            <v>0</v>
          </cell>
          <cell r="D4621">
            <v>0</v>
          </cell>
          <cell r="E4621">
            <v>0</v>
          </cell>
          <cell r="F4621">
            <v>0</v>
          </cell>
          <cell r="G4621">
            <v>0</v>
          </cell>
          <cell r="H4621">
            <v>0</v>
          </cell>
          <cell r="I4621">
            <v>0</v>
          </cell>
          <cell r="J4621">
            <v>0</v>
          </cell>
        </row>
        <row r="4622">
          <cell r="A4622">
            <v>1815810214</v>
          </cell>
          <cell r="B4622" t="str">
            <v>שעורי עזר לתלמידים</v>
          </cell>
          <cell r="C4622">
            <v>0</v>
          </cell>
          <cell r="D4622">
            <v>6214.6</v>
          </cell>
          <cell r="E4622">
            <v>0</v>
          </cell>
          <cell r="F4622">
            <v>6214.6</v>
          </cell>
          <cell r="G4622">
            <v>-6214.6</v>
          </cell>
          <cell r="H4622">
            <v>0</v>
          </cell>
          <cell r="I4622">
            <v>0</v>
          </cell>
          <cell r="J4622">
            <v>6214.6</v>
          </cell>
        </row>
        <row r="4623">
          <cell r="A4623">
            <v>1815810215</v>
          </cell>
          <cell r="B4623" t="str">
            <v>קייטנת קיץ בחטיבות ותיכוניים</v>
          </cell>
          <cell r="C4623">
            <v>0</v>
          </cell>
          <cell r="D4623">
            <v>0</v>
          </cell>
          <cell r="E4623">
            <v>0</v>
          </cell>
          <cell r="F4623">
            <v>0</v>
          </cell>
          <cell r="G4623">
            <v>0</v>
          </cell>
          <cell r="H4623">
            <v>0</v>
          </cell>
          <cell r="I4623">
            <v>0</v>
          </cell>
          <cell r="J4623">
            <v>0</v>
          </cell>
        </row>
        <row r="4624">
          <cell r="A4624">
            <v>1815810216</v>
          </cell>
          <cell r="B4624" t="str">
            <v>פרויקט גימלאים</v>
          </cell>
          <cell r="C4624">
            <v>0</v>
          </cell>
          <cell r="D4624">
            <v>0</v>
          </cell>
          <cell r="E4624">
            <v>0</v>
          </cell>
          <cell r="F4624">
            <v>0</v>
          </cell>
          <cell r="G4624">
            <v>0</v>
          </cell>
          <cell r="H4624">
            <v>0</v>
          </cell>
          <cell r="I4624">
            <v>0</v>
          </cell>
          <cell r="J4624">
            <v>0</v>
          </cell>
        </row>
        <row r="4625">
          <cell r="A4625">
            <v>1815810250</v>
          </cell>
          <cell r="B4625" t="str">
            <v>שעות השאלה למשה"ח</v>
          </cell>
          <cell r="C4625">
            <v>0</v>
          </cell>
          <cell r="D4625">
            <v>0</v>
          </cell>
          <cell r="E4625">
            <v>0</v>
          </cell>
          <cell r="F4625">
            <v>0</v>
          </cell>
          <cell r="G4625">
            <v>0</v>
          </cell>
          <cell r="H4625">
            <v>0</v>
          </cell>
          <cell r="I4625">
            <v>0</v>
          </cell>
          <cell r="J4625">
            <v>0</v>
          </cell>
        </row>
        <row r="4626">
          <cell r="A4626">
            <v>1815810261</v>
          </cell>
          <cell r="B4626" t="str">
            <v>תכנית גי"א / מש"ב</v>
          </cell>
          <cell r="C4626">
            <v>0</v>
          </cell>
          <cell r="D4626">
            <v>0</v>
          </cell>
          <cell r="E4626">
            <v>0</v>
          </cell>
          <cell r="F4626">
            <v>0</v>
          </cell>
          <cell r="G4626">
            <v>0</v>
          </cell>
          <cell r="H4626">
            <v>0</v>
          </cell>
          <cell r="I4626">
            <v>0</v>
          </cell>
          <cell r="J4626">
            <v>0</v>
          </cell>
        </row>
        <row r="4627">
          <cell r="A4627">
            <v>1815810263</v>
          </cell>
          <cell r="B4627" t="str">
            <v>עובדי מינהלה</v>
          </cell>
          <cell r="C4627">
            <v>0</v>
          </cell>
          <cell r="D4627">
            <v>0</v>
          </cell>
          <cell r="E4627">
            <v>0</v>
          </cell>
          <cell r="F4627">
            <v>0</v>
          </cell>
          <cell r="G4627">
            <v>0</v>
          </cell>
          <cell r="H4627">
            <v>0</v>
          </cell>
          <cell r="I4627">
            <v>0</v>
          </cell>
          <cell r="J4627">
            <v>0</v>
          </cell>
        </row>
        <row r="4628">
          <cell r="A4628">
            <v>1815810420</v>
          </cell>
          <cell r="B4628" t="str">
            <v>כיבןי אש</v>
          </cell>
          <cell r="C4628">
            <v>6650</v>
          </cell>
          <cell r="D4628">
            <v>4730.53</v>
          </cell>
          <cell r="E4628">
            <v>0</v>
          </cell>
          <cell r="F4628">
            <v>4730.53</v>
          </cell>
          <cell r="G4628">
            <v>1919.47</v>
          </cell>
          <cell r="H4628">
            <v>71.13</v>
          </cell>
          <cell r="I4628">
            <v>7000</v>
          </cell>
          <cell r="J4628">
            <v>4730.53</v>
          </cell>
        </row>
        <row r="4629">
          <cell r="A4629">
            <v>1815810431</v>
          </cell>
          <cell r="B4629" t="str">
            <v>חשמל</v>
          </cell>
          <cell r="C4629">
            <v>79990</v>
          </cell>
          <cell r="D4629">
            <v>74446</v>
          </cell>
          <cell r="E4629">
            <v>0</v>
          </cell>
          <cell r="F4629">
            <v>74446</v>
          </cell>
          <cell r="G4629">
            <v>5544</v>
          </cell>
          <cell r="H4629">
            <v>93.06</v>
          </cell>
          <cell r="I4629">
            <v>84200</v>
          </cell>
          <cell r="J4629">
            <v>74446</v>
          </cell>
        </row>
        <row r="4630">
          <cell r="A4630">
            <v>1815810432</v>
          </cell>
          <cell r="B4630" t="str">
            <v>מים</v>
          </cell>
          <cell r="C4630">
            <v>37525</v>
          </cell>
          <cell r="D4630">
            <v>34896</v>
          </cell>
          <cell r="E4630">
            <v>0</v>
          </cell>
          <cell r="F4630">
            <v>34896</v>
          </cell>
          <cell r="G4630">
            <v>2629</v>
          </cell>
          <cell r="H4630">
            <v>92.99</v>
          </cell>
          <cell r="I4630">
            <v>39500</v>
          </cell>
          <cell r="J4630">
            <v>34896</v>
          </cell>
        </row>
        <row r="4631">
          <cell r="A4631">
            <v>1815810437</v>
          </cell>
          <cell r="B4631" t="str">
            <v>אחזקת אזעקה</v>
          </cell>
          <cell r="C4631">
            <v>4750</v>
          </cell>
          <cell r="D4631">
            <v>4885.92</v>
          </cell>
          <cell r="E4631">
            <v>0</v>
          </cell>
          <cell r="F4631">
            <v>4885.92</v>
          </cell>
          <cell r="G4631">
            <v>-135.91999999999999</v>
          </cell>
          <cell r="H4631">
            <v>102.86</v>
          </cell>
          <cell r="I4631">
            <v>5000</v>
          </cell>
          <cell r="J4631">
            <v>4885.92</v>
          </cell>
        </row>
        <row r="4632">
          <cell r="A4632">
            <v>1815810450</v>
          </cell>
          <cell r="B4632" t="str">
            <v>ריהוט ואחזקתו</v>
          </cell>
          <cell r="C4632">
            <v>13490</v>
          </cell>
          <cell r="D4632">
            <v>16888</v>
          </cell>
          <cell r="E4632">
            <v>0</v>
          </cell>
          <cell r="F4632">
            <v>16888</v>
          </cell>
          <cell r="G4632">
            <v>-3398</v>
          </cell>
          <cell r="H4632">
            <v>125.18</v>
          </cell>
          <cell r="I4632">
            <v>14200</v>
          </cell>
          <cell r="J4632">
            <v>16888</v>
          </cell>
        </row>
        <row r="4633">
          <cell r="A4633">
            <v>1815810451</v>
          </cell>
          <cell r="B4633" t="str">
            <v>הוצאות גפ"ן בית ספרי</v>
          </cell>
          <cell r="C4633">
            <v>0</v>
          </cell>
          <cell r="D4633">
            <v>0</v>
          </cell>
          <cell r="E4633">
            <v>0</v>
          </cell>
          <cell r="F4633">
            <v>0</v>
          </cell>
          <cell r="G4633">
            <v>0</v>
          </cell>
          <cell r="H4633">
            <v>0</v>
          </cell>
          <cell r="I4633">
            <v>0</v>
          </cell>
          <cell r="J4633">
            <v>0</v>
          </cell>
        </row>
        <row r="4634">
          <cell r="A4634">
            <v>1815810452</v>
          </cell>
          <cell r="B4634" t="str">
            <v>השתתפות עירונית בגפ"ן</v>
          </cell>
          <cell r="C4634">
            <v>0</v>
          </cell>
          <cell r="D4634">
            <v>0</v>
          </cell>
          <cell r="E4634">
            <v>0</v>
          </cell>
          <cell r="F4634">
            <v>0</v>
          </cell>
          <cell r="G4634">
            <v>0</v>
          </cell>
          <cell r="H4634">
            <v>0</v>
          </cell>
          <cell r="I4634">
            <v>0</v>
          </cell>
          <cell r="J4634">
            <v>0</v>
          </cell>
        </row>
        <row r="4635">
          <cell r="A4635">
            <v>1815810511</v>
          </cell>
          <cell r="B4635" t="str">
            <v>אירוח וכיבוד</v>
          </cell>
          <cell r="C4635">
            <v>8550</v>
          </cell>
          <cell r="D4635">
            <v>8118.96</v>
          </cell>
          <cell r="E4635">
            <v>0</v>
          </cell>
          <cell r="F4635">
            <v>8118.96</v>
          </cell>
          <cell r="G4635">
            <v>431.04</v>
          </cell>
          <cell r="H4635">
            <v>94.95</v>
          </cell>
          <cell r="I4635">
            <v>9000</v>
          </cell>
          <cell r="J4635">
            <v>8118.96</v>
          </cell>
        </row>
        <row r="4636">
          <cell r="A4636">
            <v>1815810583</v>
          </cell>
          <cell r="B4636" t="str">
            <v>שרות רפואי</v>
          </cell>
          <cell r="C4636">
            <v>0</v>
          </cell>
          <cell r="D4636">
            <v>0</v>
          </cell>
          <cell r="E4636">
            <v>0</v>
          </cell>
          <cell r="F4636">
            <v>0</v>
          </cell>
          <cell r="G4636">
            <v>0</v>
          </cell>
          <cell r="H4636">
            <v>0</v>
          </cell>
          <cell r="I4636">
            <v>0</v>
          </cell>
          <cell r="J4636">
            <v>0</v>
          </cell>
        </row>
        <row r="4637">
          <cell r="A4637">
            <v>1815810585</v>
          </cell>
          <cell r="B4637" t="str">
            <v>שרות אחות</v>
          </cell>
          <cell r="C4637">
            <v>0</v>
          </cell>
          <cell r="D4637">
            <v>0</v>
          </cell>
          <cell r="E4637">
            <v>0</v>
          </cell>
          <cell r="F4637">
            <v>0</v>
          </cell>
          <cell r="G4637">
            <v>0</v>
          </cell>
          <cell r="H4637">
            <v>0</v>
          </cell>
          <cell r="I4637">
            <v>0</v>
          </cell>
          <cell r="J4637">
            <v>0</v>
          </cell>
        </row>
        <row r="4638">
          <cell r="A4638">
            <v>1815810742</v>
          </cell>
          <cell r="B4638" t="str">
            <v>כלים וציוד</v>
          </cell>
          <cell r="C4638">
            <v>35625</v>
          </cell>
          <cell r="D4638">
            <v>25537</v>
          </cell>
          <cell r="E4638">
            <v>0</v>
          </cell>
          <cell r="F4638">
            <v>25537</v>
          </cell>
          <cell r="G4638">
            <v>10088</v>
          </cell>
          <cell r="H4638">
            <v>71.680000000000007</v>
          </cell>
          <cell r="I4638">
            <v>37500</v>
          </cell>
          <cell r="J4638">
            <v>25537</v>
          </cell>
        </row>
        <row r="4639">
          <cell r="A4639">
            <v>1815810750</v>
          </cell>
          <cell r="B4639" t="str">
            <v>אחזקת מוסדות</v>
          </cell>
          <cell r="C4639">
            <v>504355</v>
          </cell>
          <cell r="D4639">
            <v>530900</v>
          </cell>
          <cell r="E4639">
            <v>0</v>
          </cell>
          <cell r="F4639">
            <v>530900</v>
          </cell>
          <cell r="G4639">
            <v>-26545</v>
          </cell>
          <cell r="H4639">
            <v>105.26</v>
          </cell>
          <cell r="I4639">
            <v>530900</v>
          </cell>
          <cell r="J4639">
            <v>530900</v>
          </cell>
        </row>
        <row r="4640">
          <cell r="A4640">
            <v>1815810752</v>
          </cell>
          <cell r="B4640" t="str">
            <v>נקיון בקבלנות</v>
          </cell>
          <cell r="C4640">
            <v>640775</v>
          </cell>
          <cell r="D4640">
            <v>674499.57</v>
          </cell>
          <cell r="E4640">
            <v>0</v>
          </cell>
          <cell r="F4640">
            <v>674499.57</v>
          </cell>
          <cell r="G4640">
            <v>-33724.57</v>
          </cell>
          <cell r="H4640">
            <v>105.26</v>
          </cell>
          <cell r="I4640">
            <v>674500</v>
          </cell>
          <cell r="J4640">
            <v>674499.57</v>
          </cell>
        </row>
        <row r="4641">
          <cell r="A4641">
            <v>1815810759</v>
          </cell>
          <cell r="B4641" t="str">
            <v>שרותי סייעות</v>
          </cell>
          <cell r="C4641">
            <v>2096800</v>
          </cell>
          <cell r="D4641">
            <v>2551159.04</v>
          </cell>
          <cell r="E4641">
            <v>0</v>
          </cell>
          <cell r="F4641">
            <v>2551159.04</v>
          </cell>
          <cell r="G4641">
            <v>-454359.03999999998</v>
          </cell>
          <cell r="H4641">
            <v>121.66</v>
          </cell>
          <cell r="I4641">
            <v>2096800</v>
          </cell>
          <cell r="J4641">
            <v>2551159.04</v>
          </cell>
        </row>
        <row r="4642">
          <cell r="A4642">
            <v>1815810762</v>
          </cell>
          <cell r="B4642" t="str">
            <v>שאילת מורים</v>
          </cell>
          <cell r="C4642">
            <v>107255</v>
          </cell>
          <cell r="D4642">
            <v>0</v>
          </cell>
          <cell r="E4642">
            <v>0</v>
          </cell>
          <cell r="F4642">
            <v>0</v>
          </cell>
          <cell r="G4642">
            <v>107255</v>
          </cell>
          <cell r="H4642">
            <v>0</v>
          </cell>
          <cell r="I4642">
            <v>112900</v>
          </cell>
          <cell r="J4642">
            <v>0</v>
          </cell>
        </row>
        <row r="4643">
          <cell r="A4643">
            <v>1815810780</v>
          </cell>
          <cell r="B4643" t="str">
            <v>חינוך חברתי</v>
          </cell>
          <cell r="C4643">
            <v>9975</v>
          </cell>
          <cell r="D4643">
            <v>9792</v>
          </cell>
          <cell r="E4643">
            <v>0</v>
          </cell>
          <cell r="F4643">
            <v>9792</v>
          </cell>
          <cell r="G4643">
            <v>183</v>
          </cell>
          <cell r="H4643">
            <v>98.16</v>
          </cell>
          <cell r="I4643">
            <v>10500</v>
          </cell>
          <cell r="J4643">
            <v>9792</v>
          </cell>
        </row>
        <row r="4644">
          <cell r="A4644">
            <v>1815810781</v>
          </cell>
          <cell r="B4644" t="str">
            <v>הפעלת ביה"ס</v>
          </cell>
          <cell r="C4644">
            <v>0</v>
          </cell>
          <cell r="D4644">
            <v>0</v>
          </cell>
          <cell r="E4644">
            <v>0</v>
          </cell>
          <cell r="F4644">
            <v>0</v>
          </cell>
          <cell r="G4644">
            <v>0</v>
          </cell>
          <cell r="H4644">
            <v>0</v>
          </cell>
          <cell r="I4644">
            <v>0</v>
          </cell>
          <cell r="J4644">
            <v>0</v>
          </cell>
        </row>
        <row r="4645">
          <cell r="A4645">
            <v>1815810810</v>
          </cell>
          <cell r="B4645" t="str">
            <v>הקצבה לניהול עצמי</v>
          </cell>
          <cell r="C4645">
            <v>237500</v>
          </cell>
          <cell r="D4645">
            <v>250000</v>
          </cell>
          <cell r="E4645">
            <v>0</v>
          </cell>
          <cell r="F4645">
            <v>250000</v>
          </cell>
          <cell r="G4645">
            <v>-12500</v>
          </cell>
          <cell r="H4645">
            <v>105.26</v>
          </cell>
          <cell r="I4645">
            <v>250000</v>
          </cell>
          <cell r="J4645">
            <v>250000</v>
          </cell>
        </row>
        <row r="4646">
          <cell r="A4646">
            <v>1815810812</v>
          </cell>
          <cell r="B4646" t="str">
            <v>מסיבות כיתתיות</v>
          </cell>
          <cell r="C4646">
            <v>11875</v>
          </cell>
          <cell r="D4646">
            <v>14520</v>
          </cell>
          <cell r="E4646">
            <v>0</v>
          </cell>
          <cell r="F4646">
            <v>14520</v>
          </cell>
          <cell r="G4646">
            <v>-2645</v>
          </cell>
          <cell r="H4646">
            <v>122.27</v>
          </cell>
          <cell r="I4646">
            <v>12500</v>
          </cell>
          <cell r="J4646">
            <v>14520</v>
          </cell>
        </row>
        <row r="4647">
          <cell r="A4647">
            <v>1815810816</v>
          </cell>
          <cell r="B4647" t="str">
            <v>חט"ב - הכלה והשתלבות</v>
          </cell>
          <cell r="C4647">
            <v>0</v>
          </cell>
          <cell r="D4647">
            <v>0</v>
          </cell>
          <cell r="E4647">
            <v>0</v>
          </cell>
          <cell r="F4647">
            <v>0</v>
          </cell>
          <cell r="G4647">
            <v>0</v>
          </cell>
          <cell r="H4647">
            <v>0</v>
          </cell>
          <cell r="I4647">
            <v>0</v>
          </cell>
          <cell r="J4647">
            <v>0</v>
          </cell>
        </row>
        <row r="4648">
          <cell r="A4648">
            <v>1815810838</v>
          </cell>
          <cell r="B4648" t="str">
            <v>העברה כנגד הכנסות מש' החינוך</v>
          </cell>
          <cell r="C4648">
            <v>0</v>
          </cell>
          <cell r="D4648">
            <v>0</v>
          </cell>
          <cell r="E4648">
            <v>0</v>
          </cell>
          <cell r="F4648">
            <v>0</v>
          </cell>
          <cell r="G4648">
            <v>0</v>
          </cell>
          <cell r="H4648">
            <v>0</v>
          </cell>
          <cell r="I4648">
            <v>0</v>
          </cell>
          <cell r="J4648">
            <v>0</v>
          </cell>
        </row>
        <row r="4649">
          <cell r="A4649">
            <v>1815810953</v>
          </cell>
          <cell r="B4649" t="str">
            <v>מערכת גפ"ן</v>
          </cell>
          <cell r="C4649">
            <v>656070</v>
          </cell>
          <cell r="D4649">
            <v>853993.26</v>
          </cell>
          <cell r="E4649">
            <v>0</v>
          </cell>
          <cell r="F4649">
            <v>853993.26</v>
          </cell>
          <cell r="G4649">
            <v>-197923.26</v>
          </cell>
          <cell r="H4649">
            <v>130.16</v>
          </cell>
          <cell r="I4649">
            <v>690600</v>
          </cell>
          <cell r="J4649">
            <v>853993.26</v>
          </cell>
        </row>
        <row r="4650">
          <cell r="A4650">
            <v>1815810989</v>
          </cell>
          <cell r="B4650" t="str">
            <v>תקורה</v>
          </cell>
          <cell r="C4650">
            <v>825360</v>
          </cell>
          <cell r="D4650">
            <v>1032972</v>
          </cell>
          <cell r="E4650">
            <v>0</v>
          </cell>
          <cell r="F4650">
            <v>1032972</v>
          </cell>
          <cell r="G4650">
            <v>-207612</v>
          </cell>
          <cell r="H4650">
            <v>125.15</v>
          </cell>
          <cell r="I4650">
            <v>868800</v>
          </cell>
          <cell r="J4650">
            <v>1032972</v>
          </cell>
        </row>
        <row r="4651">
          <cell r="A4651">
            <v>1815820118</v>
          </cell>
          <cell r="B4651" t="str">
            <v>שכר עובדי הוראה</v>
          </cell>
          <cell r="C4651">
            <v>5981200</v>
          </cell>
          <cell r="D4651">
            <v>7707444.1799999997</v>
          </cell>
          <cell r="E4651">
            <v>0</v>
          </cell>
          <cell r="F4651">
            <v>7707444.1799999997</v>
          </cell>
          <cell r="G4651">
            <v>-1726244.18</v>
          </cell>
          <cell r="H4651">
            <v>128.86000000000001</v>
          </cell>
          <cell r="I4651">
            <v>6296000</v>
          </cell>
          <cell r="J4651">
            <v>7707444.1799999997</v>
          </cell>
        </row>
        <row r="4652">
          <cell r="A4652">
            <v>1815820119</v>
          </cell>
          <cell r="B4652" t="str">
            <v>השכר הקובע-צוברת</v>
          </cell>
          <cell r="C4652">
            <v>226000</v>
          </cell>
          <cell r="D4652">
            <v>245323.31</v>
          </cell>
          <cell r="E4652">
            <v>46435.23</v>
          </cell>
          <cell r="F4652">
            <v>291758.53999999998</v>
          </cell>
          <cell r="G4652">
            <v>-65758.539999999994</v>
          </cell>
          <cell r="H4652">
            <v>129.09</v>
          </cell>
          <cell r="I4652">
            <v>226000</v>
          </cell>
          <cell r="J4652">
            <v>245323.31</v>
          </cell>
        </row>
        <row r="4653">
          <cell r="A4653">
            <v>1815820122</v>
          </cell>
          <cell r="B4653" t="str">
            <v>ביגוד</v>
          </cell>
          <cell r="C4653">
            <v>64885</v>
          </cell>
          <cell r="D4653">
            <v>75634.41</v>
          </cell>
          <cell r="E4653">
            <v>0</v>
          </cell>
          <cell r="F4653">
            <v>75634.41</v>
          </cell>
          <cell r="G4653">
            <v>-10749.41</v>
          </cell>
          <cell r="H4653">
            <v>116.56</v>
          </cell>
          <cell r="I4653">
            <v>68300</v>
          </cell>
          <cell r="J4653">
            <v>75634.41</v>
          </cell>
        </row>
        <row r="4654">
          <cell r="A4654">
            <v>1815820126</v>
          </cell>
          <cell r="B4654" t="str">
            <v>דמי הבראה</v>
          </cell>
          <cell r="C4654">
            <v>132050</v>
          </cell>
          <cell r="D4654">
            <v>153842.43</v>
          </cell>
          <cell r="E4654">
            <v>0</v>
          </cell>
          <cell r="F4654">
            <v>153842.43</v>
          </cell>
          <cell r="G4654">
            <v>-21792.43</v>
          </cell>
          <cell r="H4654">
            <v>116.5</v>
          </cell>
          <cell r="I4654">
            <v>139000</v>
          </cell>
          <cell r="J4654">
            <v>153842.43</v>
          </cell>
        </row>
        <row r="4655">
          <cell r="A4655">
            <v>1815820130</v>
          </cell>
          <cell r="B4655" t="str">
            <v>שעות נוספות</v>
          </cell>
          <cell r="C4655">
            <v>0</v>
          </cell>
          <cell r="D4655">
            <v>0</v>
          </cell>
          <cell r="E4655">
            <v>0</v>
          </cell>
          <cell r="F4655">
            <v>0</v>
          </cell>
          <cell r="G4655">
            <v>0</v>
          </cell>
          <cell r="H4655">
            <v>0</v>
          </cell>
          <cell r="I4655">
            <v>0</v>
          </cell>
          <cell r="J4655">
            <v>0</v>
          </cell>
        </row>
        <row r="4656">
          <cell r="A4656">
            <v>1815820140</v>
          </cell>
          <cell r="B4656" t="str">
            <v>השתתפות באחזקת רכב</v>
          </cell>
          <cell r="C4656">
            <v>0</v>
          </cell>
          <cell r="D4656">
            <v>880.53</v>
          </cell>
          <cell r="E4656">
            <v>0</v>
          </cell>
          <cell r="F4656">
            <v>880.53</v>
          </cell>
          <cell r="G4656">
            <v>-880.53</v>
          </cell>
          <cell r="H4656">
            <v>0</v>
          </cell>
          <cell r="I4656">
            <v>0</v>
          </cell>
          <cell r="J4656">
            <v>880.53</v>
          </cell>
        </row>
        <row r="4657">
          <cell r="A4657">
            <v>1815820210</v>
          </cell>
          <cell r="B4657" t="str">
            <v>השכר הקובע</v>
          </cell>
          <cell r="C4657">
            <v>0</v>
          </cell>
          <cell r="D4657">
            <v>7378.86</v>
          </cell>
          <cell r="E4657">
            <v>0</v>
          </cell>
          <cell r="F4657">
            <v>7378.86</v>
          </cell>
          <cell r="G4657">
            <v>-7378.86</v>
          </cell>
          <cell r="H4657">
            <v>0</v>
          </cell>
          <cell r="I4657">
            <v>0</v>
          </cell>
          <cell r="J4657">
            <v>7378.86</v>
          </cell>
        </row>
        <row r="4658">
          <cell r="A4658">
            <v>1815820212</v>
          </cell>
          <cell r="B4658" t="str">
            <v>שעורי עזר לעולים</v>
          </cell>
          <cell r="C4658">
            <v>0</v>
          </cell>
          <cell r="D4658">
            <v>0</v>
          </cell>
          <cell r="E4658">
            <v>0</v>
          </cell>
          <cell r="F4658">
            <v>0</v>
          </cell>
          <cell r="G4658">
            <v>0</v>
          </cell>
          <cell r="H4658">
            <v>0</v>
          </cell>
          <cell r="I4658">
            <v>0</v>
          </cell>
          <cell r="J4658">
            <v>0</v>
          </cell>
        </row>
        <row r="4659">
          <cell r="A4659">
            <v>1815820213</v>
          </cell>
          <cell r="B4659" t="str">
            <v>שעורי עזר לנכים</v>
          </cell>
          <cell r="C4659">
            <v>0</v>
          </cell>
          <cell r="D4659">
            <v>76818.78</v>
          </cell>
          <cell r="E4659">
            <v>0</v>
          </cell>
          <cell r="F4659">
            <v>76818.78</v>
          </cell>
          <cell r="G4659">
            <v>-76818.78</v>
          </cell>
          <cell r="H4659">
            <v>0</v>
          </cell>
          <cell r="I4659">
            <v>0</v>
          </cell>
          <cell r="J4659">
            <v>76818.78</v>
          </cell>
        </row>
        <row r="4660">
          <cell r="A4660">
            <v>1815820214</v>
          </cell>
          <cell r="B4660" t="str">
            <v>שעורי עזר לתלמידים</v>
          </cell>
          <cell r="C4660">
            <v>0</v>
          </cell>
          <cell r="D4660">
            <v>0</v>
          </cell>
          <cell r="E4660">
            <v>0</v>
          </cell>
          <cell r="F4660">
            <v>0</v>
          </cell>
          <cell r="G4660">
            <v>0</v>
          </cell>
          <cell r="H4660">
            <v>0</v>
          </cell>
          <cell r="I4660">
            <v>0</v>
          </cell>
          <cell r="J4660">
            <v>0</v>
          </cell>
        </row>
        <row r="4661">
          <cell r="A4661">
            <v>1815820215</v>
          </cell>
          <cell r="B4661" t="str">
            <v>קייטנת קיץ בחטיבות ותיכוניים</v>
          </cell>
          <cell r="C4661">
            <v>0</v>
          </cell>
          <cell r="D4661">
            <v>0</v>
          </cell>
          <cell r="E4661">
            <v>0</v>
          </cell>
          <cell r="F4661">
            <v>0</v>
          </cell>
          <cell r="G4661">
            <v>0</v>
          </cell>
          <cell r="H4661">
            <v>0</v>
          </cell>
          <cell r="I4661">
            <v>0</v>
          </cell>
          <cell r="J4661">
            <v>0</v>
          </cell>
        </row>
        <row r="4662">
          <cell r="A4662">
            <v>1815820216</v>
          </cell>
          <cell r="B4662" t="str">
            <v>פרויקט גימלאים</v>
          </cell>
          <cell r="C4662">
            <v>0</v>
          </cell>
          <cell r="D4662">
            <v>0</v>
          </cell>
          <cell r="E4662">
            <v>0</v>
          </cell>
          <cell r="F4662">
            <v>0</v>
          </cell>
          <cell r="G4662">
            <v>0</v>
          </cell>
          <cell r="H4662">
            <v>0</v>
          </cell>
          <cell r="I4662">
            <v>0</v>
          </cell>
          <cell r="J4662">
            <v>0</v>
          </cell>
        </row>
        <row r="4663">
          <cell r="A4663">
            <v>1815820261</v>
          </cell>
          <cell r="B4663" t="str">
            <v>תכנית גי"א / מש"ב</v>
          </cell>
          <cell r="C4663">
            <v>0</v>
          </cell>
          <cell r="D4663">
            <v>0</v>
          </cell>
          <cell r="E4663">
            <v>0</v>
          </cell>
          <cell r="F4663">
            <v>0</v>
          </cell>
          <cell r="G4663">
            <v>0</v>
          </cell>
          <cell r="H4663">
            <v>0</v>
          </cell>
          <cell r="I4663">
            <v>0</v>
          </cell>
          <cell r="J4663">
            <v>0</v>
          </cell>
        </row>
        <row r="4664">
          <cell r="A4664">
            <v>1815820263</v>
          </cell>
          <cell r="B4664" t="str">
            <v>עובדי חברה</v>
          </cell>
          <cell r="C4664">
            <v>0</v>
          </cell>
          <cell r="D4664">
            <v>35151.57</v>
          </cell>
          <cell r="E4664">
            <v>0</v>
          </cell>
          <cell r="F4664">
            <v>35151.57</v>
          </cell>
          <cell r="G4664">
            <v>-35151.57</v>
          </cell>
          <cell r="H4664">
            <v>0</v>
          </cell>
          <cell r="I4664">
            <v>0</v>
          </cell>
          <cell r="J4664">
            <v>35151.57</v>
          </cell>
        </row>
        <row r="4665">
          <cell r="A4665">
            <v>1815820420</v>
          </cell>
          <cell r="B4665" t="str">
            <v>כיבוי אש</v>
          </cell>
          <cell r="C4665">
            <v>1900</v>
          </cell>
          <cell r="D4665">
            <v>0</v>
          </cell>
          <cell r="E4665">
            <v>0</v>
          </cell>
          <cell r="F4665">
            <v>0</v>
          </cell>
          <cell r="G4665">
            <v>1900</v>
          </cell>
          <cell r="H4665">
            <v>0</v>
          </cell>
          <cell r="I4665">
            <v>2000</v>
          </cell>
          <cell r="J4665">
            <v>0</v>
          </cell>
        </row>
        <row r="4666">
          <cell r="A4666">
            <v>1815820423</v>
          </cell>
          <cell r="B4666" t="str">
            <v>תחזוקת מבנה</v>
          </cell>
          <cell r="C4666">
            <v>0</v>
          </cell>
          <cell r="D4666">
            <v>0</v>
          </cell>
          <cell r="E4666">
            <v>0</v>
          </cell>
          <cell r="F4666">
            <v>0</v>
          </cell>
          <cell r="G4666">
            <v>0</v>
          </cell>
          <cell r="H4666">
            <v>0</v>
          </cell>
          <cell r="I4666">
            <v>0</v>
          </cell>
          <cell r="J4666">
            <v>0</v>
          </cell>
        </row>
        <row r="4667">
          <cell r="A4667">
            <v>1815820431</v>
          </cell>
          <cell r="B4667" t="str">
            <v>חשמל</v>
          </cell>
          <cell r="C4667">
            <v>38000</v>
          </cell>
          <cell r="D4667">
            <v>36665</v>
          </cell>
          <cell r="E4667">
            <v>0</v>
          </cell>
          <cell r="F4667">
            <v>36665</v>
          </cell>
          <cell r="G4667">
            <v>1335</v>
          </cell>
          <cell r="H4667">
            <v>96.48</v>
          </cell>
          <cell r="I4667">
            <v>40000</v>
          </cell>
          <cell r="J4667">
            <v>36665</v>
          </cell>
        </row>
        <row r="4668">
          <cell r="A4668">
            <v>1815820432</v>
          </cell>
          <cell r="B4668" t="str">
            <v>מים</v>
          </cell>
          <cell r="C4668">
            <v>14250</v>
          </cell>
          <cell r="D4668">
            <v>13750</v>
          </cell>
          <cell r="E4668">
            <v>0</v>
          </cell>
          <cell r="F4668">
            <v>13750</v>
          </cell>
          <cell r="G4668">
            <v>500</v>
          </cell>
          <cell r="H4668">
            <v>96.49</v>
          </cell>
          <cell r="I4668">
            <v>15000</v>
          </cell>
          <cell r="J4668">
            <v>13750</v>
          </cell>
        </row>
        <row r="4669">
          <cell r="A4669">
            <v>1815820437</v>
          </cell>
          <cell r="B4669" t="str">
            <v>אחזקת אזעקה</v>
          </cell>
          <cell r="C4669">
            <v>1330</v>
          </cell>
          <cell r="D4669">
            <v>1221.48</v>
          </cell>
          <cell r="E4669">
            <v>0</v>
          </cell>
          <cell r="F4669">
            <v>1221.48</v>
          </cell>
          <cell r="G4669">
            <v>108.52</v>
          </cell>
          <cell r="H4669">
            <v>91.84</v>
          </cell>
          <cell r="I4669">
            <v>1400</v>
          </cell>
          <cell r="J4669">
            <v>1221.48</v>
          </cell>
        </row>
        <row r="4670">
          <cell r="A4670">
            <v>1815820450</v>
          </cell>
          <cell r="B4670" t="str">
            <v>ריהוט ואחזקתו</v>
          </cell>
          <cell r="C4670">
            <v>5415</v>
          </cell>
          <cell r="D4670">
            <v>7151</v>
          </cell>
          <cell r="E4670">
            <v>0</v>
          </cell>
          <cell r="F4670">
            <v>7151</v>
          </cell>
          <cell r="G4670">
            <v>-1736</v>
          </cell>
          <cell r="H4670">
            <v>132.05000000000001</v>
          </cell>
          <cell r="I4670">
            <v>5700</v>
          </cell>
          <cell r="J4670">
            <v>7151</v>
          </cell>
        </row>
        <row r="4671">
          <cell r="A4671">
            <v>1815820451</v>
          </cell>
          <cell r="B4671" t="str">
            <v>הוצאות גפ"ן בית ספרי</v>
          </cell>
          <cell r="C4671">
            <v>0</v>
          </cell>
          <cell r="D4671">
            <v>0</v>
          </cell>
          <cell r="E4671">
            <v>0</v>
          </cell>
          <cell r="F4671">
            <v>0</v>
          </cell>
          <cell r="G4671">
            <v>0</v>
          </cell>
          <cell r="H4671">
            <v>0</v>
          </cell>
          <cell r="I4671">
            <v>0</v>
          </cell>
          <cell r="J4671">
            <v>0</v>
          </cell>
        </row>
        <row r="4672">
          <cell r="A4672">
            <v>1815820452</v>
          </cell>
          <cell r="B4672" t="str">
            <v>השתתפות עירונית בגפ"ן</v>
          </cell>
          <cell r="C4672">
            <v>0</v>
          </cell>
          <cell r="D4672">
            <v>0</v>
          </cell>
          <cell r="E4672">
            <v>0</v>
          </cell>
          <cell r="F4672">
            <v>0</v>
          </cell>
          <cell r="G4672">
            <v>0</v>
          </cell>
          <cell r="H4672">
            <v>0</v>
          </cell>
          <cell r="I4672">
            <v>0</v>
          </cell>
          <cell r="J4672">
            <v>0</v>
          </cell>
        </row>
        <row r="4673">
          <cell r="A4673">
            <v>1815820511</v>
          </cell>
          <cell r="B4673" t="str">
            <v>אירוח וכיבוד</v>
          </cell>
          <cell r="C4673">
            <v>3895</v>
          </cell>
          <cell r="D4673">
            <v>4817.08</v>
          </cell>
          <cell r="E4673">
            <v>0</v>
          </cell>
          <cell r="F4673">
            <v>4817.08</v>
          </cell>
          <cell r="G4673">
            <v>-922.08</v>
          </cell>
          <cell r="H4673">
            <v>123.67</v>
          </cell>
          <cell r="I4673">
            <v>4100</v>
          </cell>
          <cell r="J4673">
            <v>4817.08</v>
          </cell>
        </row>
        <row r="4674">
          <cell r="A4674">
            <v>1815820530</v>
          </cell>
          <cell r="B4674" t="str">
            <v>אופניים לעובדים</v>
          </cell>
          <cell r="C4674">
            <v>0</v>
          </cell>
          <cell r="D4674">
            <v>0</v>
          </cell>
          <cell r="E4674">
            <v>0</v>
          </cell>
          <cell r="F4674">
            <v>0</v>
          </cell>
          <cell r="G4674">
            <v>0</v>
          </cell>
          <cell r="H4674">
            <v>0</v>
          </cell>
          <cell r="I4674">
            <v>0</v>
          </cell>
          <cell r="J4674">
            <v>0</v>
          </cell>
        </row>
        <row r="4675">
          <cell r="A4675">
            <v>1815820583</v>
          </cell>
          <cell r="B4675" t="str">
            <v>שרות רפואי</v>
          </cell>
          <cell r="C4675">
            <v>0</v>
          </cell>
          <cell r="D4675">
            <v>0</v>
          </cell>
          <cell r="E4675">
            <v>0</v>
          </cell>
          <cell r="F4675">
            <v>0</v>
          </cell>
          <cell r="G4675">
            <v>0</v>
          </cell>
          <cell r="H4675">
            <v>0</v>
          </cell>
          <cell r="I4675">
            <v>0</v>
          </cell>
          <cell r="J4675">
            <v>0</v>
          </cell>
        </row>
        <row r="4676">
          <cell r="A4676">
            <v>1815820585</v>
          </cell>
          <cell r="B4676" t="str">
            <v>שרות אחות</v>
          </cell>
          <cell r="C4676">
            <v>0</v>
          </cell>
          <cell r="D4676">
            <v>0</v>
          </cell>
          <cell r="E4676">
            <v>0</v>
          </cell>
          <cell r="F4676">
            <v>0</v>
          </cell>
          <cell r="G4676">
            <v>0</v>
          </cell>
          <cell r="H4676">
            <v>0</v>
          </cell>
          <cell r="I4676">
            <v>0</v>
          </cell>
          <cell r="J4676">
            <v>0</v>
          </cell>
        </row>
        <row r="4677">
          <cell r="A4677">
            <v>1815820721</v>
          </cell>
          <cell r="B4677" t="str">
            <v>חמרים-תחזוקת מבנים</v>
          </cell>
          <cell r="C4677">
            <v>0</v>
          </cell>
          <cell r="D4677">
            <v>0</v>
          </cell>
          <cell r="E4677">
            <v>0</v>
          </cell>
          <cell r="F4677">
            <v>0</v>
          </cell>
          <cell r="G4677">
            <v>0</v>
          </cell>
          <cell r="H4677">
            <v>0</v>
          </cell>
          <cell r="I4677">
            <v>0</v>
          </cell>
          <cell r="J4677">
            <v>0</v>
          </cell>
        </row>
        <row r="4678">
          <cell r="A4678">
            <v>1815820742</v>
          </cell>
          <cell r="B4678" t="str">
            <v>כלים וציוד</v>
          </cell>
          <cell r="C4678">
            <v>48450</v>
          </cell>
          <cell r="D4678">
            <v>54424</v>
          </cell>
          <cell r="E4678">
            <v>0</v>
          </cell>
          <cell r="F4678">
            <v>54424</v>
          </cell>
          <cell r="G4678">
            <v>-5974</v>
          </cell>
          <cell r="H4678">
            <v>112.33</v>
          </cell>
          <cell r="I4678">
            <v>51000</v>
          </cell>
          <cell r="J4678">
            <v>54424</v>
          </cell>
        </row>
        <row r="4679">
          <cell r="A4679">
            <v>1815820750</v>
          </cell>
          <cell r="B4679" t="str">
            <v>אחזקת מוסדות</v>
          </cell>
          <cell r="C4679">
            <v>231515</v>
          </cell>
          <cell r="D4679">
            <v>230646</v>
          </cell>
          <cell r="E4679">
            <v>0</v>
          </cell>
          <cell r="F4679">
            <v>230646</v>
          </cell>
          <cell r="G4679">
            <v>869</v>
          </cell>
          <cell r="H4679">
            <v>99.62</v>
          </cell>
          <cell r="I4679">
            <v>243700</v>
          </cell>
          <cell r="J4679">
            <v>230646</v>
          </cell>
        </row>
        <row r="4680">
          <cell r="A4680">
            <v>1815820751</v>
          </cell>
          <cell r="B4680" t="str">
            <v>עבודות קבלניות</v>
          </cell>
          <cell r="C4680">
            <v>0</v>
          </cell>
          <cell r="D4680">
            <v>0</v>
          </cell>
          <cell r="E4680">
            <v>0</v>
          </cell>
          <cell r="F4680">
            <v>0</v>
          </cell>
          <cell r="G4680">
            <v>0</v>
          </cell>
          <cell r="H4680">
            <v>0</v>
          </cell>
          <cell r="I4680">
            <v>0</v>
          </cell>
          <cell r="J4680">
            <v>0</v>
          </cell>
        </row>
        <row r="4681">
          <cell r="A4681">
            <v>1815820752</v>
          </cell>
          <cell r="B4681" t="str">
            <v>נקיון בקבלנות</v>
          </cell>
          <cell r="C4681">
            <v>316825</v>
          </cell>
          <cell r="D4681">
            <v>333499.89</v>
          </cell>
          <cell r="E4681">
            <v>0</v>
          </cell>
          <cell r="F4681">
            <v>333499.89</v>
          </cell>
          <cell r="G4681">
            <v>-16674.89</v>
          </cell>
          <cell r="H4681">
            <v>105.26</v>
          </cell>
          <cell r="I4681">
            <v>333500</v>
          </cell>
          <cell r="J4681">
            <v>333499.89</v>
          </cell>
        </row>
        <row r="4682">
          <cell r="A4682">
            <v>1815820780</v>
          </cell>
          <cell r="B4682" t="str">
            <v>חינוך חברתי</v>
          </cell>
          <cell r="C4682">
            <v>7885</v>
          </cell>
          <cell r="D4682">
            <v>7977</v>
          </cell>
          <cell r="E4682">
            <v>0</v>
          </cell>
          <cell r="F4682">
            <v>7977</v>
          </cell>
          <cell r="G4682">
            <v>-92</v>
          </cell>
          <cell r="H4682">
            <v>101.16</v>
          </cell>
          <cell r="I4682">
            <v>8300</v>
          </cell>
          <cell r="J4682">
            <v>7977</v>
          </cell>
        </row>
        <row r="4683">
          <cell r="A4683">
            <v>1815820794</v>
          </cell>
          <cell r="B4683" t="str">
            <v>השתתפות בעזר 094</v>
          </cell>
          <cell r="C4683">
            <v>0</v>
          </cell>
          <cell r="D4683">
            <v>0</v>
          </cell>
          <cell r="E4683">
            <v>0</v>
          </cell>
          <cell r="F4683">
            <v>0</v>
          </cell>
          <cell r="G4683">
            <v>0</v>
          </cell>
          <cell r="H4683">
            <v>0</v>
          </cell>
          <cell r="I4683">
            <v>0</v>
          </cell>
          <cell r="J4683">
            <v>0</v>
          </cell>
        </row>
        <row r="4684">
          <cell r="A4684">
            <v>1815820810</v>
          </cell>
          <cell r="B4684" t="str">
            <v>הקצבה לניהול עצמי</v>
          </cell>
          <cell r="C4684">
            <v>57475</v>
          </cell>
          <cell r="D4684">
            <v>0</v>
          </cell>
          <cell r="E4684">
            <v>0</v>
          </cell>
          <cell r="F4684">
            <v>0</v>
          </cell>
          <cell r="G4684">
            <v>57475</v>
          </cell>
          <cell r="H4684">
            <v>0</v>
          </cell>
          <cell r="I4684">
            <v>60500</v>
          </cell>
          <cell r="J4684">
            <v>0</v>
          </cell>
        </row>
        <row r="4685">
          <cell r="A4685">
            <v>1815820812</v>
          </cell>
          <cell r="B4685" t="str">
            <v>מסיבות כיתתיות</v>
          </cell>
          <cell r="C4685">
            <v>8550</v>
          </cell>
          <cell r="D4685">
            <v>7524</v>
          </cell>
          <cell r="E4685">
            <v>0</v>
          </cell>
          <cell r="F4685">
            <v>7524</v>
          </cell>
          <cell r="G4685">
            <v>1026</v>
          </cell>
          <cell r="H4685">
            <v>88</v>
          </cell>
          <cell r="I4685">
            <v>9000</v>
          </cell>
          <cell r="J4685">
            <v>7524</v>
          </cell>
        </row>
        <row r="4686">
          <cell r="A4686">
            <v>1815820924</v>
          </cell>
          <cell r="B4686" t="str">
            <v>לימודי יהדות</v>
          </cell>
          <cell r="C4686">
            <v>0</v>
          </cell>
          <cell r="D4686">
            <v>0</v>
          </cell>
          <cell r="E4686">
            <v>0</v>
          </cell>
          <cell r="F4686">
            <v>0</v>
          </cell>
          <cell r="G4686">
            <v>0</v>
          </cell>
          <cell r="H4686">
            <v>0</v>
          </cell>
          <cell r="I4686">
            <v>0</v>
          </cell>
          <cell r="J4686">
            <v>0</v>
          </cell>
        </row>
        <row r="4687">
          <cell r="A4687">
            <v>1815820953</v>
          </cell>
          <cell r="B4687" t="str">
            <v>מערכת גפ"ן</v>
          </cell>
          <cell r="C4687">
            <v>353400</v>
          </cell>
          <cell r="D4687">
            <v>425474.45</v>
          </cell>
          <cell r="E4687">
            <v>0</v>
          </cell>
          <cell r="F4687">
            <v>425474.45</v>
          </cell>
          <cell r="G4687">
            <v>-72074.45</v>
          </cell>
          <cell r="H4687">
            <v>120.39</v>
          </cell>
          <cell r="I4687">
            <v>372000</v>
          </cell>
          <cell r="J4687">
            <v>425474.45</v>
          </cell>
        </row>
        <row r="4688">
          <cell r="A4688">
            <v>1815820989</v>
          </cell>
          <cell r="B4688" t="str">
            <v>תקורה</v>
          </cell>
          <cell r="C4688">
            <v>446975</v>
          </cell>
          <cell r="D4688">
            <v>563107</v>
          </cell>
          <cell r="E4688">
            <v>0</v>
          </cell>
          <cell r="F4688">
            <v>563107</v>
          </cell>
          <cell r="G4688">
            <v>-116132</v>
          </cell>
          <cell r="H4688">
            <v>125.98</v>
          </cell>
          <cell r="I4688">
            <v>470500</v>
          </cell>
          <cell r="J4688">
            <v>563107</v>
          </cell>
        </row>
        <row r="4689">
          <cell r="A4689">
            <v>1815830118</v>
          </cell>
          <cell r="B4689" t="str">
            <v>שכר עובדי הוראה</v>
          </cell>
          <cell r="C4689">
            <v>0</v>
          </cell>
          <cell r="D4689">
            <v>0</v>
          </cell>
          <cell r="E4689">
            <v>0</v>
          </cell>
          <cell r="F4689">
            <v>0</v>
          </cell>
          <cell r="G4689">
            <v>0</v>
          </cell>
          <cell r="H4689">
            <v>0</v>
          </cell>
          <cell r="I4689">
            <v>0</v>
          </cell>
          <cell r="J4689">
            <v>0</v>
          </cell>
        </row>
        <row r="4690">
          <cell r="A4690">
            <v>1815830119</v>
          </cell>
          <cell r="B4690" t="str">
            <v>השכר הקובע-צוברת</v>
          </cell>
          <cell r="C4690">
            <v>270370</v>
          </cell>
          <cell r="D4690">
            <v>218925.74</v>
          </cell>
          <cell r="E4690">
            <v>0</v>
          </cell>
          <cell r="F4690">
            <v>218925.74</v>
          </cell>
          <cell r="G4690">
            <v>51444.26</v>
          </cell>
          <cell r="H4690">
            <v>80.97</v>
          </cell>
          <cell r="I4690">
            <v>284600</v>
          </cell>
          <cell r="J4690">
            <v>218925.74</v>
          </cell>
        </row>
        <row r="4691">
          <cell r="A4691">
            <v>1815830122</v>
          </cell>
          <cell r="B4691" t="str">
            <v>ביגוד</v>
          </cell>
          <cell r="C4691">
            <v>0</v>
          </cell>
          <cell r="D4691">
            <v>4349.3</v>
          </cell>
          <cell r="E4691">
            <v>0</v>
          </cell>
          <cell r="F4691">
            <v>4349.3</v>
          </cell>
          <cell r="G4691">
            <v>-4349.3</v>
          </cell>
          <cell r="H4691">
            <v>0</v>
          </cell>
          <cell r="I4691">
            <v>0</v>
          </cell>
          <cell r="J4691">
            <v>4349.3</v>
          </cell>
        </row>
        <row r="4692">
          <cell r="A4692">
            <v>1815830126</v>
          </cell>
          <cell r="B4692" t="str">
            <v>דמי הבראה</v>
          </cell>
          <cell r="C4692">
            <v>0</v>
          </cell>
          <cell r="D4692">
            <v>7057.31</v>
          </cell>
          <cell r="E4692">
            <v>0</v>
          </cell>
          <cell r="F4692">
            <v>7057.31</v>
          </cell>
          <cell r="G4692">
            <v>-7057.31</v>
          </cell>
          <cell r="H4692">
            <v>0</v>
          </cell>
          <cell r="I4692">
            <v>0</v>
          </cell>
          <cell r="J4692">
            <v>7057.31</v>
          </cell>
        </row>
        <row r="4693">
          <cell r="A4693">
            <v>1815830140</v>
          </cell>
          <cell r="B4693" t="str">
            <v>השתתפות באחזקת רכב</v>
          </cell>
          <cell r="C4693">
            <v>0</v>
          </cell>
          <cell r="D4693">
            <v>10176.39</v>
          </cell>
          <cell r="E4693">
            <v>0</v>
          </cell>
          <cell r="F4693">
            <v>10176.39</v>
          </cell>
          <cell r="G4693">
            <v>-10176.39</v>
          </cell>
          <cell r="H4693">
            <v>0</v>
          </cell>
          <cell r="I4693">
            <v>0</v>
          </cell>
          <cell r="J4693">
            <v>10176.39</v>
          </cell>
        </row>
        <row r="4694">
          <cell r="A4694">
            <v>1815830210</v>
          </cell>
          <cell r="B4694" t="str">
            <v>השכר הקובע</v>
          </cell>
          <cell r="C4694">
            <v>0</v>
          </cell>
          <cell r="D4694">
            <v>0</v>
          </cell>
          <cell r="E4694">
            <v>0</v>
          </cell>
          <cell r="F4694">
            <v>0</v>
          </cell>
          <cell r="G4694">
            <v>0</v>
          </cell>
          <cell r="H4694">
            <v>0</v>
          </cell>
          <cell r="I4694">
            <v>0</v>
          </cell>
          <cell r="J4694">
            <v>0</v>
          </cell>
        </row>
        <row r="4695">
          <cell r="A4695">
            <v>1815830215</v>
          </cell>
          <cell r="B4695" t="str">
            <v>שעורי עזר לתלמידים</v>
          </cell>
          <cell r="C4695">
            <v>0</v>
          </cell>
          <cell r="D4695">
            <v>0</v>
          </cell>
          <cell r="E4695">
            <v>0</v>
          </cell>
          <cell r="F4695">
            <v>0</v>
          </cell>
          <cell r="G4695">
            <v>0</v>
          </cell>
          <cell r="H4695">
            <v>0</v>
          </cell>
          <cell r="I4695">
            <v>0</v>
          </cell>
          <cell r="J4695">
            <v>0</v>
          </cell>
        </row>
        <row r="4696">
          <cell r="A4696">
            <v>1815830263</v>
          </cell>
          <cell r="B4696" t="str">
            <v>עובדי מינהלה</v>
          </cell>
          <cell r="C4696">
            <v>0</v>
          </cell>
          <cell r="D4696">
            <v>0</v>
          </cell>
          <cell r="E4696">
            <v>0</v>
          </cell>
          <cell r="F4696">
            <v>0</v>
          </cell>
          <cell r="G4696">
            <v>0</v>
          </cell>
          <cell r="H4696">
            <v>0</v>
          </cell>
          <cell r="I4696">
            <v>0</v>
          </cell>
          <cell r="J4696">
            <v>0</v>
          </cell>
        </row>
        <row r="4697">
          <cell r="A4697">
            <v>1815830420</v>
          </cell>
          <cell r="B4697" t="str">
            <v>כיבוי אש</v>
          </cell>
          <cell r="C4697">
            <v>950</v>
          </cell>
          <cell r="D4697">
            <v>0</v>
          </cell>
          <cell r="E4697">
            <v>0</v>
          </cell>
          <cell r="F4697">
            <v>0</v>
          </cell>
          <cell r="G4697">
            <v>950</v>
          </cell>
          <cell r="H4697">
            <v>0</v>
          </cell>
          <cell r="I4697">
            <v>1000</v>
          </cell>
          <cell r="J4697">
            <v>0</v>
          </cell>
        </row>
        <row r="4698">
          <cell r="A4698">
            <v>1815830431</v>
          </cell>
          <cell r="B4698" t="str">
            <v>חשמל</v>
          </cell>
          <cell r="C4698">
            <v>28785</v>
          </cell>
          <cell r="D4698">
            <v>32785</v>
          </cell>
          <cell r="E4698">
            <v>0</v>
          </cell>
          <cell r="F4698">
            <v>32785</v>
          </cell>
          <cell r="G4698">
            <v>-4000</v>
          </cell>
          <cell r="H4698">
            <v>113.89</v>
          </cell>
          <cell r="I4698">
            <v>30300</v>
          </cell>
          <cell r="J4698">
            <v>32785</v>
          </cell>
        </row>
        <row r="4699">
          <cell r="A4699">
            <v>1815830432</v>
          </cell>
          <cell r="B4699" t="str">
            <v>מים</v>
          </cell>
          <cell r="C4699">
            <v>12730</v>
          </cell>
          <cell r="D4699">
            <v>14521</v>
          </cell>
          <cell r="E4699">
            <v>0</v>
          </cell>
          <cell r="F4699">
            <v>14521</v>
          </cell>
          <cell r="G4699">
            <v>-1791</v>
          </cell>
          <cell r="H4699">
            <v>114.06</v>
          </cell>
          <cell r="I4699">
            <v>13400</v>
          </cell>
          <cell r="J4699">
            <v>14521</v>
          </cell>
        </row>
        <row r="4700">
          <cell r="A4700">
            <v>1815830437</v>
          </cell>
          <cell r="B4700" t="str">
            <v>אחזקת אזעקה</v>
          </cell>
          <cell r="C4700">
            <v>0</v>
          </cell>
          <cell r="D4700">
            <v>0</v>
          </cell>
          <cell r="E4700">
            <v>0</v>
          </cell>
          <cell r="F4700">
            <v>0</v>
          </cell>
          <cell r="G4700">
            <v>0</v>
          </cell>
          <cell r="H4700">
            <v>0</v>
          </cell>
          <cell r="I4700">
            <v>0</v>
          </cell>
          <cell r="J4700">
            <v>0</v>
          </cell>
        </row>
        <row r="4701">
          <cell r="A4701">
            <v>1815830450</v>
          </cell>
          <cell r="B4701" t="str">
            <v>ריהוט ואחזקתו</v>
          </cell>
          <cell r="C4701">
            <v>5795</v>
          </cell>
          <cell r="D4701">
            <v>8065</v>
          </cell>
          <cell r="E4701">
            <v>0</v>
          </cell>
          <cell r="F4701">
            <v>8065</v>
          </cell>
          <cell r="G4701">
            <v>-2270</v>
          </cell>
          <cell r="H4701">
            <v>139.16999999999999</v>
          </cell>
          <cell r="I4701">
            <v>6100</v>
          </cell>
          <cell r="J4701">
            <v>8065</v>
          </cell>
        </row>
        <row r="4702">
          <cell r="A4702">
            <v>1815830451</v>
          </cell>
          <cell r="B4702" t="str">
            <v>הוצאות גפ"ן בית ספרי</v>
          </cell>
          <cell r="C4702">
            <v>0</v>
          </cell>
          <cell r="D4702">
            <v>0</v>
          </cell>
          <cell r="E4702">
            <v>0</v>
          </cell>
          <cell r="F4702">
            <v>0</v>
          </cell>
          <cell r="G4702">
            <v>0</v>
          </cell>
          <cell r="H4702">
            <v>0</v>
          </cell>
          <cell r="I4702">
            <v>0</v>
          </cell>
          <cell r="J4702">
            <v>0</v>
          </cell>
        </row>
        <row r="4703">
          <cell r="A4703">
            <v>1815830511</v>
          </cell>
          <cell r="B4703" t="str">
            <v>אירוח וכיבוד</v>
          </cell>
          <cell r="C4703">
            <v>950</v>
          </cell>
          <cell r="D4703">
            <v>2432.36</v>
          </cell>
          <cell r="E4703">
            <v>0</v>
          </cell>
          <cell r="F4703">
            <v>2432.36</v>
          </cell>
          <cell r="G4703">
            <v>-1482.36</v>
          </cell>
          <cell r="H4703">
            <v>256.02999999999997</v>
          </cell>
          <cell r="I4703">
            <v>1000</v>
          </cell>
          <cell r="J4703">
            <v>2432.36</v>
          </cell>
        </row>
        <row r="4704">
          <cell r="A4704">
            <v>1815830742</v>
          </cell>
          <cell r="B4704" t="str">
            <v>כלים וציוד</v>
          </cell>
          <cell r="C4704">
            <v>0</v>
          </cell>
          <cell r="D4704">
            <v>0</v>
          </cell>
          <cell r="E4704">
            <v>0</v>
          </cell>
          <cell r="F4704">
            <v>0</v>
          </cell>
          <cell r="G4704">
            <v>0</v>
          </cell>
          <cell r="H4704">
            <v>0</v>
          </cell>
          <cell r="I4704">
            <v>0</v>
          </cell>
          <cell r="J4704">
            <v>0</v>
          </cell>
        </row>
        <row r="4705">
          <cell r="A4705">
            <v>1815830750</v>
          </cell>
          <cell r="B4705" t="str">
            <v>אחזקת מוסדות</v>
          </cell>
          <cell r="C4705">
            <v>231515</v>
          </cell>
          <cell r="D4705">
            <v>230646</v>
          </cell>
          <cell r="E4705">
            <v>0</v>
          </cell>
          <cell r="F4705">
            <v>230646</v>
          </cell>
          <cell r="G4705">
            <v>869</v>
          </cell>
          <cell r="H4705">
            <v>99.62</v>
          </cell>
          <cell r="I4705">
            <v>243700</v>
          </cell>
          <cell r="J4705">
            <v>230646</v>
          </cell>
        </row>
        <row r="4706">
          <cell r="A4706">
            <v>1815830752</v>
          </cell>
          <cell r="B4706" t="str">
            <v>נקיון בקבלנות</v>
          </cell>
          <cell r="C4706">
            <v>317015</v>
          </cell>
          <cell r="D4706">
            <v>333699.18</v>
          </cell>
          <cell r="E4706">
            <v>0</v>
          </cell>
          <cell r="F4706">
            <v>333699.18</v>
          </cell>
          <cell r="G4706">
            <v>-16684.18</v>
          </cell>
          <cell r="H4706">
            <v>105.26</v>
          </cell>
          <cell r="I4706">
            <v>333700</v>
          </cell>
          <cell r="J4706">
            <v>333699.18</v>
          </cell>
        </row>
        <row r="4707">
          <cell r="A4707">
            <v>1815830759</v>
          </cell>
          <cell r="B4707" t="str">
            <v>שרותי סייעות</v>
          </cell>
          <cell r="C4707">
            <v>770600</v>
          </cell>
          <cell r="D4707">
            <v>779933.49</v>
          </cell>
          <cell r="E4707">
            <v>0</v>
          </cell>
          <cell r="F4707">
            <v>779933.49</v>
          </cell>
          <cell r="G4707">
            <v>-9333.49</v>
          </cell>
          <cell r="H4707">
            <v>101.21</v>
          </cell>
          <cell r="I4707">
            <v>770600</v>
          </cell>
          <cell r="J4707">
            <v>779933.49</v>
          </cell>
        </row>
        <row r="4708">
          <cell r="A4708">
            <v>1815830762</v>
          </cell>
          <cell r="B4708" t="str">
            <v>שאילת מורים</v>
          </cell>
          <cell r="C4708">
            <v>0</v>
          </cell>
          <cell r="D4708">
            <v>0</v>
          </cell>
          <cell r="E4708">
            <v>0</v>
          </cell>
          <cell r="F4708">
            <v>0</v>
          </cell>
          <cell r="G4708">
            <v>0</v>
          </cell>
          <cell r="H4708">
            <v>0</v>
          </cell>
          <cell r="I4708">
            <v>0</v>
          </cell>
          <cell r="J4708">
            <v>0</v>
          </cell>
        </row>
        <row r="4709">
          <cell r="A4709">
            <v>1815830780</v>
          </cell>
          <cell r="B4709" t="str">
            <v>חינוך חברתי</v>
          </cell>
          <cell r="C4709">
            <v>0</v>
          </cell>
          <cell r="D4709">
            <v>0</v>
          </cell>
          <cell r="E4709">
            <v>0</v>
          </cell>
          <cell r="F4709">
            <v>0</v>
          </cell>
          <cell r="G4709">
            <v>0</v>
          </cell>
          <cell r="H4709">
            <v>0</v>
          </cell>
          <cell r="I4709">
            <v>0</v>
          </cell>
          <cell r="J4709">
            <v>0</v>
          </cell>
        </row>
        <row r="4710">
          <cell r="A4710">
            <v>1815830810</v>
          </cell>
          <cell r="B4710" t="str">
            <v>הקצבה לניהול עצמי</v>
          </cell>
          <cell r="C4710">
            <v>55290</v>
          </cell>
          <cell r="D4710">
            <v>0</v>
          </cell>
          <cell r="E4710">
            <v>0</v>
          </cell>
          <cell r="F4710">
            <v>0</v>
          </cell>
          <cell r="G4710">
            <v>55290</v>
          </cell>
          <cell r="H4710">
            <v>0</v>
          </cell>
          <cell r="I4710">
            <v>58200</v>
          </cell>
          <cell r="J4710">
            <v>0</v>
          </cell>
        </row>
        <row r="4711">
          <cell r="A4711">
            <v>1815830812</v>
          </cell>
          <cell r="B4711" t="str">
            <v>מסיבות כיתתיות</v>
          </cell>
          <cell r="C4711">
            <v>8170</v>
          </cell>
          <cell r="D4711">
            <v>10032</v>
          </cell>
          <cell r="E4711">
            <v>0</v>
          </cell>
          <cell r="F4711">
            <v>10032</v>
          </cell>
          <cell r="G4711">
            <v>-1862</v>
          </cell>
          <cell r="H4711">
            <v>122.79</v>
          </cell>
          <cell r="I4711">
            <v>8600</v>
          </cell>
          <cell r="J4711">
            <v>10032</v>
          </cell>
        </row>
        <row r="4712">
          <cell r="A4712">
            <v>1815830816</v>
          </cell>
          <cell r="B4712" t="str">
            <v>חט"ב - הכלה והשתלבות</v>
          </cell>
          <cell r="C4712">
            <v>0</v>
          </cell>
          <cell r="D4712">
            <v>0</v>
          </cell>
          <cell r="E4712">
            <v>0</v>
          </cell>
          <cell r="F4712">
            <v>0</v>
          </cell>
          <cell r="G4712">
            <v>0</v>
          </cell>
          <cell r="H4712">
            <v>0</v>
          </cell>
          <cell r="I4712">
            <v>0</v>
          </cell>
          <cell r="J4712">
            <v>0</v>
          </cell>
        </row>
        <row r="4713">
          <cell r="A4713">
            <v>1815830953</v>
          </cell>
          <cell r="B4713" t="str">
            <v>מערכת גפ"ן</v>
          </cell>
          <cell r="C4713">
            <v>0</v>
          </cell>
          <cell r="D4713">
            <v>0</v>
          </cell>
          <cell r="E4713">
            <v>0</v>
          </cell>
          <cell r="F4713">
            <v>0</v>
          </cell>
          <cell r="G4713">
            <v>0</v>
          </cell>
          <cell r="H4713">
            <v>0</v>
          </cell>
          <cell r="I4713">
            <v>0</v>
          </cell>
          <cell r="J4713">
            <v>0</v>
          </cell>
        </row>
        <row r="4714">
          <cell r="A4714">
            <v>1815830989</v>
          </cell>
          <cell r="B4714" t="str">
            <v>תקורה</v>
          </cell>
          <cell r="C4714">
            <v>66880</v>
          </cell>
          <cell r="D4714">
            <v>98731</v>
          </cell>
          <cell r="E4714">
            <v>0</v>
          </cell>
          <cell r="F4714">
            <v>98731</v>
          </cell>
          <cell r="G4714">
            <v>-31851</v>
          </cell>
          <cell r="H4714">
            <v>147.62</v>
          </cell>
          <cell r="I4714">
            <v>70400</v>
          </cell>
          <cell r="J4714">
            <v>98731</v>
          </cell>
        </row>
        <row r="4715">
          <cell r="A4715">
            <v>1815840081</v>
          </cell>
          <cell r="B4715" t="str">
            <v>הקצבה לניהול עצמי</v>
          </cell>
          <cell r="C4715">
            <v>0</v>
          </cell>
          <cell r="D4715">
            <v>0</v>
          </cell>
          <cell r="E4715">
            <v>0</v>
          </cell>
          <cell r="F4715">
            <v>0</v>
          </cell>
          <cell r="G4715">
            <v>0</v>
          </cell>
          <cell r="H4715">
            <v>0</v>
          </cell>
          <cell r="I4715">
            <v>0</v>
          </cell>
          <cell r="J4715">
            <v>0</v>
          </cell>
        </row>
        <row r="4716">
          <cell r="A4716">
            <v>1815840118</v>
          </cell>
          <cell r="B4716" t="str">
            <v>שכר עובדי הוראה</v>
          </cell>
          <cell r="C4716">
            <v>0</v>
          </cell>
          <cell r="D4716">
            <v>255905.43</v>
          </cell>
          <cell r="E4716">
            <v>0</v>
          </cell>
          <cell r="F4716">
            <v>255905.43</v>
          </cell>
          <cell r="G4716">
            <v>-255905.43</v>
          </cell>
          <cell r="H4716">
            <v>0</v>
          </cell>
          <cell r="I4716">
            <v>0</v>
          </cell>
          <cell r="J4716">
            <v>255905.43</v>
          </cell>
        </row>
        <row r="4717">
          <cell r="A4717">
            <v>1815840119</v>
          </cell>
          <cell r="B4717" t="str">
            <v>השכר הקובע-צוברת</v>
          </cell>
          <cell r="C4717">
            <v>107350</v>
          </cell>
          <cell r="D4717">
            <v>0</v>
          </cell>
          <cell r="E4717">
            <v>0</v>
          </cell>
          <cell r="F4717">
            <v>0</v>
          </cell>
          <cell r="G4717">
            <v>107350</v>
          </cell>
          <cell r="H4717">
            <v>0</v>
          </cell>
          <cell r="I4717">
            <v>113000</v>
          </cell>
          <cell r="J4717">
            <v>0</v>
          </cell>
        </row>
        <row r="4718">
          <cell r="A4718">
            <v>1815840431</v>
          </cell>
          <cell r="B4718" t="str">
            <v>חשמל</v>
          </cell>
          <cell r="C4718">
            <v>0</v>
          </cell>
          <cell r="D4718">
            <v>0</v>
          </cell>
          <cell r="E4718">
            <v>0</v>
          </cell>
          <cell r="F4718">
            <v>0</v>
          </cell>
          <cell r="G4718">
            <v>0</v>
          </cell>
          <cell r="H4718">
            <v>0</v>
          </cell>
          <cell r="I4718">
            <v>0</v>
          </cell>
          <cell r="J4718">
            <v>0</v>
          </cell>
        </row>
        <row r="4719">
          <cell r="A4719">
            <v>1815840432</v>
          </cell>
          <cell r="B4719" t="str">
            <v>מים</v>
          </cell>
          <cell r="C4719">
            <v>0</v>
          </cell>
          <cell r="D4719">
            <v>0</v>
          </cell>
          <cell r="E4719">
            <v>0</v>
          </cell>
          <cell r="F4719">
            <v>0</v>
          </cell>
          <cell r="G4719">
            <v>0</v>
          </cell>
          <cell r="H4719">
            <v>0</v>
          </cell>
          <cell r="I4719">
            <v>0</v>
          </cell>
          <cell r="J4719">
            <v>0</v>
          </cell>
        </row>
        <row r="4720">
          <cell r="A4720">
            <v>1815840450</v>
          </cell>
          <cell r="B4720" t="str">
            <v>ריהוט ואחזקתו</v>
          </cell>
          <cell r="C4720">
            <v>0</v>
          </cell>
          <cell r="D4720">
            <v>0</v>
          </cell>
          <cell r="E4720">
            <v>0</v>
          </cell>
          <cell r="F4720">
            <v>0</v>
          </cell>
          <cell r="G4720">
            <v>0</v>
          </cell>
          <cell r="H4720">
            <v>0</v>
          </cell>
          <cell r="I4720">
            <v>0</v>
          </cell>
          <cell r="J4720">
            <v>0</v>
          </cell>
        </row>
        <row r="4721">
          <cell r="A4721">
            <v>1815840511</v>
          </cell>
          <cell r="B4721" t="str">
            <v>אירוח וכיבטד</v>
          </cell>
          <cell r="C4721">
            <v>0</v>
          </cell>
          <cell r="D4721">
            <v>0</v>
          </cell>
          <cell r="E4721">
            <v>0</v>
          </cell>
          <cell r="F4721">
            <v>0</v>
          </cell>
          <cell r="G4721">
            <v>0</v>
          </cell>
          <cell r="H4721">
            <v>0</v>
          </cell>
          <cell r="I4721">
            <v>0</v>
          </cell>
          <cell r="J4721">
            <v>0</v>
          </cell>
        </row>
        <row r="4722">
          <cell r="A4722">
            <v>1815840780</v>
          </cell>
          <cell r="B4722" t="str">
            <v>חינוך חברתי</v>
          </cell>
          <cell r="C4722">
            <v>0</v>
          </cell>
          <cell r="D4722">
            <v>0</v>
          </cell>
          <cell r="E4722">
            <v>0</v>
          </cell>
          <cell r="F4722">
            <v>0</v>
          </cell>
          <cell r="G4722">
            <v>0</v>
          </cell>
          <cell r="H4722">
            <v>0</v>
          </cell>
          <cell r="I4722">
            <v>0</v>
          </cell>
          <cell r="J4722">
            <v>0</v>
          </cell>
        </row>
        <row r="4723">
          <cell r="A4723">
            <v>1815840781</v>
          </cell>
          <cell r="B4723" t="str">
            <v>בית ספר לרפואה</v>
          </cell>
          <cell r="C4723">
            <v>0</v>
          </cell>
          <cell r="D4723">
            <v>0</v>
          </cell>
          <cell r="E4723">
            <v>0</v>
          </cell>
          <cell r="F4723">
            <v>0</v>
          </cell>
          <cell r="G4723">
            <v>0</v>
          </cell>
          <cell r="H4723">
            <v>0</v>
          </cell>
          <cell r="I4723">
            <v>0</v>
          </cell>
          <cell r="J4723">
            <v>0</v>
          </cell>
        </row>
        <row r="4724">
          <cell r="A4724">
            <v>1815840810</v>
          </cell>
          <cell r="B4724" t="str">
            <v>הקצבה לניהול עצמי</v>
          </cell>
          <cell r="C4724">
            <v>0</v>
          </cell>
          <cell r="D4724">
            <v>0</v>
          </cell>
          <cell r="E4724">
            <v>0</v>
          </cell>
          <cell r="F4724">
            <v>0</v>
          </cell>
          <cell r="G4724">
            <v>0</v>
          </cell>
          <cell r="H4724">
            <v>0</v>
          </cell>
          <cell r="I4724">
            <v>0</v>
          </cell>
          <cell r="J4724">
            <v>0</v>
          </cell>
        </row>
        <row r="4725">
          <cell r="A4725">
            <v>1815840989</v>
          </cell>
          <cell r="B4725" t="str">
            <v>תקורה</v>
          </cell>
          <cell r="C4725">
            <v>0</v>
          </cell>
          <cell r="D4725">
            <v>15288</v>
          </cell>
          <cell r="E4725">
            <v>0</v>
          </cell>
          <cell r="F4725">
            <v>15288</v>
          </cell>
          <cell r="G4725">
            <v>-15288</v>
          </cell>
          <cell r="H4725">
            <v>0</v>
          </cell>
          <cell r="I4725">
            <v>0</v>
          </cell>
          <cell r="J4725">
            <v>15288</v>
          </cell>
        </row>
        <row r="4726">
          <cell r="A4726">
            <v>1816300412</v>
          </cell>
          <cell r="B4726" t="str">
            <v>ארנונה</v>
          </cell>
          <cell r="C4726">
            <v>0</v>
          </cell>
          <cell r="D4726">
            <v>0</v>
          </cell>
          <cell r="E4726">
            <v>0</v>
          </cell>
          <cell r="F4726">
            <v>0</v>
          </cell>
          <cell r="G4726">
            <v>0</v>
          </cell>
          <cell r="H4726">
            <v>0</v>
          </cell>
          <cell r="I4726">
            <v>0</v>
          </cell>
          <cell r="J4726">
            <v>0</v>
          </cell>
        </row>
        <row r="4727">
          <cell r="A4727">
            <v>1816300432</v>
          </cell>
          <cell r="B4727" t="str">
            <v>טכניון מים</v>
          </cell>
          <cell r="C4727">
            <v>0</v>
          </cell>
          <cell r="D4727">
            <v>0</v>
          </cell>
          <cell r="E4727">
            <v>0</v>
          </cell>
          <cell r="F4727">
            <v>0</v>
          </cell>
          <cell r="G4727">
            <v>0</v>
          </cell>
          <cell r="H4727">
            <v>0</v>
          </cell>
          <cell r="I4727">
            <v>0</v>
          </cell>
          <cell r="J4727">
            <v>0</v>
          </cell>
        </row>
        <row r="4728">
          <cell r="A4728">
            <v>1816300810</v>
          </cell>
          <cell r="B4728" t="str">
            <v>השת' מכון טכנולוגי</v>
          </cell>
          <cell r="C4728">
            <v>0</v>
          </cell>
          <cell r="D4728">
            <v>0</v>
          </cell>
          <cell r="E4728">
            <v>0</v>
          </cell>
          <cell r="F4728">
            <v>0</v>
          </cell>
          <cell r="G4728">
            <v>0</v>
          </cell>
          <cell r="H4728">
            <v>0</v>
          </cell>
          <cell r="I4728">
            <v>0</v>
          </cell>
          <cell r="J4728">
            <v>0</v>
          </cell>
        </row>
        <row r="4729">
          <cell r="A4729">
            <v>1816300814</v>
          </cell>
          <cell r="B4729" t="str">
            <v>ד'חכירה מ'טכנולוגי</v>
          </cell>
          <cell r="C4729">
            <v>0</v>
          </cell>
          <cell r="D4729">
            <v>0</v>
          </cell>
          <cell r="E4729">
            <v>0</v>
          </cell>
          <cell r="F4729">
            <v>0</v>
          </cell>
          <cell r="G4729">
            <v>0</v>
          </cell>
          <cell r="H4729">
            <v>0</v>
          </cell>
          <cell r="I4729">
            <v>0</v>
          </cell>
          <cell r="J4729">
            <v>0</v>
          </cell>
        </row>
        <row r="4730">
          <cell r="A4730">
            <v>1816300815</v>
          </cell>
          <cell r="B4730" t="str">
            <v>טכניון-אחזקת גינה</v>
          </cell>
          <cell r="C4730">
            <v>0</v>
          </cell>
          <cell r="D4730">
            <v>0</v>
          </cell>
          <cell r="E4730">
            <v>0</v>
          </cell>
          <cell r="F4730">
            <v>0</v>
          </cell>
          <cell r="G4730">
            <v>0</v>
          </cell>
          <cell r="H4730">
            <v>0</v>
          </cell>
          <cell r="I4730">
            <v>0</v>
          </cell>
          <cell r="J4730">
            <v>0</v>
          </cell>
        </row>
        <row r="4731">
          <cell r="A4731">
            <v>1817200110</v>
          </cell>
          <cell r="B4731" t="str">
            <v>השכר הקובע-תקציבית</v>
          </cell>
          <cell r="C4731">
            <v>0</v>
          </cell>
          <cell r="D4731">
            <v>0</v>
          </cell>
          <cell r="E4731">
            <v>0</v>
          </cell>
          <cell r="F4731">
            <v>0</v>
          </cell>
          <cell r="G4731">
            <v>0</v>
          </cell>
          <cell r="H4731">
            <v>0</v>
          </cell>
          <cell r="I4731">
            <v>0</v>
          </cell>
          <cell r="J4731">
            <v>0</v>
          </cell>
        </row>
        <row r="4732">
          <cell r="A4732">
            <v>1817200119</v>
          </cell>
          <cell r="B4732" t="str">
            <v>השכר הקובע-צוברת</v>
          </cell>
          <cell r="C4732">
            <v>0</v>
          </cell>
          <cell r="D4732">
            <v>0</v>
          </cell>
          <cell r="E4732">
            <v>0</v>
          </cell>
          <cell r="F4732">
            <v>0</v>
          </cell>
          <cell r="G4732">
            <v>0</v>
          </cell>
          <cell r="H4732">
            <v>0</v>
          </cell>
          <cell r="I4732">
            <v>0</v>
          </cell>
          <cell r="J4732">
            <v>0</v>
          </cell>
        </row>
        <row r="4733">
          <cell r="A4733">
            <v>1817200122</v>
          </cell>
          <cell r="B4733" t="str">
            <v>ביגוד</v>
          </cell>
          <cell r="C4733">
            <v>0</v>
          </cell>
          <cell r="D4733">
            <v>0</v>
          </cell>
          <cell r="E4733">
            <v>0</v>
          </cell>
          <cell r="F4733">
            <v>0</v>
          </cell>
          <cell r="G4733">
            <v>0</v>
          </cell>
          <cell r="H4733">
            <v>0</v>
          </cell>
          <cell r="I4733">
            <v>0</v>
          </cell>
          <cell r="J4733">
            <v>0</v>
          </cell>
        </row>
        <row r="4734">
          <cell r="A4734">
            <v>1817200126</v>
          </cell>
          <cell r="B4734" t="str">
            <v>דמי הבראה</v>
          </cell>
          <cell r="C4734">
            <v>0</v>
          </cell>
          <cell r="D4734">
            <v>0</v>
          </cell>
          <cell r="E4734">
            <v>0</v>
          </cell>
          <cell r="F4734">
            <v>0</v>
          </cell>
          <cell r="G4734">
            <v>0</v>
          </cell>
          <cell r="H4734">
            <v>0</v>
          </cell>
          <cell r="I4734">
            <v>0</v>
          </cell>
          <cell r="J4734">
            <v>0</v>
          </cell>
        </row>
        <row r="4735">
          <cell r="A4735">
            <v>1817200130</v>
          </cell>
          <cell r="B4735" t="str">
            <v>שעות נוספות</v>
          </cell>
          <cell r="C4735">
            <v>0</v>
          </cell>
          <cell r="D4735">
            <v>0</v>
          </cell>
          <cell r="E4735">
            <v>0</v>
          </cell>
          <cell r="F4735">
            <v>0</v>
          </cell>
          <cell r="G4735">
            <v>0</v>
          </cell>
          <cell r="H4735">
            <v>0</v>
          </cell>
          <cell r="I4735">
            <v>0</v>
          </cell>
          <cell r="J4735">
            <v>0</v>
          </cell>
        </row>
        <row r="4736">
          <cell r="A4736">
            <v>1817200140</v>
          </cell>
          <cell r="B4736" t="str">
            <v>השתתפות באחזקת רכב</v>
          </cell>
          <cell r="C4736">
            <v>0</v>
          </cell>
          <cell r="D4736">
            <v>0</v>
          </cell>
          <cell r="E4736">
            <v>0</v>
          </cell>
          <cell r="F4736">
            <v>0</v>
          </cell>
          <cell r="G4736">
            <v>0</v>
          </cell>
          <cell r="H4736">
            <v>0</v>
          </cell>
          <cell r="I4736">
            <v>0</v>
          </cell>
          <cell r="J4736">
            <v>0</v>
          </cell>
        </row>
        <row r="4737">
          <cell r="A4737">
            <v>1817200210</v>
          </cell>
          <cell r="B4737" t="str">
            <v>השכר הקובע</v>
          </cell>
          <cell r="C4737">
            <v>0</v>
          </cell>
          <cell r="D4737">
            <v>0</v>
          </cell>
          <cell r="E4737">
            <v>0</v>
          </cell>
          <cell r="F4737">
            <v>0</v>
          </cell>
          <cell r="G4737">
            <v>0</v>
          </cell>
          <cell r="H4737">
            <v>0</v>
          </cell>
          <cell r="I4737">
            <v>0</v>
          </cell>
          <cell r="J4737">
            <v>0</v>
          </cell>
        </row>
        <row r="4738">
          <cell r="A4738">
            <v>1817200263</v>
          </cell>
          <cell r="B4738" t="str">
            <v>עובדים חיצוניים</v>
          </cell>
          <cell r="C4738">
            <v>0</v>
          </cell>
          <cell r="D4738">
            <v>0</v>
          </cell>
          <cell r="E4738">
            <v>0</v>
          </cell>
          <cell r="F4738">
            <v>0</v>
          </cell>
          <cell r="G4738">
            <v>0</v>
          </cell>
          <cell r="H4738">
            <v>0</v>
          </cell>
          <cell r="I4738">
            <v>0</v>
          </cell>
          <cell r="J4738">
            <v>0</v>
          </cell>
        </row>
        <row r="4739">
          <cell r="A4739">
            <v>1817200391</v>
          </cell>
          <cell r="B4739" t="str">
            <v>הפרשה לפנסיה</v>
          </cell>
          <cell r="C4739">
            <v>0</v>
          </cell>
          <cell r="D4739">
            <v>0</v>
          </cell>
          <cell r="E4739">
            <v>0</v>
          </cell>
          <cell r="F4739">
            <v>0</v>
          </cell>
          <cell r="G4739">
            <v>0</v>
          </cell>
          <cell r="H4739">
            <v>0</v>
          </cell>
          <cell r="I4739">
            <v>0</v>
          </cell>
          <cell r="J4739">
            <v>0</v>
          </cell>
        </row>
        <row r="4740">
          <cell r="A4740">
            <v>1817200420</v>
          </cell>
          <cell r="B4740" t="str">
            <v>כיבוי אש</v>
          </cell>
          <cell r="C4740">
            <v>0</v>
          </cell>
          <cell r="D4740">
            <v>0</v>
          </cell>
          <cell r="E4740">
            <v>0</v>
          </cell>
          <cell r="F4740">
            <v>0</v>
          </cell>
          <cell r="G4740">
            <v>0</v>
          </cell>
          <cell r="H4740">
            <v>0</v>
          </cell>
          <cell r="I4740">
            <v>0</v>
          </cell>
          <cell r="J4740">
            <v>0</v>
          </cell>
        </row>
        <row r="4741">
          <cell r="A4741">
            <v>1817200423</v>
          </cell>
          <cell r="B4741" t="str">
            <v>תחזוקת מבנה</v>
          </cell>
          <cell r="C4741">
            <v>0</v>
          </cell>
          <cell r="D4741">
            <v>0</v>
          </cell>
          <cell r="E4741">
            <v>0</v>
          </cell>
          <cell r="F4741">
            <v>0</v>
          </cell>
          <cell r="G4741">
            <v>0</v>
          </cell>
          <cell r="H4741">
            <v>0</v>
          </cell>
          <cell r="I4741">
            <v>0</v>
          </cell>
          <cell r="J4741">
            <v>0</v>
          </cell>
        </row>
        <row r="4742">
          <cell r="A4742">
            <v>1817200431</v>
          </cell>
          <cell r="B4742" t="str">
            <v>חשמל</v>
          </cell>
          <cell r="C4742">
            <v>0</v>
          </cell>
          <cell r="D4742">
            <v>0</v>
          </cell>
          <cell r="E4742">
            <v>0</v>
          </cell>
          <cell r="F4742">
            <v>0</v>
          </cell>
          <cell r="G4742">
            <v>0</v>
          </cell>
          <cell r="H4742">
            <v>0</v>
          </cell>
          <cell r="I4742">
            <v>0</v>
          </cell>
          <cell r="J4742">
            <v>0</v>
          </cell>
        </row>
        <row r="4743">
          <cell r="A4743">
            <v>1817200432</v>
          </cell>
          <cell r="B4743" t="str">
            <v>מים</v>
          </cell>
          <cell r="C4743">
            <v>0</v>
          </cell>
          <cell r="D4743">
            <v>0</v>
          </cell>
          <cell r="E4743">
            <v>0</v>
          </cell>
          <cell r="F4743">
            <v>0</v>
          </cell>
          <cell r="G4743">
            <v>0</v>
          </cell>
          <cell r="H4743">
            <v>0</v>
          </cell>
          <cell r="I4743">
            <v>0</v>
          </cell>
          <cell r="J4743">
            <v>0</v>
          </cell>
        </row>
        <row r="4744">
          <cell r="A4744">
            <v>1817200433</v>
          </cell>
          <cell r="B4744" t="str">
            <v>חומרי נקיון</v>
          </cell>
          <cell r="C4744">
            <v>0</v>
          </cell>
          <cell r="D4744">
            <v>0</v>
          </cell>
          <cell r="E4744">
            <v>0</v>
          </cell>
          <cell r="F4744">
            <v>0</v>
          </cell>
          <cell r="G4744">
            <v>0</v>
          </cell>
          <cell r="H4744">
            <v>0</v>
          </cell>
          <cell r="I4744">
            <v>0</v>
          </cell>
          <cell r="J4744">
            <v>0</v>
          </cell>
        </row>
        <row r="4745">
          <cell r="A4745">
            <v>1817200434</v>
          </cell>
          <cell r="B4745" t="str">
            <v>חיטוי והדברה</v>
          </cell>
          <cell r="C4745">
            <v>0</v>
          </cell>
          <cell r="D4745">
            <v>0</v>
          </cell>
          <cell r="E4745">
            <v>0</v>
          </cell>
          <cell r="F4745">
            <v>0</v>
          </cell>
          <cell r="G4745">
            <v>0</v>
          </cell>
          <cell r="H4745">
            <v>0</v>
          </cell>
          <cell r="I4745">
            <v>0</v>
          </cell>
          <cell r="J4745">
            <v>0</v>
          </cell>
        </row>
        <row r="4746">
          <cell r="A4746">
            <v>1817200436</v>
          </cell>
          <cell r="B4746" t="str">
            <v>אחזקת מזגנים</v>
          </cell>
          <cell r="C4746">
            <v>0</v>
          </cell>
          <cell r="D4746">
            <v>0</v>
          </cell>
          <cell r="E4746">
            <v>0</v>
          </cell>
          <cell r="F4746">
            <v>0</v>
          </cell>
          <cell r="G4746">
            <v>0</v>
          </cell>
          <cell r="H4746">
            <v>0</v>
          </cell>
          <cell r="I4746">
            <v>0</v>
          </cell>
          <cell r="J4746">
            <v>0</v>
          </cell>
        </row>
        <row r="4747">
          <cell r="A4747">
            <v>1817200437</v>
          </cell>
          <cell r="B4747" t="str">
            <v>אחזקת אזעקה</v>
          </cell>
          <cell r="C4747">
            <v>0</v>
          </cell>
          <cell r="D4747">
            <v>0</v>
          </cell>
          <cell r="E4747">
            <v>0</v>
          </cell>
          <cell r="F4747">
            <v>0</v>
          </cell>
          <cell r="G4747">
            <v>0</v>
          </cell>
          <cell r="H4747">
            <v>0</v>
          </cell>
          <cell r="I4747">
            <v>0</v>
          </cell>
          <cell r="J4747">
            <v>0</v>
          </cell>
        </row>
        <row r="4748">
          <cell r="A4748">
            <v>1817200438</v>
          </cell>
          <cell r="B4748" t="str">
            <v>תחזוקת אינטרנט</v>
          </cell>
          <cell r="C4748">
            <v>0</v>
          </cell>
          <cell r="D4748">
            <v>0</v>
          </cell>
          <cell r="E4748">
            <v>0</v>
          </cell>
          <cell r="F4748">
            <v>0</v>
          </cell>
          <cell r="G4748">
            <v>0</v>
          </cell>
          <cell r="H4748">
            <v>0</v>
          </cell>
          <cell r="I4748">
            <v>0</v>
          </cell>
          <cell r="J4748">
            <v>0</v>
          </cell>
        </row>
        <row r="4749">
          <cell r="A4749">
            <v>1817200441</v>
          </cell>
          <cell r="B4749" t="str">
            <v>ביטוח</v>
          </cell>
          <cell r="C4749">
            <v>0</v>
          </cell>
          <cell r="D4749">
            <v>0</v>
          </cell>
          <cell r="E4749">
            <v>0</v>
          </cell>
          <cell r="F4749">
            <v>0</v>
          </cell>
          <cell r="G4749">
            <v>0</v>
          </cell>
          <cell r="H4749">
            <v>0</v>
          </cell>
          <cell r="I4749">
            <v>0</v>
          </cell>
          <cell r="J4749">
            <v>0</v>
          </cell>
        </row>
        <row r="4750">
          <cell r="A4750">
            <v>1817200450</v>
          </cell>
          <cell r="B4750" t="str">
            <v>ריהוט ואחזקתו</v>
          </cell>
          <cell r="C4750">
            <v>0</v>
          </cell>
          <cell r="D4750">
            <v>0</v>
          </cell>
          <cell r="E4750">
            <v>0</v>
          </cell>
          <cell r="F4750">
            <v>0</v>
          </cell>
          <cell r="G4750">
            <v>0</v>
          </cell>
          <cell r="H4750">
            <v>0</v>
          </cell>
          <cell r="I4750">
            <v>0</v>
          </cell>
          <cell r="J4750">
            <v>0</v>
          </cell>
        </row>
        <row r="4751">
          <cell r="A4751">
            <v>1817200470</v>
          </cell>
          <cell r="B4751" t="str">
            <v>אחזקת מכונות משרד</v>
          </cell>
          <cell r="C4751">
            <v>0</v>
          </cell>
          <cell r="D4751">
            <v>0</v>
          </cell>
          <cell r="E4751">
            <v>0</v>
          </cell>
          <cell r="F4751">
            <v>0</v>
          </cell>
          <cell r="G4751">
            <v>0</v>
          </cell>
          <cell r="H4751">
            <v>0</v>
          </cell>
          <cell r="I4751">
            <v>0</v>
          </cell>
          <cell r="J4751">
            <v>0</v>
          </cell>
        </row>
        <row r="4752">
          <cell r="A4752">
            <v>1817200471</v>
          </cell>
          <cell r="B4752" t="str">
            <v>מכשירי כתיבה</v>
          </cell>
          <cell r="C4752">
            <v>0</v>
          </cell>
          <cell r="D4752">
            <v>0</v>
          </cell>
          <cell r="E4752">
            <v>0</v>
          </cell>
          <cell r="F4752">
            <v>0</v>
          </cell>
          <cell r="G4752">
            <v>0</v>
          </cell>
          <cell r="H4752">
            <v>0</v>
          </cell>
          <cell r="I4752">
            <v>0</v>
          </cell>
          <cell r="J4752">
            <v>0</v>
          </cell>
        </row>
        <row r="4753">
          <cell r="A4753">
            <v>1817200511</v>
          </cell>
          <cell r="B4753" t="str">
            <v>אירוח וכיבוד</v>
          </cell>
          <cell r="C4753">
            <v>0</v>
          </cell>
          <cell r="D4753">
            <v>0</v>
          </cell>
          <cell r="E4753">
            <v>0</v>
          </cell>
          <cell r="F4753">
            <v>0</v>
          </cell>
          <cell r="G4753">
            <v>0</v>
          </cell>
          <cell r="H4753">
            <v>0</v>
          </cell>
          <cell r="I4753">
            <v>0</v>
          </cell>
          <cell r="J4753">
            <v>0</v>
          </cell>
        </row>
        <row r="4754">
          <cell r="A4754">
            <v>1817200512</v>
          </cell>
          <cell r="B4754" t="str">
            <v>נסיעות ואש"ל</v>
          </cell>
          <cell r="C4754">
            <v>0</v>
          </cell>
          <cell r="D4754">
            <v>0</v>
          </cell>
          <cell r="E4754">
            <v>0</v>
          </cell>
          <cell r="F4754">
            <v>0</v>
          </cell>
          <cell r="G4754">
            <v>0</v>
          </cell>
          <cell r="H4754">
            <v>0</v>
          </cell>
          <cell r="I4754">
            <v>0</v>
          </cell>
          <cell r="J4754">
            <v>0</v>
          </cell>
        </row>
        <row r="4755">
          <cell r="A4755">
            <v>1817200522</v>
          </cell>
          <cell r="B4755" t="str">
            <v>ספרים ועיתונים</v>
          </cell>
          <cell r="C4755">
            <v>0</v>
          </cell>
          <cell r="D4755">
            <v>0</v>
          </cell>
          <cell r="E4755">
            <v>0</v>
          </cell>
          <cell r="F4755">
            <v>0</v>
          </cell>
          <cell r="G4755">
            <v>0</v>
          </cell>
          <cell r="H4755">
            <v>0</v>
          </cell>
          <cell r="I4755">
            <v>0</v>
          </cell>
          <cell r="J4755">
            <v>0</v>
          </cell>
        </row>
        <row r="4756">
          <cell r="A4756">
            <v>1817200540</v>
          </cell>
          <cell r="B4756" t="str">
            <v>הוצאות טלפון</v>
          </cell>
          <cell r="C4756">
            <v>0</v>
          </cell>
          <cell r="D4756">
            <v>0</v>
          </cell>
          <cell r="E4756">
            <v>0</v>
          </cell>
          <cell r="F4756">
            <v>0</v>
          </cell>
          <cell r="G4756">
            <v>0</v>
          </cell>
          <cell r="H4756">
            <v>0</v>
          </cell>
          <cell r="I4756">
            <v>0</v>
          </cell>
          <cell r="J4756">
            <v>0</v>
          </cell>
        </row>
        <row r="4757">
          <cell r="A4757">
            <v>1817200544</v>
          </cell>
          <cell r="B4757" t="str">
            <v>הוצאות דאר</v>
          </cell>
          <cell r="C4757">
            <v>0</v>
          </cell>
          <cell r="D4757">
            <v>0</v>
          </cell>
          <cell r="E4757">
            <v>0</v>
          </cell>
          <cell r="F4757">
            <v>0</v>
          </cell>
          <cell r="G4757">
            <v>0</v>
          </cell>
          <cell r="H4757">
            <v>0</v>
          </cell>
          <cell r="I4757">
            <v>0</v>
          </cell>
          <cell r="J4757">
            <v>0</v>
          </cell>
        </row>
        <row r="4758">
          <cell r="A4758">
            <v>1817200550</v>
          </cell>
          <cell r="B4758" t="str">
            <v>פירסומים</v>
          </cell>
          <cell r="C4758">
            <v>0</v>
          </cell>
          <cell r="D4758">
            <v>0</v>
          </cell>
          <cell r="E4758">
            <v>0</v>
          </cell>
          <cell r="F4758">
            <v>0</v>
          </cell>
          <cell r="G4758">
            <v>0</v>
          </cell>
          <cell r="H4758">
            <v>0</v>
          </cell>
          <cell r="I4758">
            <v>0</v>
          </cell>
          <cell r="J4758">
            <v>0</v>
          </cell>
        </row>
        <row r="4759">
          <cell r="A4759">
            <v>1817200551</v>
          </cell>
          <cell r="B4759" t="str">
            <v>הדבקת מודעות</v>
          </cell>
          <cell r="C4759">
            <v>0</v>
          </cell>
          <cell r="D4759">
            <v>0</v>
          </cell>
          <cell r="E4759">
            <v>0</v>
          </cell>
          <cell r="F4759">
            <v>0</v>
          </cell>
          <cell r="G4759">
            <v>0</v>
          </cell>
          <cell r="H4759">
            <v>0</v>
          </cell>
          <cell r="I4759">
            <v>0</v>
          </cell>
          <cell r="J4759">
            <v>0</v>
          </cell>
        </row>
        <row r="4760">
          <cell r="A4760">
            <v>1817200561</v>
          </cell>
          <cell r="B4760" t="str">
            <v>שיכפולים</v>
          </cell>
          <cell r="C4760">
            <v>0</v>
          </cell>
          <cell r="D4760">
            <v>0</v>
          </cell>
          <cell r="E4760">
            <v>0</v>
          </cell>
          <cell r="F4760">
            <v>0</v>
          </cell>
          <cell r="G4760">
            <v>0</v>
          </cell>
          <cell r="H4760">
            <v>0</v>
          </cell>
          <cell r="I4760">
            <v>0</v>
          </cell>
          <cell r="J4760">
            <v>0</v>
          </cell>
        </row>
        <row r="4761">
          <cell r="A4761">
            <v>1817200562</v>
          </cell>
          <cell r="B4761" t="str">
            <v>הדפסות</v>
          </cell>
          <cell r="C4761">
            <v>0</v>
          </cell>
          <cell r="D4761">
            <v>0</v>
          </cell>
          <cell r="E4761">
            <v>0</v>
          </cell>
          <cell r="F4761">
            <v>0</v>
          </cell>
          <cell r="G4761">
            <v>0</v>
          </cell>
          <cell r="H4761">
            <v>0</v>
          </cell>
          <cell r="I4761">
            <v>0</v>
          </cell>
          <cell r="J4761">
            <v>0</v>
          </cell>
        </row>
        <row r="4762">
          <cell r="A4762">
            <v>1817200571</v>
          </cell>
          <cell r="B4762" t="str">
            <v>מיכון וענ"א</v>
          </cell>
          <cell r="C4762">
            <v>0</v>
          </cell>
          <cell r="D4762">
            <v>0</v>
          </cell>
          <cell r="E4762">
            <v>0</v>
          </cell>
          <cell r="F4762">
            <v>0</v>
          </cell>
          <cell r="G4762">
            <v>0</v>
          </cell>
          <cell r="H4762">
            <v>0</v>
          </cell>
          <cell r="I4762">
            <v>0</v>
          </cell>
          <cell r="J4762">
            <v>0</v>
          </cell>
        </row>
        <row r="4763">
          <cell r="A4763">
            <v>1817200583</v>
          </cell>
          <cell r="B4763" t="str">
            <v>שכר מרצים</v>
          </cell>
          <cell r="C4763">
            <v>0</v>
          </cell>
          <cell r="D4763">
            <v>0</v>
          </cell>
          <cell r="E4763">
            <v>0</v>
          </cell>
          <cell r="F4763">
            <v>0</v>
          </cell>
          <cell r="G4763">
            <v>0</v>
          </cell>
          <cell r="H4763">
            <v>0</v>
          </cell>
          <cell r="I4763">
            <v>0</v>
          </cell>
          <cell r="J4763">
            <v>0</v>
          </cell>
        </row>
        <row r="4764">
          <cell r="A4764">
            <v>1817200710</v>
          </cell>
          <cell r="B4764" t="str">
            <v>הובלות</v>
          </cell>
          <cell r="C4764">
            <v>0</v>
          </cell>
          <cell r="D4764">
            <v>0</v>
          </cell>
          <cell r="E4764">
            <v>0</v>
          </cell>
          <cell r="F4764">
            <v>0</v>
          </cell>
          <cell r="G4764">
            <v>0</v>
          </cell>
          <cell r="H4764">
            <v>0</v>
          </cell>
          <cell r="I4764">
            <v>0</v>
          </cell>
          <cell r="J4764">
            <v>0</v>
          </cell>
        </row>
        <row r="4765">
          <cell r="A4765">
            <v>1817200722</v>
          </cell>
          <cell r="B4765" t="str">
            <v>חמרים-תחזוקה עצמית</v>
          </cell>
          <cell r="C4765">
            <v>0</v>
          </cell>
          <cell r="D4765">
            <v>0</v>
          </cell>
          <cell r="E4765">
            <v>0</v>
          </cell>
          <cell r="F4765">
            <v>0</v>
          </cell>
          <cell r="G4765">
            <v>0</v>
          </cell>
          <cell r="H4765">
            <v>0</v>
          </cell>
          <cell r="I4765">
            <v>0</v>
          </cell>
          <cell r="J4765">
            <v>0</v>
          </cell>
        </row>
        <row r="4766">
          <cell r="A4766">
            <v>1817200723</v>
          </cell>
          <cell r="B4766" t="str">
            <v>חומרים</v>
          </cell>
          <cell r="C4766">
            <v>0</v>
          </cell>
          <cell r="D4766">
            <v>0</v>
          </cell>
          <cell r="E4766">
            <v>0</v>
          </cell>
          <cell r="F4766">
            <v>0</v>
          </cell>
          <cell r="G4766">
            <v>0</v>
          </cell>
          <cell r="H4766">
            <v>0</v>
          </cell>
          <cell r="I4766">
            <v>0</v>
          </cell>
          <cell r="J4766">
            <v>0</v>
          </cell>
        </row>
        <row r="4767">
          <cell r="A4767">
            <v>1817200742</v>
          </cell>
          <cell r="B4767" t="str">
            <v>כלים וציוד</v>
          </cell>
          <cell r="C4767">
            <v>0</v>
          </cell>
          <cell r="D4767">
            <v>0</v>
          </cell>
          <cell r="E4767">
            <v>0</v>
          </cell>
          <cell r="F4767">
            <v>0</v>
          </cell>
          <cell r="G4767">
            <v>0</v>
          </cell>
          <cell r="H4767">
            <v>0</v>
          </cell>
          <cell r="I4767">
            <v>0</v>
          </cell>
          <cell r="J4767">
            <v>0</v>
          </cell>
        </row>
        <row r="4768">
          <cell r="A4768">
            <v>1817200743</v>
          </cell>
          <cell r="B4768" t="str">
            <v>תחזוקת ציוד</v>
          </cell>
          <cell r="C4768">
            <v>0</v>
          </cell>
          <cell r="D4768">
            <v>0</v>
          </cell>
          <cell r="E4768">
            <v>0</v>
          </cell>
          <cell r="F4768">
            <v>0</v>
          </cell>
          <cell r="G4768">
            <v>0</v>
          </cell>
          <cell r="H4768">
            <v>0</v>
          </cell>
          <cell r="I4768">
            <v>0</v>
          </cell>
          <cell r="J4768">
            <v>0</v>
          </cell>
        </row>
        <row r="4769">
          <cell r="A4769">
            <v>1817200745</v>
          </cell>
          <cell r="B4769" t="str">
            <v>דמי פריצה - תכולה</v>
          </cell>
          <cell r="C4769">
            <v>0</v>
          </cell>
          <cell r="D4769">
            <v>0</v>
          </cell>
          <cell r="E4769">
            <v>0</v>
          </cell>
          <cell r="F4769">
            <v>0</v>
          </cell>
          <cell r="G4769">
            <v>0</v>
          </cell>
          <cell r="H4769">
            <v>0</v>
          </cell>
          <cell r="I4769">
            <v>0</v>
          </cell>
          <cell r="J4769">
            <v>0</v>
          </cell>
        </row>
        <row r="4770">
          <cell r="A4770">
            <v>1817200746</v>
          </cell>
          <cell r="B4770" t="str">
            <v>דמי פריצה - מבנה</v>
          </cell>
          <cell r="C4770">
            <v>0</v>
          </cell>
          <cell r="D4770">
            <v>0</v>
          </cell>
          <cell r="E4770">
            <v>0</v>
          </cell>
          <cell r="F4770">
            <v>0</v>
          </cell>
          <cell r="G4770">
            <v>0</v>
          </cell>
          <cell r="H4770">
            <v>0</v>
          </cell>
          <cell r="I4770">
            <v>0</v>
          </cell>
          <cell r="J4770">
            <v>0</v>
          </cell>
        </row>
        <row r="4771">
          <cell r="A4771">
            <v>1817200752</v>
          </cell>
          <cell r="B4771" t="str">
            <v>נקיון בקבלנות</v>
          </cell>
          <cell r="C4771">
            <v>0</v>
          </cell>
          <cell r="D4771">
            <v>0</v>
          </cell>
          <cell r="E4771">
            <v>0</v>
          </cell>
          <cell r="F4771">
            <v>0</v>
          </cell>
          <cell r="G4771">
            <v>0</v>
          </cell>
          <cell r="H4771">
            <v>0</v>
          </cell>
          <cell r="I4771">
            <v>0</v>
          </cell>
          <cell r="J4771">
            <v>0</v>
          </cell>
        </row>
        <row r="4772">
          <cell r="A4772">
            <v>1817200753</v>
          </cell>
          <cell r="B4772" t="str">
            <v>כ"א - מתי"א</v>
          </cell>
          <cell r="C4772">
            <v>0</v>
          </cell>
          <cell r="D4772">
            <v>0</v>
          </cell>
          <cell r="E4772">
            <v>0</v>
          </cell>
          <cell r="F4772">
            <v>0</v>
          </cell>
          <cell r="G4772">
            <v>0</v>
          </cell>
          <cell r="H4772">
            <v>0</v>
          </cell>
          <cell r="I4772">
            <v>0</v>
          </cell>
          <cell r="J4772">
            <v>0</v>
          </cell>
        </row>
        <row r="4773">
          <cell r="A4773">
            <v>1817200763</v>
          </cell>
          <cell r="B4773" t="str">
            <v>עובדים חיצוניים</v>
          </cell>
          <cell r="C4773">
            <v>0</v>
          </cell>
          <cell r="D4773">
            <v>0</v>
          </cell>
          <cell r="E4773">
            <v>0</v>
          </cell>
          <cell r="F4773">
            <v>0</v>
          </cell>
          <cell r="G4773">
            <v>0</v>
          </cell>
          <cell r="H4773">
            <v>0</v>
          </cell>
          <cell r="I4773">
            <v>0</v>
          </cell>
          <cell r="J4773">
            <v>0</v>
          </cell>
        </row>
        <row r="4774">
          <cell r="A4774">
            <v>1817200780</v>
          </cell>
          <cell r="B4774" t="str">
            <v>סיורים</v>
          </cell>
          <cell r="C4774">
            <v>0</v>
          </cell>
          <cell r="D4774">
            <v>0</v>
          </cell>
          <cell r="E4774">
            <v>0</v>
          </cell>
          <cell r="F4774">
            <v>0</v>
          </cell>
          <cell r="G4774">
            <v>0</v>
          </cell>
          <cell r="H4774">
            <v>0</v>
          </cell>
          <cell r="I4774">
            <v>0</v>
          </cell>
          <cell r="J4774">
            <v>0</v>
          </cell>
        </row>
        <row r="4775">
          <cell r="A4775">
            <v>1817200782</v>
          </cell>
          <cell r="B4775" t="str">
            <v>מרכז מחשבים (הכנ')</v>
          </cell>
          <cell r="C4775">
            <v>0</v>
          </cell>
          <cell r="D4775">
            <v>0</v>
          </cell>
          <cell r="E4775">
            <v>0</v>
          </cell>
          <cell r="F4775">
            <v>0</v>
          </cell>
          <cell r="G4775">
            <v>0</v>
          </cell>
          <cell r="H4775">
            <v>0</v>
          </cell>
          <cell r="I4775">
            <v>0</v>
          </cell>
          <cell r="J4775">
            <v>0</v>
          </cell>
        </row>
        <row r="4776">
          <cell r="A4776">
            <v>1817200784</v>
          </cell>
          <cell r="B4776" t="str">
            <v>הפעלת חנקין</v>
          </cell>
          <cell r="C4776">
            <v>0</v>
          </cell>
          <cell r="D4776">
            <v>0</v>
          </cell>
          <cell r="E4776">
            <v>0</v>
          </cell>
          <cell r="F4776">
            <v>0</v>
          </cell>
          <cell r="G4776">
            <v>0</v>
          </cell>
          <cell r="H4776">
            <v>0</v>
          </cell>
          <cell r="I4776">
            <v>0</v>
          </cell>
          <cell r="J4776">
            <v>0</v>
          </cell>
        </row>
        <row r="4777">
          <cell r="A4777">
            <v>1817200794</v>
          </cell>
          <cell r="B4777" t="str">
            <v>השתתפות בעזר 094</v>
          </cell>
          <cell r="C4777">
            <v>0</v>
          </cell>
          <cell r="D4777">
            <v>0</v>
          </cell>
          <cell r="E4777">
            <v>0</v>
          </cell>
          <cell r="F4777">
            <v>0</v>
          </cell>
          <cell r="G4777">
            <v>0</v>
          </cell>
          <cell r="H4777">
            <v>0</v>
          </cell>
          <cell r="I4777">
            <v>0</v>
          </cell>
          <cell r="J4777">
            <v>0</v>
          </cell>
        </row>
        <row r="4778">
          <cell r="A4778">
            <v>1817200872</v>
          </cell>
          <cell r="B4778" t="str">
            <v>הפעלת חנקין</v>
          </cell>
          <cell r="C4778">
            <v>0</v>
          </cell>
          <cell r="D4778">
            <v>0</v>
          </cell>
          <cell r="E4778">
            <v>0</v>
          </cell>
          <cell r="F4778">
            <v>0</v>
          </cell>
          <cell r="G4778">
            <v>0</v>
          </cell>
          <cell r="H4778">
            <v>0</v>
          </cell>
          <cell r="I4778">
            <v>0</v>
          </cell>
          <cell r="J4778">
            <v>0</v>
          </cell>
        </row>
        <row r="4779">
          <cell r="A4779">
            <v>1817200879</v>
          </cell>
          <cell r="B4779" t="str">
            <v>ביטוח-כנגד הכנסות</v>
          </cell>
          <cell r="C4779">
            <v>0</v>
          </cell>
          <cell r="D4779">
            <v>0</v>
          </cell>
          <cell r="E4779">
            <v>0</v>
          </cell>
          <cell r="F4779">
            <v>0</v>
          </cell>
          <cell r="G4779">
            <v>0</v>
          </cell>
          <cell r="H4779">
            <v>0</v>
          </cell>
          <cell r="I4779">
            <v>0</v>
          </cell>
          <cell r="J4779">
            <v>0</v>
          </cell>
        </row>
        <row r="4780">
          <cell r="A4780">
            <v>1817200931</v>
          </cell>
          <cell r="B4780" t="str">
            <v>פעולות כנגד הכנסות</v>
          </cell>
          <cell r="C4780">
            <v>0</v>
          </cell>
          <cell r="D4780">
            <v>0</v>
          </cell>
          <cell r="E4780">
            <v>0</v>
          </cell>
          <cell r="F4780">
            <v>0</v>
          </cell>
          <cell r="G4780">
            <v>0</v>
          </cell>
          <cell r="H4780">
            <v>0</v>
          </cell>
          <cell r="I4780">
            <v>0</v>
          </cell>
          <cell r="J4780">
            <v>0</v>
          </cell>
        </row>
        <row r="4781">
          <cell r="A4781">
            <v>1817200932</v>
          </cell>
          <cell r="B4781" t="str">
            <v>העברה חד - פעמית</v>
          </cell>
          <cell r="C4781">
            <v>0</v>
          </cell>
          <cell r="D4781">
            <v>0</v>
          </cell>
          <cell r="E4781">
            <v>0</v>
          </cell>
          <cell r="F4781">
            <v>0</v>
          </cell>
          <cell r="G4781">
            <v>0</v>
          </cell>
          <cell r="H4781">
            <v>0</v>
          </cell>
          <cell r="I4781">
            <v>0</v>
          </cell>
          <cell r="J4781">
            <v>0</v>
          </cell>
        </row>
        <row r="4782">
          <cell r="A4782">
            <v>1817200980</v>
          </cell>
          <cell r="B4782" t="str">
            <v>תקורה - מרפ"ד</v>
          </cell>
          <cell r="C4782">
            <v>0</v>
          </cell>
          <cell r="D4782">
            <v>0</v>
          </cell>
          <cell r="E4782">
            <v>0</v>
          </cell>
          <cell r="F4782">
            <v>0</v>
          </cell>
          <cell r="G4782">
            <v>0</v>
          </cell>
          <cell r="H4782">
            <v>0</v>
          </cell>
          <cell r="I4782">
            <v>0</v>
          </cell>
          <cell r="J4782">
            <v>0</v>
          </cell>
        </row>
        <row r="4783">
          <cell r="A4783">
            <v>1817210110</v>
          </cell>
          <cell r="B4783" t="str">
            <v>השכר הקובע-תקציבית</v>
          </cell>
          <cell r="C4783">
            <v>88350</v>
          </cell>
          <cell r="D4783">
            <v>110023.31</v>
          </cell>
          <cell r="E4783">
            <v>0</v>
          </cell>
          <cell r="F4783">
            <v>110023.31</v>
          </cell>
          <cell r="G4783">
            <v>-21673.31</v>
          </cell>
          <cell r="H4783">
            <v>124.53</v>
          </cell>
          <cell r="I4783">
            <v>93000</v>
          </cell>
          <cell r="J4783">
            <v>110023.31</v>
          </cell>
        </row>
        <row r="4784">
          <cell r="A4784">
            <v>1817210119</v>
          </cell>
          <cell r="B4784" t="str">
            <v>השכר הקובע-צוברת</v>
          </cell>
          <cell r="C4784">
            <v>304570</v>
          </cell>
          <cell r="D4784">
            <v>212389.59</v>
          </cell>
          <cell r="E4784">
            <v>0</v>
          </cell>
          <cell r="F4784">
            <v>212389.59</v>
          </cell>
          <cell r="G4784">
            <v>92180.41</v>
          </cell>
          <cell r="H4784">
            <v>69.73</v>
          </cell>
          <cell r="I4784">
            <v>320600</v>
          </cell>
          <cell r="J4784">
            <v>212389.59</v>
          </cell>
        </row>
        <row r="4785">
          <cell r="A4785">
            <v>1817210122</v>
          </cell>
          <cell r="B4785" t="str">
            <v>ביגוד</v>
          </cell>
          <cell r="C4785">
            <v>7600</v>
          </cell>
          <cell r="D4785">
            <v>5260.3</v>
          </cell>
          <cell r="E4785">
            <v>0</v>
          </cell>
          <cell r="F4785">
            <v>5260.3</v>
          </cell>
          <cell r="G4785">
            <v>2339.6999999999998</v>
          </cell>
          <cell r="H4785">
            <v>69.209999999999994</v>
          </cell>
          <cell r="I4785">
            <v>8000</v>
          </cell>
          <cell r="J4785">
            <v>5260.3</v>
          </cell>
        </row>
        <row r="4786">
          <cell r="A4786">
            <v>1817210126</v>
          </cell>
          <cell r="B4786" t="str">
            <v>דמי הבראה</v>
          </cell>
          <cell r="C4786">
            <v>24225</v>
          </cell>
          <cell r="D4786">
            <v>12225.56</v>
          </cell>
          <cell r="E4786">
            <v>0</v>
          </cell>
          <cell r="F4786">
            <v>12225.56</v>
          </cell>
          <cell r="G4786">
            <v>11999.44</v>
          </cell>
          <cell r="H4786">
            <v>50.46</v>
          </cell>
          <cell r="I4786">
            <v>25500</v>
          </cell>
          <cell r="J4786">
            <v>12225.56</v>
          </cell>
        </row>
        <row r="4787">
          <cell r="A4787">
            <v>1817210130</v>
          </cell>
          <cell r="B4787" t="str">
            <v>שעות נוספות</v>
          </cell>
          <cell r="C4787">
            <v>1900</v>
          </cell>
          <cell r="D4787">
            <v>0</v>
          </cell>
          <cell r="E4787">
            <v>0</v>
          </cell>
          <cell r="F4787">
            <v>0</v>
          </cell>
          <cell r="G4787">
            <v>1900</v>
          </cell>
          <cell r="H4787">
            <v>0</v>
          </cell>
          <cell r="I4787">
            <v>2000</v>
          </cell>
          <cell r="J4787">
            <v>0</v>
          </cell>
        </row>
        <row r="4788">
          <cell r="A4788">
            <v>1817210140</v>
          </cell>
          <cell r="B4788" t="str">
            <v>השתתפות באחזקת רכב</v>
          </cell>
          <cell r="C4788">
            <v>18905</v>
          </cell>
          <cell r="D4788">
            <v>38731.86</v>
          </cell>
          <cell r="E4788">
            <v>0</v>
          </cell>
          <cell r="F4788">
            <v>38731.86</v>
          </cell>
          <cell r="G4788">
            <v>-19826.86</v>
          </cell>
          <cell r="H4788">
            <v>204.87</v>
          </cell>
          <cell r="I4788">
            <v>19900</v>
          </cell>
          <cell r="J4788">
            <v>38731.86</v>
          </cell>
        </row>
        <row r="4789">
          <cell r="A4789">
            <v>1817210210</v>
          </cell>
          <cell r="B4789" t="str">
            <v>השכר הקובע</v>
          </cell>
          <cell r="C4789">
            <v>0</v>
          </cell>
          <cell r="D4789">
            <v>0</v>
          </cell>
          <cell r="E4789">
            <v>0</v>
          </cell>
          <cell r="F4789">
            <v>0</v>
          </cell>
          <cell r="G4789">
            <v>0</v>
          </cell>
          <cell r="H4789">
            <v>0</v>
          </cell>
          <cell r="I4789">
            <v>0</v>
          </cell>
          <cell r="J4789">
            <v>0</v>
          </cell>
        </row>
        <row r="4790">
          <cell r="A4790">
            <v>1817210263</v>
          </cell>
          <cell r="B4790" t="str">
            <v>עובדים חיצוניים</v>
          </cell>
          <cell r="C4790">
            <v>0</v>
          </cell>
          <cell r="D4790">
            <v>0</v>
          </cell>
          <cell r="E4790">
            <v>0</v>
          </cell>
          <cell r="F4790">
            <v>0</v>
          </cell>
          <cell r="G4790">
            <v>0</v>
          </cell>
          <cell r="H4790">
            <v>0</v>
          </cell>
          <cell r="I4790">
            <v>0</v>
          </cell>
          <cell r="J4790">
            <v>0</v>
          </cell>
        </row>
        <row r="4791">
          <cell r="A4791">
            <v>1817210264</v>
          </cell>
          <cell r="B4791" t="str">
            <v>מפעילת מחשבים(הכנ')</v>
          </cell>
          <cell r="C4791">
            <v>0</v>
          </cell>
          <cell r="D4791">
            <v>0</v>
          </cell>
          <cell r="E4791">
            <v>0</v>
          </cell>
          <cell r="F4791">
            <v>0</v>
          </cell>
          <cell r="G4791">
            <v>0</v>
          </cell>
          <cell r="H4791">
            <v>0</v>
          </cell>
          <cell r="I4791">
            <v>0</v>
          </cell>
          <cell r="J4791">
            <v>0</v>
          </cell>
        </row>
        <row r="4792">
          <cell r="A4792">
            <v>1817210391</v>
          </cell>
          <cell r="B4792" t="str">
            <v>הפרשה לפנסיה</v>
          </cell>
          <cell r="C4792">
            <v>0</v>
          </cell>
          <cell r="D4792">
            <v>0</v>
          </cell>
          <cell r="E4792">
            <v>0</v>
          </cell>
          <cell r="F4792">
            <v>0</v>
          </cell>
          <cell r="G4792">
            <v>0</v>
          </cell>
          <cell r="H4792">
            <v>0</v>
          </cell>
          <cell r="I4792">
            <v>0</v>
          </cell>
          <cell r="J4792">
            <v>0</v>
          </cell>
        </row>
        <row r="4793">
          <cell r="A4793">
            <v>1817210410</v>
          </cell>
          <cell r="B4793" t="str">
            <v>שכירות פסג"ה</v>
          </cell>
          <cell r="C4793">
            <v>0</v>
          </cell>
          <cell r="D4793">
            <v>0</v>
          </cell>
          <cell r="E4793">
            <v>0</v>
          </cell>
          <cell r="F4793">
            <v>0</v>
          </cell>
          <cell r="G4793">
            <v>0</v>
          </cell>
          <cell r="H4793">
            <v>0</v>
          </cell>
          <cell r="I4793">
            <v>0</v>
          </cell>
          <cell r="J4793">
            <v>0</v>
          </cell>
        </row>
        <row r="4794">
          <cell r="A4794">
            <v>1817210423</v>
          </cell>
          <cell r="B4794" t="str">
            <v>תחזוקת מבנה</v>
          </cell>
          <cell r="C4794">
            <v>855</v>
          </cell>
          <cell r="D4794">
            <v>900</v>
          </cell>
          <cell r="E4794">
            <v>0</v>
          </cell>
          <cell r="F4794">
            <v>900</v>
          </cell>
          <cell r="G4794">
            <v>-45</v>
          </cell>
          <cell r="H4794">
            <v>105.26</v>
          </cell>
          <cell r="I4794">
            <v>900</v>
          </cell>
          <cell r="J4794">
            <v>900</v>
          </cell>
        </row>
        <row r="4795">
          <cell r="A4795">
            <v>1817210431</v>
          </cell>
          <cell r="B4795" t="str">
            <v>חשמל</v>
          </cell>
          <cell r="C4795">
            <v>0</v>
          </cell>
          <cell r="D4795">
            <v>0</v>
          </cell>
          <cell r="E4795">
            <v>0</v>
          </cell>
          <cell r="F4795">
            <v>0</v>
          </cell>
          <cell r="G4795">
            <v>0</v>
          </cell>
          <cell r="H4795">
            <v>0</v>
          </cell>
          <cell r="I4795">
            <v>0</v>
          </cell>
          <cell r="J4795">
            <v>0</v>
          </cell>
        </row>
        <row r="4796">
          <cell r="A4796">
            <v>1817210433</v>
          </cell>
          <cell r="B4796" t="str">
            <v>חומרי נקיון</v>
          </cell>
          <cell r="C4796">
            <v>0</v>
          </cell>
          <cell r="D4796">
            <v>0</v>
          </cell>
          <cell r="E4796">
            <v>0</v>
          </cell>
          <cell r="F4796">
            <v>0</v>
          </cell>
          <cell r="G4796">
            <v>0</v>
          </cell>
          <cell r="H4796">
            <v>0</v>
          </cell>
          <cell r="I4796">
            <v>0</v>
          </cell>
          <cell r="J4796">
            <v>0</v>
          </cell>
        </row>
        <row r="4797">
          <cell r="A4797">
            <v>1817210441</v>
          </cell>
          <cell r="B4797" t="str">
            <v>ביטוח</v>
          </cell>
          <cell r="C4797">
            <v>0</v>
          </cell>
          <cell r="D4797">
            <v>0</v>
          </cell>
          <cell r="E4797">
            <v>0</v>
          </cell>
          <cell r="F4797">
            <v>0</v>
          </cell>
          <cell r="G4797">
            <v>0</v>
          </cell>
          <cell r="H4797">
            <v>0</v>
          </cell>
          <cell r="I4797">
            <v>0</v>
          </cell>
          <cell r="J4797">
            <v>0</v>
          </cell>
        </row>
        <row r="4798">
          <cell r="A4798">
            <v>1817210470</v>
          </cell>
          <cell r="B4798" t="str">
            <v>אחזקת מכונות משרד</v>
          </cell>
          <cell r="C4798">
            <v>0</v>
          </cell>
          <cell r="D4798">
            <v>0</v>
          </cell>
          <cell r="E4798">
            <v>0</v>
          </cell>
          <cell r="F4798">
            <v>0</v>
          </cell>
          <cell r="G4798">
            <v>0</v>
          </cell>
          <cell r="H4798">
            <v>0</v>
          </cell>
          <cell r="I4798">
            <v>0</v>
          </cell>
          <cell r="J4798">
            <v>0</v>
          </cell>
        </row>
        <row r="4799">
          <cell r="A4799">
            <v>1817210471</v>
          </cell>
          <cell r="B4799" t="str">
            <v>מכשירי כתיבה</v>
          </cell>
          <cell r="C4799">
            <v>0</v>
          </cell>
          <cell r="D4799">
            <v>0</v>
          </cell>
          <cell r="E4799">
            <v>0</v>
          </cell>
          <cell r="F4799">
            <v>0</v>
          </cell>
          <cell r="G4799">
            <v>0</v>
          </cell>
          <cell r="H4799">
            <v>0</v>
          </cell>
          <cell r="I4799">
            <v>0</v>
          </cell>
          <cell r="J4799">
            <v>0</v>
          </cell>
        </row>
        <row r="4800">
          <cell r="A4800">
            <v>1817210511</v>
          </cell>
          <cell r="B4800" t="str">
            <v>אירוח וכיבוד</v>
          </cell>
          <cell r="C4800">
            <v>0</v>
          </cell>
          <cell r="D4800">
            <v>0</v>
          </cell>
          <cell r="E4800">
            <v>0</v>
          </cell>
          <cell r="F4800">
            <v>0</v>
          </cell>
          <cell r="G4800">
            <v>0</v>
          </cell>
          <cell r="H4800">
            <v>0</v>
          </cell>
          <cell r="I4800">
            <v>0</v>
          </cell>
          <cell r="J4800">
            <v>0</v>
          </cell>
        </row>
        <row r="4801">
          <cell r="A4801">
            <v>1817210512</v>
          </cell>
          <cell r="B4801" t="str">
            <v>נסיעות ואש"ל</v>
          </cell>
          <cell r="C4801">
            <v>0</v>
          </cell>
          <cell r="D4801">
            <v>0</v>
          </cell>
          <cell r="E4801">
            <v>0</v>
          </cell>
          <cell r="F4801">
            <v>0</v>
          </cell>
          <cell r="G4801">
            <v>0</v>
          </cell>
          <cell r="H4801">
            <v>0</v>
          </cell>
          <cell r="I4801">
            <v>0</v>
          </cell>
          <cell r="J4801">
            <v>0</v>
          </cell>
        </row>
        <row r="4802">
          <cell r="A4802">
            <v>1817210522</v>
          </cell>
          <cell r="B4802" t="str">
            <v>עיתונים ופירסומים</v>
          </cell>
          <cell r="C4802">
            <v>0</v>
          </cell>
          <cell r="D4802">
            <v>0</v>
          </cell>
          <cell r="E4802">
            <v>0</v>
          </cell>
          <cell r="F4802">
            <v>0</v>
          </cell>
          <cell r="G4802">
            <v>0</v>
          </cell>
          <cell r="H4802">
            <v>0</v>
          </cell>
          <cell r="I4802">
            <v>0</v>
          </cell>
          <cell r="J4802">
            <v>0</v>
          </cell>
        </row>
        <row r="4803">
          <cell r="A4803">
            <v>1817210540</v>
          </cell>
          <cell r="B4803" t="str">
            <v>הוצאות טלפון</v>
          </cell>
          <cell r="C4803">
            <v>0</v>
          </cell>
          <cell r="D4803">
            <v>0</v>
          </cell>
          <cell r="E4803">
            <v>0</v>
          </cell>
          <cell r="F4803">
            <v>0</v>
          </cell>
          <cell r="G4803">
            <v>0</v>
          </cell>
          <cell r="H4803">
            <v>0</v>
          </cell>
          <cell r="I4803">
            <v>0</v>
          </cell>
          <cell r="J4803">
            <v>0</v>
          </cell>
        </row>
        <row r="4804">
          <cell r="A4804">
            <v>1817210544</v>
          </cell>
          <cell r="B4804" t="str">
            <v>הוצאות דאר</v>
          </cell>
          <cell r="C4804">
            <v>0</v>
          </cell>
          <cell r="D4804">
            <v>0</v>
          </cell>
          <cell r="E4804">
            <v>0</v>
          </cell>
          <cell r="F4804">
            <v>0</v>
          </cell>
          <cell r="G4804">
            <v>0</v>
          </cell>
          <cell r="H4804">
            <v>0</v>
          </cell>
          <cell r="I4804">
            <v>0</v>
          </cell>
          <cell r="J4804">
            <v>0</v>
          </cell>
        </row>
        <row r="4805">
          <cell r="A4805">
            <v>1817210561</v>
          </cell>
          <cell r="B4805" t="str">
            <v>שיכפולים</v>
          </cell>
          <cell r="C4805">
            <v>0</v>
          </cell>
          <cell r="D4805">
            <v>0</v>
          </cell>
          <cell r="E4805">
            <v>0</v>
          </cell>
          <cell r="F4805">
            <v>0</v>
          </cell>
          <cell r="G4805">
            <v>0</v>
          </cell>
          <cell r="H4805">
            <v>0</v>
          </cell>
          <cell r="I4805">
            <v>0</v>
          </cell>
          <cell r="J4805">
            <v>0</v>
          </cell>
        </row>
        <row r="4806">
          <cell r="A4806">
            <v>1817210562</v>
          </cell>
          <cell r="B4806" t="str">
            <v>הדפסות</v>
          </cell>
          <cell r="C4806">
            <v>0</v>
          </cell>
          <cell r="D4806">
            <v>0</v>
          </cell>
          <cell r="E4806">
            <v>0</v>
          </cell>
          <cell r="F4806">
            <v>0</v>
          </cell>
          <cell r="G4806">
            <v>0</v>
          </cell>
          <cell r="H4806">
            <v>0</v>
          </cell>
          <cell r="I4806">
            <v>0</v>
          </cell>
          <cell r="J4806">
            <v>0</v>
          </cell>
        </row>
        <row r="4807">
          <cell r="A4807">
            <v>1817210721</v>
          </cell>
          <cell r="B4807" t="str">
            <v>חמרים-תחזוקת מבנים</v>
          </cell>
          <cell r="C4807">
            <v>760</v>
          </cell>
          <cell r="D4807">
            <v>0</v>
          </cell>
          <cell r="E4807">
            <v>0</v>
          </cell>
          <cell r="F4807">
            <v>0</v>
          </cell>
          <cell r="G4807">
            <v>760</v>
          </cell>
          <cell r="H4807">
            <v>0</v>
          </cell>
          <cell r="I4807">
            <v>800</v>
          </cell>
          <cell r="J4807">
            <v>0</v>
          </cell>
        </row>
        <row r="4808">
          <cell r="A4808">
            <v>1817210723</v>
          </cell>
          <cell r="B4808" t="str">
            <v>חומרים למרפ"ד</v>
          </cell>
          <cell r="C4808">
            <v>0</v>
          </cell>
          <cell r="D4808">
            <v>0</v>
          </cell>
          <cell r="E4808">
            <v>0</v>
          </cell>
          <cell r="F4808">
            <v>0</v>
          </cell>
          <cell r="G4808">
            <v>0</v>
          </cell>
          <cell r="H4808">
            <v>0</v>
          </cell>
          <cell r="I4808">
            <v>0</v>
          </cell>
          <cell r="J4808">
            <v>0</v>
          </cell>
        </row>
        <row r="4809">
          <cell r="A4809">
            <v>1817210724</v>
          </cell>
          <cell r="B4809" t="str">
            <v>רכישות(הכ'מ'חינוך)</v>
          </cell>
          <cell r="C4809">
            <v>0</v>
          </cell>
          <cell r="D4809">
            <v>0</v>
          </cell>
          <cell r="E4809">
            <v>0</v>
          </cell>
          <cell r="F4809">
            <v>0</v>
          </cell>
          <cell r="G4809">
            <v>0</v>
          </cell>
          <cell r="H4809">
            <v>0</v>
          </cell>
          <cell r="I4809">
            <v>0</v>
          </cell>
          <cell r="J4809">
            <v>0</v>
          </cell>
        </row>
        <row r="4810">
          <cell r="A4810">
            <v>1817210741</v>
          </cell>
          <cell r="B4810" t="str">
            <v>כריכת ספרים</v>
          </cell>
          <cell r="C4810">
            <v>0</v>
          </cell>
          <cell r="D4810">
            <v>0</v>
          </cell>
          <cell r="E4810">
            <v>0</v>
          </cell>
          <cell r="F4810">
            <v>0</v>
          </cell>
          <cell r="G4810">
            <v>0</v>
          </cell>
          <cell r="H4810">
            <v>0</v>
          </cell>
          <cell r="I4810">
            <v>0</v>
          </cell>
          <cell r="J4810">
            <v>0</v>
          </cell>
        </row>
        <row r="4811">
          <cell r="A4811">
            <v>1817210742</v>
          </cell>
          <cell r="B4811" t="str">
            <v>כלים וציוד</v>
          </cell>
          <cell r="C4811">
            <v>0</v>
          </cell>
          <cell r="D4811">
            <v>0</v>
          </cell>
          <cell r="E4811">
            <v>0</v>
          </cell>
          <cell r="F4811">
            <v>0</v>
          </cell>
          <cell r="G4811">
            <v>0</v>
          </cell>
          <cell r="H4811">
            <v>0</v>
          </cell>
          <cell r="I4811">
            <v>0</v>
          </cell>
          <cell r="J4811">
            <v>0</v>
          </cell>
        </row>
        <row r="4812">
          <cell r="A4812">
            <v>1817210745</v>
          </cell>
          <cell r="B4812" t="str">
            <v>דמי פריצה - תכולה</v>
          </cell>
          <cell r="C4812">
            <v>0</v>
          </cell>
          <cell r="D4812">
            <v>0</v>
          </cell>
          <cell r="E4812">
            <v>0</v>
          </cell>
          <cell r="F4812">
            <v>0</v>
          </cell>
          <cell r="G4812">
            <v>0</v>
          </cell>
          <cell r="H4812">
            <v>0</v>
          </cell>
          <cell r="I4812">
            <v>0</v>
          </cell>
          <cell r="J4812">
            <v>0</v>
          </cell>
        </row>
        <row r="4813">
          <cell r="A4813">
            <v>1817210750</v>
          </cell>
          <cell r="B4813" t="str">
            <v>אחזקת מוסדות</v>
          </cell>
          <cell r="C4813">
            <v>141800</v>
          </cell>
          <cell r="D4813">
            <v>164237</v>
          </cell>
          <cell r="E4813">
            <v>0</v>
          </cell>
          <cell r="F4813">
            <v>164237</v>
          </cell>
          <cell r="G4813">
            <v>-22437</v>
          </cell>
          <cell r="H4813">
            <v>115.82</v>
          </cell>
          <cell r="I4813">
            <v>141800</v>
          </cell>
          <cell r="J4813">
            <v>164237</v>
          </cell>
        </row>
        <row r="4814">
          <cell r="A4814">
            <v>1817210751</v>
          </cell>
          <cell r="B4814" t="str">
            <v>עבודות קבלניות</v>
          </cell>
          <cell r="C4814">
            <v>10735</v>
          </cell>
          <cell r="D4814">
            <v>1639</v>
          </cell>
          <cell r="E4814">
            <v>0</v>
          </cell>
          <cell r="F4814">
            <v>1639</v>
          </cell>
          <cell r="G4814">
            <v>9096</v>
          </cell>
          <cell r="H4814">
            <v>15.26</v>
          </cell>
          <cell r="I4814">
            <v>11300</v>
          </cell>
          <cell r="J4814">
            <v>1639</v>
          </cell>
        </row>
        <row r="4815">
          <cell r="A4815">
            <v>1817210752</v>
          </cell>
          <cell r="B4815" t="str">
            <v>נקיון בקבלנות</v>
          </cell>
          <cell r="C4815">
            <v>400140</v>
          </cell>
          <cell r="D4815">
            <v>350043.19</v>
          </cell>
          <cell r="E4815">
            <v>22437</v>
          </cell>
          <cell r="F4815">
            <v>372480.19</v>
          </cell>
          <cell r="G4815">
            <v>27659.81</v>
          </cell>
          <cell r="H4815">
            <v>93.08</v>
          </cell>
          <cell r="I4815">
            <v>421200</v>
          </cell>
          <cell r="J4815">
            <v>350043.19</v>
          </cell>
        </row>
        <row r="4816">
          <cell r="A4816">
            <v>1817210753</v>
          </cell>
          <cell r="B4816" t="str">
            <v>עובדים חיצוניים</v>
          </cell>
          <cell r="C4816">
            <v>0</v>
          </cell>
          <cell r="D4816">
            <v>0</v>
          </cell>
          <cell r="E4816">
            <v>0</v>
          </cell>
          <cell r="F4816">
            <v>0</v>
          </cell>
          <cell r="G4816">
            <v>0</v>
          </cell>
          <cell r="H4816">
            <v>0</v>
          </cell>
          <cell r="I4816">
            <v>0</v>
          </cell>
          <cell r="J4816">
            <v>0</v>
          </cell>
        </row>
        <row r="4817">
          <cell r="A4817">
            <v>1817210763</v>
          </cell>
          <cell r="B4817" t="str">
            <v>עובדי חברת מוסדות</v>
          </cell>
          <cell r="C4817">
            <v>0</v>
          </cell>
          <cell r="D4817">
            <v>0</v>
          </cell>
          <cell r="E4817">
            <v>0</v>
          </cell>
          <cell r="F4817">
            <v>0</v>
          </cell>
          <cell r="G4817">
            <v>0</v>
          </cell>
          <cell r="H4817">
            <v>0</v>
          </cell>
          <cell r="I4817">
            <v>0</v>
          </cell>
          <cell r="J4817">
            <v>0</v>
          </cell>
        </row>
        <row r="4818">
          <cell r="A4818">
            <v>1817210780</v>
          </cell>
          <cell r="B4818" t="str">
            <v>הפעלת פסג"ה</v>
          </cell>
          <cell r="C4818">
            <v>66405</v>
          </cell>
          <cell r="D4818">
            <v>69900</v>
          </cell>
          <cell r="E4818">
            <v>0</v>
          </cell>
          <cell r="F4818">
            <v>69900</v>
          </cell>
          <cell r="G4818">
            <v>-3495</v>
          </cell>
          <cell r="H4818">
            <v>105.26</v>
          </cell>
          <cell r="I4818">
            <v>69900</v>
          </cell>
          <cell r="J4818">
            <v>69900</v>
          </cell>
        </row>
        <row r="4819">
          <cell r="A4819">
            <v>1817210782</v>
          </cell>
          <cell r="B4819" t="str">
            <v>מרכז מחשבים(הכנ')</v>
          </cell>
          <cell r="C4819">
            <v>0</v>
          </cell>
          <cell r="D4819">
            <v>0</v>
          </cell>
          <cell r="E4819">
            <v>0</v>
          </cell>
          <cell r="F4819">
            <v>0</v>
          </cell>
          <cell r="G4819">
            <v>0</v>
          </cell>
          <cell r="H4819">
            <v>0</v>
          </cell>
          <cell r="I4819">
            <v>0</v>
          </cell>
          <cell r="J4819">
            <v>0</v>
          </cell>
        </row>
        <row r="4820">
          <cell r="A4820">
            <v>1817210783</v>
          </cell>
          <cell r="B4820" t="str">
            <v>פסג"ה-הכנסות משרד</v>
          </cell>
          <cell r="C4820">
            <v>76000</v>
          </cell>
          <cell r="D4820">
            <v>5408</v>
          </cell>
          <cell r="E4820">
            <v>0</v>
          </cell>
          <cell r="F4820">
            <v>5408</v>
          </cell>
          <cell r="G4820">
            <v>70592</v>
          </cell>
          <cell r="H4820">
            <v>7.11</v>
          </cell>
          <cell r="I4820">
            <v>80000</v>
          </cell>
          <cell r="J4820">
            <v>5408</v>
          </cell>
        </row>
        <row r="4821">
          <cell r="A4821">
            <v>1817210980</v>
          </cell>
          <cell r="B4821" t="str">
            <v>העמסת תקורה</v>
          </cell>
          <cell r="C4821">
            <v>0</v>
          </cell>
          <cell r="D4821">
            <v>0</v>
          </cell>
          <cell r="E4821">
            <v>0</v>
          </cell>
          <cell r="F4821">
            <v>0</v>
          </cell>
          <cell r="G4821">
            <v>0</v>
          </cell>
          <cell r="H4821">
            <v>0</v>
          </cell>
          <cell r="I4821">
            <v>0</v>
          </cell>
          <cell r="J4821">
            <v>0</v>
          </cell>
        </row>
        <row r="4822">
          <cell r="A4822">
            <v>1817300110</v>
          </cell>
          <cell r="B4822" t="str">
            <v>השכר הקובע-תקציבית</v>
          </cell>
          <cell r="C4822">
            <v>317490</v>
          </cell>
          <cell r="D4822">
            <v>389753.21</v>
          </cell>
          <cell r="E4822">
            <v>0</v>
          </cell>
          <cell r="F4822">
            <v>389753.21</v>
          </cell>
          <cell r="G4822">
            <v>-72263.210000000006</v>
          </cell>
          <cell r="H4822">
            <v>122.76</v>
          </cell>
          <cell r="I4822">
            <v>334200</v>
          </cell>
          <cell r="J4822">
            <v>389753.21</v>
          </cell>
        </row>
        <row r="4823">
          <cell r="A4823">
            <v>1817300119</v>
          </cell>
          <cell r="B4823" t="str">
            <v>השכר הקובע-צוברת</v>
          </cell>
          <cell r="C4823">
            <v>8883545</v>
          </cell>
          <cell r="D4823">
            <v>10966845.76</v>
          </cell>
          <cell r="E4823">
            <v>0</v>
          </cell>
          <cell r="F4823">
            <v>10966845.76</v>
          </cell>
          <cell r="G4823">
            <v>-2083300.76</v>
          </cell>
          <cell r="H4823">
            <v>123.45</v>
          </cell>
          <cell r="I4823">
            <v>9351100</v>
          </cell>
          <cell r="J4823">
            <v>10966845.76</v>
          </cell>
        </row>
        <row r="4824">
          <cell r="A4824">
            <v>1817300122</v>
          </cell>
          <cell r="B4824" t="str">
            <v>ביגוד</v>
          </cell>
          <cell r="C4824">
            <v>101270</v>
          </cell>
          <cell r="D4824">
            <v>127859.19</v>
          </cell>
          <cell r="E4824">
            <v>0</v>
          </cell>
          <cell r="F4824">
            <v>127859.19</v>
          </cell>
          <cell r="G4824">
            <v>-26589.19</v>
          </cell>
          <cell r="H4824">
            <v>126.25</v>
          </cell>
          <cell r="I4824">
            <v>106600</v>
          </cell>
          <cell r="J4824">
            <v>127859.19</v>
          </cell>
        </row>
        <row r="4825">
          <cell r="A4825">
            <v>1817300126</v>
          </cell>
          <cell r="B4825" t="str">
            <v>דמי הבראה</v>
          </cell>
          <cell r="C4825">
            <v>232750</v>
          </cell>
          <cell r="D4825">
            <v>255702.8</v>
          </cell>
          <cell r="E4825">
            <v>0</v>
          </cell>
          <cell r="F4825">
            <v>255702.8</v>
          </cell>
          <cell r="G4825">
            <v>-22952.799999999999</v>
          </cell>
          <cell r="H4825">
            <v>109.86</v>
          </cell>
          <cell r="I4825">
            <v>245000</v>
          </cell>
          <cell r="J4825">
            <v>255702.8</v>
          </cell>
        </row>
        <row r="4826">
          <cell r="A4826">
            <v>1817300130</v>
          </cell>
          <cell r="B4826" t="str">
            <v>שעות נוספות</v>
          </cell>
          <cell r="C4826">
            <v>19000</v>
          </cell>
          <cell r="D4826">
            <v>169940.73</v>
          </cell>
          <cell r="E4826">
            <v>0</v>
          </cell>
          <cell r="F4826">
            <v>169940.73</v>
          </cell>
          <cell r="G4826">
            <v>-150940.73000000001</v>
          </cell>
          <cell r="H4826">
            <v>894.42</v>
          </cell>
          <cell r="I4826">
            <v>20000</v>
          </cell>
          <cell r="J4826">
            <v>169940.73</v>
          </cell>
        </row>
        <row r="4827">
          <cell r="A4827">
            <v>1817300140</v>
          </cell>
          <cell r="B4827" t="str">
            <v>השתתפות באחזקת רכב</v>
          </cell>
          <cell r="C4827">
            <v>736250</v>
          </cell>
          <cell r="D4827">
            <v>883197.6</v>
          </cell>
          <cell r="E4827">
            <v>0</v>
          </cell>
          <cell r="F4827">
            <v>883197.6</v>
          </cell>
          <cell r="G4827">
            <v>-146947.6</v>
          </cell>
          <cell r="H4827">
            <v>119.95</v>
          </cell>
          <cell r="I4827">
            <v>775000</v>
          </cell>
          <cell r="J4827">
            <v>883197.6</v>
          </cell>
        </row>
        <row r="4828">
          <cell r="A4828">
            <v>1817300210</v>
          </cell>
          <cell r="B4828" t="str">
            <v>שפ"מ</v>
          </cell>
          <cell r="C4828">
            <v>0</v>
          </cell>
          <cell r="D4828">
            <v>0</v>
          </cell>
          <cell r="E4828">
            <v>0</v>
          </cell>
          <cell r="F4828">
            <v>0</v>
          </cell>
          <cell r="G4828">
            <v>0</v>
          </cell>
          <cell r="H4828">
            <v>0</v>
          </cell>
          <cell r="I4828">
            <v>0</v>
          </cell>
          <cell r="J4828">
            <v>0</v>
          </cell>
        </row>
        <row r="4829">
          <cell r="A4829">
            <v>1817300211</v>
          </cell>
          <cell r="B4829" t="str">
            <v>איבחונים חט"ע</v>
          </cell>
          <cell r="C4829">
            <v>0</v>
          </cell>
          <cell r="D4829">
            <v>0</v>
          </cell>
          <cell r="E4829">
            <v>0</v>
          </cell>
          <cell r="F4829">
            <v>0</v>
          </cell>
          <cell r="G4829">
            <v>0</v>
          </cell>
          <cell r="H4829">
            <v>0</v>
          </cell>
          <cell r="I4829">
            <v>0</v>
          </cell>
          <cell r="J4829">
            <v>0</v>
          </cell>
        </row>
        <row r="4830">
          <cell r="A4830">
            <v>1817300212</v>
          </cell>
          <cell r="B4830" t="str">
            <v>יוזמות כנגד הכנסות</v>
          </cell>
          <cell r="C4830">
            <v>28500</v>
          </cell>
          <cell r="D4830">
            <v>29895</v>
          </cell>
          <cell r="E4830">
            <v>0</v>
          </cell>
          <cell r="F4830">
            <v>29895</v>
          </cell>
          <cell r="G4830">
            <v>-1395</v>
          </cell>
          <cell r="H4830">
            <v>104.89</v>
          </cell>
          <cell r="I4830">
            <v>30000</v>
          </cell>
          <cell r="J4830">
            <v>29895</v>
          </cell>
        </row>
        <row r="4831">
          <cell r="A4831">
            <v>1817300263</v>
          </cell>
          <cell r="B4831" t="str">
            <v>עובדי חברת מוסדות</v>
          </cell>
          <cell r="C4831">
            <v>0</v>
          </cell>
          <cell r="D4831">
            <v>0</v>
          </cell>
          <cell r="E4831">
            <v>0</v>
          </cell>
          <cell r="F4831">
            <v>0</v>
          </cell>
          <cell r="G4831">
            <v>0</v>
          </cell>
          <cell r="H4831">
            <v>0</v>
          </cell>
          <cell r="I4831">
            <v>0</v>
          </cell>
          <cell r="J4831">
            <v>0</v>
          </cell>
        </row>
        <row r="4832">
          <cell r="A4832">
            <v>1817300391</v>
          </cell>
          <cell r="B4832" t="str">
            <v>הפרשה לפנסיה</v>
          </cell>
          <cell r="C4832">
            <v>0</v>
          </cell>
          <cell r="D4832">
            <v>0</v>
          </cell>
          <cell r="E4832">
            <v>0</v>
          </cell>
          <cell r="F4832">
            <v>0</v>
          </cell>
          <cell r="G4832">
            <v>0</v>
          </cell>
          <cell r="H4832">
            <v>0</v>
          </cell>
          <cell r="I4832">
            <v>0</v>
          </cell>
          <cell r="J4832">
            <v>0</v>
          </cell>
        </row>
        <row r="4833">
          <cell r="A4833">
            <v>1817300410</v>
          </cell>
          <cell r="B4833" t="str">
            <v>השתתפות בועד בית</v>
          </cell>
          <cell r="C4833">
            <v>0</v>
          </cell>
          <cell r="D4833">
            <v>0</v>
          </cell>
          <cell r="E4833">
            <v>0</v>
          </cell>
          <cell r="F4833">
            <v>0</v>
          </cell>
          <cell r="G4833">
            <v>0</v>
          </cell>
          <cell r="H4833">
            <v>0</v>
          </cell>
          <cell r="I4833">
            <v>0</v>
          </cell>
          <cell r="J4833">
            <v>0</v>
          </cell>
        </row>
        <row r="4834">
          <cell r="A4834">
            <v>1817300420</v>
          </cell>
          <cell r="B4834" t="str">
            <v>כיבוי אש</v>
          </cell>
          <cell r="C4834">
            <v>2850</v>
          </cell>
          <cell r="D4834">
            <v>1906.4</v>
          </cell>
          <cell r="E4834">
            <v>0</v>
          </cell>
          <cell r="F4834">
            <v>1906.4</v>
          </cell>
          <cell r="G4834">
            <v>943.6</v>
          </cell>
          <cell r="H4834">
            <v>66.89</v>
          </cell>
          <cell r="I4834">
            <v>3000</v>
          </cell>
          <cell r="J4834">
            <v>1906.4</v>
          </cell>
        </row>
        <row r="4835">
          <cell r="A4835">
            <v>1817300423</v>
          </cell>
          <cell r="B4835" t="str">
            <v>תחזוקת מבנה</v>
          </cell>
          <cell r="C4835">
            <v>4370</v>
          </cell>
          <cell r="D4835">
            <v>4600</v>
          </cell>
          <cell r="E4835">
            <v>0</v>
          </cell>
          <cell r="F4835">
            <v>4600</v>
          </cell>
          <cell r="G4835">
            <v>-230</v>
          </cell>
          <cell r="H4835">
            <v>105.26</v>
          </cell>
          <cell r="I4835">
            <v>4600</v>
          </cell>
          <cell r="J4835">
            <v>4600</v>
          </cell>
        </row>
        <row r="4836">
          <cell r="A4836">
            <v>1817300431</v>
          </cell>
          <cell r="B4836" t="str">
            <v>חשמל</v>
          </cell>
          <cell r="C4836">
            <v>6270</v>
          </cell>
          <cell r="D4836">
            <v>0</v>
          </cell>
          <cell r="E4836">
            <v>0</v>
          </cell>
          <cell r="F4836">
            <v>0</v>
          </cell>
          <cell r="G4836">
            <v>6270</v>
          </cell>
          <cell r="H4836">
            <v>0</v>
          </cell>
          <cell r="I4836">
            <v>6600</v>
          </cell>
          <cell r="J4836">
            <v>0</v>
          </cell>
        </row>
        <row r="4837">
          <cell r="A4837">
            <v>1817300432</v>
          </cell>
          <cell r="B4837" t="str">
            <v>מים</v>
          </cell>
          <cell r="C4837">
            <v>0</v>
          </cell>
          <cell r="D4837">
            <v>0</v>
          </cell>
          <cell r="E4837">
            <v>0</v>
          </cell>
          <cell r="F4837">
            <v>0</v>
          </cell>
          <cell r="G4837">
            <v>0</v>
          </cell>
          <cell r="H4837">
            <v>0</v>
          </cell>
          <cell r="I4837">
            <v>0</v>
          </cell>
          <cell r="J4837">
            <v>0</v>
          </cell>
        </row>
        <row r="4838">
          <cell r="A4838">
            <v>1817300433</v>
          </cell>
          <cell r="B4838" t="str">
            <v>חומרי נקיון</v>
          </cell>
          <cell r="C4838">
            <v>4085</v>
          </cell>
          <cell r="D4838">
            <v>4070.83</v>
          </cell>
          <cell r="E4838">
            <v>0</v>
          </cell>
          <cell r="F4838">
            <v>4070.83</v>
          </cell>
          <cell r="G4838">
            <v>14.17</v>
          </cell>
          <cell r="H4838">
            <v>99.65</v>
          </cell>
          <cell r="I4838">
            <v>4300</v>
          </cell>
          <cell r="J4838">
            <v>4070.83</v>
          </cell>
        </row>
        <row r="4839">
          <cell r="A4839">
            <v>1817300437</v>
          </cell>
          <cell r="B4839" t="str">
            <v>אחזקת אזעקה</v>
          </cell>
          <cell r="C4839">
            <v>2375</v>
          </cell>
          <cell r="D4839">
            <v>2442.96</v>
          </cell>
          <cell r="E4839">
            <v>0</v>
          </cell>
          <cell r="F4839">
            <v>2442.96</v>
          </cell>
          <cell r="G4839">
            <v>-67.959999999999994</v>
          </cell>
          <cell r="H4839">
            <v>102.86</v>
          </cell>
          <cell r="I4839">
            <v>2500</v>
          </cell>
          <cell r="J4839">
            <v>2442.96</v>
          </cell>
        </row>
        <row r="4840">
          <cell r="A4840">
            <v>1817300441</v>
          </cell>
          <cell r="B4840" t="str">
            <v>ביטוח</v>
          </cell>
          <cell r="C4840">
            <v>0</v>
          </cell>
          <cell r="D4840">
            <v>0</v>
          </cell>
          <cell r="E4840">
            <v>0</v>
          </cell>
          <cell r="F4840">
            <v>0</v>
          </cell>
          <cell r="G4840">
            <v>0</v>
          </cell>
          <cell r="H4840">
            <v>0</v>
          </cell>
          <cell r="I4840">
            <v>0</v>
          </cell>
          <cell r="J4840">
            <v>0</v>
          </cell>
        </row>
        <row r="4841">
          <cell r="A4841">
            <v>1817300450</v>
          </cell>
          <cell r="B4841" t="str">
            <v>אחזקת תמי 4</v>
          </cell>
          <cell r="C4841">
            <v>1235</v>
          </cell>
          <cell r="D4841">
            <v>0</v>
          </cell>
          <cell r="E4841">
            <v>0</v>
          </cell>
          <cell r="F4841">
            <v>0</v>
          </cell>
          <cell r="G4841">
            <v>1235</v>
          </cell>
          <cell r="H4841">
            <v>0</v>
          </cell>
          <cell r="I4841">
            <v>1300</v>
          </cell>
          <cell r="J4841">
            <v>0</v>
          </cell>
        </row>
        <row r="4842">
          <cell r="A4842">
            <v>1817300470</v>
          </cell>
          <cell r="B4842" t="str">
            <v>אחזקת מכונות משרד</v>
          </cell>
          <cell r="C4842">
            <v>3230</v>
          </cell>
          <cell r="D4842">
            <v>256.64999999999998</v>
          </cell>
          <cell r="E4842">
            <v>0</v>
          </cell>
          <cell r="F4842">
            <v>256.64999999999998</v>
          </cell>
          <cell r="G4842">
            <v>2973.35</v>
          </cell>
          <cell r="H4842">
            <v>7.94</v>
          </cell>
          <cell r="I4842">
            <v>3400</v>
          </cell>
          <cell r="J4842">
            <v>256.64999999999998</v>
          </cell>
        </row>
        <row r="4843">
          <cell r="A4843">
            <v>1817300471</v>
          </cell>
          <cell r="B4843" t="str">
            <v>מכשירי כתיבה</v>
          </cell>
          <cell r="C4843">
            <v>22230</v>
          </cell>
          <cell r="D4843">
            <v>9940.07</v>
          </cell>
          <cell r="E4843">
            <v>0</v>
          </cell>
          <cell r="F4843">
            <v>9940.07</v>
          </cell>
          <cell r="G4843">
            <v>12289.93</v>
          </cell>
          <cell r="H4843">
            <v>44.71</v>
          </cell>
          <cell r="I4843">
            <v>23400</v>
          </cell>
          <cell r="J4843">
            <v>9940.07</v>
          </cell>
        </row>
        <row r="4844">
          <cell r="A4844">
            <v>1817300511</v>
          </cell>
          <cell r="B4844" t="str">
            <v>אירוח וכיבוד</v>
          </cell>
          <cell r="C4844">
            <v>15485</v>
          </cell>
          <cell r="D4844">
            <v>9817.5300000000007</v>
          </cell>
          <cell r="E4844">
            <v>49.5</v>
          </cell>
          <cell r="F4844">
            <v>9867.0300000000007</v>
          </cell>
          <cell r="G4844">
            <v>5617.97</v>
          </cell>
          <cell r="H4844">
            <v>63.71</v>
          </cell>
          <cell r="I4844">
            <v>16300</v>
          </cell>
          <cell r="J4844">
            <v>9817.5300000000007</v>
          </cell>
        </row>
        <row r="4845">
          <cell r="A4845">
            <v>1817300522</v>
          </cell>
          <cell r="B4845" t="str">
            <v>ספרים ועיתונים</v>
          </cell>
          <cell r="C4845">
            <v>8170</v>
          </cell>
          <cell r="D4845">
            <v>8539.75</v>
          </cell>
          <cell r="E4845">
            <v>0</v>
          </cell>
          <cell r="F4845">
            <v>8539.75</v>
          </cell>
          <cell r="G4845">
            <v>-369.75</v>
          </cell>
          <cell r="H4845">
            <v>104.52</v>
          </cell>
          <cell r="I4845">
            <v>8600</v>
          </cell>
          <cell r="J4845">
            <v>8539.75</v>
          </cell>
        </row>
        <row r="4846">
          <cell r="A4846">
            <v>1817300540</v>
          </cell>
          <cell r="B4846" t="str">
            <v>הוצאות טלפון</v>
          </cell>
          <cell r="C4846">
            <v>2850</v>
          </cell>
          <cell r="D4846">
            <v>4679.9799999999996</v>
          </cell>
          <cell r="E4846">
            <v>0</v>
          </cell>
          <cell r="F4846">
            <v>4679.9799999999996</v>
          </cell>
          <cell r="G4846">
            <v>-1829.98</v>
          </cell>
          <cell r="H4846">
            <v>164.2</v>
          </cell>
          <cell r="I4846">
            <v>3000</v>
          </cell>
          <cell r="J4846">
            <v>4679.9799999999996</v>
          </cell>
        </row>
        <row r="4847">
          <cell r="A4847">
            <v>1817300544</v>
          </cell>
          <cell r="B4847" t="str">
            <v>הוצאות דאר</v>
          </cell>
          <cell r="C4847">
            <v>0</v>
          </cell>
          <cell r="D4847">
            <v>0</v>
          </cell>
          <cell r="E4847">
            <v>0</v>
          </cell>
          <cell r="F4847">
            <v>0</v>
          </cell>
          <cell r="G4847">
            <v>0</v>
          </cell>
          <cell r="H4847">
            <v>0</v>
          </cell>
          <cell r="I4847">
            <v>0</v>
          </cell>
          <cell r="J4847">
            <v>0</v>
          </cell>
        </row>
        <row r="4848">
          <cell r="A4848">
            <v>1817300561</v>
          </cell>
          <cell r="B4848" t="str">
            <v>שיכפולים</v>
          </cell>
          <cell r="C4848">
            <v>0</v>
          </cell>
          <cell r="D4848">
            <v>0</v>
          </cell>
          <cell r="E4848">
            <v>0</v>
          </cell>
          <cell r="F4848">
            <v>0</v>
          </cell>
          <cell r="G4848">
            <v>0</v>
          </cell>
          <cell r="H4848">
            <v>0</v>
          </cell>
          <cell r="I4848">
            <v>0</v>
          </cell>
          <cell r="J4848">
            <v>0</v>
          </cell>
        </row>
        <row r="4849">
          <cell r="A4849">
            <v>1817300562</v>
          </cell>
          <cell r="B4849" t="str">
            <v>הדפסות</v>
          </cell>
          <cell r="C4849">
            <v>3400</v>
          </cell>
          <cell r="D4849">
            <v>3327</v>
          </cell>
          <cell r="E4849">
            <v>0</v>
          </cell>
          <cell r="F4849">
            <v>3327</v>
          </cell>
          <cell r="G4849">
            <v>73</v>
          </cell>
          <cell r="H4849">
            <v>97.85</v>
          </cell>
          <cell r="I4849">
            <v>3400</v>
          </cell>
          <cell r="J4849">
            <v>3327</v>
          </cell>
        </row>
        <row r="4850">
          <cell r="A4850">
            <v>1817300571</v>
          </cell>
          <cell r="B4850" t="str">
            <v>מיכון וענ"א</v>
          </cell>
          <cell r="C4850">
            <v>65740</v>
          </cell>
          <cell r="D4850">
            <v>69200</v>
          </cell>
          <cell r="E4850">
            <v>0</v>
          </cell>
          <cell r="F4850">
            <v>69200</v>
          </cell>
          <cell r="G4850">
            <v>-3460</v>
          </cell>
          <cell r="H4850">
            <v>105.26</v>
          </cell>
          <cell r="I4850">
            <v>69200</v>
          </cell>
          <cell r="J4850">
            <v>69200</v>
          </cell>
        </row>
        <row r="4851">
          <cell r="A4851">
            <v>1817300583</v>
          </cell>
          <cell r="B4851" t="str">
            <v>השתלמויות והדרכות</v>
          </cell>
          <cell r="C4851">
            <v>206300</v>
          </cell>
          <cell r="D4851">
            <v>236348.85</v>
          </cell>
          <cell r="E4851">
            <v>0</v>
          </cell>
          <cell r="F4851">
            <v>236348.85</v>
          </cell>
          <cell r="G4851">
            <v>-30048.85</v>
          </cell>
          <cell r="H4851">
            <v>114.56</v>
          </cell>
          <cell r="I4851">
            <v>206300</v>
          </cell>
          <cell r="J4851">
            <v>236348.85</v>
          </cell>
        </row>
        <row r="4852">
          <cell r="A4852">
            <v>1817300721</v>
          </cell>
          <cell r="B4852" t="str">
            <v>חמרים-תחזוקת מבנים</v>
          </cell>
          <cell r="C4852">
            <v>855</v>
          </cell>
          <cell r="D4852">
            <v>0</v>
          </cell>
          <cell r="E4852">
            <v>0</v>
          </cell>
          <cell r="F4852">
            <v>0</v>
          </cell>
          <cell r="G4852">
            <v>855</v>
          </cell>
          <cell r="H4852">
            <v>0</v>
          </cell>
          <cell r="I4852">
            <v>900</v>
          </cell>
          <cell r="J4852">
            <v>0</v>
          </cell>
        </row>
        <row r="4853">
          <cell r="A4853">
            <v>1817300742</v>
          </cell>
          <cell r="B4853" t="str">
            <v>כלים וציוד</v>
          </cell>
          <cell r="C4853">
            <v>3500</v>
          </cell>
          <cell r="D4853">
            <v>2483.87</v>
          </cell>
          <cell r="E4853">
            <v>0</v>
          </cell>
          <cell r="F4853">
            <v>2483.87</v>
          </cell>
          <cell r="G4853">
            <v>1016.13</v>
          </cell>
          <cell r="H4853">
            <v>70.959999999999994</v>
          </cell>
          <cell r="I4853">
            <v>3500</v>
          </cell>
          <cell r="J4853">
            <v>2483.87</v>
          </cell>
        </row>
        <row r="4854">
          <cell r="A4854">
            <v>1817300751</v>
          </cell>
          <cell r="B4854" t="str">
            <v>עבודות קבלניות</v>
          </cell>
          <cell r="C4854">
            <v>2090</v>
          </cell>
          <cell r="D4854">
            <v>1932</v>
          </cell>
          <cell r="E4854">
            <v>0</v>
          </cell>
          <cell r="F4854">
            <v>1932</v>
          </cell>
          <cell r="G4854">
            <v>158</v>
          </cell>
          <cell r="H4854">
            <v>92.44</v>
          </cell>
          <cell r="I4854">
            <v>2200</v>
          </cell>
          <cell r="J4854">
            <v>1932</v>
          </cell>
        </row>
        <row r="4855">
          <cell r="A4855">
            <v>1817300752</v>
          </cell>
          <cell r="B4855" t="str">
            <v>נקיון בקבלנות</v>
          </cell>
          <cell r="C4855">
            <v>60800</v>
          </cell>
          <cell r="D4855">
            <v>0</v>
          </cell>
          <cell r="E4855">
            <v>0</v>
          </cell>
          <cell r="F4855">
            <v>0</v>
          </cell>
          <cell r="G4855">
            <v>60800</v>
          </cell>
          <cell r="H4855">
            <v>0</v>
          </cell>
          <cell r="I4855">
            <v>64000</v>
          </cell>
          <cell r="J4855">
            <v>0</v>
          </cell>
        </row>
        <row r="4856">
          <cell r="A4856">
            <v>1817300753</v>
          </cell>
          <cell r="B4856" t="str">
            <v>עובדי קבלן</v>
          </cell>
          <cell r="C4856">
            <v>0</v>
          </cell>
          <cell r="D4856">
            <v>0</v>
          </cell>
          <cell r="E4856">
            <v>0</v>
          </cell>
          <cell r="F4856">
            <v>0</v>
          </cell>
          <cell r="G4856">
            <v>0</v>
          </cell>
          <cell r="H4856">
            <v>0</v>
          </cell>
          <cell r="I4856">
            <v>0</v>
          </cell>
          <cell r="J4856">
            <v>0</v>
          </cell>
        </row>
        <row r="4857">
          <cell r="A4857">
            <v>1817300756</v>
          </cell>
          <cell r="B4857" t="str">
            <v>שמירה בקבלנות</v>
          </cell>
          <cell r="C4857">
            <v>166250</v>
          </cell>
          <cell r="D4857">
            <v>156949.1</v>
          </cell>
          <cell r="E4857">
            <v>0</v>
          </cell>
          <cell r="F4857">
            <v>156949.1</v>
          </cell>
          <cell r="G4857">
            <v>9300.9</v>
          </cell>
          <cell r="H4857">
            <v>94.4</v>
          </cell>
          <cell r="I4857">
            <v>175000</v>
          </cell>
          <cell r="J4857">
            <v>156949.1</v>
          </cell>
        </row>
        <row r="4858">
          <cell r="A4858">
            <v>1817300763</v>
          </cell>
          <cell r="B4858" t="str">
            <v>עובדי חברת מוסדות</v>
          </cell>
          <cell r="C4858">
            <v>0</v>
          </cell>
          <cell r="D4858">
            <v>0</v>
          </cell>
          <cell r="E4858">
            <v>0</v>
          </cell>
          <cell r="F4858">
            <v>0</v>
          </cell>
          <cell r="G4858">
            <v>0</v>
          </cell>
          <cell r="H4858">
            <v>0</v>
          </cell>
          <cell r="I4858">
            <v>0</v>
          </cell>
          <cell r="J4858">
            <v>0</v>
          </cell>
        </row>
        <row r="4859">
          <cell r="A4859">
            <v>1817300782</v>
          </cell>
          <cell r="B4859" t="str">
            <v>יוזמות (מהכנסות)</v>
          </cell>
          <cell r="C4859">
            <v>28500</v>
          </cell>
          <cell r="D4859">
            <v>28420</v>
          </cell>
          <cell r="E4859">
            <v>0</v>
          </cell>
          <cell r="F4859">
            <v>28420</v>
          </cell>
          <cell r="G4859">
            <v>80</v>
          </cell>
          <cell r="H4859">
            <v>99.71</v>
          </cell>
          <cell r="I4859">
            <v>30000</v>
          </cell>
          <cell r="J4859">
            <v>28420</v>
          </cell>
        </row>
        <row r="4860">
          <cell r="A4860">
            <v>1817300783</v>
          </cell>
          <cell r="B4860" t="str">
            <v>שרות משלים(הכנסות)</v>
          </cell>
          <cell r="C4860">
            <v>300000</v>
          </cell>
          <cell r="D4860">
            <v>422362</v>
          </cell>
          <cell r="E4860">
            <v>0</v>
          </cell>
          <cell r="F4860">
            <v>422362</v>
          </cell>
          <cell r="G4860">
            <v>-122362</v>
          </cell>
          <cell r="H4860">
            <v>140.78</v>
          </cell>
          <cell r="I4860">
            <v>300000</v>
          </cell>
          <cell r="J4860">
            <v>422362</v>
          </cell>
        </row>
        <row r="4861">
          <cell r="A4861">
            <v>1817300784</v>
          </cell>
          <cell r="B4861" t="str">
            <v>הכלה שפ"מ</v>
          </cell>
          <cell r="C4861">
            <v>469300</v>
          </cell>
          <cell r="D4861">
            <v>410997</v>
          </cell>
          <cell r="E4861">
            <v>0</v>
          </cell>
          <cell r="F4861">
            <v>410997</v>
          </cell>
          <cell r="G4861">
            <v>58303</v>
          </cell>
          <cell r="H4861">
            <v>87.57</v>
          </cell>
          <cell r="I4861">
            <v>494000</v>
          </cell>
          <cell r="J4861">
            <v>410997</v>
          </cell>
        </row>
        <row r="4862">
          <cell r="A4862">
            <v>1817300785</v>
          </cell>
          <cell r="B4862" t="str">
            <v>מניעת אובדנות-פסיכיאטר</v>
          </cell>
          <cell r="C4862">
            <v>280000</v>
          </cell>
          <cell r="D4862">
            <v>266433</v>
          </cell>
          <cell r="E4862">
            <v>0</v>
          </cell>
          <cell r="F4862">
            <v>266433</v>
          </cell>
          <cell r="G4862">
            <v>13567</v>
          </cell>
          <cell r="H4862">
            <v>95.15</v>
          </cell>
          <cell r="I4862">
            <v>280000</v>
          </cell>
          <cell r="J4862">
            <v>266433</v>
          </cell>
        </row>
        <row r="4863">
          <cell r="A4863">
            <v>1817300786</v>
          </cell>
          <cell r="B4863" t="str">
            <v>אבחונים ואפיונים</v>
          </cell>
          <cell r="C4863">
            <v>60000</v>
          </cell>
          <cell r="D4863">
            <v>57037</v>
          </cell>
          <cell r="E4863">
            <v>0</v>
          </cell>
          <cell r="F4863">
            <v>57037</v>
          </cell>
          <cell r="G4863">
            <v>2963</v>
          </cell>
          <cell r="H4863">
            <v>95.06</v>
          </cell>
          <cell r="I4863">
            <v>60000</v>
          </cell>
          <cell r="J4863">
            <v>57037</v>
          </cell>
        </row>
        <row r="4864">
          <cell r="A4864">
            <v>1817300787</v>
          </cell>
          <cell r="B4864" t="str">
            <v>גני ASD פסיכולוגים</v>
          </cell>
          <cell r="C4864">
            <v>0</v>
          </cell>
          <cell r="D4864">
            <v>0</v>
          </cell>
          <cell r="E4864">
            <v>0</v>
          </cell>
          <cell r="F4864">
            <v>0</v>
          </cell>
          <cell r="G4864">
            <v>0</v>
          </cell>
          <cell r="H4864">
            <v>0</v>
          </cell>
          <cell r="I4864">
            <v>0</v>
          </cell>
          <cell r="J4864">
            <v>0</v>
          </cell>
        </row>
        <row r="4865">
          <cell r="A4865">
            <v>1817300788</v>
          </cell>
          <cell r="B4865" t="str">
            <v>מרכז טראומה מרחבים</v>
          </cell>
          <cell r="C4865">
            <v>140000</v>
          </cell>
          <cell r="D4865">
            <v>112178</v>
          </cell>
          <cell r="E4865">
            <v>0</v>
          </cell>
          <cell r="F4865">
            <v>112178</v>
          </cell>
          <cell r="G4865">
            <v>27822</v>
          </cell>
          <cell r="H4865">
            <v>80.12</v>
          </cell>
          <cell r="I4865">
            <v>140000</v>
          </cell>
          <cell r="J4865">
            <v>112178</v>
          </cell>
        </row>
        <row r="4866">
          <cell r="A4866">
            <v>1817300931</v>
          </cell>
          <cell r="B4866" t="str">
            <v>פעולות ורכישות שונות</v>
          </cell>
          <cell r="C4866">
            <v>27000</v>
          </cell>
          <cell r="D4866">
            <v>27121.26</v>
          </cell>
          <cell r="E4866">
            <v>0</v>
          </cell>
          <cell r="F4866">
            <v>27121.26</v>
          </cell>
          <cell r="G4866">
            <v>-121.26</v>
          </cell>
          <cell r="H4866">
            <v>100.44</v>
          </cell>
          <cell r="I4866">
            <v>27000</v>
          </cell>
          <cell r="J4866">
            <v>27121.26</v>
          </cell>
        </row>
        <row r="4867">
          <cell r="A4867">
            <v>1817300961</v>
          </cell>
          <cell r="B4867" t="str">
            <v>שירות פסיכולוגי-משרות מומרות</v>
          </cell>
          <cell r="C4867">
            <v>730000</v>
          </cell>
          <cell r="D4867">
            <v>729810.36</v>
          </cell>
          <cell r="E4867">
            <v>0</v>
          </cell>
          <cell r="F4867">
            <v>729810.36</v>
          </cell>
          <cell r="G4867">
            <v>189.64</v>
          </cell>
          <cell r="H4867">
            <v>99.97</v>
          </cell>
          <cell r="I4867">
            <v>730000</v>
          </cell>
          <cell r="J4867">
            <v>729810.36</v>
          </cell>
        </row>
        <row r="4868">
          <cell r="A4868">
            <v>1817600110</v>
          </cell>
          <cell r="B4868" t="str">
            <v>השכר הקובע-תקציבית</v>
          </cell>
          <cell r="C4868">
            <v>0</v>
          </cell>
          <cell r="D4868">
            <v>0</v>
          </cell>
          <cell r="E4868">
            <v>0</v>
          </cell>
          <cell r="F4868">
            <v>0</v>
          </cell>
          <cell r="G4868">
            <v>0</v>
          </cell>
          <cell r="H4868">
            <v>0</v>
          </cell>
          <cell r="I4868">
            <v>0</v>
          </cell>
          <cell r="J4868">
            <v>0</v>
          </cell>
        </row>
        <row r="4869">
          <cell r="A4869">
            <v>1817600119</v>
          </cell>
          <cell r="B4869" t="str">
            <v>השכר הקובע-צוברת</v>
          </cell>
          <cell r="C4869">
            <v>382565</v>
          </cell>
          <cell r="D4869">
            <v>123784.38</v>
          </cell>
          <cell r="E4869">
            <v>0</v>
          </cell>
          <cell r="F4869">
            <v>123784.38</v>
          </cell>
          <cell r="G4869">
            <v>258780.62</v>
          </cell>
          <cell r="H4869">
            <v>32.35</v>
          </cell>
          <cell r="I4869">
            <v>402700</v>
          </cell>
          <cell r="J4869">
            <v>123784.38</v>
          </cell>
        </row>
        <row r="4870">
          <cell r="A4870">
            <v>1817600122</v>
          </cell>
          <cell r="B4870" t="str">
            <v>ביגוד</v>
          </cell>
          <cell r="C4870">
            <v>5795</v>
          </cell>
          <cell r="D4870">
            <v>1724</v>
          </cell>
          <cell r="E4870">
            <v>0</v>
          </cell>
          <cell r="F4870">
            <v>1724</v>
          </cell>
          <cell r="G4870">
            <v>4071</v>
          </cell>
          <cell r="H4870">
            <v>29.74</v>
          </cell>
          <cell r="I4870">
            <v>6100</v>
          </cell>
          <cell r="J4870">
            <v>1724</v>
          </cell>
        </row>
        <row r="4871">
          <cell r="A4871">
            <v>1817600126</v>
          </cell>
          <cell r="B4871" t="str">
            <v>דמי הבראה</v>
          </cell>
          <cell r="C4871">
            <v>6650</v>
          </cell>
          <cell r="D4871">
            <v>5185.3999999999996</v>
          </cell>
          <cell r="E4871">
            <v>0</v>
          </cell>
          <cell r="F4871">
            <v>5185.3999999999996</v>
          </cell>
          <cell r="G4871">
            <v>1464.6</v>
          </cell>
          <cell r="H4871">
            <v>77.97</v>
          </cell>
          <cell r="I4871">
            <v>7000</v>
          </cell>
          <cell r="J4871">
            <v>5185.3999999999996</v>
          </cell>
        </row>
        <row r="4872">
          <cell r="A4872">
            <v>1817600130</v>
          </cell>
          <cell r="B4872" t="str">
            <v>שעות נוספות</v>
          </cell>
          <cell r="C4872">
            <v>15200</v>
          </cell>
          <cell r="D4872">
            <v>0</v>
          </cell>
          <cell r="E4872">
            <v>0</v>
          </cell>
          <cell r="F4872">
            <v>0</v>
          </cell>
          <cell r="G4872">
            <v>15200</v>
          </cell>
          <cell r="H4872">
            <v>0</v>
          </cell>
          <cell r="I4872">
            <v>16000</v>
          </cell>
          <cell r="J4872">
            <v>0</v>
          </cell>
        </row>
        <row r="4873">
          <cell r="A4873">
            <v>1817600140</v>
          </cell>
          <cell r="B4873" t="str">
            <v>השתתפות באחזקת רכב</v>
          </cell>
          <cell r="C4873">
            <v>36575</v>
          </cell>
          <cell r="D4873">
            <v>0</v>
          </cell>
          <cell r="E4873">
            <v>0</v>
          </cell>
          <cell r="F4873">
            <v>0</v>
          </cell>
          <cell r="G4873">
            <v>36575</v>
          </cell>
          <cell r="H4873">
            <v>0</v>
          </cell>
          <cell r="I4873">
            <v>38500</v>
          </cell>
          <cell r="J4873">
            <v>0</v>
          </cell>
        </row>
        <row r="4874">
          <cell r="A4874">
            <v>1817600210</v>
          </cell>
          <cell r="B4874" t="str">
            <v>השכר הקובע</v>
          </cell>
          <cell r="C4874">
            <v>0</v>
          </cell>
          <cell r="D4874">
            <v>0</v>
          </cell>
          <cell r="E4874">
            <v>0</v>
          </cell>
          <cell r="F4874">
            <v>0</v>
          </cell>
          <cell r="G4874">
            <v>0</v>
          </cell>
          <cell r="H4874">
            <v>0</v>
          </cell>
          <cell r="I4874">
            <v>0</v>
          </cell>
          <cell r="J4874">
            <v>0</v>
          </cell>
        </row>
        <row r="4875">
          <cell r="A4875">
            <v>1817600216</v>
          </cell>
          <cell r="B4875" t="str">
            <v>רווחה חינוכית</v>
          </cell>
          <cell r="C4875">
            <v>0</v>
          </cell>
          <cell r="D4875">
            <v>0</v>
          </cell>
          <cell r="E4875">
            <v>0</v>
          </cell>
          <cell r="F4875">
            <v>0</v>
          </cell>
          <cell r="G4875">
            <v>0</v>
          </cell>
          <cell r="H4875">
            <v>0</v>
          </cell>
          <cell r="I4875">
            <v>0</v>
          </cell>
          <cell r="J4875">
            <v>0</v>
          </cell>
        </row>
        <row r="4876">
          <cell r="A4876">
            <v>1817600219</v>
          </cell>
          <cell r="B4876" t="str">
            <v>רווחה חינוכית</v>
          </cell>
          <cell r="C4876">
            <v>0</v>
          </cell>
          <cell r="D4876">
            <v>0</v>
          </cell>
          <cell r="E4876">
            <v>0</v>
          </cell>
          <cell r="F4876">
            <v>0</v>
          </cell>
          <cell r="G4876">
            <v>0</v>
          </cell>
          <cell r="H4876">
            <v>0</v>
          </cell>
          <cell r="I4876">
            <v>0</v>
          </cell>
          <cell r="J4876">
            <v>0</v>
          </cell>
        </row>
        <row r="4877">
          <cell r="A4877">
            <v>1817600253</v>
          </cell>
          <cell r="B4877" t="str">
            <v>שכר רכזת הורים</v>
          </cell>
          <cell r="C4877">
            <v>0</v>
          </cell>
          <cell r="D4877">
            <v>0</v>
          </cell>
          <cell r="E4877">
            <v>0</v>
          </cell>
          <cell r="F4877">
            <v>0</v>
          </cell>
          <cell r="G4877">
            <v>0</v>
          </cell>
          <cell r="H4877">
            <v>0</v>
          </cell>
          <cell r="I4877">
            <v>0</v>
          </cell>
          <cell r="J4877">
            <v>0</v>
          </cell>
        </row>
        <row r="4878">
          <cell r="A4878">
            <v>1817600263</v>
          </cell>
          <cell r="B4878" t="str">
            <v>מגשרת בוכרית</v>
          </cell>
          <cell r="C4878">
            <v>0</v>
          </cell>
          <cell r="D4878">
            <v>0</v>
          </cell>
          <cell r="E4878">
            <v>0</v>
          </cell>
          <cell r="F4878">
            <v>0</v>
          </cell>
          <cell r="G4878">
            <v>0</v>
          </cell>
          <cell r="H4878">
            <v>0</v>
          </cell>
          <cell r="I4878">
            <v>0</v>
          </cell>
          <cell r="J4878">
            <v>0</v>
          </cell>
        </row>
        <row r="4879">
          <cell r="A4879">
            <v>1817600391</v>
          </cell>
          <cell r="B4879" t="str">
            <v>הפרשה לפנסיה</v>
          </cell>
          <cell r="C4879">
            <v>0</v>
          </cell>
          <cell r="D4879">
            <v>0</v>
          </cell>
          <cell r="E4879">
            <v>0</v>
          </cell>
          <cell r="F4879">
            <v>0</v>
          </cell>
          <cell r="G4879">
            <v>0</v>
          </cell>
          <cell r="H4879">
            <v>0</v>
          </cell>
          <cell r="I4879">
            <v>0</v>
          </cell>
          <cell r="J4879">
            <v>0</v>
          </cell>
        </row>
        <row r="4880">
          <cell r="A4880">
            <v>1817600561</v>
          </cell>
          <cell r="B4880" t="str">
            <v>שיכפולים</v>
          </cell>
          <cell r="C4880">
            <v>0</v>
          </cell>
          <cell r="D4880">
            <v>0</v>
          </cell>
          <cell r="E4880">
            <v>0</v>
          </cell>
          <cell r="F4880">
            <v>0</v>
          </cell>
          <cell r="G4880">
            <v>0</v>
          </cell>
          <cell r="H4880">
            <v>0</v>
          </cell>
          <cell r="I4880">
            <v>0</v>
          </cell>
          <cell r="J4880">
            <v>0</v>
          </cell>
        </row>
        <row r="4881">
          <cell r="A4881">
            <v>1817600571</v>
          </cell>
          <cell r="B4881" t="str">
            <v>מיכון וענ"א</v>
          </cell>
          <cell r="C4881">
            <v>17670</v>
          </cell>
          <cell r="D4881">
            <v>18600</v>
          </cell>
          <cell r="E4881">
            <v>0</v>
          </cell>
          <cell r="F4881">
            <v>18600</v>
          </cell>
          <cell r="G4881">
            <v>-930</v>
          </cell>
          <cell r="H4881">
            <v>105.26</v>
          </cell>
          <cell r="I4881">
            <v>18600</v>
          </cell>
          <cell r="J4881">
            <v>18600</v>
          </cell>
        </row>
        <row r="4882">
          <cell r="A4882">
            <v>1817600583</v>
          </cell>
          <cell r="B4882" t="str">
            <v>שכר טיפוח על יסודי</v>
          </cell>
          <cell r="C4882">
            <v>0</v>
          </cell>
          <cell r="D4882">
            <v>0</v>
          </cell>
          <cell r="E4882">
            <v>0</v>
          </cell>
          <cell r="F4882">
            <v>0</v>
          </cell>
          <cell r="G4882">
            <v>0</v>
          </cell>
          <cell r="H4882">
            <v>0</v>
          </cell>
          <cell r="I4882">
            <v>0</v>
          </cell>
          <cell r="J4882">
            <v>0</v>
          </cell>
        </row>
        <row r="4883">
          <cell r="A4883">
            <v>1817600723</v>
          </cell>
          <cell r="B4883" t="str">
            <v>חומרים לאתג"ר וט"ף</v>
          </cell>
          <cell r="C4883">
            <v>0</v>
          </cell>
          <cell r="D4883">
            <v>0</v>
          </cell>
          <cell r="E4883">
            <v>0</v>
          </cell>
          <cell r="F4883">
            <v>0</v>
          </cell>
          <cell r="G4883">
            <v>0</v>
          </cell>
          <cell r="H4883">
            <v>0</v>
          </cell>
          <cell r="I4883">
            <v>0</v>
          </cell>
          <cell r="J4883">
            <v>0</v>
          </cell>
        </row>
        <row r="4884">
          <cell r="A4884">
            <v>1817600742</v>
          </cell>
          <cell r="B4884" t="str">
            <v>כלים וציוד</v>
          </cell>
          <cell r="C4884">
            <v>0</v>
          </cell>
          <cell r="D4884">
            <v>0</v>
          </cell>
          <cell r="E4884">
            <v>0</v>
          </cell>
          <cell r="F4884">
            <v>0</v>
          </cell>
          <cell r="G4884">
            <v>0</v>
          </cell>
          <cell r="H4884">
            <v>0</v>
          </cell>
          <cell r="I4884">
            <v>0</v>
          </cell>
          <cell r="J4884">
            <v>0</v>
          </cell>
        </row>
        <row r="4885">
          <cell r="A4885">
            <v>1817600753</v>
          </cell>
          <cell r="B4885" t="str">
            <v>שכר רכזת הורים</v>
          </cell>
          <cell r="C4885">
            <v>0</v>
          </cell>
          <cell r="D4885">
            <v>0</v>
          </cell>
          <cell r="E4885">
            <v>0</v>
          </cell>
          <cell r="F4885">
            <v>0</v>
          </cell>
          <cell r="G4885">
            <v>0</v>
          </cell>
          <cell r="H4885">
            <v>0</v>
          </cell>
          <cell r="I4885">
            <v>0</v>
          </cell>
          <cell r="J4885">
            <v>0</v>
          </cell>
        </row>
        <row r="4886">
          <cell r="A4886">
            <v>1817600759</v>
          </cell>
          <cell r="B4886" t="str">
            <v>שרותי סייעות</v>
          </cell>
          <cell r="C4886">
            <v>0</v>
          </cell>
          <cell r="D4886">
            <v>0</v>
          </cell>
          <cell r="E4886">
            <v>0</v>
          </cell>
          <cell r="F4886">
            <v>0</v>
          </cell>
          <cell r="G4886">
            <v>0</v>
          </cell>
          <cell r="H4886">
            <v>0</v>
          </cell>
          <cell r="I4886">
            <v>0</v>
          </cell>
          <cell r="J4886">
            <v>0</v>
          </cell>
        </row>
        <row r="4887">
          <cell r="A4887">
            <v>1817600763</v>
          </cell>
          <cell r="B4887" t="str">
            <v>מגשרת בוכרית</v>
          </cell>
          <cell r="C4887">
            <v>0</v>
          </cell>
          <cell r="D4887">
            <v>0</v>
          </cell>
          <cell r="E4887">
            <v>0</v>
          </cell>
          <cell r="F4887">
            <v>0</v>
          </cell>
          <cell r="G4887">
            <v>0</v>
          </cell>
          <cell r="H4887">
            <v>0</v>
          </cell>
          <cell r="I4887">
            <v>0</v>
          </cell>
          <cell r="J4887">
            <v>0</v>
          </cell>
        </row>
        <row r="4888">
          <cell r="A4888">
            <v>1817600781</v>
          </cell>
          <cell r="B4888" t="str">
            <v>ארועים ופע' תגבור</v>
          </cell>
          <cell r="C4888">
            <v>85500</v>
          </cell>
          <cell r="D4888">
            <v>0</v>
          </cell>
          <cell r="E4888">
            <v>0</v>
          </cell>
          <cell r="F4888">
            <v>0</v>
          </cell>
          <cell r="G4888">
            <v>85500</v>
          </cell>
          <cell r="H4888">
            <v>0</v>
          </cell>
          <cell r="I4888">
            <v>90000</v>
          </cell>
          <cell r="J4888">
            <v>0</v>
          </cell>
        </row>
        <row r="4889">
          <cell r="A4889">
            <v>1817600782</v>
          </cell>
          <cell r="B4889" t="str">
            <v>פעולות רווחה חינוכית</v>
          </cell>
          <cell r="C4889">
            <v>45000</v>
          </cell>
          <cell r="D4889">
            <v>44378.96</v>
          </cell>
          <cell r="E4889">
            <v>0</v>
          </cell>
          <cell r="F4889">
            <v>44378.96</v>
          </cell>
          <cell r="G4889">
            <v>621.04</v>
          </cell>
          <cell r="H4889">
            <v>98.61</v>
          </cell>
          <cell r="I4889">
            <v>45000</v>
          </cell>
          <cell r="J4889">
            <v>44378.96</v>
          </cell>
        </row>
        <row r="4890">
          <cell r="A4890">
            <v>1817600783</v>
          </cell>
          <cell r="B4890" t="str">
            <v>אם לאם בקהילה</v>
          </cell>
          <cell r="C4890">
            <v>0</v>
          </cell>
          <cell r="D4890">
            <v>0</v>
          </cell>
          <cell r="E4890">
            <v>0</v>
          </cell>
          <cell r="F4890">
            <v>0</v>
          </cell>
          <cell r="G4890">
            <v>0</v>
          </cell>
          <cell r="H4890">
            <v>0</v>
          </cell>
          <cell r="I4890">
            <v>0</v>
          </cell>
          <cell r="J4890">
            <v>0</v>
          </cell>
        </row>
        <row r="4891">
          <cell r="A4891">
            <v>1817600784</v>
          </cell>
          <cell r="B4891" t="str">
            <v>הזנה בלתי פורמלי</v>
          </cell>
          <cell r="C4891">
            <v>0</v>
          </cell>
          <cell r="D4891">
            <v>0</v>
          </cell>
          <cell r="E4891">
            <v>0</v>
          </cell>
          <cell r="F4891">
            <v>0</v>
          </cell>
          <cell r="G4891">
            <v>0</v>
          </cell>
          <cell r="H4891">
            <v>0</v>
          </cell>
          <cell r="I4891">
            <v>0</v>
          </cell>
          <cell r="J4891">
            <v>0</v>
          </cell>
        </row>
        <row r="4892">
          <cell r="A4892">
            <v>1817800210</v>
          </cell>
          <cell r="B4892" t="str">
            <v>השכר הקובע</v>
          </cell>
          <cell r="C4892">
            <v>0</v>
          </cell>
          <cell r="D4892">
            <v>0</v>
          </cell>
          <cell r="E4892">
            <v>0</v>
          </cell>
          <cell r="F4892">
            <v>0</v>
          </cell>
          <cell r="G4892">
            <v>0</v>
          </cell>
          <cell r="H4892">
            <v>0</v>
          </cell>
          <cell r="I4892">
            <v>0</v>
          </cell>
          <cell r="J4892">
            <v>0</v>
          </cell>
        </row>
        <row r="4893">
          <cell r="A4893">
            <v>1817800596</v>
          </cell>
          <cell r="B4893" t="str">
            <v>הסעות</v>
          </cell>
          <cell r="C4893">
            <v>0</v>
          </cell>
          <cell r="D4893">
            <v>0</v>
          </cell>
          <cell r="E4893">
            <v>0</v>
          </cell>
          <cell r="F4893">
            <v>0</v>
          </cell>
          <cell r="G4893">
            <v>0</v>
          </cell>
          <cell r="H4893">
            <v>0</v>
          </cell>
          <cell r="I4893">
            <v>0</v>
          </cell>
          <cell r="J4893">
            <v>0</v>
          </cell>
        </row>
        <row r="4894">
          <cell r="A4894">
            <v>1817800710</v>
          </cell>
          <cell r="B4894" t="str">
            <v>הסעת תלמידים</v>
          </cell>
          <cell r="C4894">
            <v>46000000</v>
          </cell>
          <cell r="D4894">
            <v>48044739.700000003</v>
          </cell>
          <cell r="E4894">
            <v>0</v>
          </cell>
          <cell r="F4894">
            <v>48044739.700000003</v>
          </cell>
          <cell r="G4894">
            <v>-2044739.7</v>
          </cell>
          <cell r="H4894">
            <v>104.44</v>
          </cell>
          <cell r="I4894">
            <v>46000000</v>
          </cell>
          <cell r="J4894">
            <v>48044739.700000003</v>
          </cell>
        </row>
        <row r="4895">
          <cell r="A4895">
            <v>1817800711</v>
          </cell>
          <cell r="B4895" t="str">
            <v>השתתפות בכרטיסיות</v>
          </cell>
          <cell r="C4895">
            <v>522500</v>
          </cell>
          <cell r="D4895">
            <v>549999.19999999995</v>
          </cell>
          <cell r="E4895">
            <v>0</v>
          </cell>
          <cell r="F4895">
            <v>549999.19999999995</v>
          </cell>
          <cell r="G4895">
            <v>-27499.200000000001</v>
          </cell>
          <cell r="H4895">
            <v>105.26</v>
          </cell>
          <cell r="I4895">
            <v>550000</v>
          </cell>
          <cell r="J4895">
            <v>549999.19999999995</v>
          </cell>
        </row>
        <row r="4896">
          <cell r="A4896">
            <v>1817800712</v>
          </cell>
          <cell r="B4896" t="str">
            <v>הסעות צרכים מיוחדים</v>
          </cell>
          <cell r="C4896">
            <v>0</v>
          </cell>
          <cell r="D4896">
            <v>0</v>
          </cell>
          <cell r="E4896">
            <v>0</v>
          </cell>
          <cell r="F4896">
            <v>0</v>
          </cell>
          <cell r="G4896">
            <v>0</v>
          </cell>
          <cell r="H4896">
            <v>0</v>
          </cell>
          <cell r="I4896">
            <v>0</v>
          </cell>
          <cell r="J4896">
            <v>0</v>
          </cell>
        </row>
        <row r="4897">
          <cell r="A4897">
            <v>1817800713</v>
          </cell>
          <cell r="B4897" t="str">
            <v>תוכנת בקרה היסעים</v>
          </cell>
          <cell r="C4897">
            <v>1350000</v>
          </cell>
          <cell r="D4897">
            <v>1183341</v>
          </cell>
          <cell r="E4897">
            <v>0</v>
          </cell>
          <cell r="F4897">
            <v>1183341</v>
          </cell>
          <cell r="G4897">
            <v>166659</v>
          </cell>
          <cell r="H4897">
            <v>87.65</v>
          </cell>
          <cell r="I4897">
            <v>1350000</v>
          </cell>
          <cell r="J4897">
            <v>1183341</v>
          </cell>
        </row>
        <row r="4898">
          <cell r="A4898">
            <v>1817800759</v>
          </cell>
          <cell r="B4898" t="str">
            <v>מלווים בהסעים</v>
          </cell>
          <cell r="C4898">
            <v>36336400</v>
          </cell>
          <cell r="D4898">
            <v>40881893.759999998</v>
          </cell>
          <cell r="E4898">
            <v>0</v>
          </cell>
          <cell r="F4898">
            <v>40881893.759999998</v>
          </cell>
          <cell r="G4898">
            <v>-4545493.76</v>
          </cell>
          <cell r="H4898">
            <v>112.5</v>
          </cell>
          <cell r="I4898">
            <v>36336400</v>
          </cell>
          <cell r="J4898">
            <v>40881893.759999998</v>
          </cell>
        </row>
        <row r="4899">
          <cell r="A4899">
            <v>1817800763</v>
          </cell>
          <cell r="B4899" t="str">
            <v>מלווים בהסעים</v>
          </cell>
          <cell r="C4899">
            <v>0</v>
          </cell>
          <cell r="D4899">
            <v>0</v>
          </cell>
          <cell r="E4899">
            <v>0</v>
          </cell>
          <cell r="F4899">
            <v>0</v>
          </cell>
          <cell r="G4899">
            <v>0</v>
          </cell>
          <cell r="H4899">
            <v>0</v>
          </cell>
          <cell r="I4899">
            <v>0</v>
          </cell>
          <cell r="J4899">
            <v>0</v>
          </cell>
        </row>
        <row r="4900">
          <cell r="A4900">
            <v>1817800764</v>
          </cell>
          <cell r="B4900" t="str">
            <v>מלווים בהסעים</v>
          </cell>
          <cell r="C4900">
            <v>0</v>
          </cell>
          <cell r="D4900">
            <v>0</v>
          </cell>
          <cell r="E4900">
            <v>0</v>
          </cell>
          <cell r="F4900">
            <v>0</v>
          </cell>
          <cell r="G4900">
            <v>0</v>
          </cell>
          <cell r="H4900">
            <v>0</v>
          </cell>
          <cell r="I4900">
            <v>0</v>
          </cell>
          <cell r="J4900">
            <v>0</v>
          </cell>
        </row>
        <row r="4901">
          <cell r="A4901">
            <v>1817910119</v>
          </cell>
          <cell r="B4901" t="str">
            <v>השכר הקובע-צוברת</v>
          </cell>
          <cell r="C4901">
            <v>0</v>
          </cell>
          <cell r="D4901">
            <v>0</v>
          </cell>
          <cell r="E4901">
            <v>0</v>
          </cell>
          <cell r="F4901">
            <v>0</v>
          </cell>
          <cell r="G4901">
            <v>0</v>
          </cell>
          <cell r="H4901">
            <v>0</v>
          </cell>
          <cell r="I4901">
            <v>0</v>
          </cell>
          <cell r="J4901">
            <v>0</v>
          </cell>
        </row>
        <row r="4902">
          <cell r="A4902">
            <v>1817910263</v>
          </cell>
          <cell r="B4902" t="str">
            <v>שכר בריאות השן</v>
          </cell>
          <cell r="C4902">
            <v>0</v>
          </cell>
          <cell r="D4902">
            <v>0</v>
          </cell>
          <cell r="E4902">
            <v>0</v>
          </cell>
          <cell r="F4902">
            <v>0</v>
          </cell>
          <cell r="G4902">
            <v>0</v>
          </cell>
          <cell r="H4902">
            <v>0</v>
          </cell>
          <cell r="I4902">
            <v>0</v>
          </cell>
          <cell r="J4902">
            <v>0</v>
          </cell>
        </row>
        <row r="4903">
          <cell r="A4903">
            <v>1817910441</v>
          </cell>
          <cell r="B4903" t="str">
            <v>ביטוח תאונות לתלמ'</v>
          </cell>
          <cell r="C4903">
            <v>2453000</v>
          </cell>
          <cell r="D4903">
            <v>2452329</v>
          </cell>
          <cell r="E4903">
            <v>0</v>
          </cell>
          <cell r="F4903">
            <v>2452329</v>
          </cell>
          <cell r="G4903">
            <v>671</v>
          </cell>
          <cell r="H4903">
            <v>99.97</v>
          </cell>
          <cell r="I4903">
            <v>2453000</v>
          </cell>
          <cell r="J4903">
            <v>2452329</v>
          </cell>
        </row>
        <row r="4904">
          <cell r="A4904">
            <v>1817910723</v>
          </cell>
          <cell r="B4904" t="str">
            <v>אספקת חומרי מלאכה</v>
          </cell>
          <cell r="C4904">
            <v>22000</v>
          </cell>
          <cell r="D4904">
            <v>22383.51</v>
          </cell>
          <cell r="E4904">
            <v>0</v>
          </cell>
          <cell r="F4904">
            <v>22383.51</v>
          </cell>
          <cell r="G4904">
            <v>-383.51</v>
          </cell>
          <cell r="H4904">
            <v>101.74</v>
          </cell>
          <cell r="I4904">
            <v>22000</v>
          </cell>
          <cell r="J4904">
            <v>22383.51</v>
          </cell>
        </row>
        <row r="4905">
          <cell r="A4905">
            <v>1817910725</v>
          </cell>
          <cell r="B4905" t="str">
            <v>ח' מלאכה על-יסודי</v>
          </cell>
          <cell r="C4905">
            <v>0</v>
          </cell>
          <cell r="D4905">
            <v>0</v>
          </cell>
          <cell r="E4905">
            <v>0</v>
          </cell>
          <cell r="F4905">
            <v>0</v>
          </cell>
          <cell r="G4905">
            <v>0</v>
          </cell>
          <cell r="H4905">
            <v>0</v>
          </cell>
          <cell r="I4905">
            <v>0</v>
          </cell>
          <cell r="J4905">
            <v>0</v>
          </cell>
        </row>
        <row r="4906">
          <cell r="A4906">
            <v>1817910741</v>
          </cell>
          <cell r="B4906" t="str">
            <v>כריכת ספרים</v>
          </cell>
          <cell r="C4906">
            <v>0</v>
          </cell>
          <cell r="D4906">
            <v>0</v>
          </cell>
          <cell r="E4906">
            <v>0</v>
          </cell>
          <cell r="F4906">
            <v>0</v>
          </cell>
          <cell r="G4906">
            <v>0</v>
          </cell>
          <cell r="H4906">
            <v>0</v>
          </cell>
          <cell r="I4906">
            <v>0</v>
          </cell>
          <cell r="J4906">
            <v>0</v>
          </cell>
        </row>
        <row r="4907">
          <cell r="A4907">
            <v>1817910742</v>
          </cell>
          <cell r="B4907" t="str">
            <v>אספקת ספרים</v>
          </cell>
          <cell r="C4907">
            <v>4085000</v>
          </cell>
          <cell r="D4907">
            <v>3875395.31</v>
          </cell>
          <cell r="E4907">
            <v>0</v>
          </cell>
          <cell r="F4907">
            <v>3875395.31</v>
          </cell>
          <cell r="G4907">
            <v>209604.69</v>
          </cell>
          <cell r="H4907">
            <v>94.86</v>
          </cell>
          <cell r="I4907">
            <v>4300000</v>
          </cell>
          <cell r="J4907">
            <v>3875395.31</v>
          </cell>
        </row>
        <row r="4908">
          <cell r="A4908">
            <v>1817910756</v>
          </cell>
          <cell r="B4908" t="str">
            <v>אבטחת מוסדות חינוך</v>
          </cell>
          <cell r="C4908">
            <v>22200000</v>
          </cell>
          <cell r="D4908">
            <v>23657065.870000001</v>
          </cell>
          <cell r="E4908">
            <v>0</v>
          </cell>
          <cell r="F4908">
            <v>23657065.870000001</v>
          </cell>
          <cell r="G4908">
            <v>-1457065.87</v>
          </cell>
          <cell r="H4908">
            <v>106.56</v>
          </cell>
          <cell r="I4908">
            <v>22200000</v>
          </cell>
          <cell r="J4908">
            <v>23657065.870000001</v>
          </cell>
        </row>
        <row r="4909">
          <cell r="A4909">
            <v>1817910763</v>
          </cell>
          <cell r="B4909" t="str">
            <v>שכר בריאות השן</v>
          </cell>
          <cell r="C4909">
            <v>0</v>
          </cell>
          <cell r="D4909">
            <v>0</v>
          </cell>
          <cell r="E4909">
            <v>0</v>
          </cell>
          <cell r="F4909">
            <v>0</v>
          </cell>
          <cell r="G4909">
            <v>0</v>
          </cell>
          <cell r="H4909">
            <v>0</v>
          </cell>
          <cell r="I4909">
            <v>0</v>
          </cell>
          <cell r="J4909">
            <v>0</v>
          </cell>
        </row>
        <row r="4910">
          <cell r="A4910">
            <v>1817910780</v>
          </cell>
          <cell r="B4910" t="str">
            <v>תשל' שרותי בריאות</v>
          </cell>
          <cell r="C4910">
            <v>0</v>
          </cell>
          <cell r="D4910">
            <v>0</v>
          </cell>
          <cell r="E4910">
            <v>0</v>
          </cell>
          <cell r="F4910">
            <v>0</v>
          </cell>
          <cell r="G4910">
            <v>0</v>
          </cell>
          <cell r="H4910">
            <v>0</v>
          </cell>
          <cell r="I4910">
            <v>0</v>
          </cell>
          <cell r="J4910">
            <v>0</v>
          </cell>
        </row>
        <row r="4911">
          <cell r="A4911">
            <v>1817910781</v>
          </cell>
          <cell r="B4911" t="str">
            <v>בריאות השן</v>
          </cell>
          <cell r="C4911">
            <v>0</v>
          </cell>
          <cell r="D4911">
            <v>0</v>
          </cell>
          <cell r="E4911">
            <v>0</v>
          </cell>
          <cell r="F4911">
            <v>0</v>
          </cell>
          <cell r="G4911">
            <v>0</v>
          </cell>
          <cell r="H4911">
            <v>0</v>
          </cell>
          <cell r="I4911">
            <v>0</v>
          </cell>
          <cell r="J4911">
            <v>0</v>
          </cell>
        </row>
        <row r="4912">
          <cell r="A4912">
            <v>1817910782</v>
          </cell>
          <cell r="B4912" t="str">
            <v>סל לעולים</v>
          </cell>
          <cell r="C4912">
            <v>133000</v>
          </cell>
          <cell r="D4912">
            <v>90027.99</v>
          </cell>
          <cell r="E4912">
            <v>0</v>
          </cell>
          <cell r="F4912">
            <v>90027.99</v>
          </cell>
          <cell r="G4912">
            <v>42972.01</v>
          </cell>
          <cell r="H4912">
            <v>67.69</v>
          </cell>
          <cell r="I4912">
            <v>140000</v>
          </cell>
          <cell r="J4912">
            <v>90027.99</v>
          </cell>
        </row>
        <row r="4913">
          <cell r="A4913">
            <v>1817910783</v>
          </cell>
          <cell r="B4913" t="str">
            <v>הקצבת שיכפול</v>
          </cell>
          <cell r="C4913">
            <v>113000</v>
          </cell>
          <cell r="D4913">
            <v>112168.36</v>
          </cell>
          <cell r="E4913">
            <v>0</v>
          </cell>
          <cell r="F4913">
            <v>112168.36</v>
          </cell>
          <cell r="G4913">
            <v>831.64</v>
          </cell>
          <cell r="H4913">
            <v>99.26</v>
          </cell>
          <cell r="I4913">
            <v>113000</v>
          </cell>
          <cell r="J4913">
            <v>112168.36</v>
          </cell>
        </row>
        <row r="4914">
          <cell r="A4914">
            <v>1817910784</v>
          </cell>
          <cell r="B4914" t="str">
            <v>בט' ושיפוץ קיץ ל.ע</v>
          </cell>
          <cell r="C4914">
            <v>0</v>
          </cell>
          <cell r="D4914">
            <v>0</v>
          </cell>
          <cell r="E4914">
            <v>0</v>
          </cell>
          <cell r="F4914">
            <v>0</v>
          </cell>
          <cell r="G4914">
            <v>0</v>
          </cell>
          <cell r="H4914">
            <v>0</v>
          </cell>
          <cell r="I4914">
            <v>0</v>
          </cell>
          <cell r="J4914">
            <v>0</v>
          </cell>
        </row>
        <row r="4915">
          <cell r="A4915">
            <v>1817910785</v>
          </cell>
          <cell r="B4915" t="str">
            <v>תשלום ועד הורים</v>
          </cell>
          <cell r="C4915">
            <v>33250</v>
          </cell>
          <cell r="D4915">
            <v>40808</v>
          </cell>
          <cell r="E4915">
            <v>0</v>
          </cell>
          <cell r="F4915">
            <v>40808</v>
          </cell>
          <cell r="G4915">
            <v>-7558</v>
          </cell>
          <cell r="H4915">
            <v>122.73</v>
          </cell>
          <cell r="I4915">
            <v>35000</v>
          </cell>
          <cell r="J4915">
            <v>40808</v>
          </cell>
        </row>
        <row r="4916">
          <cell r="A4916">
            <v>1817910794</v>
          </cell>
          <cell r="B4916" t="str">
            <v>השתתפות בעזר 094</v>
          </cell>
          <cell r="C4916">
            <v>6080</v>
          </cell>
          <cell r="D4916">
            <v>7634</v>
          </cell>
          <cell r="E4916">
            <v>0</v>
          </cell>
          <cell r="F4916">
            <v>7634</v>
          </cell>
          <cell r="G4916">
            <v>-1554</v>
          </cell>
          <cell r="H4916">
            <v>125.55</v>
          </cell>
          <cell r="I4916">
            <v>6400</v>
          </cell>
          <cell r="J4916">
            <v>7634</v>
          </cell>
        </row>
        <row r="4917">
          <cell r="A4917">
            <v>1817910931</v>
          </cell>
          <cell r="B4917" t="str">
            <v>רכישות חד-פעמיות</v>
          </cell>
          <cell r="C4917">
            <v>0</v>
          </cell>
          <cell r="D4917">
            <v>0</v>
          </cell>
          <cell r="E4917">
            <v>0</v>
          </cell>
          <cell r="F4917">
            <v>0</v>
          </cell>
          <cell r="G4917">
            <v>0</v>
          </cell>
          <cell r="H4917">
            <v>0</v>
          </cell>
          <cell r="I4917">
            <v>0</v>
          </cell>
          <cell r="J4917">
            <v>0</v>
          </cell>
        </row>
        <row r="4918">
          <cell r="A4918">
            <v>1817910960</v>
          </cell>
          <cell r="B4918" t="str">
            <v>השאלת ספרים מש' החינוך</v>
          </cell>
          <cell r="C4918">
            <v>0</v>
          </cell>
          <cell r="D4918">
            <v>0</v>
          </cell>
          <cell r="E4918">
            <v>0</v>
          </cell>
          <cell r="F4918">
            <v>0</v>
          </cell>
          <cell r="G4918">
            <v>0</v>
          </cell>
          <cell r="H4918">
            <v>0</v>
          </cell>
          <cell r="I4918">
            <v>0</v>
          </cell>
          <cell r="J4918">
            <v>0</v>
          </cell>
        </row>
        <row r="4919">
          <cell r="A4919">
            <v>1817920110</v>
          </cell>
          <cell r="B4919" t="str">
            <v>השכר הקובע-תקציבית</v>
          </cell>
          <cell r="C4919">
            <v>0</v>
          </cell>
          <cell r="D4919">
            <v>0</v>
          </cell>
          <cell r="E4919">
            <v>0</v>
          </cell>
          <cell r="F4919">
            <v>0</v>
          </cell>
          <cell r="G4919">
            <v>0</v>
          </cell>
          <cell r="H4919">
            <v>0</v>
          </cell>
          <cell r="I4919">
            <v>0</v>
          </cell>
          <cell r="J4919">
            <v>0</v>
          </cell>
        </row>
        <row r="4920">
          <cell r="A4920">
            <v>1817920119</v>
          </cell>
          <cell r="B4920" t="str">
            <v>השכר הקובע-צוברת</v>
          </cell>
          <cell r="C4920">
            <v>3135</v>
          </cell>
          <cell r="D4920">
            <v>112364.84</v>
          </cell>
          <cell r="E4920">
            <v>0</v>
          </cell>
          <cell r="F4920">
            <v>112364.84</v>
          </cell>
          <cell r="G4920">
            <v>-109229.84</v>
          </cell>
          <cell r="H4920">
            <v>3584.2</v>
          </cell>
          <cell r="I4920">
            <v>3300</v>
          </cell>
          <cell r="J4920">
            <v>112364.84</v>
          </cell>
        </row>
        <row r="4921">
          <cell r="A4921">
            <v>1817920122</v>
          </cell>
          <cell r="B4921" t="str">
            <v>ביגוד</v>
          </cell>
          <cell r="C4921">
            <v>3515</v>
          </cell>
          <cell r="D4921">
            <v>1003.23</v>
          </cell>
          <cell r="E4921">
            <v>0</v>
          </cell>
          <cell r="F4921">
            <v>1003.23</v>
          </cell>
          <cell r="G4921">
            <v>2511.77</v>
          </cell>
          <cell r="H4921">
            <v>28.54</v>
          </cell>
          <cell r="I4921">
            <v>3700</v>
          </cell>
          <cell r="J4921">
            <v>1003.23</v>
          </cell>
        </row>
        <row r="4922">
          <cell r="A4922">
            <v>1817920126</v>
          </cell>
          <cell r="B4922" t="str">
            <v>דמי הבראה</v>
          </cell>
          <cell r="C4922">
            <v>1900</v>
          </cell>
          <cell r="D4922">
            <v>2743.16</v>
          </cell>
          <cell r="E4922">
            <v>0</v>
          </cell>
          <cell r="F4922">
            <v>2743.16</v>
          </cell>
          <cell r="G4922">
            <v>-843.16</v>
          </cell>
          <cell r="H4922">
            <v>144.37</v>
          </cell>
          <cell r="I4922">
            <v>2000</v>
          </cell>
          <cell r="J4922">
            <v>2743.16</v>
          </cell>
        </row>
        <row r="4923">
          <cell r="A4923">
            <v>1817920130</v>
          </cell>
          <cell r="B4923" t="str">
            <v>שעות נוספות</v>
          </cell>
          <cell r="C4923">
            <v>0</v>
          </cell>
          <cell r="D4923">
            <v>552.37</v>
          </cell>
          <cell r="E4923">
            <v>0</v>
          </cell>
          <cell r="F4923">
            <v>552.37</v>
          </cell>
          <cell r="G4923">
            <v>-552.37</v>
          </cell>
          <cell r="H4923">
            <v>0</v>
          </cell>
          <cell r="I4923">
            <v>0</v>
          </cell>
          <cell r="J4923">
            <v>552.37</v>
          </cell>
        </row>
        <row r="4924">
          <cell r="A4924">
            <v>1817920140</v>
          </cell>
          <cell r="B4924" t="str">
            <v>השתתפות באחזקת רכב</v>
          </cell>
          <cell r="C4924">
            <v>0</v>
          </cell>
          <cell r="D4924">
            <v>0</v>
          </cell>
          <cell r="E4924">
            <v>0</v>
          </cell>
          <cell r="F4924">
            <v>0</v>
          </cell>
          <cell r="G4924">
            <v>0</v>
          </cell>
          <cell r="H4924">
            <v>0</v>
          </cell>
          <cell r="I4924">
            <v>0</v>
          </cell>
          <cell r="J4924">
            <v>0</v>
          </cell>
        </row>
        <row r="4925">
          <cell r="A4925">
            <v>1817920391</v>
          </cell>
          <cell r="B4925" t="str">
            <v>הפרשה לפנסיה</v>
          </cell>
          <cell r="C4925">
            <v>0</v>
          </cell>
          <cell r="D4925">
            <v>0</v>
          </cell>
          <cell r="E4925">
            <v>0</v>
          </cell>
          <cell r="F4925">
            <v>0</v>
          </cell>
          <cell r="G4925">
            <v>0</v>
          </cell>
          <cell r="H4925">
            <v>0</v>
          </cell>
          <cell r="I4925">
            <v>0</v>
          </cell>
          <cell r="J4925">
            <v>0</v>
          </cell>
        </row>
        <row r="4926">
          <cell r="A4926">
            <v>1817920420</v>
          </cell>
          <cell r="B4926" t="str">
            <v>כיבוי אש</v>
          </cell>
          <cell r="C4926">
            <v>0</v>
          </cell>
          <cell r="D4926">
            <v>0</v>
          </cell>
          <cell r="E4926">
            <v>0</v>
          </cell>
          <cell r="F4926">
            <v>0</v>
          </cell>
          <cell r="G4926">
            <v>0</v>
          </cell>
          <cell r="H4926">
            <v>0</v>
          </cell>
          <cell r="I4926">
            <v>0</v>
          </cell>
          <cell r="J4926">
            <v>0</v>
          </cell>
        </row>
        <row r="4927">
          <cell r="A4927">
            <v>1817920431</v>
          </cell>
          <cell r="B4927" t="str">
            <v>חשמל</v>
          </cell>
          <cell r="C4927">
            <v>0</v>
          </cell>
          <cell r="D4927">
            <v>0</v>
          </cell>
          <cell r="E4927">
            <v>0</v>
          </cell>
          <cell r="F4927">
            <v>0</v>
          </cell>
          <cell r="G4927">
            <v>0</v>
          </cell>
          <cell r="H4927">
            <v>0</v>
          </cell>
          <cell r="I4927">
            <v>0</v>
          </cell>
          <cell r="J4927">
            <v>0</v>
          </cell>
        </row>
        <row r="4928">
          <cell r="A4928">
            <v>1817920433</v>
          </cell>
          <cell r="B4928" t="str">
            <v>חומרי נקיון</v>
          </cell>
          <cell r="C4928">
            <v>0</v>
          </cell>
          <cell r="D4928">
            <v>0</v>
          </cell>
          <cell r="E4928">
            <v>0</v>
          </cell>
          <cell r="F4928">
            <v>0</v>
          </cell>
          <cell r="G4928">
            <v>0</v>
          </cell>
          <cell r="H4928">
            <v>0</v>
          </cell>
          <cell r="I4928">
            <v>0</v>
          </cell>
          <cell r="J4928">
            <v>0</v>
          </cell>
        </row>
        <row r="4929">
          <cell r="A4929">
            <v>1817920434</v>
          </cell>
          <cell r="B4929" t="str">
            <v>חיטוי והדברה</v>
          </cell>
          <cell r="C4929">
            <v>0</v>
          </cell>
          <cell r="D4929">
            <v>0</v>
          </cell>
          <cell r="E4929">
            <v>0</v>
          </cell>
          <cell r="F4929">
            <v>0</v>
          </cell>
          <cell r="G4929">
            <v>0</v>
          </cell>
          <cell r="H4929">
            <v>0</v>
          </cell>
          <cell r="I4929">
            <v>0</v>
          </cell>
          <cell r="J4929">
            <v>0</v>
          </cell>
        </row>
        <row r="4930">
          <cell r="A4930">
            <v>1817920450</v>
          </cell>
          <cell r="B4930" t="str">
            <v>ריהוט ואחזקתו</v>
          </cell>
          <cell r="C4930">
            <v>0</v>
          </cell>
          <cell r="D4930">
            <v>0</v>
          </cell>
          <cell r="E4930">
            <v>0</v>
          </cell>
          <cell r="F4930">
            <v>0</v>
          </cell>
          <cell r="G4930">
            <v>0</v>
          </cell>
          <cell r="H4930">
            <v>0</v>
          </cell>
          <cell r="I4930">
            <v>0</v>
          </cell>
          <cell r="J4930">
            <v>0</v>
          </cell>
        </row>
        <row r="4931">
          <cell r="A4931">
            <v>1817920470</v>
          </cell>
          <cell r="B4931" t="str">
            <v>אחזקת מכונות משרד</v>
          </cell>
          <cell r="C4931">
            <v>0</v>
          </cell>
          <cell r="D4931">
            <v>0</v>
          </cell>
          <cell r="E4931">
            <v>0</v>
          </cell>
          <cell r="F4931">
            <v>0</v>
          </cell>
          <cell r="G4931">
            <v>0</v>
          </cell>
          <cell r="H4931">
            <v>0</v>
          </cell>
          <cell r="I4931">
            <v>0</v>
          </cell>
          <cell r="J4931">
            <v>0</v>
          </cell>
        </row>
        <row r="4932">
          <cell r="A4932">
            <v>1817920471</v>
          </cell>
          <cell r="B4932" t="str">
            <v>מכשירי כתיבה</v>
          </cell>
          <cell r="C4932">
            <v>0</v>
          </cell>
          <cell r="D4932">
            <v>0</v>
          </cell>
          <cell r="E4932">
            <v>0</v>
          </cell>
          <cell r="F4932">
            <v>0</v>
          </cell>
          <cell r="G4932">
            <v>0</v>
          </cell>
          <cell r="H4932">
            <v>0</v>
          </cell>
          <cell r="I4932">
            <v>0</v>
          </cell>
          <cell r="J4932">
            <v>0</v>
          </cell>
        </row>
        <row r="4933">
          <cell r="A4933">
            <v>1817920511</v>
          </cell>
          <cell r="B4933" t="str">
            <v>אירוח וכיבוד</v>
          </cell>
          <cell r="C4933">
            <v>0</v>
          </cell>
          <cell r="D4933">
            <v>0</v>
          </cell>
          <cell r="E4933">
            <v>0</v>
          </cell>
          <cell r="F4933">
            <v>0</v>
          </cell>
          <cell r="G4933">
            <v>0</v>
          </cell>
          <cell r="H4933">
            <v>0</v>
          </cell>
          <cell r="I4933">
            <v>0</v>
          </cell>
          <cell r="J4933">
            <v>0</v>
          </cell>
        </row>
        <row r="4934">
          <cell r="A4934">
            <v>1817920561</v>
          </cell>
          <cell r="B4934" t="str">
            <v>שיכפולים</v>
          </cell>
          <cell r="C4934">
            <v>0</v>
          </cell>
          <cell r="D4934">
            <v>0</v>
          </cell>
          <cell r="E4934">
            <v>0</v>
          </cell>
          <cell r="F4934">
            <v>0</v>
          </cell>
          <cell r="G4934">
            <v>0</v>
          </cell>
          <cell r="H4934">
            <v>0</v>
          </cell>
          <cell r="I4934">
            <v>0</v>
          </cell>
          <cell r="J4934">
            <v>0</v>
          </cell>
        </row>
        <row r="4935">
          <cell r="A4935">
            <v>1817920721</v>
          </cell>
          <cell r="B4935" t="str">
            <v>חמרים-תחזוקת מבנים</v>
          </cell>
          <cell r="C4935">
            <v>0</v>
          </cell>
          <cell r="D4935">
            <v>0</v>
          </cell>
          <cell r="E4935">
            <v>0</v>
          </cell>
          <cell r="F4935">
            <v>0</v>
          </cell>
          <cell r="G4935">
            <v>0</v>
          </cell>
          <cell r="H4935">
            <v>0</v>
          </cell>
          <cell r="I4935">
            <v>0</v>
          </cell>
          <cell r="J4935">
            <v>0</v>
          </cell>
        </row>
        <row r="4936">
          <cell r="A4936">
            <v>1817920742</v>
          </cell>
          <cell r="B4936" t="str">
            <v>כלים וציוד</v>
          </cell>
          <cell r="C4936">
            <v>0</v>
          </cell>
          <cell r="D4936">
            <v>0</v>
          </cell>
          <cell r="E4936">
            <v>0</v>
          </cell>
          <cell r="F4936">
            <v>0</v>
          </cell>
          <cell r="G4936">
            <v>0</v>
          </cell>
          <cell r="H4936">
            <v>0</v>
          </cell>
          <cell r="I4936">
            <v>0</v>
          </cell>
          <cell r="J4936">
            <v>0</v>
          </cell>
        </row>
        <row r="4937">
          <cell r="A4937">
            <v>1817920751</v>
          </cell>
          <cell r="B4937" t="str">
            <v>עבודות קבלניות</v>
          </cell>
          <cell r="C4937">
            <v>0</v>
          </cell>
          <cell r="D4937">
            <v>0</v>
          </cell>
          <cell r="E4937">
            <v>0</v>
          </cell>
          <cell r="F4937">
            <v>0</v>
          </cell>
          <cell r="G4937">
            <v>0</v>
          </cell>
          <cell r="H4937">
            <v>0</v>
          </cell>
          <cell r="I4937">
            <v>0</v>
          </cell>
          <cell r="J4937">
            <v>0</v>
          </cell>
        </row>
        <row r="4938">
          <cell r="A4938">
            <v>1817920763</v>
          </cell>
          <cell r="B4938" t="str">
            <v>עובדי חברת מוסדות</v>
          </cell>
          <cell r="C4938">
            <v>0</v>
          </cell>
          <cell r="D4938">
            <v>0</v>
          </cell>
          <cell r="E4938">
            <v>0</v>
          </cell>
          <cell r="F4938">
            <v>0</v>
          </cell>
          <cell r="G4938">
            <v>0</v>
          </cell>
          <cell r="H4938">
            <v>0</v>
          </cell>
          <cell r="I4938">
            <v>0</v>
          </cell>
          <cell r="J4938">
            <v>0</v>
          </cell>
        </row>
        <row r="4939">
          <cell r="A4939">
            <v>1817920781</v>
          </cell>
          <cell r="B4939" t="str">
            <v>תיפעול המרכז</v>
          </cell>
          <cell r="C4939">
            <v>0</v>
          </cell>
          <cell r="D4939">
            <v>0</v>
          </cell>
          <cell r="E4939">
            <v>0</v>
          </cell>
          <cell r="F4939">
            <v>0</v>
          </cell>
          <cell r="G4939">
            <v>0</v>
          </cell>
          <cell r="H4939">
            <v>0</v>
          </cell>
          <cell r="I4939">
            <v>0</v>
          </cell>
          <cell r="J4939">
            <v>0</v>
          </cell>
        </row>
        <row r="4940">
          <cell r="A4940">
            <v>1817920931</v>
          </cell>
          <cell r="B4940" t="str">
            <v>רכישות חד-פעמיות</v>
          </cell>
          <cell r="C4940">
            <v>0</v>
          </cell>
          <cell r="D4940">
            <v>0</v>
          </cell>
          <cell r="E4940">
            <v>0</v>
          </cell>
          <cell r="F4940">
            <v>0</v>
          </cell>
          <cell r="G4940">
            <v>0</v>
          </cell>
          <cell r="H4940">
            <v>0</v>
          </cell>
          <cell r="I4940">
            <v>0</v>
          </cell>
          <cell r="J4940">
            <v>0</v>
          </cell>
        </row>
        <row r="4941">
          <cell r="A4941">
            <v>1817930110</v>
          </cell>
          <cell r="B4941" t="str">
            <v>השכר הקובע-תקציבית</v>
          </cell>
          <cell r="C4941">
            <v>0</v>
          </cell>
          <cell r="D4941">
            <v>0</v>
          </cell>
          <cell r="E4941">
            <v>0</v>
          </cell>
          <cell r="F4941">
            <v>0</v>
          </cell>
          <cell r="G4941">
            <v>0</v>
          </cell>
          <cell r="H4941">
            <v>0</v>
          </cell>
          <cell r="I4941">
            <v>0</v>
          </cell>
          <cell r="J4941">
            <v>0</v>
          </cell>
        </row>
        <row r="4942">
          <cell r="A4942">
            <v>1817930119</v>
          </cell>
          <cell r="B4942" t="str">
            <v>השכר הקובע-צוברת</v>
          </cell>
          <cell r="C4942">
            <v>404700</v>
          </cell>
          <cell r="D4942">
            <v>301671.7</v>
          </cell>
          <cell r="E4942">
            <v>0</v>
          </cell>
          <cell r="F4942">
            <v>301671.7</v>
          </cell>
          <cell r="G4942">
            <v>103028.3</v>
          </cell>
          <cell r="H4942">
            <v>74.540000000000006</v>
          </cell>
          <cell r="I4942">
            <v>426000</v>
          </cell>
          <cell r="J4942">
            <v>301671.7</v>
          </cell>
        </row>
        <row r="4943">
          <cell r="A4943">
            <v>1817930122</v>
          </cell>
          <cell r="B4943" t="str">
            <v>ביגוד</v>
          </cell>
          <cell r="C4943">
            <v>5320</v>
          </cell>
          <cell r="D4943">
            <v>3459.18</v>
          </cell>
          <cell r="E4943">
            <v>0</v>
          </cell>
          <cell r="F4943">
            <v>3459.18</v>
          </cell>
          <cell r="G4943">
            <v>1860.82</v>
          </cell>
          <cell r="H4943">
            <v>65.02</v>
          </cell>
          <cell r="I4943">
            <v>5600</v>
          </cell>
          <cell r="J4943">
            <v>3459.18</v>
          </cell>
        </row>
        <row r="4944">
          <cell r="A4944">
            <v>1817930126</v>
          </cell>
          <cell r="B4944" t="str">
            <v>דמי הבראה</v>
          </cell>
          <cell r="C4944">
            <v>7600</v>
          </cell>
          <cell r="D4944">
            <v>8353.2000000000007</v>
          </cell>
          <cell r="E4944">
            <v>0</v>
          </cell>
          <cell r="F4944">
            <v>8353.2000000000007</v>
          </cell>
          <cell r="G4944">
            <v>-753.2</v>
          </cell>
          <cell r="H4944">
            <v>109.91</v>
          </cell>
          <cell r="I4944">
            <v>8000</v>
          </cell>
          <cell r="J4944">
            <v>8353.2000000000007</v>
          </cell>
        </row>
        <row r="4945">
          <cell r="A4945">
            <v>1817930130</v>
          </cell>
          <cell r="B4945" t="str">
            <v>שעות נוספות</v>
          </cell>
          <cell r="C4945">
            <v>3800</v>
          </cell>
          <cell r="D4945">
            <v>837.23</v>
          </cell>
          <cell r="E4945">
            <v>0</v>
          </cell>
          <cell r="F4945">
            <v>837.23</v>
          </cell>
          <cell r="G4945">
            <v>2962.77</v>
          </cell>
          <cell r="H4945">
            <v>22.03</v>
          </cell>
          <cell r="I4945">
            <v>4000</v>
          </cell>
          <cell r="J4945">
            <v>837.23</v>
          </cell>
        </row>
        <row r="4946">
          <cell r="A4946">
            <v>1817930140</v>
          </cell>
          <cell r="B4946" t="str">
            <v>השתתפות באחזקת רכב</v>
          </cell>
          <cell r="C4946">
            <v>41515</v>
          </cell>
          <cell r="D4946">
            <v>30526.55</v>
          </cell>
          <cell r="E4946">
            <v>0</v>
          </cell>
          <cell r="F4946">
            <v>30526.55</v>
          </cell>
          <cell r="G4946">
            <v>10988.45</v>
          </cell>
          <cell r="H4946">
            <v>73.53</v>
          </cell>
          <cell r="I4946">
            <v>43700</v>
          </cell>
          <cell r="J4946">
            <v>30526.55</v>
          </cell>
        </row>
        <row r="4947">
          <cell r="A4947">
            <v>1817930263</v>
          </cell>
          <cell r="B4947" t="str">
            <v>שכר חב' כ"א</v>
          </cell>
          <cell r="C4947">
            <v>0</v>
          </cell>
          <cell r="D4947">
            <v>0</v>
          </cell>
          <cell r="E4947">
            <v>0</v>
          </cell>
          <cell r="F4947">
            <v>0</v>
          </cell>
          <cell r="G4947">
            <v>0</v>
          </cell>
          <cell r="H4947">
            <v>0</v>
          </cell>
          <cell r="I4947">
            <v>0</v>
          </cell>
          <cell r="J4947">
            <v>0</v>
          </cell>
        </row>
        <row r="4948">
          <cell r="A4948">
            <v>1817930391</v>
          </cell>
          <cell r="B4948" t="str">
            <v>הפרשה לפנסיה</v>
          </cell>
          <cell r="C4948">
            <v>0</v>
          </cell>
          <cell r="D4948">
            <v>0</v>
          </cell>
          <cell r="E4948">
            <v>0</v>
          </cell>
          <cell r="F4948">
            <v>0</v>
          </cell>
          <cell r="G4948">
            <v>0</v>
          </cell>
          <cell r="H4948">
            <v>0</v>
          </cell>
          <cell r="I4948">
            <v>0</v>
          </cell>
          <cell r="J4948">
            <v>0</v>
          </cell>
        </row>
        <row r="4949">
          <cell r="A4949">
            <v>1817930410</v>
          </cell>
          <cell r="B4949" t="str">
            <v>השכרת אולם</v>
          </cell>
          <cell r="C4949">
            <v>0</v>
          </cell>
          <cell r="D4949">
            <v>0</v>
          </cell>
          <cell r="E4949">
            <v>0</v>
          </cell>
          <cell r="F4949">
            <v>0</v>
          </cell>
          <cell r="G4949">
            <v>0</v>
          </cell>
          <cell r="H4949">
            <v>0</v>
          </cell>
          <cell r="I4949">
            <v>0</v>
          </cell>
          <cell r="J4949">
            <v>0</v>
          </cell>
        </row>
        <row r="4950">
          <cell r="A4950">
            <v>1817930471</v>
          </cell>
          <cell r="B4950" t="str">
            <v>מכשירי כתיבה</v>
          </cell>
          <cell r="C4950">
            <v>3895</v>
          </cell>
          <cell r="D4950">
            <v>3912.35</v>
          </cell>
          <cell r="E4950">
            <v>0</v>
          </cell>
          <cell r="F4950">
            <v>3912.35</v>
          </cell>
          <cell r="G4950">
            <v>-17.350000000000001</v>
          </cell>
          <cell r="H4950">
            <v>100.44</v>
          </cell>
          <cell r="I4950">
            <v>4100</v>
          </cell>
          <cell r="J4950">
            <v>3912.35</v>
          </cell>
        </row>
        <row r="4951">
          <cell r="A4951">
            <v>1817930511</v>
          </cell>
          <cell r="B4951" t="str">
            <v>אירוח וכיבוד</v>
          </cell>
          <cell r="C4951">
            <v>0</v>
          </cell>
          <cell r="D4951">
            <v>0</v>
          </cell>
          <cell r="E4951">
            <v>0</v>
          </cell>
          <cell r="F4951">
            <v>0</v>
          </cell>
          <cell r="G4951">
            <v>0</v>
          </cell>
          <cell r="H4951">
            <v>0</v>
          </cell>
          <cell r="I4951">
            <v>0</v>
          </cell>
          <cell r="J4951">
            <v>0</v>
          </cell>
        </row>
        <row r="4952">
          <cell r="A4952">
            <v>1817930561</v>
          </cell>
          <cell r="B4952" t="str">
            <v>שיכפולים</v>
          </cell>
          <cell r="C4952">
            <v>0</v>
          </cell>
          <cell r="D4952">
            <v>0</v>
          </cell>
          <cell r="E4952">
            <v>0</v>
          </cell>
          <cell r="F4952">
            <v>0</v>
          </cell>
          <cell r="G4952">
            <v>0</v>
          </cell>
          <cell r="H4952">
            <v>0</v>
          </cell>
          <cell r="I4952">
            <v>0</v>
          </cell>
          <cell r="J4952">
            <v>0</v>
          </cell>
        </row>
        <row r="4953">
          <cell r="A4953">
            <v>1817930562</v>
          </cell>
          <cell r="B4953" t="str">
            <v>הדפסות</v>
          </cell>
          <cell r="C4953">
            <v>0</v>
          </cell>
          <cell r="D4953">
            <v>0</v>
          </cell>
          <cell r="E4953">
            <v>0</v>
          </cell>
          <cell r="F4953">
            <v>0</v>
          </cell>
          <cell r="G4953">
            <v>0</v>
          </cell>
          <cell r="H4953">
            <v>0</v>
          </cell>
          <cell r="I4953">
            <v>0</v>
          </cell>
          <cell r="J4953">
            <v>0</v>
          </cell>
        </row>
        <row r="4954">
          <cell r="A4954">
            <v>1817930571</v>
          </cell>
          <cell r="B4954" t="str">
            <v>מיכון וענ"א</v>
          </cell>
          <cell r="C4954">
            <v>22420</v>
          </cell>
          <cell r="D4954">
            <v>23600</v>
          </cell>
          <cell r="E4954">
            <v>0</v>
          </cell>
          <cell r="F4954">
            <v>23600</v>
          </cell>
          <cell r="G4954">
            <v>-1180</v>
          </cell>
          <cell r="H4954">
            <v>105.26</v>
          </cell>
          <cell r="I4954">
            <v>23600</v>
          </cell>
          <cell r="J4954">
            <v>23600</v>
          </cell>
        </row>
        <row r="4955">
          <cell r="A4955">
            <v>1817930782</v>
          </cell>
          <cell r="B4955" t="str">
            <v>הש.כרט' למוזיאון</v>
          </cell>
          <cell r="C4955">
            <v>77235</v>
          </cell>
          <cell r="D4955">
            <v>43430</v>
          </cell>
          <cell r="E4955">
            <v>0</v>
          </cell>
          <cell r="F4955">
            <v>43430</v>
          </cell>
          <cell r="G4955">
            <v>33805</v>
          </cell>
          <cell r="H4955">
            <v>56.23</v>
          </cell>
          <cell r="I4955">
            <v>81300</v>
          </cell>
          <cell r="J4955">
            <v>43430</v>
          </cell>
        </row>
        <row r="4956">
          <cell r="A4956">
            <v>1817930783</v>
          </cell>
          <cell r="B4956" t="str">
            <v>תיאטרון ילדים</v>
          </cell>
          <cell r="C4956">
            <v>1900000</v>
          </cell>
          <cell r="D4956">
            <v>1597194.52</v>
          </cell>
          <cell r="E4956">
            <v>483</v>
          </cell>
          <cell r="F4956">
            <v>1597677.52</v>
          </cell>
          <cell r="G4956">
            <v>302322.48</v>
          </cell>
          <cell r="H4956">
            <v>84.08</v>
          </cell>
          <cell r="I4956">
            <v>2000000</v>
          </cell>
          <cell r="J4956">
            <v>1597194.52</v>
          </cell>
        </row>
        <row r="4957">
          <cell r="A4957">
            <v>1818100420</v>
          </cell>
          <cell r="B4957" t="str">
            <v>כיבוי אש</v>
          </cell>
          <cell r="C4957">
            <v>0</v>
          </cell>
          <cell r="D4957">
            <v>0</v>
          </cell>
          <cell r="E4957">
            <v>0</v>
          </cell>
          <cell r="F4957">
            <v>0</v>
          </cell>
          <cell r="G4957">
            <v>0</v>
          </cell>
          <cell r="H4957">
            <v>0</v>
          </cell>
          <cell r="I4957">
            <v>0</v>
          </cell>
          <cell r="J4957">
            <v>0</v>
          </cell>
        </row>
        <row r="4958">
          <cell r="A4958">
            <v>1818200110</v>
          </cell>
          <cell r="B4958" t="str">
            <v>השכר הקובע-תקציבית</v>
          </cell>
          <cell r="C4958">
            <v>0</v>
          </cell>
          <cell r="D4958">
            <v>0</v>
          </cell>
          <cell r="E4958">
            <v>0</v>
          </cell>
          <cell r="F4958">
            <v>0</v>
          </cell>
          <cell r="G4958">
            <v>0</v>
          </cell>
          <cell r="H4958">
            <v>0</v>
          </cell>
          <cell r="I4958">
            <v>0</v>
          </cell>
          <cell r="J4958">
            <v>0</v>
          </cell>
        </row>
        <row r="4959">
          <cell r="A4959">
            <v>1818200118</v>
          </cell>
          <cell r="B4959" t="str">
            <v>שכר עובדי הוראה</v>
          </cell>
          <cell r="C4959">
            <v>0</v>
          </cell>
          <cell r="D4959">
            <v>0</v>
          </cell>
          <cell r="E4959">
            <v>0</v>
          </cell>
          <cell r="F4959">
            <v>0</v>
          </cell>
          <cell r="G4959">
            <v>0</v>
          </cell>
          <cell r="H4959">
            <v>0</v>
          </cell>
          <cell r="I4959">
            <v>0</v>
          </cell>
          <cell r="J4959">
            <v>0</v>
          </cell>
        </row>
        <row r="4960">
          <cell r="A4960">
            <v>1818200119</v>
          </cell>
          <cell r="B4960" t="str">
            <v>השכר הקובע-צוברת</v>
          </cell>
          <cell r="C4960">
            <v>0</v>
          </cell>
          <cell r="D4960">
            <v>0</v>
          </cell>
          <cell r="E4960">
            <v>0</v>
          </cell>
          <cell r="F4960">
            <v>0</v>
          </cell>
          <cell r="G4960">
            <v>0</v>
          </cell>
          <cell r="H4960">
            <v>0</v>
          </cell>
          <cell r="I4960">
            <v>0</v>
          </cell>
          <cell r="J4960">
            <v>0</v>
          </cell>
        </row>
        <row r="4961">
          <cell r="A4961">
            <v>1818200122</v>
          </cell>
          <cell r="B4961" t="str">
            <v>ביגוד</v>
          </cell>
          <cell r="C4961">
            <v>0</v>
          </cell>
          <cell r="D4961">
            <v>0</v>
          </cell>
          <cell r="E4961">
            <v>0</v>
          </cell>
          <cell r="F4961">
            <v>0</v>
          </cell>
          <cell r="G4961">
            <v>0</v>
          </cell>
          <cell r="H4961">
            <v>0</v>
          </cell>
          <cell r="I4961">
            <v>0</v>
          </cell>
          <cell r="J4961">
            <v>0</v>
          </cell>
        </row>
        <row r="4962">
          <cell r="A4962">
            <v>1818200126</v>
          </cell>
          <cell r="B4962" t="str">
            <v>דמי הבראה</v>
          </cell>
          <cell r="C4962">
            <v>0</v>
          </cell>
          <cell r="D4962">
            <v>0</v>
          </cell>
          <cell r="E4962">
            <v>0</v>
          </cell>
          <cell r="F4962">
            <v>0</v>
          </cell>
          <cell r="G4962">
            <v>0</v>
          </cell>
          <cell r="H4962">
            <v>0</v>
          </cell>
          <cell r="I4962">
            <v>0</v>
          </cell>
          <cell r="J4962">
            <v>0</v>
          </cell>
        </row>
        <row r="4963">
          <cell r="A4963">
            <v>1818200130</v>
          </cell>
          <cell r="B4963" t="str">
            <v>שעות נוספות</v>
          </cell>
          <cell r="C4963">
            <v>0</v>
          </cell>
          <cell r="D4963">
            <v>0</v>
          </cell>
          <cell r="E4963">
            <v>0</v>
          </cell>
          <cell r="F4963">
            <v>0</v>
          </cell>
          <cell r="G4963">
            <v>0</v>
          </cell>
          <cell r="H4963">
            <v>0</v>
          </cell>
          <cell r="I4963">
            <v>0</v>
          </cell>
          <cell r="J4963">
            <v>0</v>
          </cell>
        </row>
        <row r="4964">
          <cell r="A4964">
            <v>1818200140</v>
          </cell>
          <cell r="B4964" t="str">
            <v>השתתפות באחזקת רכב</v>
          </cell>
          <cell r="C4964">
            <v>0</v>
          </cell>
          <cell r="D4964">
            <v>0</v>
          </cell>
          <cell r="E4964">
            <v>0</v>
          </cell>
          <cell r="F4964">
            <v>0</v>
          </cell>
          <cell r="G4964">
            <v>0</v>
          </cell>
          <cell r="H4964">
            <v>0</v>
          </cell>
          <cell r="I4964">
            <v>0</v>
          </cell>
          <cell r="J4964">
            <v>0</v>
          </cell>
        </row>
        <row r="4965">
          <cell r="A4965">
            <v>1818200210</v>
          </cell>
          <cell r="B4965" t="str">
            <v>השכר הקובע</v>
          </cell>
          <cell r="C4965">
            <v>0</v>
          </cell>
          <cell r="D4965">
            <v>0</v>
          </cell>
          <cell r="E4965">
            <v>0</v>
          </cell>
          <cell r="F4965">
            <v>0</v>
          </cell>
          <cell r="G4965">
            <v>0</v>
          </cell>
          <cell r="H4965">
            <v>0</v>
          </cell>
          <cell r="I4965">
            <v>0</v>
          </cell>
          <cell r="J4965">
            <v>0</v>
          </cell>
        </row>
        <row r="4966">
          <cell r="A4966">
            <v>1818200263</v>
          </cell>
          <cell r="B4966" t="str">
            <v>עובדים חיצוניים</v>
          </cell>
          <cell r="C4966">
            <v>0</v>
          </cell>
          <cell r="D4966">
            <v>0</v>
          </cell>
          <cell r="E4966">
            <v>0</v>
          </cell>
          <cell r="F4966">
            <v>0</v>
          </cell>
          <cell r="G4966">
            <v>0</v>
          </cell>
          <cell r="H4966">
            <v>0</v>
          </cell>
          <cell r="I4966">
            <v>0</v>
          </cell>
          <cell r="J4966">
            <v>0</v>
          </cell>
        </row>
        <row r="4967">
          <cell r="A4967">
            <v>1818200391</v>
          </cell>
          <cell r="B4967" t="str">
            <v>הפרשה לפנסיה</v>
          </cell>
          <cell r="C4967">
            <v>0</v>
          </cell>
          <cell r="D4967">
            <v>0</v>
          </cell>
          <cell r="E4967">
            <v>0</v>
          </cell>
          <cell r="F4967">
            <v>0</v>
          </cell>
          <cell r="G4967">
            <v>0</v>
          </cell>
          <cell r="H4967">
            <v>0</v>
          </cell>
          <cell r="I4967">
            <v>0</v>
          </cell>
          <cell r="J4967">
            <v>0</v>
          </cell>
        </row>
        <row r="4968">
          <cell r="A4968">
            <v>1818200420</v>
          </cell>
          <cell r="B4968" t="str">
            <v>כיבוי אש</v>
          </cell>
          <cell r="C4968">
            <v>0</v>
          </cell>
          <cell r="D4968">
            <v>0</v>
          </cell>
          <cell r="E4968">
            <v>0</v>
          </cell>
          <cell r="F4968">
            <v>0</v>
          </cell>
          <cell r="G4968">
            <v>0</v>
          </cell>
          <cell r="H4968">
            <v>0</v>
          </cell>
          <cell r="I4968">
            <v>0</v>
          </cell>
          <cell r="J4968">
            <v>0</v>
          </cell>
        </row>
        <row r="4969">
          <cell r="A4969">
            <v>1818200431</v>
          </cell>
          <cell r="B4969" t="str">
            <v>חשמל</v>
          </cell>
          <cell r="C4969">
            <v>0</v>
          </cell>
          <cell r="D4969">
            <v>0</v>
          </cell>
          <cell r="E4969">
            <v>0</v>
          </cell>
          <cell r="F4969">
            <v>0</v>
          </cell>
          <cell r="G4969">
            <v>0</v>
          </cell>
          <cell r="H4969">
            <v>0</v>
          </cell>
          <cell r="I4969">
            <v>0</v>
          </cell>
          <cell r="J4969">
            <v>0</v>
          </cell>
        </row>
        <row r="4970">
          <cell r="A4970">
            <v>1818200433</v>
          </cell>
          <cell r="B4970" t="str">
            <v>חומרי נקיון</v>
          </cell>
          <cell r="C4970">
            <v>0</v>
          </cell>
          <cell r="D4970">
            <v>0</v>
          </cell>
          <cell r="E4970">
            <v>0</v>
          </cell>
          <cell r="F4970">
            <v>0</v>
          </cell>
          <cell r="G4970">
            <v>0</v>
          </cell>
          <cell r="H4970">
            <v>0</v>
          </cell>
          <cell r="I4970">
            <v>0</v>
          </cell>
          <cell r="J4970">
            <v>0</v>
          </cell>
        </row>
        <row r="4971">
          <cell r="A4971">
            <v>1818200434</v>
          </cell>
          <cell r="B4971" t="str">
            <v>חיטוי והדברה</v>
          </cell>
          <cell r="C4971">
            <v>0</v>
          </cell>
          <cell r="D4971">
            <v>0</v>
          </cell>
          <cell r="E4971">
            <v>0</v>
          </cell>
          <cell r="F4971">
            <v>0</v>
          </cell>
          <cell r="G4971">
            <v>0</v>
          </cell>
          <cell r="H4971">
            <v>0</v>
          </cell>
          <cell r="I4971">
            <v>0</v>
          </cell>
          <cell r="J4971">
            <v>0</v>
          </cell>
        </row>
        <row r="4972">
          <cell r="A4972">
            <v>1818200441</v>
          </cell>
          <cell r="B4972" t="str">
            <v>ביטוח</v>
          </cell>
          <cell r="C4972">
            <v>0</v>
          </cell>
          <cell r="D4972">
            <v>0</v>
          </cell>
          <cell r="E4972">
            <v>0</v>
          </cell>
          <cell r="F4972">
            <v>0</v>
          </cell>
          <cell r="G4972">
            <v>0</v>
          </cell>
          <cell r="H4972">
            <v>0</v>
          </cell>
          <cell r="I4972">
            <v>0</v>
          </cell>
          <cell r="J4972">
            <v>0</v>
          </cell>
        </row>
        <row r="4973">
          <cell r="A4973">
            <v>1818200450</v>
          </cell>
          <cell r="B4973" t="str">
            <v>ריהוט ואחזקתו</v>
          </cell>
          <cell r="C4973">
            <v>0</v>
          </cell>
          <cell r="D4973">
            <v>0</v>
          </cell>
          <cell r="E4973">
            <v>0</v>
          </cell>
          <cell r="F4973">
            <v>0</v>
          </cell>
          <cell r="G4973">
            <v>0</v>
          </cell>
          <cell r="H4973">
            <v>0</v>
          </cell>
          <cell r="I4973">
            <v>0</v>
          </cell>
          <cell r="J4973">
            <v>0</v>
          </cell>
        </row>
        <row r="4974">
          <cell r="A4974">
            <v>1818200470</v>
          </cell>
          <cell r="B4974" t="str">
            <v>אחזקת מכונות משרד</v>
          </cell>
          <cell r="C4974">
            <v>0</v>
          </cell>
          <cell r="D4974">
            <v>0</v>
          </cell>
          <cell r="E4974">
            <v>0</v>
          </cell>
          <cell r="F4974">
            <v>0</v>
          </cell>
          <cell r="G4974">
            <v>0</v>
          </cell>
          <cell r="H4974">
            <v>0</v>
          </cell>
          <cell r="I4974">
            <v>0</v>
          </cell>
          <cell r="J4974">
            <v>0</v>
          </cell>
        </row>
        <row r="4975">
          <cell r="A4975">
            <v>1818200471</v>
          </cell>
          <cell r="B4975" t="str">
            <v>מכשירי כתיבה</v>
          </cell>
          <cell r="C4975">
            <v>0</v>
          </cell>
          <cell r="D4975">
            <v>0</v>
          </cell>
          <cell r="E4975">
            <v>0</v>
          </cell>
          <cell r="F4975">
            <v>0</v>
          </cell>
          <cell r="G4975">
            <v>0</v>
          </cell>
          <cell r="H4975">
            <v>0</v>
          </cell>
          <cell r="I4975">
            <v>0</v>
          </cell>
          <cell r="J4975">
            <v>0</v>
          </cell>
        </row>
        <row r="4976">
          <cell r="A4976">
            <v>1818200472</v>
          </cell>
          <cell r="B4976" t="str">
            <v>אחזקת מכונת שיכפול</v>
          </cell>
          <cell r="C4976">
            <v>0</v>
          </cell>
          <cell r="D4976">
            <v>0</v>
          </cell>
          <cell r="E4976">
            <v>0</v>
          </cell>
          <cell r="F4976">
            <v>0</v>
          </cell>
          <cell r="G4976">
            <v>0</v>
          </cell>
          <cell r="H4976">
            <v>0</v>
          </cell>
          <cell r="I4976">
            <v>0</v>
          </cell>
          <cell r="J4976">
            <v>0</v>
          </cell>
        </row>
        <row r="4977">
          <cell r="A4977">
            <v>1818200511</v>
          </cell>
          <cell r="B4977" t="str">
            <v>אירוח וכיבוד</v>
          </cell>
          <cell r="C4977">
            <v>0</v>
          </cell>
          <cell r="D4977">
            <v>0</v>
          </cell>
          <cell r="E4977">
            <v>0</v>
          </cell>
          <cell r="F4977">
            <v>0</v>
          </cell>
          <cell r="G4977">
            <v>0</v>
          </cell>
          <cell r="H4977">
            <v>0</v>
          </cell>
          <cell r="I4977">
            <v>0</v>
          </cell>
          <cell r="J4977">
            <v>0</v>
          </cell>
        </row>
        <row r="4978">
          <cell r="A4978">
            <v>1818200522</v>
          </cell>
          <cell r="B4978" t="str">
            <v>ספרים</v>
          </cell>
          <cell r="C4978">
            <v>0</v>
          </cell>
          <cell r="D4978">
            <v>0</v>
          </cell>
          <cell r="E4978">
            <v>0</v>
          </cell>
          <cell r="F4978">
            <v>0</v>
          </cell>
          <cell r="G4978">
            <v>0</v>
          </cell>
          <cell r="H4978">
            <v>0</v>
          </cell>
          <cell r="I4978">
            <v>0</v>
          </cell>
          <cell r="J4978">
            <v>0</v>
          </cell>
        </row>
        <row r="4979">
          <cell r="A4979">
            <v>1818200540</v>
          </cell>
          <cell r="B4979" t="str">
            <v>הוצאות טלפון</v>
          </cell>
          <cell r="C4979">
            <v>0</v>
          </cell>
          <cell r="D4979">
            <v>0</v>
          </cell>
          <cell r="E4979">
            <v>0</v>
          </cell>
          <cell r="F4979">
            <v>0</v>
          </cell>
          <cell r="G4979">
            <v>0</v>
          </cell>
          <cell r="H4979">
            <v>0</v>
          </cell>
          <cell r="I4979">
            <v>0</v>
          </cell>
          <cell r="J4979">
            <v>0</v>
          </cell>
        </row>
        <row r="4980">
          <cell r="A4980">
            <v>1818200544</v>
          </cell>
          <cell r="B4980" t="str">
            <v>הוצאות דאר</v>
          </cell>
          <cell r="C4980">
            <v>0</v>
          </cell>
          <cell r="D4980">
            <v>0</v>
          </cell>
          <cell r="E4980">
            <v>0</v>
          </cell>
          <cell r="F4980">
            <v>0</v>
          </cell>
          <cell r="G4980">
            <v>0</v>
          </cell>
          <cell r="H4980">
            <v>0</v>
          </cell>
          <cell r="I4980">
            <v>0</v>
          </cell>
          <cell r="J4980">
            <v>0</v>
          </cell>
        </row>
        <row r="4981">
          <cell r="A4981">
            <v>1818200550</v>
          </cell>
          <cell r="B4981" t="str">
            <v>פירסומים</v>
          </cell>
          <cell r="C4981">
            <v>0</v>
          </cell>
          <cell r="D4981">
            <v>0</v>
          </cell>
          <cell r="E4981">
            <v>0</v>
          </cell>
          <cell r="F4981">
            <v>0</v>
          </cell>
          <cell r="G4981">
            <v>0</v>
          </cell>
          <cell r="H4981">
            <v>0</v>
          </cell>
          <cell r="I4981">
            <v>0</v>
          </cell>
          <cell r="J4981">
            <v>0</v>
          </cell>
        </row>
        <row r="4982">
          <cell r="A4982">
            <v>1818200561</v>
          </cell>
          <cell r="B4982" t="str">
            <v>שיכפולים</v>
          </cell>
          <cell r="C4982">
            <v>0</v>
          </cell>
          <cell r="D4982">
            <v>0</v>
          </cell>
          <cell r="E4982">
            <v>0</v>
          </cell>
          <cell r="F4982">
            <v>0</v>
          </cell>
          <cell r="G4982">
            <v>0</v>
          </cell>
          <cell r="H4982">
            <v>0</v>
          </cell>
          <cell r="I4982">
            <v>0</v>
          </cell>
          <cell r="J4982">
            <v>0</v>
          </cell>
        </row>
        <row r="4983">
          <cell r="A4983">
            <v>1818200721</v>
          </cell>
          <cell r="B4983" t="str">
            <v>חמרים-תחזוקת מבנים</v>
          </cell>
          <cell r="C4983">
            <v>0</v>
          </cell>
          <cell r="D4983">
            <v>0</v>
          </cell>
          <cell r="E4983">
            <v>0</v>
          </cell>
          <cell r="F4983">
            <v>0</v>
          </cell>
          <cell r="G4983">
            <v>0</v>
          </cell>
          <cell r="H4983">
            <v>0</v>
          </cell>
          <cell r="I4983">
            <v>0</v>
          </cell>
          <cell r="J4983">
            <v>0</v>
          </cell>
        </row>
        <row r="4984">
          <cell r="A4984">
            <v>1818200722</v>
          </cell>
          <cell r="B4984" t="str">
            <v>חמרים-תחזוקה עצמית</v>
          </cell>
          <cell r="C4984">
            <v>0</v>
          </cell>
          <cell r="D4984">
            <v>0</v>
          </cell>
          <cell r="E4984">
            <v>0</v>
          </cell>
          <cell r="F4984">
            <v>0</v>
          </cell>
          <cell r="G4984">
            <v>0</v>
          </cell>
          <cell r="H4984">
            <v>0</v>
          </cell>
          <cell r="I4984">
            <v>0</v>
          </cell>
          <cell r="J4984">
            <v>0</v>
          </cell>
        </row>
        <row r="4985">
          <cell r="A4985">
            <v>1818200723</v>
          </cell>
          <cell r="B4985" t="str">
            <v>חומרים לעב' עצמית</v>
          </cell>
          <cell r="C4985">
            <v>0</v>
          </cell>
          <cell r="D4985">
            <v>0</v>
          </cell>
          <cell r="E4985">
            <v>0</v>
          </cell>
          <cell r="F4985">
            <v>0</v>
          </cell>
          <cell r="G4985">
            <v>0</v>
          </cell>
          <cell r="H4985">
            <v>0</v>
          </cell>
          <cell r="I4985">
            <v>0</v>
          </cell>
          <cell r="J4985">
            <v>0</v>
          </cell>
        </row>
        <row r="4986">
          <cell r="A4986">
            <v>1818200742</v>
          </cell>
          <cell r="B4986" t="str">
            <v>כלים וציוד</v>
          </cell>
          <cell r="C4986">
            <v>0</v>
          </cell>
          <cell r="D4986">
            <v>0</v>
          </cell>
          <cell r="E4986">
            <v>0</v>
          </cell>
          <cell r="F4986">
            <v>0</v>
          </cell>
          <cell r="G4986">
            <v>0</v>
          </cell>
          <cell r="H4986">
            <v>0</v>
          </cell>
          <cell r="I4986">
            <v>0</v>
          </cell>
          <cell r="J4986">
            <v>0</v>
          </cell>
        </row>
        <row r="4987">
          <cell r="A4987">
            <v>1818200745</v>
          </cell>
          <cell r="B4987" t="str">
            <v>דמי פריצה - תכולה</v>
          </cell>
          <cell r="C4987">
            <v>0</v>
          </cell>
          <cell r="D4987">
            <v>0</v>
          </cell>
          <cell r="E4987">
            <v>0</v>
          </cell>
          <cell r="F4987">
            <v>0</v>
          </cell>
          <cell r="G4987">
            <v>0</v>
          </cell>
          <cell r="H4987">
            <v>0</v>
          </cell>
          <cell r="I4987">
            <v>0</v>
          </cell>
          <cell r="J4987">
            <v>0</v>
          </cell>
        </row>
        <row r="4988">
          <cell r="A4988">
            <v>1818200751</v>
          </cell>
          <cell r="B4988" t="str">
            <v>עבודות קבלניות</v>
          </cell>
          <cell r="C4988">
            <v>0</v>
          </cell>
          <cell r="D4988">
            <v>0</v>
          </cell>
          <cell r="E4988">
            <v>0</v>
          </cell>
          <cell r="F4988">
            <v>0</v>
          </cell>
          <cell r="G4988">
            <v>0</v>
          </cell>
          <cell r="H4988">
            <v>0</v>
          </cell>
          <cell r="I4988">
            <v>0</v>
          </cell>
          <cell r="J4988">
            <v>0</v>
          </cell>
        </row>
        <row r="4989">
          <cell r="A4989">
            <v>1818200763</v>
          </cell>
          <cell r="B4989" t="str">
            <v>עובדים חיצוניים</v>
          </cell>
          <cell r="C4989">
            <v>0</v>
          </cell>
          <cell r="D4989">
            <v>0</v>
          </cell>
          <cell r="E4989">
            <v>0</v>
          </cell>
          <cell r="F4989">
            <v>0</v>
          </cell>
          <cell r="G4989">
            <v>0</v>
          </cell>
          <cell r="H4989">
            <v>0</v>
          </cell>
          <cell r="I4989">
            <v>0</v>
          </cell>
          <cell r="J4989">
            <v>0</v>
          </cell>
        </row>
        <row r="4990">
          <cell r="A4990">
            <v>1818200781</v>
          </cell>
          <cell r="B4990" t="str">
            <v>הפעלת המרכז</v>
          </cell>
          <cell r="C4990">
            <v>0</v>
          </cell>
          <cell r="D4990">
            <v>0</v>
          </cell>
          <cell r="E4990">
            <v>0</v>
          </cell>
          <cell r="F4990">
            <v>0</v>
          </cell>
          <cell r="G4990">
            <v>0</v>
          </cell>
          <cell r="H4990">
            <v>0</v>
          </cell>
          <cell r="I4990">
            <v>0</v>
          </cell>
          <cell r="J4990">
            <v>0</v>
          </cell>
        </row>
        <row r="4991">
          <cell r="A4991">
            <v>1818200794</v>
          </cell>
          <cell r="B4991" t="str">
            <v>השתתפות בעזר 094</v>
          </cell>
          <cell r="C4991">
            <v>0</v>
          </cell>
          <cell r="D4991">
            <v>0</v>
          </cell>
          <cell r="E4991">
            <v>0</v>
          </cell>
          <cell r="F4991">
            <v>0</v>
          </cell>
          <cell r="G4991">
            <v>0</v>
          </cell>
          <cell r="H4991">
            <v>0</v>
          </cell>
          <cell r="I4991">
            <v>0</v>
          </cell>
          <cell r="J4991">
            <v>0</v>
          </cell>
        </row>
        <row r="4992">
          <cell r="A4992">
            <v>1818200930</v>
          </cell>
          <cell r="B4992" t="str">
            <v>לא פעיל</v>
          </cell>
          <cell r="C4992">
            <v>0</v>
          </cell>
          <cell r="D4992">
            <v>0</v>
          </cell>
          <cell r="E4992">
            <v>0</v>
          </cell>
          <cell r="F4992">
            <v>0</v>
          </cell>
          <cell r="G4992">
            <v>0</v>
          </cell>
          <cell r="H4992">
            <v>0</v>
          </cell>
          <cell r="I4992">
            <v>0</v>
          </cell>
          <cell r="J4992">
            <v>0</v>
          </cell>
        </row>
        <row r="4993">
          <cell r="A4993">
            <v>1818200932</v>
          </cell>
          <cell r="B4993" t="str">
            <v>פעולות ( מהכנסות )</v>
          </cell>
          <cell r="C4993">
            <v>0</v>
          </cell>
          <cell r="D4993">
            <v>0</v>
          </cell>
          <cell r="E4993">
            <v>0</v>
          </cell>
          <cell r="F4993">
            <v>0</v>
          </cell>
          <cell r="G4993">
            <v>0</v>
          </cell>
          <cell r="H4993">
            <v>0</v>
          </cell>
          <cell r="I4993">
            <v>0</v>
          </cell>
          <cell r="J4993">
            <v>0</v>
          </cell>
        </row>
        <row r="4994">
          <cell r="A4994">
            <v>1819999989</v>
          </cell>
          <cell r="B4994" t="str">
            <v>קיזוז תקורות חינוך</v>
          </cell>
          <cell r="C4994">
            <v>-12116395</v>
          </cell>
          <cell r="D4994">
            <v>-12922409</v>
          </cell>
          <cell r="E4994">
            <v>0</v>
          </cell>
          <cell r="F4994">
            <v>-12922409</v>
          </cell>
          <cell r="G4994">
            <v>806014</v>
          </cell>
          <cell r="H4994">
            <v>106.65</v>
          </cell>
          <cell r="I4994">
            <v>-12754100</v>
          </cell>
          <cell r="J4994">
            <v>-12922409</v>
          </cell>
        </row>
        <row r="4995">
          <cell r="A4995">
            <v>1822200110</v>
          </cell>
          <cell r="B4995" t="str">
            <v>השכר הקובע-תקציבית</v>
          </cell>
          <cell r="C4995">
            <v>0</v>
          </cell>
          <cell r="D4995">
            <v>0</v>
          </cell>
          <cell r="E4995">
            <v>0</v>
          </cell>
          <cell r="F4995">
            <v>0</v>
          </cell>
          <cell r="G4995">
            <v>0</v>
          </cell>
          <cell r="H4995">
            <v>0</v>
          </cell>
          <cell r="I4995">
            <v>0</v>
          </cell>
          <cell r="J4995">
            <v>0</v>
          </cell>
        </row>
        <row r="4996">
          <cell r="A4996">
            <v>1822200119</v>
          </cell>
          <cell r="B4996" t="str">
            <v>השכר הקובע-צוברת</v>
          </cell>
          <cell r="C4996">
            <v>0</v>
          </cell>
          <cell r="D4996">
            <v>0</v>
          </cell>
          <cell r="E4996">
            <v>0</v>
          </cell>
          <cell r="F4996">
            <v>0</v>
          </cell>
          <cell r="G4996">
            <v>0</v>
          </cell>
          <cell r="H4996">
            <v>0</v>
          </cell>
          <cell r="I4996">
            <v>0</v>
          </cell>
          <cell r="J4996">
            <v>0</v>
          </cell>
        </row>
        <row r="4997">
          <cell r="A4997">
            <v>1822200122</v>
          </cell>
          <cell r="B4997" t="str">
            <v>ביגוד</v>
          </cell>
          <cell r="C4997">
            <v>0</v>
          </cell>
          <cell r="D4997">
            <v>0</v>
          </cell>
          <cell r="E4997">
            <v>0</v>
          </cell>
          <cell r="F4997">
            <v>0</v>
          </cell>
          <cell r="G4997">
            <v>0</v>
          </cell>
          <cell r="H4997">
            <v>0</v>
          </cell>
          <cell r="I4997">
            <v>0</v>
          </cell>
          <cell r="J4997">
            <v>0</v>
          </cell>
        </row>
        <row r="4998">
          <cell r="A4998">
            <v>1822200126</v>
          </cell>
          <cell r="B4998" t="str">
            <v>דמי הבראה</v>
          </cell>
          <cell r="C4998">
            <v>0</v>
          </cell>
          <cell r="D4998">
            <v>0</v>
          </cell>
          <cell r="E4998">
            <v>0</v>
          </cell>
          <cell r="F4998">
            <v>0</v>
          </cell>
          <cell r="G4998">
            <v>0</v>
          </cell>
          <cell r="H4998">
            <v>0</v>
          </cell>
          <cell r="I4998">
            <v>0</v>
          </cell>
          <cell r="J4998">
            <v>0</v>
          </cell>
        </row>
        <row r="4999">
          <cell r="A4999">
            <v>1822200130</v>
          </cell>
          <cell r="B4999" t="str">
            <v>שעות נוספות</v>
          </cell>
          <cell r="C4999">
            <v>0</v>
          </cell>
          <cell r="D4999">
            <v>0</v>
          </cell>
          <cell r="E4999">
            <v>0</v>
          </cell>
          <cell r="F4999">
            <v>0</v>
          </cell>
          <cell r="G4999">
            <v>0</v>
          </cell>
          <cell r="H4999">
            <v>0</v>
          </cell>
          <cell r="I4999">
            <v>0</v>
          </cell>
          <cell r="J4999">
            <v>0</v>
          </cell>
        </row>
        <row r="5000">
          <cell r="A5000">
            <v>1822200140</v>
          </cell>
          <cell r="B5000" t="str">
            <v>השתתפות באחזקת רכב</v>
          </cell>
          <cell r="C5000">
            <v>0</v>
          </cell>
          <cell r="D5000">
            <v>0</v>
          </cell>
          <cell r="E5000">
            <v>0</v>
          </cell>
          <cell r="F5000">
            <v>0</v>
          </cell>
          <cell r="G5000">
            <v>0</v>
          </cell>
          <cell r="H5000">
            <v>0</v>
          </cell>
          <cell r="I5000">
            <v>0</v>
          </cell>
          <cell r="J5000">
            <v>0</v>
          </cell>
        </row>
        <row r="5001">
          <cell r="A5001">
            <v>1822200210</v>
          </cell>
          <cell r="B5001" t="str">
            <v>השכר הקובע</v>
          </cell>
          <cell r="C5001">
            <v>0</v>
          </cell>
          <cell r="D5001">
            <v>0</v>
          </cell>
          <cell r="E5001">
            <v>0</v>
          </cell>
          <cell r="F5001">
            <v>0</v>
          </cell>
          <cell r="G5001">
            <v>0</v>
          </cell>
          <cell r="H5001">
            <v>0</v>
          </cell>
          <cell r="I5001">
            <v>0</v>
          </cell>
          <cell r="J5001">
            <v>0</v>
          </cell>
        </row>
        <row r="5002">
          <cell r="A5002">
            <v>1822200263</v>
          </cell>
          <cell r="B5002" t="str">
            <v>עובדי חברה כ"א</v>
          </cell>
          <cell r="C5002">
            <v>0</v>
          </cell>
          <cell r="D5002">
            <v>0</v>
          </cell>
          <cell r="E5002">
            <v>0</v>
          </cell>
          <cell r="F5002">
            <v>0</v>
          </cell>
          <cell r="G5002">
            <v>0</v>
          </cell>
          <cell r="H5002">
            <v>0</v>
          </cell>
          <cell r="I5002">
            <v>0</v>
          </cell>
          <cell r="J5002">
            <v>0</v>
          </cell>
        </row>
        <row r="5003">
          <cell r="A5003">
            <v>1822200423</v>
          </cell>
          <cell r="B5003" t="str">
            <v>תחזוקת מבנה</v>
          </cell>
          <cell r="C5003">
            <v>855</v>
          </cell>
          <cell r="D5003">
            <v>900</v>
          </cell>
          <cell r="E5003">
            <v>0</v>
          </cell>
          <cell r="F5003">
            <v>900</v>
          </cell>
          <cell r="G5003">
            <v>-45</v>
          </cell>
          <cell r="H5003">
            <v>105.26</v>
          </cell>
          <cell r="I5003">
            <v>900</v>
          </cell>
          <cell r="J5003">
            <v>900</v>
          </cell>
        </row>
        <row r="5004">
          <cell r="A5004">
            <v>1822200431</v>
          </cell>
          <cell r="B5004" t="str">
            <v>חשמל</v>
          </cell>
          <cell r="C5004">
            <v>8170</v>
          </cell>
          <cell r="D5004">
            <v>9635.0400000000009</v>
          </cell>
          <cell r="E5004">
            <v>0</v>
          </cell>
          <cell r="F5004">
            <v>9635.0400000000009</v>
          </cell>
          <cell r="G5004">
            <v>-1465.04</v>
          </cell>
          <cell r="H5004">
            <v>117.93</v>
          </cell>
          <cell r="I5004">
            <v>8600</v>
          </cell>
          <cell r="J5004">
            <v>9635.0400000000009</v>
          </cell>
        </row>
        <row r="5005">
          <cell r="A5005">
            <v>1822200441</v>
          </cell>
          <cell r="B5005" t="str">
            <v>ביטוח</v>
          </cell>
          <cell r="C5005">
            <v>0</v>
          </cell>
          <cell r="D5005">
            <v>0</v>
          </cell>
          <cell r="E5005">
            <v>0</v>
          </cell>
          <cell r="F5005">
            <v>0</v>
          </cell>
          <cell r="G5005">
            <v>0</v>
          </cell>
          <cell r="H5005">
            <v>0</v>
          </cell>
          <cell r="I5005">
            <v>0</v>
          </cell>
          <cell r="J5005">
            <v>0</v>
          </cell>
        </row>
        <row r="5006">
          <cell r="A5006">
            <v>1822200540</v>
          </cell>
          <cell r="B5006" t="str">
            <v>הוצאות טלפון</v>
          </cell>
          <cell r="C5006">
            <v>0</v>
          </cell>
          <cell r="D5006">
            <v>0</v>
          </cell>
          <cell r="E5006">
            <v>0</v>
          </cell>
          <cell r="F5006">
            <v>0</v>
          </cell>
          <cell r="G5006">
            <v>0</v>
          </cell>
          <cell r="H5006">
            <v>0</v>
          </cell>
          <cell r="I5006">
            <v>0</v>
          </cell>
          <cell r="J5006">
            <v>0</v>
          </cell>
        </row>
        <row r="5007">
          <cell r="A5007">
            <v>1822200544</v>
          </cell>
          <cell r="B5007" t="str">
            <v>הוצאות דאר</v>
          </cell>
          <cell r="C5007">
            <v>0</v>
          </cell>
          <cell r="D5007">
            <v>0</v>
          </cell>
          <cell r="E5007">
            <v>0</v>
          </cell>
          <cell r="F5007">
            <v>0</v>
          </cell>
          <cell r="G5007">
            <v>0</v>
          </cell>
          <cell r="H5007">
            <v>0</v>
          </cell>
          <cell r="I5007">
            <v>0</v>
          </cell>
          <cell r="J5007">
            <v>0</v>
          </cell>
        </row>
        <row r="5008">
          <cell r="A5008">
            <v>1822200571</v>
          </cell>
          <cell r="B5008" t="str">
            <v>מיכון וענ"א</v>
          </cell>
          <cell r="C5008">
            <v>43700</v>
          </cell>
          <cell r="D5008">
            <v>46000</v>
          </cell>
          <cell r="E5008">
            <v>0</v>
          </cell>
          <cell r="F5008">
            <v>46000</v>
          </cell>
          <cell r="G5008">
            <v>-2300</v>
          </cell>
          <cell r="H5008">
            <v>105.26</v>
          </cell>
          <cell r="I5008">
            <v>46000</v>
          </cell>
          <cell r="J5008">
            <v>46000</v>
          </cell>
        </row>
        <row r="5009">
          <cell r="A5009">
            <v>1822200721</v>
          </cell>
          <cell r="B5009" t="str">
            <v>חמרים-תחזוקת מבנים</v>
          </cell>
          <cell r="C5009">
            <v>0</v>
          </cell>
          <cell r="D5009">
            <v>0</v>
          </cell>
          <cell r="E5009">
            <v>0</v>
          </cell>
          <cell r="F5009">
            <v>0</v>
          </cell>
          <cell r="G5009">
            <v>0</v>
          </cell>
          <cell r="H5009">
            <v>0</v>
          </cell>
          <cell r="I5009">
            <v>0</v>
          </cell>
          <cell r="J5009">
            <v>0</v>
          </cell>
        </row>
        <row r="5010">
          <cell r="A5010">
            <v>1822200751</v>
          </cell>
          <cell r="B5010" t="str">
            <v>עבודות קבלניות</v>
          </cell>
          <cell r="C5010">
            <v>653</v>
          </cell>
          <cell r="D5010">
            <v>687</v>
          </cell>
          <cell r="E5010">
            <v>0</v>
          </cell>
          <cell r="F5010">
            <v>687</v>
          </cell>
          <cell r="G5010">
            <v>-34</v>
          </cell>
          <cell r="H5010">
            <v>105.2</v>
          </cell>
          <cell r="I5010">
            <v>687</v>
          </cell>
          <cell r="J5010">
            <v>687</v>
          </cell>
        </row>
        <row r="5011">
          <cell r="A5011">
            <v>1822200780</v>
          </cell>
          <cell r="B5011" t="str">
            <v>תרבות תורנית</v>
          </cell>
          <cell r="C5011">
            <v>1691384</v>
          </cell>
          <cell r="D5011">
            <v>1695025.7</v>
          </cell>
          <cell r="E5011">
            <v>7620.2</v>
          </cell>
          <cell r="F5011">
            <v>1702645.9</v>
          </cell>
          <cell r="G5011">
            <v>-11261.9</v>
          </cell>
          <cell r="H5011">
            <v>100.66</v>
          </cell>
          <cell r="I5011">
            <v>1691384</v>
          </cell>
          <cell r="J5011">
            <v>1695025.7</v>
          </cell>
        </row>
        <row r="5012">
          <cell r="A5012">
            <v>1822200781</v>
          </cell>
          <cell r="B5012" t="str">
            <v>ארועים</v>
          </cell>
          <cell r="C5012">
            <v>0</v>
          </cell>
          <cell r="D5012">
            <v>0</v>
          </cell>
          <cell r="E5012">
            <v>0</v>
          </cell>
          <cell r="F5012">
            <v>0</v>
          </cell>
          <cell r="G5012">
            <v>0</v>
          </cell>
          <cell r="H5012">
            <v>0</v>
          </cell>
          <cell r="I5012">
            <v>0</v>
          </cell>
          <cell r="J5012">
            <v>0</v>
          </cell>
        </row>
        <row r="5013">
          <cell r="A5013">
            <v>1822200782</v>
          </cell>
          <cell r="B5013" t="str">
            <v>יריד אומנים</v>
          </cell>
          <cell r="C5013">
            <v>0</v>
          </cell>
          <cell r="D5013">
            <v>0</v>
          </cell>
          <cell r="E5013">
            <v>0</v>
          </cell>
          <cell r="F5013">
            <v>0</v>
          </cell>
          <cell r="G5013">
            <v>0</v>
          </cell>
          <cell r="H5013">
            <v>0</v>
          </cell>
          <cell r="I5013">
            <v>0</v>
          </cell>
          <cell r="J5013">
            <v>0</v>
          </cell>
        </row>
        <row r="5014">
          <cell r="A5014">
            <v>1822200783</v>
          </cell>
          <cell r="B5014" t="str">
            <v>חוג לתנ"ך</v>
          </cell>
          <cell r="C5014">
            <v>0</v>
          </cell>
          <cell r="D5014">
            <v>0</v>
          </cell>
          <cell r="E5014">
            <v>0</v>
          </cell>
          <cell r="F5014">
            <v>0</v>
          </cell>
          <cell r="G5014">
            <v>0</v>
          </cell>
          <cell r="H5014">
            <v>0</v>
          </cell>
          <cell r="I5014">
            <v>0</v>
          </cell>
          <cell r="J5014">
            <v>0</v>
          </cell>
        </row>
        <row r="5015">
          <cell r="A5015">
            <v>1822200784</v>
          </cell>
          <cell r="B5015" t="str">
            <v>פיתוח כלכלי למגזר החרדי</v>
          </cell>
          <cell r="C5015">
            <v>0</v>
          </cell>
          <cell r="D5015">
            <v>0</v>
          </cell>
          <cell r="E5015">
            <v>0</v>
          </cell>
          <cell r="F5015">
            <v>0</v>
          </cell>
          <cell r="G5015">
            <v>0</v>
          </cell>
          <cell r="H5015">
            <v>0</v>
          </cell>
          <cell r="I5015">
            <v>0</v>
          </cell>
          <cell r="J5015">
            <v>0</v>
          </cell>
        </row>
        <row r="5016">
          <cell r="A5016">
            <v>1822200785</v>
          </cell>
          <cell r="B5016" t="str">
            <v>מכון בר-מצוה הכנסה</v>
          </cell>
          <cell r="C5016">
            <v>0</v>
          </cell>
          <cell r="D5016">
            <v>0</v>
          </cell>
          <cell r="E5016">
            <v>0</v>
          </cell>
          <cell r="F5016">
            <v>0</v>
          </cell>
          <cell r="G5016">
            <v>0</v>
          </cell>
          <cell r="H5016">
            <v>0</v>
          </cell>
          <cell r="I5016">
            <v>0</v>
          </cell>
          <cell r="J5016">
            <v>0</v>
          </cell>
        </row>
        <row r="5017">
          <cell r="A5017">
            <v>1822200786</v>
          </cell>
          <cell r="B5017" t="str">
            <v>ספר חולון</v>
          </cell>
          <cell r="C5017">
            <v>0</v>
          </cell>
          <cell r="D5017">
            <v>0</v>
          </cell>
          <cell r="E5017">
            <v>0</v>
          </cell>
          <cell r="F5017">
            <v>0</v>
          </cell>
          <cell r="G5017">
            <v>0</v>
          </cell>
          <cell r="H5017">
            <v>0</v>
          </cell>
          <cell r="I5017">
            <v>0</v>
          </cell>
          <cell r="J5017">
            <v>0</v>
          </cell>
        </row>
        <row r="5018">
          <cell r="A5018">
            <v>1822200787</v>
          </cell>
          <cell r="B5018" t="str">
            <v>פעולות תרבותיות</v>
          </cell>
          <cell r="C5018">
            <v>0</v>
          </cell>
          <cell r="D5018">
            <v>0</v>
          </cell>
          <cell r="E5018">
            <v>0</v>
          </cell>
          <cell r="F5018">
            <v>0</v>
          </cell>
          <cell r="G5018">
            <v>0</v>
          </cell>
          <cell r="H5018">
            <v>0</v>
          </cell>
          <cell r="I5018">
            <v>0</v>
          </cell>
          <cell r="J5018">
            <v>0</v>
          </cell>
        </row>
        <row r="5019">
          <cell r="A5019">
            <v>1822200794</v>
          </cell>
          <cell r="B5019" t="str">
            <v>השתתפות בעזר 094</v>
          </cell>
          <cell r="C5019">
            <v>13300</v>
          </cell>
          <cell r="D5019">
            <v>16699</v>
          </cell>
          <cell r="E5019">
            <v>0</v>
          </cell>
          <cell r="F5019">
            <v>16699</v>
          </cell>
          <cell r="G5019">
            <v>-3399</v>
          </cell>
          <cell r="H5019">
            <v>125.55</v>
          </cell>
          <cell r="I5019">
            <v>14000</v>
          </cell>
          <cell r="J5019">
            <v>16699</v>
          </cell>
        </row>
        <row r="5020">
          <cell r="A5020">
            <v>1822200875</v>
          </cell>
          <cell r="B5020" t="str">
            <v>הוצ' החב' לפיתוח</v>
          </cell>
          <cell r="C5020">
            <v>0</v>
          </cell>
          <cell r="D5020">
            <v>0</v>
          </cell>
          <cell r="E5020">
            <v>0</v>
          </cell>
          <cell r="F5020">
            <v>0</v>
          </cell>
          <cell r="G5020">
            <v>0</v>
          </cell>
          <cell r="H5020">
            <v>0</v>
          </cell>
          <cell r="I5020">
            <v>0</v>
          </cell>
          <cell r="J5020">
            <v>0</v>
          </cell>
        </row>
        <row r="5021">
          <cell r="A5021">
            <v>1822700110</v>
          </cell>
          <cell r="B5021" t="str">
            <v>השכר הקובע-תקציבית</v>
          </cell>
          <cell r="C5021">
            <v>0</v>
          </cell>
          <cell r="D5021">
            <v>0</v>
          </cell>
          <cell r="E5021">
            <v>0</v>
          </cell>
          <cell r="F5021">
            <v>0</v>
          </cell>
          <cell r="G5021">
            <v>0</v>
          </cell>
          <cell r="H5021">
            <v>0</v>
          </cell>
          <cell r="I5021">
            <v>0</v>
          </cell>
          <cell r="J5021">
            <v>0</v>
          </cell>
        </row>
        <row r="5022">
          <cell r="A5022">
            <v>1822700119</v>
          </cell>
          <cell r="B5022" t="str">
            <v>השכר הקובע-צוברת</v>
          </cell>
          <cell r="C5022">
            <v>288705</v>
          </cell>
          <cell r="D5022">
            <v>165380.12</v>
          </cell>
          <cell r="E5022">
            <v>0</v>
          </cell>
          <cell r="F5022">
            <v>165380.12</v>
          </cell>
          <cell r="G5022">
            <v>123324.88</v>
          </cell>
          <cell r="H5022">
            <v>57.28</v>
          </cell>
          <cell r="I5022">
            <v>303900</v>
          </cell>
          <cell r="J5022">
            <v>165380.12</v>
          </cell>
        </row>
        <row r="5023">
          <cell r="A5023">
            <v>1822700122</v>
          </cell>
          <cell r="B5023" t="str">
            <v>ביגוד</v>
          </cell>
          <cell r="C5023">
            <v>1140</v>
          </cell>
          <cell r="D5023">
            <v>1724</v>
          </cell>
          <cell r="E5023">
            <v>0</v>
          </cell>
          <cell r="F5023">
            <v>1724</v>
          </cell>
          <cell r="G5023">
            <v>-584</v>
          </cell>
          <cell r="H5023">
            <v>151.22</v>
          </cell>
          <cell r="I5023">
            <v>1200</v>
          </cell>
          <cell r="J5023">
            <v>1724</v>
          </cell>
        </row>
        <row r="5024">
          <cell r="A5024">
            <v>1822700126</v>
          </cell>
          <cell r="B5024" t="str">
            <v>דמי הבראה</v>
          </cell>
          <cell r="C5024">
            <v>5700</v>
          </cell>
          <cell r="D5024">
            <v>5185.3999999999996</v>
          </cell>
          <cell r="E5024">
            <v>0</v>
          </cell>
          <cell r="F5024">
            <v>5185.3999999999996</v>
          </cell>
          <cell r="G5024">
            <v>514.6</v>
          </cell>
          <cell r="H5024">
            <v>90.97</v>
          </cell>
          <cell r="I5024">
            <v>6000</v>
          </cell>
          <cell r="J5024">
            <v>5185.3999999999996</v>
          </cell>
        </row>
        <row r="5025">
          <cell r="A5025">
            <v>1822700130</v>
          </cell>
          <cell r="B5025" t="str">
            <v>שעות נוספות</v>
          </cell>
          <cell r="C5025">
            <v>12350</v>
          </cell>
          <cell r="D5025">
            <v>0</v>
          </cell>
          <cell r="E5025">
            <v>0</v>
          </cell>
          <cell r="F5025">
            <v>0</v>
          </cell>
          <cell r="G5025">
            <v>12350</v>
          </cell>
          <cell r="H5025">
            <v>0</v>
          </cell>
          <cell r="I5025">
            <v>13000</v>
          </cell>
          <cell r="J5025">
            <v>0</v>
          </cell>
        </row>
        <row r="5026">
          <cell r="A5026">
            <v>1822700140</v>
          </cell>
          <cell r="B5026" t="str">
            <v>השתתפות באחזקת רכב</v>
          </cell>
          <cell r="C5026">
            <v>26315</v>
          </cell>
          <cell r="D5026">
            <v>21814.03</v>
          </cell>
          <cell r="E5026">
            <v>0</v>
          </cell>
          <cell r="F5026">
            <v>21814.03</v>
          </cell>
          <cell r="G5026">
            <v>4500.97</v>
          </cell>
          <cell r="H5026">
            <v>82.89</v>
          </cell>
          <cell r="I5026">
            <v>27700</v>
          </cell>
          <cell r="J5026">
            <v>21814.03</v>
          </cell>
        </row>
        <row r="5027">
          <cell r="A5027">
            <v>1822700210</v>
          </cell>
          <cell r="B5027" t="str">
            <v>השכר הקובע</v>
          </cell>
          <cell r="C5027">
            <v>0</v>
          </cell>
          <cell r="D5027">
            <v>0</v>
          </cell>
          <cell r="E5027">
            <v>0</v>
          </cell>
          <cell r="F5027">
            <v>0</v>
          </cell>
          <cell r="G5027">
            <v>0</v>
          </cell>
          <cell r="H5027">
            <v>0</v>
          </cell>
          <cell r="I5027">
            <v>0</v>
          </cell>
          <cell r="J5027">
            <v>0</v>
          </cell>
        </row>
        <row r="5028">
          <cell r="A5028">
            <v>1822700263</v>
          </cell>
          <cell r="B5028" t="str">
            <v>עובדי חברת מוסדות</v>
          </cell>
          <cell r="C5028">
            <v>0</v>
          </cell>
          <cell r="D5028">
            <v>0</v>
          </cell>
          <cell r="E5028">
            <v>0</v>
          </cell>
          <cell r="F5028">
            <v>0</v>
          </cell>
          <cell r="G5028">
            <v>0</v>
          </cell>
          <cell r="H5028">
            <v>0</v>
          </cell>
          <cell r="I5028">
            <v>0</v>
          </cell>
          <cell r="J5028">
            <v>0</v>
          </cell>
        </row>
        <row r="5029">
          <cell r="A5029">
            <v>1822700433</v>
          </cell>
          <cell r="B5029" t="str">
            <v>חומרי נקיון</v>
          </cell>
          <cell r="C5029">
            <v>0</v>
          </cell>
          <cell r="D5029">
            <v>0</v>
          </cell>
          <cell r="E5029">
            <v>0</v>
          </cell>
          <cell r="F5029">
            <v>0</v>
          </cell>
          <cell r="G5029">
            <v>0</v>
          </cell>
          <cell r="H5029">
            <v>0</v>
          </cell>
          <cell r="I5029">
            <v>0</v>
          </cell>
          <cell r="J5029">
            <v>0</v>
          </cell>
        </row>
        <row r="5030">
          <cell r="A5030">
            <v>1822700441</v>
          </cell>
          <cell r="B5030" t="str">
            <v>ביטוח</v>
          </cell>
          <cell r="C5030">
            <v>0</v>
          </cell>
          <cell r="D5030">
            <v>0</v>
          </cell>
          <cell r="E5030">
            <v>0</v>
          </cell>
          <cell r="F5030">
            <v>0</v>
          </cell>
          <cell r="G5030">
            <v>0</v>
          </cell>
          <cell r="H5030">
            <v>0</v>
          </cell>
          <cell r="I5030">
            <v>0</v>
          </cell>
          <cell r="J5030">
            <v>0</v>
          </cell>
        </row>
        <row r="5031">
          <cell r="A5031">
            <v>1822700471</v>
          </cell>
          <cell r="B5031" t="str">
            <v>מכשירי כתיבה</v>
          </cell>
          <cell r="C5031">
            <v>0</v>
          </cell>
          <cell r="D5031">
            <v>0</v>
          </cell>
          <cell r="E5031">
            <v>0</v>
          </cell>
          <cell r="F5031">
            <v>0</v>
          </cell>
          <cell r="G5031">
            <v>0</v>
          </cell>
          <cell r="H5031">
            <v>0</v>
          </cell>
          <cell r="I5031">
            <v>0</v>
          </cell>
          <cell r="J5031">
            <v>0</v>
          </cell>
        </row>
        <row r="5032">
          <cell r="A5032">
            <v>1822700511</v>
          </cell>
          <cell r="B5032" t="str">
            <v>אירוח וכיבוד</v>
          </cell>
          <cell r="C5032">
            <v>0</v>
          </cell>
          <cell r="D5032">
            <v>0</v>
          </cell>
          <cell r="E5032">
            <v>0</v>
          </cell>
          <cell r="F5032">
            <v>0</v>
          </cell>
          <cell r="G5032">
            <v>0</v>
          </cell>
          <cell r="H5032">
            <v>0</v>
          </cell>
          <cell r="I5032">
            <v>0</v>
          </cell>
          <cell r="J5032">
            <v>0</v>
          </cell>
        </row>
        <row r="5033">
          <cell r="A5033">
            <v>1822700522</v>
          </cell>
          <cell r="B5033" t="str">
            <v>ספרים</v>
          </cell>
          <cell r="C5033">
            <v>0</v>
          </cell>
          <cell r="D5033">
            <v>0</v>
          </cell>
          <cell r="E5033">
            <v>0</v>
          </cell>
          <cell r="F5033">
            <v>0</v>
          </cell>
          <cell r="G5033">
            <v>0</v>
          </cell>
          <cell r="H5033">
            <v>0</v>
          </cell>
          <cell r="I5033">
            <v>0</v>
          </cell>
          <cell r="J5033">
            <v>0</v>
          </cell>
        </row>
        <row r="5034">
          <cell r="A5034">
            <v>1822700540</v>
          </cell>
          <cell r="B5034" t="str">
            <v>הוצאות טלפון</v>
          </cell>
          <cell r="C5034">
            <v>0</v>
          </cell>
          <cell r="D5034">
            <v>0</v>
          </cell>
          <cell r="E5034">
            <v>0</v>
          </cell>
          <cell r="F5034">
            <v>0</v>
          </cell>
          <cell r="G5034">
            <v>0</v>
          </cell>
          <cell r="H5034">
            <v>0</v>
          </cell>
          <cell r="I5034">
            <v>0</v>
          </cell>
          <cell r="J5034">
            <v>0</v>
          </cell>
        </row>
        <row r="5035">
          <cell r="A5035">
            <v>1822700544</v>
          </cell>
          <cell r="B5035" t="str">
            <v>הוצאות דאר</v>
          </cell>
          <cell r="C5035">
            <v>0</v>
          </cell>
          <cell r="D5035">
            <v>0</v>
          </cell>
          <cell r="E5035">
            <v>0</v>
          </cell>
          <cell r="F5035">
            <v>0</v>
          </cell>
          <cell r="G5035">
            <v>0</v>
          </cell>
          <cell r="H5035">
            <v>0</v>
          </cell>
          <cell r="I5035">
            <v>0</v>
          </cell>
          <cell r="J5035">
            <v>0</v>
          </cell>
        </row>
        <row r="5036">
          <cell r="A5036">
            <v>1822700550</v>
          </cell>
          <cell r="B5036" t="str">
            <v>פירסומים</v>
          </cell>
          <cell r="C5036">
            <v>0</v>
          </cell>
          <cell r="D5036">
            <v>0</v>
          </cell>
          <cell r="E5036">
            <v>0</v>
          </cell>
          <cell r="F5036">
            <v>0</v>
          </cell>
          <cell r="G5036">
            <v>0</v>
          </cell>
          <cell r="H5036">
            <v>0</v>
          </cell>
          <cell r="I5036">
            <v>0</v>
          </cell>
          <cell r="J5036">
            <v>0</v>
          </cell>
        </row>
        <row r="5037">
          <cell r="A5037">
            <v>1822700561</v>
          </cell>
          <cell r="B5037" t="str">
            <v>שיכפולים</v>
          </cell>
          <cell r="C5037">
            <v>0</v>
          </cell>
          <cell r="D5037">
            <v>0</v>
          </cell>
          <cell r="E5037">
            <v>0</v>
          </cell>
          <cell r="F5037">
            <v>0</v>
          </cell>
          <cell r="G5037">
            <v>0</v>
          </cell>
          <cell r="H5037">
            <v>0</v>
          </cell>
          <cell r="I5037">
            <v>0</v>
          </cell>
          <cell r="J5037">
            <v>0</v>
          </cell>
        </row>
        <row r="5038">
          <cell r="A5038">
            <v>1822700562</v>
          </cell>
          <cell r="B5038" t="str">
            <v>הדפסות</v>
          </cell>
          <cell r="C5038">
            <v>0</v>
          </cell>
          <cell r="D5038">
            <v>0</v>
          </cell>
          <cell r="E5038">
            <v>0</v>
          </cell>
          <cell r="F5038">
            <v>0</v>
          </cell>
          <cell r="G5038">
            <v>0</v>
          </cell>
          <cell r="H5038">
            <v>0</v>
          </cell>
          <cell r="I5038">
            <v>0</v>
          </cell>
          <cell r="J5038">
            <v>0</v>
          </cell>
        </row>
        <row r="5039">
          <cell r="A5039">
            <v>1822700571</v>
          </cell>
          <cell r="B5039" t="str">
            <v>מיכון וענ"א</v>
          </cell>
          <cell r="C5039">
            <v>49210</v>
          </cell>
          <cell r="D5039">
            <v>51800</v>
          </cell>
          <cell r="E5039">
            <v>0</v>
          </cell>
          <cell r="F5039">
            <v>51800</v>
          </cell>
          <cell r="G5039">
            <v>-2590</v>
          </cell>
          <cell r="H5039">
            <v>105.26</v>
          </cell>
          <cell r="I5039">
            <v>51800</v>
          </cell>
          <cell r="J5039">
            <v>51800</v>
          </cell>
        </row>
        <row r="5040">
          <cell r="A5040">
            <v>1822700583</v>
          </cell>
          <cell r="B5040" t="str">
            <v>מדריכים בחשבונית</v>
          </cell>
          <cell r="C5040">
            <v>0</v>
          </cell>
          <cell r="D5040">
            <v>0</v>
          </cell>
          <cell r="E5040">
            <v>0</v>
          </cell>
          <cell r="F5040">
            <v>0</v>
          </cell>
          <cell r="G5040">
            <v>0</v>
          </cell>
          <cell r="H5040">
            <v>0</v>
          </cell>
          <cell r="I5040">
            <v>0</v>
          </cell>
          <cell r="J5040">
            <v>0</v>
          </cell>
        </row>
        <row r="5041">
          <cell r="A5041">
            <v>1822700710</v>
          </cell>
          <cell r="B5041" t="str">
            <v>הובלות</v>
          </cell>
          <cell r="C5041">
            <v>0</v>
          </cell>
          <cell r="D5041">
            <v>0</v>
          </cell>
          <cell r="E5041">
            <v>0</v>
          </cell>
          <cell r="F5041">
            <v>0</v>
          </cell>
          <cell r="G5041">
            <v>0</v>
          </cell>
          <cell r="H5041">
            <v>0</v>
          </cell>
          <cell r="I5041">
            <v>0</v>
          </cell>
          <cell r="J5041">
            <v>0</v>
          </cell>
        </row>
        <row r="5042">
          <cell r="A5042">
            <v>1822700722</v>
          </cell>
          <cell r="B5042" t="str">
            <v>חמרים-תחזוקה עצמית</v>
          </cell>
          <cell r="C5042">
            <v>0</v>
          </cell>
          <cell r="D5042">
            <v>0</v>
          </cell>
          <cell r="E5042">
            <v>0</v>
          </cell>
          <cell r="F5042">
            <v>0</v>
          </cell>
          <cell r="G5042">
            <v>0</v>
          </cell>
          <cell r="H5042">
            <v>0</v>
          </cell>
          <cell r="I5042">
            <v>0</v>
          </cell>
          <cell r="J5042">
            <v>0</v>
          </cell>
        </row>
        <row r="5043">
          <cell r="A5043">
            <v>1822700723</v>
          </cell>
          <cell r="B5043" t="str">
            <v>חומרים לחוגים</v>
          </cell>
          <cell r="C5043">
            <v>0</v>
          </cell>
          <cell r="D5043">
            <v>0</v>
          </cell>
          <cell r="E5043">
            <v>0</v>
          </cell>
          <cell r="F5043">
            <v>0</v>
          </cell>
          <cell r="G5043">
            <v>0</v>
          </cell>
          <cell r="H5043">
            <v>0</v>
          </cell>
          <cell r="I5043">
            <v>0</v>
          </cell>
          <cell r="J5043">
            <v>0</v>
          </cell>
        </row>
        <row r="5044">
          <cell r="A5044">
            <v>1822700743</v>
          </cell>
          <cell r="B5044" t="str">
            <v>תחזוקת ציוד</v>
          </cell>
          <cell r="C5044">
            <v>0</v>
          </cell>
          <cell r="D5044">
            <v>0</v>
          </cell>
          <cell r="E5044">
            <v>0</v>
          </cell>
          <cell r="F5044">
            <v>0</v>
          </cell>
          <cell r="G5044">
            <v>0</v>
          </cell>
          <cell r="H5044">
            <v>0</v>
          </cell>
          <cell r="I5044">
            <v>0</v>
          </cell>
          <cell r="J5044">
            <v>0</v>
          </cell>
        </row>
        <row r="5045">
          <cell r="A5045">
            <v>1822700750</v>
          </cell>
          <cell r="B5045" t="str">
            <v>עבודות קבלניות</v>
          </cell>
          <cell r="C5045">
            <v>0</v>
          </cell>
          <cell r="D5045">
            <v>0</v>
          </cell>
          <cell r="E5045">
            <v>0</v>
          </cell>
          <cell r="F5045">
            <v>0</v>
          </cell>
          <cell r="G5045">
            <v>0</v>
          </cell>
          <cell r="H5045">
            <v>0</v>
          </cell>
          <cell r="I5045">
            <v>0</v>
          </cell>
          <cell r="J5045">
            <v>0</v>
          </cell>
        </row>
        <row r="5046">
          <cell r="A5046">
            <v>1822700752</v>
          </cell>
          <cell r="B5046" t="str">
            <v>נקיון בקבלנות</v>
          </cell>
          <cell r="C5046">
            <v>0</v>
          </cell>
          <cell r="D5046">
            <v>0</v>
          </cell>
          <cell r="E5046">
            <v>0</v>
          </cell>
          <cell r="F5046">
            <v>0</v>
          </cell>
          <cell r="G5046">
            <v>0</v>
          </cell>
          <cell r="H5046">
            <v>0</v>
          </cell>
          <cell r="I5046">
            <v>0</v>
          </cell>
          <cell r="J5046">
            <v>0</v>
          </cell>
        </row>
        <row r="5047">
          <cell r="A5047">
            <v>1822700765</v>
          </cell>
          <cell r="B5047" t="str">
            <v>שעות מחשב+שכירות</v>
          </cell>
          <cell r="C5047">
            <v>0</v>
          </cell>
          <cell r="D5047">
            <v>0</v>
          </cell>
          <cell r="E5047">
            <v>0</v>
          </cell>
          <cell r="F5047">
            <v>0</v>
          </cell>
          <cell r="G5047">
            <v>0</v>
          </cell>
          <cell r="H5047">
            <v>0</v>
          </cell>
          <cell r="I5047">
            <v>0</v>
          </cell>
          <cell r="J5047">
            <v>0</v>
          </cell>
        </row>
        <row r="5048">
          <cell r="A5048">
            <v>1822700780</v>
          </cell>
          <cell r="B5048" t="str">
            <v>פעולות (מהכנסות)</v>
          </cell>
          <cell r="C5048">
            <v>0</v>
          </cell>
          <cell r="D5048">
            <v>0</v>
          </cell>
          <cell r="E5048">
            <v>0</v>
          </cell>
          <cell r="F5048">
            <v>0</v>
          </cell>
          <cell r="G5048">
            <v>0</v>
          </cell>
          <cell r="H5048">
            <v>0</v>
          </cell>
          <cell r="I5048">
            <v>0</v>
          </cell>
          <cell r="J5048">
            <v>0</v>
          </cell>
        </row>
        <row r="5049">
          <cell r="A5049">
            <v>1822700781</v>
          </cell>
          <cell r="B5049" t="str">
            <v>פעולות שונות</v>
          </cell>
          <cell r="C5049">
            <v>0</v>
          </cell>
          <cell r="D5049">
            <v>0</v>
          </cell>
          <cell r="E5049">
            <v>0</v>
          </cell>
          <cell r="F5049">
            <v>0</v>
          </cell>
          <cell r="G5049">
            <v>0</v>
          </cell>
          <cell r="H5049">
            <v>0</v>
          </cell>
          <cell r="I5049">
            <v>0</v>
          </cell>
          <cell r="J5049">
            <v>0</v>
          </cell>
        </row>
        <row r="5050">
          <cell r="A5050">
            <v>1822700782</v>
          </cell>
          <cell r="B5050" t="str">
            <v>ארועים</v>
          </cell>
          <cell r="C5050">
            <v>0</v>
          </cell>
          <cell r="D5050">
            <v>0</v>
          </cell>
          <cell r="E5050">
            <v>0</v>
          </cell>
          <cell r="F5050">
            <v>0</v>
          </cell>
          <cell r="G5050">
            <v>0</v>
          </cell>
          <cell r="H5050">
            <v>0</v>
          </cell>
          <cell r="I5050">
            <v>0</v>
          </cell>
          <cell r="J5050">
            <v>0</v>
          </cell>
        </row>
        <row r="5051">
          <cell r="A5051">
            <v>1822700794</v>
          </cell>
          <cell r="B5051" t="str">
            <v>השתתפות בעזר 094</v>
          </cell>
          <cell r="C5051">
            <v>1900</v>
          </cell>
          <cell r="D5051">
            <v>2386</v>
          </cell>
          <cell r="E5051">
            <v>0</v>
          </cell>
          <cell r="F5051">
            <v>2386</v>
          </cell>
          <cell r="G5051">
            <v>-486</v>
          </cell>
          <cell r="H5051">
            <v>125.57</v>
          </cell>
          <cell r="I5051">
            <v>2000</v>
          </cell>
          <cell r="J5051">
            <v>2386</v>
          </cell>
        </row>
        <row r="5052">
          <cell r="A5052">
            <v>1822700931</v>
          </cell>
          <cell r="B5052" t="str">
            <v>ציוד חד פעמי</v>
          </cell>
          <cell r="C5052">
            <v>0</v>
          </cell>
          <cell r="D5052">
            <v>0</v>
          </cell>
          <cell r="E5052">
            <v>0</v>
          </cell>
          <cell r="F5052">
            <v>0</v>
          </cell>
          <cell r="G5052">
            <v>0</v>
          </cell>
          <cell r="H5052">
            <v>0</v>
          </cell>
          <cell r="I5052">
            <v>0</v>
          </cell>
          <cell r="J5052">
            <v>0</v>
          </cell>
        </row>
        <row r="5053">
          <cell r="A5053">
            <v>1823000110</v>
          </cell>
          <cell r="B5053" t="str">
            <v>השכר הקובע-תקציבית</v>
          </cell>
          <cell r="C5053">
            <v>646950</v>
          </cell>
          <cell r="D5053">
            <v>675254.57</v>
          </cell>
          <cell r="E5053">
            <v>0</v>
          </cell>
          <cell r="F5053">
            <v>675254.57</v>
          </cell>
          <cell r="G5053">
            <v>-28304.57</v>
          </cell>
          <cell r="H5053">
            <v>104.37</v>
          </cell>
          <cell r="I5053">
            <v>681000</v>
          </cell>
          <cell r="J5053">
            <v>675254.57</v>
          </cell>
        </row>
        <row r="5054">
          <cell r="A5054">
            <v>1823000119</v>
          </cell>
          <cell r="B5054" t="str">
            <v>השכר הקובע-צוברת</v>
          </cell>
          <cell r="C5054">
            <v>0</v>
          </cell>
          <cell r="D5054">
            <v>0</v>
          </cell>
          <cell r="E5054">
            <v>0</v>
          </cell>
          <cell r="F5054">
            <v>0</v>
          </cell>
          <cell r="G5054">
            <v>0</v>
          </cell>
          <cell r="H5054">
            <v>0</v>
          </cell>
          <cell r="I5054">
            <v>0</v>
          </cell>
          <cell r="J5054">
            <v>0</v>
          </cell>
        </row>
        <row r="5055">
          <cell r="A5055">
            <v>1823000122</v>
          </cell>
          <cell r="B5055" t="str">
            <v>ביגוד</v>
          </cell>
          <cell r="C5055">
            <v>4750</v>
          </cell>
          <cell r="D5055">
            <v>4755.21</v>
          </cell>
          <cell r="E5055">
            <v>0</v>
          </cell>
          <cell r="F5055">
            <v>4755.21</v>
          </cell>
          <cell r="G5055">
            <v>-5.21</v>
          </cell>
          <cell r="H5055">
            <v>100.1</v>
          </cell>
          <cell r="I5055">
            <v>5000</v>
          </cell>
          <cell r="J5055">
            <v>4755.21</v>
          </cell>
        </row>
        <row r="5056">
          <cell r="A5056">
            <v>1823000126</v>
          </cell>
          <cell r="B5056" t="str">
            <v>דמי הבראה</v>
          </cell>
          <cell r="C5056">
            <v>40375</v>
          </cell>
          <cell r="D5056">
            <v>24436.91</v>
          </cell>
          <cell r="E5056">
            <v>0</v>
          </cell>
          <cell r="F5056">
            <v>24436.91</v>
          </cell>
          <cell r="G5056">
            <v>15938.09</v>
          </cell>
          <cell r="H5056">
            <v>60.52</v>
          </cell>
          <cell r="I5056">
            <v>42500</v>
          </cell>
          <cell r="J5056">
            <v>24436.91</v>
          </cell>
        </row>
        <row r="5057">
          <cell r="A5057">
            <v>1823000130</v>
          </cell>
          <cell r="B5057" t="str">
            <v>שעות נוספות</v>
          </cell>
          <cell r="C5057">
            <v>95000</v>
          </cell>
          <cell r="D5057">
            <v>84208.14</v>
          </cell>
          <cell r="E5057">
            <v>0</v>
          </cell>
          <cell r="F5057">
            <v>84208.14</v>
          </cell>
          <cell r="G5057">
            <v>10791.86</v>
          </cell>
          <cell r="H5057">
            <v>88.64</v>
          </cell>
          <cell r="I5057">
            <v>100000</v>
          </cell>
          <cell r="J5057">
            <v>84208.14</v>
          </cell>
        </row>
        <row r="5058">
          <cell r="A5058">
            <v>1823000140</v>
          </cell>
          <cell r="B5058" t="str">
            <v>השתתפות באחזקת רכב</v>
          </cell>
          <cell r="C5058">
            <v>19950</v>
          </cell>
          <cell r="D5058">
            <v>18836.939999999999</v>
          </cell>
          <cell r="E5058">
            <v>0</v>
          </cell>
          <cell r="F5058">
            <v>18836.939999999999</v>
          </cell>
          <cell r="G5058">
            <v>1113.06</v>
          </cell>
          <cell r="H5058">
            <v>94.42</v>
          </cell>
          <cell r="I5058">
            <v>21000</v>
          </cell>
          <cell r="J5058">
            <v>18836.939999999999</v>
          </cell>
        </row>
        <row r="5059">
          <cell r="A5059">
            <v>1823000410</v>
          </cell>
          <cell r="B5059" t="str">
            <v>מדיטק-שכר דירה</v>
          </cell>
          <cell r="C5059">
            <v>0</v>
          </cell>
          <cell r="D5059">
            <v>0</v>
          </cell>
          <cell r="E5059">
            <v>0</v>
          </cell>
          <cell r="F5059">
            <v>0</v>
          </cell>
          <cell r="G5059">
            <v>0</v>
          </cell>
          <cell r="H5059">
            <v>0</v>
          </cell>
          <cell r="I5059">
            <v>0</v>
          </cell>
          <cell r="J5059">
            <v>0</v>
          </cell>
        </row>
        <row r="5060">
          <cell r="A5060">
            <v>1823000413</v>
          </cell>
          <cell r="B5060" t="str">
            <v>דמ"ש</v>
          </cell>
          <cell r="C5060">
            <v>0</v>
          </cell>
          <cell r="D5060">
            <v>0</v>
          </cell>
          <cell r="E5060">
            <v>0</v>
          </cell>
          <cell r="F5060">
            <v>0</v>
          </cell>
          <cell r="G5060">
            <v>0</v>
          </cell>
          <cell r="H5060">
            <v>0</v>
          </cell>
          <cell r="I5060">
            <v>0</v>
          </cell>
          <cell r="J5060">
            <v>0</v>
          </cell>
        </row>
        <row r="5061">
          <cell r="A5061">
            <v>1823000431</v>
          </cell>
          <cell r="B5061" t="str">
            <v>חשמל</v>
          </cell>
          <cell r="C5061">
            <v>0</v>
          </cell>
          <cell r="D5061">
            <v>0</v>
          </cell>
          <cell r="E5061">
            <v>0</v>
          </cell>
          <cell r="F5061">
            <v>0</v>
          </cell>
          <cell r="G5061">
            <v>0</v>
          </cell>
          <cell r="H5061">
            <v>0</v>
          </cell>
          <cell r="I5061">
            <v>0</v>
          </cell>
          <cell r="J5061">
            <v>0</v>
          </cell>
        </row>
        <row r="5062">
          <cell r="A5062">
            <v>1823000441</v>
          </cell>
          <cell r="B5062" t="str">
            <v>ביטוח</v>
          </cell>
          <cell r="C5062">
            <v>48070</v>
          </cell>
          <cell r="D5062">
            <v>0</v>
          </cell>
          <cell r="E5062">
            <v>0</v>
          </cell>
          <cell r="F5062">
            <v>0</v>
          </cell>
          <cell r="G5062">
            <v>48070</v>
          </cell>
          <cell r="H5062">
            <v>0</v>
          </cell>
          <cell r="I5062">
            <v>50600</v>
          </cell>
          <cell r="J5062">
            <v>0</v>
          </cell>
        </row>
        <row r="5063">
          <cell r="A5063">
            <v>1823000780</v>
          </cell>
          <cell r="B5063" t="str">
            <v>העונה הישראלית לעיצוב</v>
          </cell>
          <cell r="C5063">
            <v>81225</v>
          </cell>
          <cell r="D5063">
            <v>3394.5</v>
          </cell>
          <cell r="E5063">
            <v>23598.9</v>
          </cell>
          <cell r="F5063">
            <v>26993.4</v>
          </cell>
          <cell r="G5063">
            <v>54231.6</v>
          </cell>
          <cell r="H5063">
            <v>33.229999999999997</v>
          </cell>
          <cell r="I5063">
            <v>85500</v>
          </cell>
          <cell r="J5063">
            <v>3394.5</v>
          </cell>
        </row>
        <row r="5064">
          <cell r="A5064">
            <v>1823000781</v>
          </cell>
          <cell r="B5064" t="str">
            <v>הפעלת רשת הספריות</v>
          </cell>
          <cell r="C5064">
            <v>0</v>
          </cell>
          <cell r="D5064">
            <v>0</v>
          </cell>
          <cell r="E5064">
            <v>0</v>
          </cell>
          <cell r="F5064">
            <v>0</v>
          </cell>
          <cell r="G5064">
            <v>0</v>
          </cell>
          <cell r="H5064">
            <v>0</v>
          </cell>
          <cell r="I5064">
            <v>0</v>
          </cell>
          <cell r="J5064">
            <v>0</v>
          </cell>
        </row>
        <row r="5065">
          <cell r="A5065">
            <v>1823000782</v>
          </cell>
          <cell r="B5065" t="str">
            <v>הפעלת המדיטק</v>
          </cell>
          <cell r="C5065">
            <v>0</v>
          </cell>
          <cell r="D5065">
            <v>0</v>
          </cell>
          <cell r="E5065">
            <v>0</v>
          </cell>
          <cell r="F5065">
            <v>0</v>
          </cell>
          <cell r="G5065">
            <v>0</v>
          </cell>
          <cell r="H5065">
            <v>0</v>
          </cell>
          <cell r="I5065">
            <v>0</v>
          </cell>
          <cell r="J5065">
            <v>0</v>
          </cell>
        </row>
        <row r="5066">
          <cell r="A5066">
            <v>1823000783</v>
          </cell>
          <cell r="B5066" t="str">
            <v>שבוע דרום קוריאה</v>
          </cell>
          <cell r="C5066">
            <v>0</v>
          </cell>
          <cell r="D5066">
            <v>0</v>
          </cell>
          <cell r="E5066">
            <v>0</v>
          </cell>
          <cell r="F5066">
            <v>0</v>
          </cell>
          <cell r="G5066">
            <v>0</v>
          </cell>
          <cell r="H5066">
            <v>0</v>
          </cell>
          <cell r="I5066">
            <v>0</v>
          </cell>
          <cell r="J5066">
            <v>0</v>
          </cell>
        </row>
        <row r="5067">
          <cell r="A5067">
            <v>1823000789</v>
          </cell>
          <cell r="B5067" t="str">
            <v>שבוע הספר</v>
          </cell>
          <cell r="C5067">
            <v>0</v>
          </cell>
          <cell r="D5067">
            <v>0</v>
          </cell>
          <cell r="E5067">
            <v>0</v>
          </cell>
          <cell r="F5067">
            <v>0</v>
          </cell>
          <cell r="G5067">
            <v>0</v>
          </cell>
          <cell r="H5067">
            <v>0</v>
          </cell>
          <cell r="I5067">
            <v>0</v>
          </cell>
          <cell r="J5067">
            <v>0</v>
          </cell>
        </row>
        <row r="5068">
          <cell r="A5068">
            <v>1823000794</v>
          </cell>
          <cell r="B5068" t="str">
            <v>השתתפות בעזר 094</v>
          </cell>
          <cell r="C5068">
            <v>0</v>
          </cell>
          <cell r="D5068">
            <v>0</v>
          </cell>
          <cell r="E5068">
            <v>0</v>
          </cell>
          <cell r="F5068">
            <v>0</v>
          </cell>
          <cell r="G5068">
            <v>0</v>
          </cell>
          <cell r="H5068">
            <v>0</v>
          </cell>
          <cell r="I5068">
            <v>0</v>
          </cell>
          <cell r="J5068">
            <v>0</v>
          </cell>
        </row>
        <row r="5069">
          <cell r="A5069">
            <v>1823000870</v>
          </cell>
          <cell r="B5069" t="str">
            <v>העונה הישראלית לעיצוב</v>
          </cell>
          <cell r="C5069">
            <v>0</v>
          </cell>
          <cell r="D5069">
            <v>0</v>
          </cell>
          <cell r="E5069">
            <v>0</v>
          </cell>
          <cell r="F5069">
            <v>0</v>
          </cell>
          <cell r="G5069">
            <v>0</v>
          </cell>
          <cell r="H5069">
            <v>0</v>
          </cell>
          <cell r="I5069">
            <v>0</v>
          </cell>
          <cell r="J5069">
            <v>0</v>
          </cell>
        </row>
        <row r="5070">
          <cell r="A5070">
            <v>1823000871</v>
          </cell>
          <cell r="B5070" t="str">
            <v>פסטיבל ישראל-מדיטק</v>
          </cell>
          <cell r="C5070">
            <v>0</v>
          </cell>
          <cell r="D5070">
            <v>0</v>
          </cell>
          <cell r="E5070">
            <v>0</v>
          </cell>
          <cell r="F5070">
            <v>0</v>
          </cell>
          <cell r="G5070">
            <v>0</v>
          </cell>
          <cell r="H5070">
            <v>0</v>
          </cell>
          <cell r="I5070">
            <v>0</v>
          </cell>
          <cell r="J5070">
            <v>0</v>
          </cell>
        </row>
        <row r="5071">
          <cell r="A5071">
            <v>1823000872</v>
          </cell>
          <cell r="B5071" t="str">
            <v>שבוע העיצוב</v>
          </cell>
          <cell r="C5071">
            <v>0</v>
          </cell>
          <cell r="D5071">
            <v>0</v>
          </cell>
          <cell r="E5071">
            <v>0</v>
          </cell>
          <cell r="F5071">
            <v>0</v>
          </cell>
          <cell r="G5071">
            <v>0</v>
          </cell>
          <cell r="H5071">
            <v>0</v>
          </cell>
          <cell r="I5071">
            <v>0</v>
          </cell>
          <cell r="J5071">
            <v>0</v>
          </cell>
        </row>
        <row r="5072">
          <cell r="A5072">
            <v>1823000873</v>
          </cell>
          <cell r="B5072" t="str">
            <v>כנס אופנה</v>
          </cell>
          <cell r="C5072">
            <v>0</v>
          </cell>
          <cell r="D5072">
            <v>0</v>
          </cell>
          <cell r="E5072">
            <v>0</v>
          </cell>
          <cell r="F5072">
            <v>0</v>
          </cell>
          <cell r="G5072">
            <v>0</v>
          </cell>
          <cell r="H5072">
            <v>0</v>
          </cell>
          <cell r="I5072">
            <v>0</v>
          </cell>
          <cell r="J5072">
            <v>0</v>
          </cell>
        </row>
        <row r="5073">
          <cell r="A5073">
            <v>1823000874</v>
          </cell>
          <cell r="B5073" t="str">
            <v>שכר דירה - מדיטק</v>
          </cell>
          <cell r="C5073">
            <v>0</v>
          </cell>
          <cell r="D5073">
            <v>0</v>
          </cell>
          <cell r="E5073">
            <v>0</v>
          </cell>
          <cell r="F5073">
            <v>0</v>
          </cell>
          <cell r="G5073">
            <v>0</v>
          </cell>
          <cell r="H5073">
            <v>0</v>
          </cell>
          <cell r="I5073">
            <v>0</v>
          </cell>
          <cell r="J5073">
            <v>0</v>
          </cell>
        </row>
        <row r="5074">
          <cell r="A5074">
            <v>1823000875</v>
          </cell>
          <cell r="B5074" t="str">
            <v>השתתפות חברה לתאטרון</v>
          </cell>
          <cell r="C5074">
            <v>6164700</v>
          </cell>
          <cell r="D5074">
            <v>8664736.7599999998</v>
          </cell>
          <cell r="E5074">
            <v>0</v>
          </cell>
          <cell r="F5074">
            <v>8664736.7599999998</v>
          </cell>
          <cell r="G5074">
            <v>-2500036.7599999998</v>
          </cell>
          <cell r="H5074">
            <v>140.55000000000001</v>
          </cell>
          <cell r="I5074">
            <v>6164700</v>
          </cell>
          <cell r="J5074">
            <v>8664736.7599999998</v>
          </cell>
        </row>
        <row r="5075">
          <cell r="A5075">
            <v>1823000876</v>
          </cell>
          <cell r="B5075" t="str">
            <v>הפעלת מדיטק</v>
          </cell>
          <cell r="C5075">
            <v>5770100</v>
          </cell>
          <cell r="D5075">
            <v>5770099</v>
          </cell>
          <cell r="E5075">
            <v>0</v>
          </cell>
          <cell r="F5075">
            <v>5770099</v>
          </cell>
          <cell r="G5075">
            <v>1</v>
          </cell>
          <cell r="H5075">
            <v>99.99</v>
          </cell>
          <cell r="I5075">
            <v>5770100</v>
          </cell>
          <cell r="J5075">
            <v>5770099</v>
          </cell>
        </row>
        <row r="5076">
          <cell r="A5076">
            <v>1823000877</v>
          </cell>
          <cell r="B5076" t="str">
            <v>השתתפות בסינמטק</v>
          </cell>
          <cell r="C5076">
            <v>531600</v>
          </cell>
          <cell r="D5076">
            <v>531600</v>
          </cell>
          <cell r="E5076">
            <v>0</v>
          </cell>
          <cell r="F5076">
            <v>531600</v>
          </cell>
          <cell r="G5076">
            <v>0</v>
          </cell>
          <cell r="H5076">
            <v>100</v>
          </cell>
          <cell r="I5076">
            <v>531600</v>
          </cell>
          <cell r="J5076">
            <v>531600</v>
          </cell>
        </row>
        <row r="5077">
          <cell r="A5077">
            <v>1823000878</v>
          </cell>
          <cell r="B5077" t="str">
            <v>כנס עיצוב - מ' פיתוח אזורי</v>
          </cell>
          <cell r="C5077">
            <v>0</v>
          </cell>
          <cell r="D5077">
            <v>0</v>
          </cell>
          <cell r="E5077">
            <v>0</v>
          </cell>
          <cell r="F5077">
            <v>0</v>
          </cell>
          <cell r="G5077">
            <v>0</v>
          </cell>
          <cell r="H5077">
            <v>0</v>
          </cell>
          <cell r="I5077">
            <v>0</v>
          </cell>
          <cell r="J5077">
            <v>0</v>
          </cell>
        </row>
        <row r="5078">
          <cell r="A5078">
            <v>1823000879</v>
          </cell>
          <cell r="B5078" t="str">
            <v>ביטוח כנגד הכנסות</v>
          </cell>
          <cell r="C5078">
            <v>19570</v>
          </cell>
          <cell r="D5078">
            <v>20600</v>
          </cell>
          <cell r="E5078">
            <v>0</v>
          </cell>
          <cell r="F5078">
            <v>20600</v>
          </cell>
          <cell r="G5078">
            <v>-1030</v>
          </cell>
          <cell r="H5078">
            <v>105.26</v>
          </cell>
          <cell r="I5078">
            <v>20600</v>
          </cell>
          <cell r="J5078">
            <v>20600</v>
          </cell>
        </row>
        <row r="5079">
          <cell r="A5079">
            <v>1823000880</v>
          </cell>
          <cell r="B5079" t="str">
            <v>הפקת מחול</v>
          </cell>
          <cell r="C5079">
            <v>0</v>
          </cell>
          <cell r="D5079">
            <v>0</v>
          </cell>
          <cell r="E5079">
            <v>0</v>
          </cell>
          <cell r="F5079">
            <v>0</v>
          </cell>
          <cell r="G5079">
            <v>0</v>
          </cell>
          <cell r="H5079">
            <v>0</v>
          </cell>
          <cell r="I5079">
            <v>0</v>
          </cell>
          <cell r="J5079">
            <v>0</v>
          </cell>
        </row>
        <row r="5080">
          <cell r="A5080">
            <v>1823000881</v>
          </cell>
          <cell r="B5080" t="str">
            <v>נשים בעסקים</v>
          </cell>
          <cell r="C5080">
            <v>0</v>
          </cell>
          <cell r="D5080">
            <v>0</v>
          </cell>
          <cell r="E5080">
            <v>0</v>
          </cell>
          <cell r="F5080">
            <v>0</v>
          </cell>
          <cell r="G5080">
            <v>0</v>
          </cell>
          <cell r="H5080">
            <v>0</v>
          </cell>
          <cell r="I5080">
            <v>0</v>
          </cell>
          <cell r="J5080">
            <v>0</v>
          </cell>
        </row>
        <row r="5081">
          <cell r="A5081">
            <v>1823000888</v>
          </cell>
          <cell r="B5081" t="str">
            <v>טקס פרסי קולנוע וטלויזיה לילדי</v>
          </cell>
          <cell r="C5081">
            <v>0</v>
          </cell>
          <cell r="D5081">
            <v>0</v>
          </cell>
          <cell r="E5081">
            <v>0</v>
          </cell>
          <cell r="F5081">
            <v>0</v>
          </cell>
          <cell r="G5081">
            <v>0</v>
          </cell>
          <cell r="H5081">
            <v>0</v>
          </cell>
          <cell r="I5081">
            <v>0</v>
          </cell>
          <cell r="J5081">
            <v>0</v>
          </cell>
        </row>
        <row r="5082">
          <cell r="A5082">
            <v>1823000931</v>
          </cell>
          <cell r="B5082" t="str">
            <v>מדיטק - השלמת שכר ספרניות</v>
          </cell>
          <cell r="C5082">
            <v>0</v>
          </cell>
          <cell r="D5082">
            <v>0</v>
          </cell>
          <cell r="E5082">
            <v>0</v>
          </cell>
          <cell r="F5082">
            <v>0</v>
          </cell>
          <cell r="G5082">
            <v>0</v>
          </cell>
          <cell r="H5082">
            <v>0</v>
          </cell>
          <cell r="I5082">
            <v>0</v>
          </cell>
          <cell r="J5082">
            <v>0</v>
          </cell>
        </row>
        <row r="5083">
          <cell r="A5083">
            <v>1823000934</v>
          </cell>
          <cell r="B5083" t="str">
            <v>העברה חד - פעמית</v>
          </cell>
          <cell r="C5083">
            <v>0</v>
          </cell>
          <cell r="D5083">
            <v>0</v>
          </cell>
          <cell r="E5083">
            <v>0</v>
          </cell>
          <cell r="F5083">
            <v>0</v>
          </cell>
          <cell r="G5083">
            <v>0</v>
          </cell>
          <cell r="H5083">
            <v>0</v>
          </cell>
          <cell r="I5083">
            <v>0</v>
          </cell>
          <cell r="J5083">
            <v>0</v>
          </cell>
        </row>
        <row r="5084">
          <cell r="A5084">
            <v>1823000950</v>
          </cell>
          <cell r="B5084" t="str">
            <v>הלוואה למדיטק</v>
          </cell>
          <cell r="C5084">
            <v>0</v>
          </cell>
          <cell r="D5084">
            <v>0</v>
          </cell>
          <cell r="E5084">
            <v>0</v>
          </cell>
          <cell r="F5084">
            <v>0</v>
          </cell>
          <cell r="G5084">
            <v>0</v>
          </cell>
          <cell r="H5084">
            <v>0</v>
          </cell>
          <cell r="I5084">
            <v>0</v>
          </cell>
          <cell r="J5084">
            <v>0</v>
          </cell>
        </row>
        <row r="5085">
          <cell r="A5085">
            <v>1823000960</v>
          </cell>
          <cell r="B5085" t="str">
            <v>הוצאות ח"פ-מדיטק</v>
          </cell>
          <cell r="C5085">
            <v>0</v>
          </cell>
          <cell r="D5085">
            <v>0</v>
          </cell>
          <cell r="E5085">
            <v>0</v>
          </cell>
          <cell r="F5085">
            <v>0</v>
          </cell>
          <cell r="G5085">
            <v>0</v>
          </cell>
          <cell r="H5085">
            <v>0</v>
          </cell>
          <cell r="I5085">
            <v>0</v>
          </cell>
          <cell r="J5085">
            <v>0</v>
          </cell>
        </row>
        <row r="5086">
          <cell r="A5086">
            <v>1823000981</v>
          </cell>
          <cell r="B5086" t="str">
            <v>הוצאות שנים קודמות</v>
          </cell>
          <cell r="C5086">
            <v>851200</v>
          </cell>
          <cell r="D5086">
            <v>896000</v>
          </cell>
          <cell r="E5086">
            <v>0</v>
          </cell>
          <cell r="F5086">
            <v>896000</v>
          </cell>
          <cell r="G5086">
            <v>-44800</v>
          </cell>
          <cell r="H5086">
            <v>105.26</v>
          </cell>
          <cell r="I5086">
            <v>896000</v>
          </cell>
          <cell r="J5086">
            <v>896000</v>
          </cell>
        </row>
        <row r="5087">
          <cell r="A5087">
            <v>1825500441</v>
          </cell>
          <cell r="B5087" t="str">
            <v>ביטוח</v>
          </cell>
          <cell r="C5087">
            <v>0</v>
          </cell>
          <cell r="D5087">
            <v>0</v>
          </cell>
          <cell r="E5087">
            <v>0</v>
          </cell>
          <cell r="F5087">
            <v>0</v>
          </cell>
          <cell r="G5087">
            <v>0</v>
          </cell>
          <cell r="H5087">
            <v>0</v>
          </cell>
          <cell r="I5087">
            <v>0</v>
          </cell>
          <cell r="J5087">
            <v>0</v>
          </cell>
        </row>
        <row r="5088">
          <cell r="A5088">
            <v>1825500782</v>
          </cell>
          <cell r="B5088" t="str">
            <v>פע' דרך רשת קהילה</v>
          </cell>
          <cell r="C5088">
            <v>179645</v>
          </cell>
          <cell r="D5088">
            <v>232387.89</v>
          </cell>
          <cell r="E5088">
            <v>0</v>
          </cell>
          <cell r="F5088">
            <v>232387.89</v>
          </cell>
          <cell r="G5088">
            <v>-52742.89</v>
          </cell>
          <cell r="H5088">
            <v>129.35</v>
          </cell>
          <cell r="I5088">
            <v>189100</v>
          </cell>
          <cell r="J5088">
            <v>232387.89</v>
          </cell>
        </row>
        <row r="5089">
          <cell r="A5089">
            <v>1825500783</v>
          </cell>
          <cell r="B5089" t="str">
            <v>שכר מנהלת להקות</v>
          </cell>
          <cell r="C5089">
            <v>77235</v>
          </cell>
          <cell r="D5089">
            <v>81300</v>
          </cell>
          <cell r="E5089">
            <v>0</v>
          </cell>
          <cell r="F5089">
            <v>81300</v>
          </cell>
          <cell r="G5089">
            <v>-4065</v>
          </cell>
          <cell r="H5089">
            <v>105.26</v>
          </cell>
          <cell r="I5089">
            <v>81300</v>
          </cell>
          <cell r="J5089">
            <v>81300</v>
          </cell>
        </row>
        <row r="5090">
          <cell r="A5090">
            <v>1825500784</v>
          </cell>
          <cell r="B5090" t="str">
            <v>בי"ס למחול</v>
          </cell>
          <cell r="C5090">
            <v>0</v>
          </cell>
          <cell r="D5090">
            <v>0</v>
          </cell>
          <cell r="E5090">
            <v>0</v>
          </cell>
          <cell r="F5090">
            <v>0</v>
          </cell>
          <cell r="G5090">
            <v>0</v>
          </cell>
          <cell r="H5090">
            <v>0</v>
          </cell>
          <cell r="I5090">
            <v>0</v>
          </cell>
          <cell r="J5090">
            <v>0</v>
          </cell>
        </row>
        <row r="5091">
          <cell r="A5091">
            <v>1825500785</v>
          </cell>
          <cell r="B5091" t="str">
            <v>להקת "טררם"</v>
          </cell>
          <cell r="C5091">
            <v>0</v>
          </cell>
          <cell r="D5091">
            <v>0</v>
          </cell>
          <cell r="E5091">
            <v>0</v>
          </cell>
          <cell r="F5091">
            <v>0</v>
          </cell>
          <cell r="G5091">
            <v>0</v>
          </cell>
          <cell r="H5091">
            <v>0</v>
          </cell>
          <cell r="I5091">
            <v>0</v>
          </cell>
          <cell r="J5091">
            <v>0</v>
          </cell>
        </row>
        <row r="5092">
          <cell r="A5092">
            <v>1825500786</v>
          </cell>
          <cell r="B5092" t="str">
            <v>פעולות להקות</v>
          </cell>
          <cell r="C5092">
            <v>21755</v>
          </cell>
          <cell r="D5092">
            <v>22900</v>
          </cell>
          <cell r="E5092">
            <v>0</v>
          </cell>
          <cell r="F5092">
            <v>22900</v>
          </cell>
          <cell r="G5092">
            <v>-1145</v>
          </cell>
          <cell r="H5092">
            <v>105.26</v>
          </cell>
          <cell r="I5092">
            <v>22900</v>
          </cell>
          <cell r="J5092">
            <v>22900</v>
          </cell>
        </row>
        <row r="5093">
          <cell r="A5093">
            <v>1825500787</v>
          </cell>
          <cell r="B5093" t="str">
            <v>להקת פרסקו</v>
          </cell>
          <cell r="C5093">
            <v>0</v>
          </cell>
          <cell r="D5093">
            <v>0</v>
          </cell>
          <cell r="E5093">
            <v>0</v>
          </cell>
          <cell r="F5093">
            <v>0</v>
          </cell>
          <cell r="G5093">
            <v>0</v>
          </cell>
          <cell r="H5093">
            <v>0</v>
          </cell>
          <cell r="I5093">
            <v>0</v>
          </cell>
          <cell r="J5093">
            <v>0</v>
          </cell>
        </row>
        <row r="5094">
          <cell r="A5094">
            <v>1825500788</v>
          </cell>
          <cell r="B5094" t="str">
            <v>פעולות ותחזוקה</v>
          </cell>
          <cell r="C5094">
            <v>0</v>
          </cell>
          <cell r="D5094">
            <v>0</v>
          </cell>
          <cell r="E5094">
            <v>0</v>
          </cell>
          <cell r="F5094">
            <v>0</v>
          </cell>
          <cell r="G5094">
            <v>0</v>
          </cell>
          <cell r="H5094">
            <v>0</v>
          </cell>
          <cell r="I5094">
            <v>0</v>
          </cell>
          <cell r="J5094">
            <v>0</v>
          </cell>
        </row>
        <row r="5095">
          <cell r="A5095">
            <v>1826100410</v>
          </cell>
          <cell r="B5095" t="str">
            <v>דמי שכירות</v>
          </cell>
          <cell r="C5095">
            <v>0</v>
          </cell>
          <cell r="D5095">
            <v>0</v>
          </cell>
          <cell r="E5095">
            <v>0</v>
          </cell>
          <cell r="F5095">
            <v>0</v>
          </cell>
          <cell r="G5095">
            <v>0</v>
          </cell>
          <cell r="H5095">
            <v>0</v>
          </cell>
          <cell r="I5095">
            <v>0</v>
          </cell>
          <cell r="J5095">
            <v>0</v>
          </cell>
        </row>
        <row r="5096">
          <cell r="A5096">
            <v>1826100413</v>
          </cell>
          <cell r="B5096" t="str">
            <v>דמ"ש</v>
          </cell>
          <cell r="C5096">
            <v>0</v>
          </cell>
          <cell r="D5096">
            <v>0</v>
          </cell>
          <cell r="E5096">
            <v>0</v>
          </cell>
          <cell r="F5096">
            <v>0</v>
          </cell>
          <cell r="G5096">
            <v>0</v>
          </cell>
          <cell r="H5096">
            <v>0</v>
          </cell>
          <cell r="I5096">
            <v>0</v>
          </cell>
          <cell r="J5096">
            <v>0</v>
          </cell>
        </row>
        <row r="5097">
          <cell r="A5097">
            <v>1826100431</v>
          </cell>
          <cell r="B5097" t="str">
            <v>חשמל</v>
          </cell>
          <cell r="C5097">
            <v>2090</v>
          </cell>
          <cell r="D5097">
            <v>-105.57</v>
          </cell>
          <cell r="E5097">
            <v>0</v>
          </cell>
          <cell r="F5097">
            <v>-105.57</v>
          </cell>
          <cell r="G5097">
            <v>2195.5700000000002</v>
          </cell>
          <cell r="H5097">
            <v>-5.05</v>
          </cell>
          <cell r="I5097">
            <v>2200</v>
          </cell>
          <cell r="J5097">
            <v>-105.57</v>
          </cell>
        </row>
        <row r="5098">
          <cell r="A5098">
            <v>1826100441</v>
          </cell>
          <cell r="B5098" t="str">
            <v>ביטוח</v>
          </cell>
          <cell r="C5098">
            <v>68590</v>
          </cell>
          <cell r="D5098">
            <v>0</v>
          </cell>
          <cell r="E5098">
            <v>0</v>
          </cell>
          <cell r="F5098">
            <v>0</v>
          </cell>
          <cell r="G5098">
            <v>68590</v>
          </cell>
          <cell r="H5098">
            <v>0</v>
          </cell>
          <cell r="I5098">
            <v>72200</v>
          </cell>
          <cell r="J5098">
            <v>0</v>
          </cell>
        </row>
        <row r="5099">
          <cell r="A5099">
            <v>1826100870</v>
          </cell>
          <cell r="B5099" t="str">
            <v>השתתפויות</v>
          </cell>
          <cell r="C5099">
            <v>3931800</v>
          </cell>
          <cell r="D5099">
            <v>3931799.97</v>
          </cell>
          <cell r="E5099">
            <v>0</v>
          </cell>
          <cell r="F5099">
            <v>3931799.97</v>
          </cell>
          <cell r="G5099">
            <v>0.03</v>
          </cell>
          <cell r="H5099">
            <v>99.99</v>
          </cell>
          <cell r="I5099">
            <v>3931800</v>
          </cell>
          <cell r="J5099">
            <v>3931799.97</v>
          </cell>
        </row>
        <row r="5100">
          <cell r="A5100">
            <v>1826100871</v>
          </cell>
          <cell r="B5100" t="str">
            <v>הש'-פעולות מיוחדות</v>
          </cell>
          <cell r="C5100">
            <v>1288295</v>
          </cell>
          <cell r="D5100">
            <v>1356100</v>
          </cell>
          <cell r="E5100">
            <v>0</v>
          </cell>
          <cell r="F5100">
            <v>1356100</v>
          </cell>
          <cell r="G5100">
            <v>-67805</v>
          </cell>
          <cell r="H5100">
            <v>105.26</v>
          </cell>
          <cell r="I5100">
            <v>1356100</v>
          </cell>
          <cell r="J5100">
            <v>1356100</v>
          </cell>
        </row>
        <row r="5101">
          <cell r="A5101">
            <v>1826100872</v>
          </cell>
          <cell r="B5101" t="str">
            <v>ספר - ברטונוב</v>
          </cell>
          <cell r="C5101">
            <v>0</v>
          </cell>
          <cell r="D5101">
            <v>0</v>
          </cell>
          <cell r="E5101">
            <v>0</v>
          </cell>
          <cell r="F5101">
            <v>0</v>
          </cell>
          <cell r="G5101">
            <v>0</v>
          </cell>
          <cell r="H5101">
            <v>0</v>
          </cell>
          <cell r="I5101">
            <v>0</v>
          </cell>
          <cell r="J5101">
            <v>0</v>
          </cell>
        </row>
        <row r="5102">
          <cell r="A5102">
            <v>1826100873</v>
          </cell>
          <cell r="B5102" t="str">
            <v>השת'-שכר מנהל אדמ'</v>
          </cell>
          <cell r="C5102">
            <v>0</v>
          </cell>
          <cell r="D5102">
            <v>0</v>
          </cell>
          <cell r="E5102">
            <v>0</v>
          </cell>
          <cell r="F5102">
            <v>0</v>
          </cell>
          <cell r="G5102">
            <v>0</v>
          </cell>
          <cell r="H5102">
            <v>0</v>
          </cell>
          <cell r="I5102">
            <v>0</v>
          </cell>
          <cell r="J5102">
            <v>0</v>
          </cell>
        </row>
        <row r="5103">
          <cell r="A5103">
            <v>1826100874</v>
          </cell>
          <cell r="B5103" t="str">
            <v>דמי שכירות-תיאטרון</v>
          </cell>
          <cell r="C5103">
            <v>0</v>
          </cell>
          <cell r="D5103">
            <v>0</v>
          </cell>
          <cell r="E5103">
            <v>0</v>
          </cell>
          <cell r="F5103">
            <v>0</v>
          </cell>
          <cell r="G5103">
            <v>0</v>
          </cell>
          <cell r="H5103">
            <v>0</v>
          </cell>
          <cell r="I5103">
            <v>0</v>
          </cell>
          <cell r="J5103">
            <v>0</v>
          </cell>
        </row>
        <row r="5104">
          <cell r="A5104">
            <v>1826100875</v>
          </cell>
          <cell r="B5104" t="str">
            <v>פסטיבל צלילי ילדות</v>
          </cell>
          <cell r="C5104">
            <v>0</v>
          </cell>
          <cell r="D5104">
            <v>0</v>
          </cell>
          <cell r="E5104">
            <v>0</v>
          </cell>
          <cell r="F5104">
            <v>0</v>
          </cell>
          <cell r="G5104">
            <v>0</v>
          </cell>
          <cell r="H5104">
            <v>0</v>
          </cell>
          <cell r="I5104">
            <v>0</v>
          </cell>
          <cell r="J5104">
            <v>0</v>
          </cell>
        </row>
        <row r="5105">
          <cell r="A5105">
            <v>1826100876</v>
          </cell>
          <cell r="B5105" t="str">
            <v>מרכז לתינוקות</v>
          </cell>
          <cell r="C5105">
            <v>649800</v>
          </cell>
          <cell r="D5105">
            <v>649800</v>
          </cell>
          <cell r="E5105">
            <v>0</v>
          </cell>
          <cell r="F5105">
            <v>649800</v>
          </cell>
          <cell r="G5105">
            <v>0</v>
          </cell>
          <cell r="H5105">
            <v>100</v>
          </cell>
          <cell r="I5105">
            <v>649800</v>
          </cell>
          <cell r="J5105">
            <v>649800</v>
          </cell>
        </row>
        <row r="5106">
          <cell r="A5106">
            <v>1826100877</v>
          </cell>
          <cell r="B5106" t="str">
            <v>מסלול לתיאטרון קהילתי</v>
          </cell>
          <cell r="C5106">
            <v>0</v>
          </cell>
          <cell r="D5106">
            <v>0</v>
          </cell>
          <cell r="E5106">
            <v>0</v>
          </cell>
          <cell r="F5106">
            <v>0</v>
          </cell>
          <cell r="G5106">
            <v>0</v>
          </cell>
          <cell r="H5106">
            <v>0</v>
          </cell>
          <cell r="I5106">
            <v>0</v>
          </cell>
          <cell r="J5106">
            <v>0</v>
          </cell>
        </row>
        <row r="5107">
          <cell r="A5107">
            <v>1826100878</v>
          </cell>
          <cell r="B5107" t="str">
            <v>התחייבות הסכם קיבוצי</v>
          </cell>
          <cell r="C5107">
            <v>0</v>
          </cell>
          <cell r="D5107">
            <v>0</v>
          </cell>
          <cell r="E5107">
            <v>0</v>
          </cell>
          <cell r="F5107">
            <v>0</v>
          </cell>
          <cell r="G5107">
            <v>0</v>
          </cell>
          <cell r="H5107">
            <v>0</v>
          </cell>
          <cell r="I5107">
            <v>0</v>
          </cell>
          <cell r="J5107">
            <v>0</v>
          </cell>
        </row>
        <row r="5108">
          <cell r="A5108">
            <v>1826100879</v>
          </cell>
          <cell r="B5108" t="str">
            <v>ביטוח-כנגד הכנסות</v>
          </cell>
          <cell r="C5108">
            <v>27930</v>
          </cell>
          <cell r="D5108">
            <v>29400</v>
          </cell>
          <cell r="E5108">
            <v>0</v>
          </cell>
          <cell r="F5108">
            <v>29400</v>
          </cell>
          <cell r="G5108">
            <v>-1470</v>
          </cell>
          <cell r="H5108">
            <v>105.26</v>
          </cell>
          <cell r="I5108">
            <v>29400</v>
          </cell>
          <cell r="J5108">
            <v>29400</v>
          </cell>
        </row>
        <row r="5109">
          <cell r="A5109">
            <v>1826100931</v>
          </cell>
          <cell r="B5109" t="str">
            <v>הוצאות חד - פעמיות</v>
          </cell>
          <cell r="C5109">
            <v>0</v>
          </cell>
          <cell r="D5109">
            <v>0</v>
          </cell>
          <cell r="E5109">
            <v>0</v>
          </cell>
          <cell r="F5109">
            <v>0</v>
          </cell>
          <cell r="G5109">
            <v>0</v>
          </cell>
          <cell r="H5109">
            <v>0</v>
          </cell>
          <cell r="I5109">
            <v>0</v>
          </cell>
          <cell r="J5109">
            <v>0</v>
          </cell>
        </row>
        <row r="5110">
          <cell r="A5110">
            <v>1826100932</v>
          </cell>
          <cell r="B5110" t="str">
            <v>ח"פ-גמ"ח מנהל</v>
          </cell>
          <cell r="C5110">
            <v>0</v>
          </cell>
          <cell r="D5110">
            <v>0</v>
          </cell>
          <cell r="E5110">
            <v>0</v>
          </cell>
          <cell r="F5110">
            <v>0</v>
          </cell>
          <cell r="G5110">
            <v>0</v>
          </cell>
          <cell r="H5110">
            <v>0</v>
          </cell>
          <cell r="I5110">
            <v>0</v>
          </cell>
          <cell r="J5110">
            <v>0</v>
          </cell>
        </row>
        <row r="5111">
          <cell r="A5111">
            <v>1826100933</v>
          </cell>
          <cell r="B5111" t="str">
            <v>ח"פ-הסכם מס הכנסה</v>
          </cell>
          <cell r="C5111">
            <v>0</v>
          </cell>
          <cell r="D5111">
            <v>0</v>
          </cell>
          <cell r="E5111">
            <v>0</v>
          </cell>
          <cell r="F5111">
            <v>0</v>
          </cell>
          <cell r="G5111">
            <v>0</v>
          </cell>
          <cell r="H5111">
            <v>0</v>
          </cell>
          <cell r="I5111">
            <v>0</v>
          </cell>
          <cell r="J5111">
            <v>0</v>
          </cell>
        </row>
        <row r="5112">
          <cell r="A5112">
            <v>1826100935</v>
          </cell>
          <cell r="B5112" t="str">
            <v>ארועי שנת ה-60</v>
          </cell>
          <cell r="C5112">
            <v>0</v>
          </cell>
          <cell r="D5112">
            <v>0</v>
          </cell>
          <cell r="E5112">
            <v>0</v>
          </cell>
          <cell r="F5112">
            <v>0</v>
          </cell>
          <cell r="G5112">
            <v>0</v>
          </cell>
          <cell r="H5112">
            <v>0</v>
          </cell>
          <cell r="I5112">
            <v>0</v>
          </cell>
          <cell r="J5112">
            <v>0</v>
          </cell>
        </row>
        <row r="5113">
          <cell r="A5113">
            <v>1826100950</v>
          </cell>
          <cell r="B5113" t="str">
            <v>הלוואה לתאטרון חולון</v>
          </cell>
          <cell r="C5113">
            <v>0</v>
          </cell>
          <cell r="D5113">
            <v>0</v>
          </cell>
          <cell r="E5113">
            <v>0</v>
          </cell>
          <cell r="F5113">
            <v>0</v>
          </cell>
          <cell r="G5113">
            <v>0</v>
          </cell>
          <cell r="H5113">
            <v>0</v>
          </cell>
          <cell r="I5113">
            <v>0</v>
          </cell>
          <cell r="J5113">
            <v>0</v>
          </cell>
        </row>
        <row r="5114">
          <cell r="A5114">
            <v>1826100981</v>
          </cell>
          <cell r="B5114" t="str">
            <v>הוצאות שנים קודמות</v>
          </cell>
          <cell r="C5114">
            <v>575130</v>
          </cell>
          <cell r="D5114">
            <v>605400</v>
          </cell>
          <cell r="E5114">
            <v>0</v>
          </cell>
          <cell r="F5114">
            <v>605400</v>
          </cell>
          <cell r="G5114">
            <v>-30270</v>
          </cell>
          <cell r="H5114">
            <v>105.26</v>
          </cell>
          <cell r="I5114">
            <v>605400</v>
          </cell>
          <cell r="J5114">
            <v>605400</v>
          </cell>
        </row>
        <row r="5115">
          <cell r="A5115">
            <v>1826110000</v>
          </cell>
          <cell r="B5115" t="str">
            <v>הסטודיו למשחק</v>
          </cell>
          <cell r="C5115">
            <v>0</v>
          </cell>
          <cell r="D5115">
            <v>0</v>
          </cell>
          <cell r="E5115">
            <v>0</v>
          </cell>
          <cell r="F5115">
            <v>0</v>
          </cell>
          <cell r="G5115">
            <v>0</v>
          </cell>
          <cell r="H5115">
            <v>0</v>
          </cell>
          <cell r="I5115">
            <v>0</v>
          </cell>
          <cell r="J5115">
            <v>0</v>
          </cell>
        </row>
        <row r="5116">
          <cell r="A5116">
            <v>1826110872</v>
          </cell>
          <cell r="B5116" t="str">
            <v>השת'בסטודיו למשחק</v>
          </cell>
          <cell r="C5116">
            <v>0</v>
          </cell>
          <cell r="D5116">
            <v>0</v>
          </cell>
          <cell r="E5116">
            <v>0</v>
          </cell>
          <cell r="F5116">
            <v>0</v>
          </cell>
          <cell r="G5116">
            <v>0</v>
          </cell>
          <cell r="H5116">
            <v>0</v>
          </cell>
          <cell r="I5116">
            <v>0</v>
          </cell>
          <cell r="J5116">
            <v>0</v>
          </cell>
        </row>
        <row r="5117">
          <cell r="A5117">
            <v>1826110931</v>
          </cell>
          <cell r="B5117" t="str">
            <v>השתתפות ח"פ בהפקה</v>
          </cell>
          <cell r="C5117">
            <v>0</v>
          </cell>
          <cell r="D5117">
            <v>0</v>
          </cell>
          <cell r="E5117">
            <v>0</v>
          </cell>
          <cell r="F5117">
            <v>0</v>
          </cell>
          <cell r="G5117">
            <v>0</v>
          </cell>
          <cell r="H5117">
            <v>0</v>
          </cell>
          <cell r="I5117">
            <v>0</v>
          </cell>
          <cell r="J5117">
            <v>0</v>
          </cell>
        </row>
        <row r="5118">
          <cell r="A5118">
            <v>1826120000</v>
          </cell>
          <cell r="B5118" t="str">
            <v>מוזיאון הקריקטורות</v>
          </cell>
          <cell r="C5118">
            <v>0</v>
          </cell>
          <cell r="D5118">
            <v>0</v>
          </cell>
          <cell r="E5118">
            <v>0</v>
          </cell>
          <cell r="F5118">
            <v>0</v>
          </cell>
          <cell r="G5118">
            <v>0</v>
          </cell>
          <cell r="H5118">
            <v>0</v>
          </cell>
          <cell r="I5118">
            <v>0</v>
          </cell>
          <cell r="J5118">
            <v>0</v>
          </cell>
        </row>
        <row r="5119">
          <cell r="A5119">
            <v>1826120250</v>
          </cell>
          <cell r="B5119" t="str">
            <v>שכר מושאלים</v>
          </cell>
          <cell r="C5119">
            <v>0</v>
          </cell>
          <cell r="D5119">
            <v>0</v>
          </cell>
          <cell r="E5119">
            <v>0</v>
          </cell>
          <cell r="F5119">
            <v>0</v>
          </cell>
          <cell r="G5119">
            <v>0</v>
          </cell>
          <cell r="H5119">
            <v>0</v>
          </cell>
          <cell r="I5119">
            <v>0</v>
          </cell>
          <cell r="J5119">
            <v>0</v>
          </cell>
        </row>
        <row r="5120">
          <cell r="A5120">
            <v>1826120413</v>
          </cell>
          <cell r="B5120" t="str">
            <v>דמ"ש</v>
          </cell>
          <cell r="C5120">
            <v>0</v>
          </cell>
          <cell r="D5120">
            <v>0</v>
          </cell>
          <cell r="E5120">
            <v>0</v>
          </cell>
          <cell r="F5120">
            <v>0</v>
          </cell>
          <cell r="G5120">
            <v>0</v>
          </cell>
          <cell r="H5120">
            <v>0</v>
          </cell>
          <cell r="I5120">
            <v>0</v>
          </cell>
          <cell r="J5120">
            <v>0</v>
          </cell>
        </row>
        <row r="5121">
          <cell r="A5121">
            <v>1826120872</v>
          </cell>
          <cell r="B5121" t="str">
            <v>השתתפות בהפעלה</v>
          </cell>
          <cell r="C5121">
            <v>695000</v>
          </cell>
          <cell r="D5121">
            <v>695000</v>
          </cell>
          <cell r="E5121">
            <v>0</v>
          </cell>
          <cell r="F5121">
            <v>695000</v>
          </cell>
          <cell r="G5121">
            <v>0</v>
          </cell>
          <cell r="H5121">
            <v>100</v>
          </cell>
          <cell r="I5121">
            <v>695000</v>
          </cell>
          <cell r="J5121">
            <v>695000</v>
          </cell>
        </row>
        <row r="5122">
          <cell r="A5122">
            <v>1826120873</v>
          </cell>
          <cell r="B5122" t="str">
            <v>חוב משנה קודמת</v>
          </cell>
          <cell r="C5122">
            <v>0</v>
          </cell>
          <cell r="D5122">
            <v>0</v>
          </cell>
          <cell r="E5122">
            <v>0</v>
          </cell>
          <cell r="F5122">
            <v>0</v>
          </cell>
          <cell r="G5122">
            <v>0</v>
          </cell>
          <cell r="H5122">
            <v>0</v>
          </cell>
          <cell r="I5122">
            <v>0</v>
          </cell>
          <cell r="J5122">
            <v>0</v>
          </cell>
        </row>
        <row r="5123">
          <cell r="A5123">
            <v>1826200119</v>
          </cell>
          <cell r="B5123" t="str">
            <v>השכר הקובע-צוברת</v>
          </cell>
          <cell r="C5123">
            <v>125875</v>
          </cell>
          <cell r="D5123">
            <v>292451.99</v>
          </cell>
          <cell r="E5123">
            <v>0</v>
          </cell>
          <cell r="F5123">
            <v>292451.99</v>
          </cell>
          <cell r="G5123">
            <v>-166576.99</v>
          </cell>
          <cell r="H5123">
            <v>232.33</v>
          </cell>
          <cell r="I5123">
            <v>132500</v>
          </cell>
          <cell r="J5123">
            <v>292451.99</v>
          </cell>
        </row>
        <row r="5124">
          <cell r="A5124">
            <v>1826200122</v>
          </cell>
          <cell r="B5124" t="str">
            <v>ביגוד</v>
          </cell>
          <cell r="C5124">
            <v>2090</v>
          </cell>
          <cell r="D5124">
            <v>3888.5</v>
          </cell>
          <cell r="E5124">
            <v>0</v>
          </cell>
          <cell r="F5124">
            <v>3888.5</v>
          </cell>
          <cell r="G5124">
            <v>-1798.5</v>
          </cell>
          <cell r="H5124">
            <v>186.05</v>
          </cell>
          <cell r="I5124">
            <v>2200</v>
          </cell>
          <cell r="J5124">
            <v>3888.5</v>
          </cell>
        </row>
        <row r="5125">
          <cell r="A5125">
            <v>1826200126</v>
          </cell>
          <cell r="B5125" t="str">
            <v>דמי הבראה</v>
          </cell>
          <cell r="C5125">
            <v>1900</v>
          </cell>
          <cell r="D5125">
            <v>8956.6</v>
          </cell>
          <cell r="E5125">
            <v>0</v>
          </cell>
          <cell r="F5125">
            <v>8956.6</v>
          </cell>
          <cell r="G5125">
            <v>-7056.6</v>
          </cell>
          <cell r="H5125">
            <v>471.4</v>
          </cell>
          <cell r="I5125">
            <v>2000</v>
          </cell>
          <cell r="J5125">
            <v>8956.6</v>
          </cell>
        </row>
        <row r="5126">
          <cell r="A5126">
            <v>1826200130</v>
          </cell>
          <cell r="B5126" t="str">
            <v>שעות נוספות</v>
          </cell>
          <cell r="C5126">
            <v>0</v>
          </cell>
          <cell r="D5126">
            <v>0</v>
          </cell>
          <cell r="E5126">
            <v>0</v>
          </cell>
          <cell r="F5126">
            <v>0</v>
          </cell>
          <cell r="G5126">
            <v>0</v>
          </cell>
          <cell r="H5126">
            <v>0</v>
          </cell>
          <cell r="I5126">
            <v>0</v>
          </cell>
          <cell r="J5126">
            <v>0</v>
          </cell>
        </row>
        <row r="5127">
          <cell r="A5127">
            <v>1826200140</v>
          </cell>
          <cell r="B5127" t="str">
            <v>השתתפות באחזקת רכב</v>
          </cell>
          <cell r="C5127">
            <v>15010</v>
          </cell>
          <cell r="D5127">
            <v>46735.59</v>
          </cell>
          <cell r="E5127">
            <v>0</v>
          </cell>
          <cell r="F5127">
            <v>46735.59</v>
          </cell>
          <cell r="G5127">
            <v>-31725.59</v>
          </cell>
          <cell r="H5127">
            <v>311.36</v>
          </cell>
          <cell r="I5127">
            <v>15800</v>
          </cell>
          <cell r="J5127">
            <v>46735.59</v>
          </cell>
        </row>
        <row r="5128">
          <cell r="A5128">
            <v>1826200413</v>
          </cell>
          <cell r="B5128" t="str">
            <v>.</v>
          </cell>
          <cell r="C5128">
            <v>0</v>
          </cell>
          <cell r="D5128">
            <v>0</v>
          </cell>
          <cell r="E5128">
            <v>0</v>
          </cell>
          <cell r="F5128">
            <v>0</v>
          </cell>
          <cell r="G5128">
            <v>0</v>
          </cell>
          <cell r="H5128">
            <v>0</v>
          </cell>
          <cell r="I5128">
            <v>0</v>
          </cell>
          <cell r="J5128">
            <v>0</v>
          </cell>
        </row>
        <row r="5129">
          <cell r="A5129">
            <v>1826200420</v>
          </cell>
          <cell r="B5129" t="str">
            <v>כיבוי אש</v>
          </cell>
          <cell r="C5129">
            <v>0</v>
          </cell>
          <cell r="D5129">
            <v>0</v>
          </cell>
          <cell r="E5129">
            <v>0</v>
          </cell>
          <cell r="F5129">
            <v>0</v>
          </cell>
          <cell r="G5129">
            <v>0</v>
          </cell>
          <cell r="H5129">
            <v>0</v>
          </cell>
          <cell r="I5129">
            <v>0</v>
          </cell>
          <cell r="J5129">
            <v>0</v>
          </cell>
        </row>
        <row r="5130">
          <cell r="A5130">
            <v>1826200423</v>
          </cell>
          <cell r="B5130" t="str">
            <v>תחזוקת מבנה</v>
          </cell>
          <cell r="C5130">
            <v>184015</v>
          </cell>
          <cell r="D5130">
            <v>193700</v>
          </cell>
          <cell r="E5130">
            <v>0</v>
          </cell>
          <cell r="F5130">
            <v>193700</v>
          </cell>
          <cell r="G5130">
            <v>-9685</v>
          </cell>
          <cell r="H5130">
            <v>105.26</v>
          </cell>
          <cell r="I5130">
            <v>193700</v>
          </cell>
          <cell r="J5130">
            <v>193700</v>
          </cell>
        </row>
        <row r="5131">
          <cell r="A5131">
            <v>1826200433</v>
          </cell>
          <cell r="B5131" t="str">
            <v>חומרי נקיון</v>
          </cell>
          <cell r="C5131">
            <v>0</v>
          </cell>
          <cell r="D5131">
            <v>0</v>
          </cell>
          <cell r="E5131">
            <v>0</v>
          </cell>
          <cell r="F5131">
            <v>0</v>
          </cell>
          <cell r="G5131">
            <v>0</v>
          </cell>
          <cell r="H5131">
            <v>0</v>
          </cell>
          <cell r="I5131">
            <v>0</v>
          </cell>
          <cell r="J5131">
            <v>0</v>
          </cell>
        </row>
        <row r="5132">
          <cell r="A5132">
            <v>1826200437</v>
          </cell>
          <cell r="B5132" t="str">
            <v>אחזקת אזעקה</v>
          </cell>
          <cell r="C5132">
            <v>3610</v>
          </cell>
          <cell r="D5132">
            <v>3664.44</v>
          </cell>
          <cell r="E5132">
            <v>0</v>
          </cell>
          <cell r="F5132">
            <v>3664.44</v>
          </cell>
          <cell r="G5132">
            <v>-54.44</v>
          </cell>
          <cell r="H5132">
            <v>101.5</v>
          </cell>
          <cell r="I5132">
            <v>3800</v>
          </cell>
          <cell r="J5132">
            <v>3664.44</v>
          </cell>
        </row>
        <row r="5133">
          <cell r="A5133">
            <v>1826200441</v>
          </cell>
          <cell r="B5133" t="str">
            <v>ביטוח</v>
          </cell>
          <cell r="C5133">
            <v>11020</v>
          </cell>
          <cell r="D5133">
            <v>2175</v>
          </cell>
          <cell r="E5133">
            <v>0</v>
          </cell>
          <cell r="F5133">
            <v>2175</v>
          </cell>
          <cell r="G5133">
            <v>8845</v>
          </cell>
          <cell r="H5133">
            <v>19.73</v>
          </cell>
          <cell r="I5133">
            <v>11600</v>
          </cell>
          <cell r="J5133">
            <v>2175</v>
          </cell>
        </row>
        <row r="5134">
          <cell r="A5134">
            <v>1826200450</v>
          </cell>
          <cell r="B5134" t="str">
            <v>אחזקת תמי 4</v>
          </cell>
          <cell r="C5134">
            <v>950</v>
          </cell>
          <cell r="D5134">
            <v>530</v>
          </cell>
          <cell r="E5134">
            <v>0</v>
          </cell>
          <cell r="F5134">
            <v>530</v>
          </cell>
          <cell r="G5134">
            <v>420</v>
          </cell>
          <cell r="H5134">
            <v>55.78</v>
          </cell>
          <cell r="I5134">
            <v>1000</v>
          </cell>
          <cell r="J5134">
            <v>530</v>
          </cell>
        </row>
        <row r="5135">
          <cell r="A5135">
            <v>1826200550</v>
          </cell>
          <cell r="B5135" t="str">
            <v>פירסומים</v>
          </cell>
          <cell r="C5135">
            <v>154375</v>
          </cell>
          <cell r="D5135">
            <v>159679</v>
          </cell>
          <cell r="E5135">
            <v>2278.2199999999998</v>
          </cell>
          <cell r="F5135">
            <v>161957.22</v>
          </cell>
          <cell r="G5135">
            <v>-7582.22</v>
          </cell>
          <cell r="H5135">
            <v>104.91</v>
          </cell>
          <cell r="I5135">
            <v>162500</v>
          </cell>
          <cell r="J5135">
            <v>159679</v>
          </cell>
        </row>
        <row r="5136">
          <cell r="A5136">
            <v>1826200710</v>
          </cell>
          <cell r="B5136" t="str">
            <v>הובלות והסעות</v>
          </cell>
          <cell r="C5136">
            <v>30875</v>
          </cell>
          <cell r="D5136">
            <v>15551.3</v>
          </cell>
          <cell r="E5136">
            <v>0</v>
          </cell>
          <cell r="F5136">
            <v>15551.3</v>
          </cell>
          <cell r="G5136">
            <v>15323.7</v>
          </cell>
          <cell r="H5136">
            <v>50.36</v>
          </cell>
          <cell r="I5136">
            <v>32500</v>
          </cell>
          <cell r="J5136">
            <v>15551.3</v>
          </cell>
        </row>
        <row r="5137">
          <cell r="A5137">
            <v>1826200751</v>
          </cell>
          <cell r="B5137" t="str">
            <v>אחזקת גלריית החווה</v>
          </cell>
          <cell r="C5137">
            <v>7695</v>
          </cell>
          <cell r="D5137">
            <v>5952</v>
          </cell>
          <cell r="E5137">
            <v>0</v>
          </cell>
          <cell r="F5137">
            <v>5952</v>
          </cell>
          <cell r="G5137">
            <v>1743</v>
          </cell>
          <cell r="H5137">
            <v>77.34</v>
          </cell>
          <cell r="I5137">
            <v>8100</v>
          </cell>
          <cell r="J5137">
            <v>5952</v>
          </cell>
        </row>
        <row r="5138">
          <cell r="A5138">
            <v>1826200752</v>
          </cell>
          <cell r="B5138" t="str">
            <v>נקיון בקבלנות</v>
          </cell>
          <cell r="C5138">
            <v>38095</v>
          </cell>
          <cell r="D5138">
            <v>39749.379999999997</v>
          </cell>
          <cell r="E5138">
            <v>350</v>
          </cell>
          <cell r="F5138">
            <v>40099.379999999997</v>
          </cell>
          <cell r="G5138">
            <v>-2004.38</v>
          </cell>
          <cell r="H5138">
            <v>105.26</v>
          </cell>
          <cell r="I5138">
            <v>40100</v>
          </cell>
          <cell r="J5138">
            <v>39749.379999999997</v>
          </cell>
        </row>
        <row r="5139">
          <cell r="A5139">
            <v>1826200756</v>
          </cell>
          <cell r="B5139" t="str">
            <v>שמירה בקבלנות</v>
          </cell>
          <cell r="C5139">
            <v>123500</v>
          </cell>
          <cell r="D5139">
            <v>106058.13</v>
          </cell>
          <cell r="E5139">
            <v>59.68</v>
          </cell>
          <cell r="F5139">
            <v>106117.81</v>
          </cell>
          <cell r="G5139">
            <v>17382.189999999999</v>
          </cell>
          <cell r="H5139">
            <v>85.92</v>
          </cell>
          <cell r="I5139">
            <v>130000</v>
          </cell>
          <cell r="J5139">
            <v>106058.13</v>
          </cell>
        </row>
        <row r="5140">
          <cell r="A5140">
            <v>1826200780</v>
          </cell>
          <cell r="B5140" t="str">
            <v>אירוע פתיחת עונה</v>
          </cell>
          <cell r="C5140">
            <v>121900</v>
          </cell>
          <cell r="D5140">
            <v>118542.07</v>
          </cell>
          <cell r="E5140">
            <v>688.99</v>
          </cell>
          <cell r="F5140">
            <v>119231.06</v>
          </cell>
          <cell r="G5140">
            <v>2668.94</v>
          </cell>
          <cell r="H5140">
            <v>97.81</v>
          </cell>
          <cell r="I5140">
            <v>121900</v>
          </cell>
          <cell r="J5140">
            <v>118542.07</v>
          </cell>
        </row>
        <row r="5141">
          <cell r="A5141">
            <v>1826200781</v>
          </cell>
          <cell r="B5141" t="str">
            <v>טכס יקיר חולון</v>
          </cell>
          <cell r="C5141">
            <v>79040</v>
          </cell>
          <cell r="D5141">
            <v>19509.72</v>
          </cell>
          <cell r="E5141">
            <v>1143.82</v>
          </cell>
          <cell r="F5141">
            <v>20653.54</v>
          </cell>
          <cell r="G5141">
            <v>58386.46</v>
          </cell>
          <cell r="H5141">
            <v>26.13</v>
          </cell>
          <cell r="I5141">
            <v>83200</v>
          </cell>
          <cell r="J5141">
            <v>19509.72</v>
          </cell>
        </row>
        <row r="5142">
          <cell r="A5142">
            <v>1826200782</v>
          </cell>
          <cell r="B5142" t="str">
            <v>הפקת סרטים תיעודיים</v>
          </cell>
          <cell r="C5142">
            <v>0</v>
          </cell>
          <cell r="D5142">
            <v>0</v>
          </cell>
          <cell r="E5142">
            <v>0</v>
          </cell>
          <cell r="F5142">
            <v>0</v>
          </cell>
          <cell r="G5142">
            <v>0</v>
          </cell>
          <cell r="H5142">
            <v>0</v>
          </cell>
          <cell r="I5142">
            <v>0</v>
          </cell>
          <cell r="J5142">
            <v>0</v>
          </cell>
        </row>
        <row r="5143">
          <cell r="A5143">
            <v>1826200783</v>
          </cell>
          <cell r="B5143" t="str">
            <v>תערוכה</v>
          </cell>
          <cell r="C5143">
            <v>0</v>
          </cell>
          <cell r="D5143">
            <v>0</v>
          </cell>
          <cell r="E5143">
            <v>0</v>
          </cell>
          <cell r="F5143">
            <v>0</v>
          </cell>
          <cell r="G5143">
            <v>0</v>
          </cell>
          <cell r="H5143">
            <v>0</v>
          </cell>
          <cell r="I5143">
            <v>0</v>
          </cell>
          <cell r="J5143">
            <v>0</v>
          </cell>
        </row>
        <row r="5144">
          <cell r="A5144">
            <v>1826200784</v>
          </cell>
          <cell r="B5144" t="str">
            <v>ספר הקומיקס</v>
          </cell>
          <cell r="C5144">
            <v>35530</v>
          </cell>
          <cell r="D5144">
            <v>23710</v>
          </cell>
          <cell r="E5144">
            <v>0</v>
          </cell>
          <cell r="F5144">
            <v>23710</v>
          </cell>
          <cell r="G5144">
            <v>11820</v>
          </cell>
          <cell r="H5144">
            <v>66.73</v>
          </cell>
          <cell r="I5144">
            <v>37400</v>
          </cell>
          <cell r="J5144">
            <v>23710</v>
          </cell>
        </row>
        <row r="5145">
          <cell r="A5145">
            <v>1826200785</v>
          </cell>
          <cell r="B5145" t="str">
            <v>פסטיבל קולנוע</v>
          </cell>
          <cell r="C5145">
            <v>0</v>
          </cell>
          <cell r="D5145">
            <v>0</v>
          </cell>
          <cell r="E5145">
            <v>0</v>
          </cell>
          <cell r="F5145">
            <v>0</v>
          </cell>
          <cell r="G5145">
            <v>0</v>
          </cell>
          <cell r="H5145">
            <v>0</v>
          </cell>
          <cell r="I5145">
            <v>0</v>
          </cell>
          <cell r="J5145">
            <v>0</v>
          </cell>
        </row>
        <row r="5146">
          <cell r="A5146">
            <v>1826200786</v>
          </cell>
          <cell r="B5146" t="str">
            <v>פעולות גלריית המשכן</v>
          </cell>
          <cell r="C5146">
            <v>41610</v>
          </cell>
          <cell r="D5146">
            <v>43248.72</v>
          </cell>
          <cell r="E5146">
            <v>42.55</v>
          </cell>
          <cell r="F5146">
            <v>43291.27</v>
          </cell>
          <cell r="G5146">
            <v>-1681.27</v>
          </cell>
          <cell r="H5146">
            <v>104.04</v>
          </cell>
          <cell r="I5146">
            <v>43800</v>
          </cell>
          <cell r="J5146">
            <v>43248.72</v>
          </cell>
        </row>
        <row r="5147">
          <cell r="A5147">
            <v>1826200787</v>
          </cell>
          <cell r="B5147" t="str">
            <v>תערוכה מרכזית</v>
          </cell>
          <cell r="C5147">
            <v>7695</v>
          </cell>
          <cell r="D5147">
            <v>0</v>
          </cell>
          <cell r="E5147">
            <v>0</v>
          </cell>
          <cell r="F5147">
            <v>0</v>
          </cell>
          <cell r="G5147">
            <v>7695</v>
          </cell>
          <cell r="H5147">
            <v>0</v>
          </cell>
          <cell r="I5147">
            <v>8100</v>
          </cell>
          <cell r="J5147">
            <v>0</v>
          </cell>
        </row>
        <row r="5148">
          <cell r="A5148">
            <v>1826200788</v>
          </cell>
          <cell r="B5148" t="str">
            <v>להקות שברולט</v>
          </cell>
          <cell r="C5148">
            <v>52250</v>
          </cell>
          <cell r="D5148">
            <v>30948.5</v>
          </cell>
          <cell r="E5148">
            <v>631</v>
          </cell>
          <cell r="F5148">
            <v>31579.5</v>
          </cell>
          <cell r="G5148">
            <v>20670.5</v>
          </cell>
          <cell r="H5148">
            <v>60.43</v>
          </cell>
          <cell r="I5148">
            <v>55000</v>
          </cell>
          <cell r="J5148">
            <v>30948.5</v>
          </cell>
        </row>
        <row r="5149">
          <cell r="A5149">
            <v>1826200791</v>
          </cell>
          <cell r="B5149" t="str">
            <v>תערוכת חוצות גן המוזיאון</v>
          </cell>
          <cell r="C5149">
            <v>47120</v>
          </cell>
          <cell r="D5149">
            <v>25810</v>
          </cell>
          <cell r="E5149">
            <v>8056</v>
          </cell>
          <cell r="F5149">
            <v>33866</v>
          </cell>
          <cell r="G5149">
            <v>13254</v>
          </cell>
          <cell r="H5149">
            <v>71.87</v>
          </cell>
          <cell r="I5149">
            <v>49600</v>
          </cell>
          <cell r="J5149">
            <v>25810</v>
          </cell>
        </row>
        <row r="5150">
          <cell r="A5150">
            <v>1826200792</v>
          </cell>
          <cell r="B5150" t="str">
            <v>פעולות גלריית חנקין</v>
          </cell>
          <cell r="C5150">
            <v>11590</v>
          </cell>
          <cell r="D5150">
            <v>4155.63</v>
          </cell>
          <cell r="E5150">
            <v>0</v>
          </cell>
          <cell r="F5150">
            <v>4155.63</v>
          </cell>
          <cell r="G5150">
            <v>7434.37</v>
          </cell>
          <cell r="H5150">
            <v>35.85</v>
          </cell>
          <cell r="I5150">
            <v>12200</v>
          </cell>
          <cell r="J5150">
            <v>4155.63</v>
          </cell>
        </row>
        <row r="5151">
          <cell r="A5151">
            <v>1826200793</v>
          </cell>
          <cell r="B5151" t="str">
            <v>פעולות גלריית התיאטרון</v>
          </cell>
          <cell r="C5151">
            <v>3895</v>
          </cell>
          <cell r="D5151">
            <v>0</v>
          </cell>
          <cell r="E5151">
            <v>0</v>
          </cell>
          <cell r="F5151">
            <v>0</v>
          </cell>
          <cell r="G5151">
            <v>3895</v>
          </cell>
          <cell r="H5151">
            <v>0</v>
          </cell>
          <cell r="I5151">
            <v>4100</v>
          </cell>
          <cell r="J5151">
            <v>0</v>
          </cell>
        </row>
        <row r="5152">
          <cell r="A5152">
            <v>1826200794</v>
          </cell>
          <cell r="B5152" t="str">
            <v>להקות שברולט</v>
          </cell>
          <cell r="C5152">
            <v>0</v>
          </cell>
          <cell r="D5152">
            <v>0</v>
          </cell>
          <cell r="E5152">
            <v>2296.38</v>
          </cell>
          <cell r="F5152">
            <v>2296.38</v>
          </cell>
          <cell r="G5152">
            <v>-2296.38</v>
          </cell>
          <cell r="H5152">
            <v>0</v>
          </cell>
          <cell r="I5152">
            <v>0</v>
          </cell>
          <cell r="J5152">
            <v>0</v>
          </cell>
        </row>
        <row r="5153">
          <cell r="A5153">
            <v>1826200796</v>
          </cell>
          <cell r="B5153" t="str">
            <v>פעולות גלריית החווה</v>
          </cell>
          <cell r="C5153">
            <v>46360</v>
          </cell>
          <cell r="D5153">
            <v>26072.15</v>
          </cell>
          <cell r="E5153">
            <v>2270</v>
          </cell>
          <cell r="F5153">
            <v>28342.15</v>
          </cell>
          <cell r="G5153">
            <v>18017.849999999999</v>
          </cell>
          <cell r="H5153">
            <v>61.13</v>
          </cell>
          <cell r="I5153">
            <v>48800</v>
          </cell>
          <cell r="J5153">
            <v>26072.15</v>
          </cell>
        </row>
        <row r="5154">
          <cell r="A5154">
            <v>1826300410</v>
          </cell>
          <cell r="B5154" t="str">
            <v>שכר דירה</v>
          </cell>
          <cell r="C5154">
            <v>0</v>
          </cell>
          <cell r="D5154">
            <v>0</v>
          </cell>
          <cell r="E5154">
            <v>0</v>
          </cell>
          <cell r="F5154">
            <v>0</v>
          </cell>
          <cell r="G5154">
            <v>0</v>
          </cell>
          <cell r="H5154">
            <v>0</v>
          </cell>
          <cell r="I5154">
            <v>0</v>
          </cell>
          <cell r="J5154">
            <v>0</v>
          </cell>
        </row>
        <row r="5155">
          <cell r="A5155">
            <v>1826300413</v>
          </cell>
          <cell r="B5155" t="str">
            <v>דמ"ש</v>
          </cell>
          <cell r="C5155">
            <v>0</v>
          </cell>
          <cell r="D5155">
            <v>0</v>
          </cell>
          <cell r="E5155">
            <v>0</v>
          </cell>
          <cell r="F5155">
            <v>0</v>
          </cell>
          <cell r="G5155">
            <v>0</v>
          </cell>
          <cell r="H5155">
            <v>0</v>
          </cell>
          <cell r="I5155">
            <v>0</v>
          </cell>
          <cell r="J5155">
            <v>0</v>
          </cell>
        </row>
        <row r="5156">
          <cell r="A5156">
            <v>1826300432</v>
          </cell>
          <cell r="B5156" t="str">
            <v>מים</v>
          </cell>
          <cell r="C5156">
            <v>0</v>
          </cell>
          <cell r="D5156">
            <v>0</v>
          </cell>
          <cell r="E5156">
            <v>0</v>
          </cell>
          <cell r="F5156">
            <v>0</v>
          </cell>
          <cell r="G5156">
            <v>0</v>
          </cell>
          <cell r="H5156">
            <v>0</v>
          </cell>
          <cell r="I5156">
            <v>0</v>
          </cell>
          <cell r="J5156">
            <v>0</v>
          </cell>
        </row>
        <row r="5157">
          <cell r="A5157">
            <v>1826300441</v>
          </cell>
          <cell r="B5157" t="str">
            <v>ביטוח</v>
          </cell>
          <cell r="C5157">
            <v>94525</v>
          </cell>
          <cell r="D5157">
            <v>0</v>
          </cell>
          <cell r="E5157">
            <v>0</v>
          </cell>
          <cell r="F5157">
            <v>0</v>
          </cell>
          <cell r="G5157">
            <v>94525</v>
          </cell>
          <cell r="H5157">
            <v>0</v>
          </cell>
          <cell r="I5157">
            <v>99500</v>
          </cell>
          <cell r="J5157">
            <v>0</v>
          </cell>
        </row>
        <row r="5158">
          <cell r="A5158">
            <v>1826300870</v>
          </cell>
          <cell r="B5158" t="str">
            <v>הקצבה לפעולות</v>
          </cell>
          <cell r="C5158">
            <v>3361800</v>
          </cell>
          <cell r="D5158">
            <v>3361800</v>
          </cell>
          <cell r="E5158">
            <v>0</v>
          </cell>
          <cell r="F5158">
            <v>3361800</v>
          </cell>
          <cell r="G5158">
            <v>0</v>
          </cell>
          <cell r="H5158">
            <v>100</v>
          </cell>
          <cell r="I5158">
            <v>3361800</v>
          </cell>
          <cell r="J5158">
            <v>3361800</v>
          </cell>
        </row>
        <row r="5159">
          <cell r="A5159">
            <v>1826300871</v>
          </cell>
          <cell r="B5159" t="str">
            <v>השת' בפסטיבלים</v>
          </cell>
          <cell r="C5159">
            <v>0</v>
          </cell>
          <cell r="D5159">
            <v>0</v>
          </cell>
          <cell r="E5159">
            <v>0</v>
          </cell>
          <cell r="F5159">
            <v>0</v>
          </cell>
          <cell r="G5159">
            <v>0</v>
          </cell>
          <cell r="H5159">
            <v>0</v>
          </cell>
          <cell r="I5159">
            <v>0</v>
          </cell>
          <cell r="J5159">
            <v>0</v>
          </cell>
        </row>
        <row r="5160">
          <cell r="A5160">
            <v>1826300872</v>
          </cell>
          <cell r="B5160" t="str">
            <v>בגובה העיניים</v>
          </cell>
          <cell r="C5160">
            <v>757000</v>
          </cell>
          <cell r="D5160">
            <v>757000</v>
          </cell>
          <cell r="E5160">
            <v>0</v>
          </cell>
          <cell r="F5160">
            <v>757000</v>
          </cell>
          <cell r="G5160">
            <v>0</v>
          </cell>
          <cell r="H5160">
            <v>100</v>
          </cell>
          <cell r="I5160">
            <v>757000</v>
          </cell>
          <cell r="J5160">
            <v>757000</v>
          </cell>
        </row>
        <row r="5161">
          <cell r="A5161">
            <v>1826300873</v>
          </cell>
          <cell r="B5161" t="str">
            <v>ארועים - חדש</v>
          </cell>
          <cell r="C5161">
            <v>0</v>
          </cell>
          <cell r="D5161">
            <v>0</v>
          </cell>
          <cell r="E5161">
            <v>0</v>
          </cell>
          <cell r="F5161">
            <v>0</v>
          </cell>
          <cell r="G5161">
            <v>0</v>
          </cell>
          <cell r="H5161">
            <v>0</v>
          </cell>
          <cell r="I5161">
            <v>0</v>
          </cell>
          <cell r="J5161">
            <v>0</v>
          </cell>
        </row>
        <row r="5162">
          <cell r="A5162">
            <v>1826300874</v>
          </cell>
          <cell r="B5162" t="str">
            <v>שכ"ד-מוזיאון ילדים</v>
          </cell>
          <cell r="C5162">
            <v>38000</v>
          </cell>
          <cell r="D5162">
            <v>40000</v>
          </cell>
          <cell r="E5162">
            <v>0</v>
          </cell>
          <cell r="F5162">
            <v>40000</v>
          </cell>
          <cell r="G5162">
            <v>-2000</v>
          </cell>
          <cell r="H5162">
            <v>105.26</v>
          </cell>
          <cell r="I5162">
            <v>40000</v>
          </cell>
          <cell r="J5162">
            <v>40000</v>
          </cell>
        </row>
        <row r="5163">
          <cell r="A5163">
            <v>1826300875</v>
          </cell>
          <cell r="B5163" t="str">
            <v>הש'-גייס תרומות 2007</v>
          </cell>
          <cell r="C5163">
            <v>0</v>
          </cell>
          <cell r="D5163">
            <v>0</v>
          </cell>
          <cell r="E5163">
            <v>0</v>
          </cell>
          <cell r="F5163">
            <v>0</v>
          </cell>
          <cell r="G5163">
            <v>0</v>
          </cell>
          <cell r="H5163">
            <v>0</v>
          </cell>
          <cell r="I5163">
            <v>0</v>
          </cell>
          <cell r="J5163">
            <v>0</v>
          </cell>
        </row>
        <row r="5164">
          <cell r="A5164">
            <v>1826300876</v>
          </cell>
          <cell r="B5164" t="str">
            <v>השתתפות הזמנה לשקט</v>
          </cell>
          <cell r="C5164">
            <v>450000</v>
          </cell>
          <cell r="D5164">
            <v>450000</v>
          </cell>
          <cell r="E5164">
            <v>0</v>
          </cell>
          <cell r="F5164">
            <v>450000</v>
          </cell>
          <cell r="G5164">
            <v>0</v>
          </cell>
          <cell r="H5164">
            <v>100</v>
          </cell>
          <cell r="I5164">
            <v>450000</v>
          </cell>
          <cell r="J5164">
            <v>450000</v>
          </cell>
        </row>
        <row r="5165">
          <cell r="A5165">
            <v>1826300877</v>
          </cell>
          <cell r="B5165" t="str">
            <v>השת' עד מאה ועשרים</v>
          </cell>
          <cell r="C5165">
            <v>290800</v>
          </cell>
          <cell r="D5165">
            <v>290800</v>
          </cell>
          <cell r="E5165">
            <v>0</v>
          </cell>
          <cell r="F5165">
            <v>290800</v>
          </cell>
          <cell r="G5165">
            <v>0</v>
          </cell>
          <cell r="H5165">
            <v>100</v>
          </cell>
          <cell r="I5165">
            <v>290800</v>
          </cell>
          <cell r="J5165">
            <v>290800</v>
          </cell>
        </row>
        <row r="5166">
          <cell r="A5166">
            <v>1826300878</v>
          </cell>
          <cell r="B5166" t="str">
            <v>התחייבות הסכם קיבוצי</v>
          </cell>
          <cell r="C5166">
            <v>0</v>
          </cell>
          <cell r="D5166">
            <v>0</v>
          </cell>
          <cell r="E5166">
            <v>0</v>
          </cell>
          <cell r="F5166">
            <v>0</v>
          </cell>
          <cell r="G5166">
            <v>0</v>
          </cell>
          <cell r="H5166">
            <v>0</v>
          </cell>
          <cell r="I5166">
            <v>0</v>
          </cell>
          <cell r="J5166">
            <v>0</v>
          </cell>
        </row>
        <row r="5167">
          <cell r="A5167">
            <v>1826300879</v>
          </cell>
          <cell r="B5167" t="str">
            <v>ביטוח-כנגד הכנסות</v>
          </cell>
          <cell r="C5167">
            <v>38475</v>
          </cell>
          <cell r="D5167">
            <v>40500</v>
          </cell>
          <cell r="E5167">
            <v>0</v>
          </cell>
          <cell r="F5167">
            <v>40500</v>
          </cell>
          <cell r="G5167">
            <v>-2025</v>
          </cell>
          <cell r="H5167">
            <v>105.26</v>
          </cell>
          <cell r="I5167">
            <v>40500</v>
          </cell>
          <cell r="J5167">
            <v>40500</v>
          </cell>
        </row>
        <row r="5168">
          <cell r="A5168">
            <v>1826300950</v>
          </cell>
          <cell r="B5168" t="str">
            <v>הלוואה למוזיאון הילדים</v>
          </cell>
          <cell r="C5168">
            <v>0</v>
          </cell>
          <cell r="D5168">
            <v>0</v>
          </cell>
          <cell r="E5168">
            <v>0</v>
          </cell>
          <cell r="F5168">
            <v>0</v>
          </cell>
          <cell r="G5168">
            <v>0</v>
          </cell>
          <cell r="H5168">
            <v>0</v>
          </cell>
          <cell r="I5168">
            <v>0</v>
          </cell>
          <cell r="J5168">
            <v>0</v>
          </cell>
        </row>
        <row r="5169">
          <cell r="A5169">
            <v>1826300962</v>
          </cell>
          <cell r="B5169" t="str">
            <v>רזרבה לפיתוח</v>
          </cell>
          <cell r="C5169">
            <v>0</v>
          </cell>
          <cell r="D5169">
            <v>0</v>
          </cell>
          <cell r="E5169">
            <v>0</v>
          </cell>
          <cell r="F5169">
            <v>0</v>
          </cell>
          <cell r="G5169">
            <v>0</v>
          </cell>
          <cell r="H5169">
            <v>0</v>
          </cell>
          <cell r="I5169">
            <v>0</v>
          </cell>
          <cell r="J5169">
            <v>0</v>
          </cell>
        </row>
        <row r="5170">
          <cell r="A5170">
            <v>1826300981</v>
          </cell>
          <cell r="B5170" t="str">
            <v>הוצאות שנים קודמות</v>
          </cell>
          <cell r="C5170">
            <v>1219420</v>
          </cell>
          <cell r="D5170">
            <v>1283600</v>
          </cell>
          <cell r="E5170">
            <v>0</v>
          </cell>
          <cell r="F5170">
            <v>1283600</v>
          </cell>
          <cell r="G5170">
            <v>-64180</v>
          </cell>
          <cell r="H5170">
            <v>105.26</v>
          </cell>
          <cell r="I5170">
            <v>1283600</v>
          </cell>
          <cell r="J5170">
            <v>1283600</v>
          </cell>
        </row>
        <row r="5171">
          <cell r="A5171">
            <v>1826400211</v>
          </cell>
          <cell r="B5171" t="str">
            <v>העסקת עובדי עירייה</v>
          </cell>
          <cell r="C5171">
            <v>0</v>
          </cell>
          <cell r="D5171">
            <v>0</v>
          </cell>
          <cell r="E5171">
            <v>0</v>
          </cell>
          <cell r="F5171">
            <v>0</v>
          </cell>
          <cell r="G5171">
            <v>0</v>
          </cell>
          <cell r="H5171">
            <v>0</v>
          </cell>
          <cell r="I5171">
            <v>0</v>
          </cell>
          <cell r="J5171">
            <v>0</v>
          </cell>
        </row>
        <row r="5172">
          <cell r="A5172">
            <v>1826400413</v>
          </cell>
          <cell r="B5172" t="str">
            <v>דמ"ש</v>
          </cell>
          <cell r="C5172">
            <v>0</v>
          </cell>
          <cell r="D5172">
            <v>0</v>
          </cell>
          <cell r="E5172">
            <v>0</v>
          </cell>
          <cell r="F5172">
            <v>0</v>
          </cell>
          <cell r="G5172">
            <v>0</v>
          </cell>
          <cell r="H5172">
            <v>0</v>
          </cell>
          <cell r="I5172">
            <v>0</v>
          </cell>
          <cell r="J5172">
            <v>0</v>
          </cell>
        </row>
        <row r="5173">
          <cell r="A5173">
            <v>1826400431</v>
          </cell>
          <cell r="B5173" t="str">
            <v>חשמל</v>
          </cell>
          <cell r="C5173">
            <v>0</v>
          </cell>
          <cell r="D5173">
            <v>0</v>
          </cell>
          <cell r="E5173">
            <v>0</v>
          </cell>
          <cell r="F5173">
            <v>0</v>
          </cell>
          <cell r="G5173">
            <v>0</v>
          </cell>
          <cell r="H5173">
            <v>0</v>
          </cell>
          <cell r="I5173">
            <v>0</v>
          </cell>
          <cell r="J5173">
            <v>0</v>
          </cell>
        </row>
        <row r="5174">
          <cell r="A5174">
            <v>1826400432</v>
          </cell>
          <cell r="B5174" t="str">
            <v>מים</v>
          </cell>
          <cell r="C5174">
            <v>0</v>
          </cell>
          <cell r="D5174">
            <v>0</v>
          </cell>
          <cell r="E5174">
            <v>0</v>
          </cell>
          <cell r="F5174">
            <v>0</v>
          </cell>
          <cell r="G5174">
            <v>0</v>
          </cell>
          <cell r="H5174">
            <v>0</v>
          </cell>
          <cell r="I5174">
            <v>0</v>
          </cell>
          <cell r="J5174">
            <v>0</v>
          </cell>
        </row>
        <row r="5175">
          <cell r="A5175">
            <v>1826400441</v>
          </cell>
          <cell r="B5175" t="str">
            <v>ביטוח</v>
          </cell>
          <cell r="C5175">
            <v>31540</v>
          </cell>
          <cell r="D5175">
            <v>0</v>
          </cell>
          <cell r="E5175">
            <v>0</v>
          </cell>
          <cell r="F5175">
            <v>0</v>
          </cell>
          <cell r="G5175">
            <v>31540</v>
          </cell>
          <cell r="H5175">
            <v>0</v>
          </cell>
          <cell r="I5175">
            <v>33200</v>
          </cell>
          <cell r="J5175">
            <v>0</v>
          </cell>
        </row>
        <row r="5176">
          <cell r="A5176">
            <v>1826400786</v>
          </cell>
          <cell r="B5176" t="str">
            <v>להקות ייצוגיות</v>
          </cell>
          <cell r="C5176">
            <v>95000</v>
          </cell>
          <cell r="D5176">
            <v>100000</v>
          </cell>
          <cell r="E5176">
            <v>0</v>
          </cell>
          <cell r="F5176">
            <v>100000</v>
          </cell>
          <cell r="G5176">
            <v>-5000</v>
          </cell>
          <cell r="H5176">
            <v>105.26</v>
          </cell>
          <cell r="I5176">
            <v>100000</v>
          </cell>
          <cell r="J5176">
            <v>100000</v>
          </cell>
        </row>
        <row r="5177">
          <cell r="A5177">
            <v>1826400870</v>
          </cell>
          <cell r="B5177" t="str">
            <v>השתתפויות</v>
          </cell>
          <cell r="C5177">
            <v>696445</v>
          </cell>
          <cell r="D5177">
            <v>733100</v>
          </cell>
          <cell r="E5177">
            <v>0</v>
          </cell>
          <cell r="F5177">
            <v>733100</v>
          </cell>
          <cell r="G5177">
            <v>-36655</v>
          </cell>
          <cell r="H5177">
            <v>105.26</v>
          </cell>
          <cell r="I5177">
            <v>733100</v>
          </cell>
          <cell r="J5177">
            <v>733100</v>
          </cell>
        </row>
        <row r="5178">
          <cell r="A5178">
            <v>1826400871</v>
          </cell>
          <cell r="B5178" t="str">
            <v>מופעים לצעירים +21</v>
          </cell>
          <cell r="C5178">
            <v>0</v>
          </cell>
          <cell r="D5178">
            <v>0</v>
          </cell>
          <cell r="E5178">
            <v>0</v>
          </cell>
          <cell r="F5178">
            <v>0</v>
          </cell>
          <cell r="G5178">
            <v>0</v>
          </cell>
          <cell r="H5178">
            <v>0</v>
          </cell>
          <cell r="I5178">
            <v>0</v>
          </cell>
          <cell r="J5178">
            <v>0</v>
          </cell>
        </row>
        <row r="5179">
          <cell r="A5179">
            <v>1826400872</v>
          </cell>
          <cell r="B5179" t="str">
            <v>פרויוקט מוזיקה</v>
          </cell>
          <cell r="C5179">
            <v>0</v>
          </cell>
          <cell r="D5179">
            <v>0</v>
          </cell>
          <cell r="E5179">
            <v>0</v>
          </cell>
          <cell r="F5179">
            <v>0</v>
          </cell>
          <cell r="G5179">
            <v>0</v>
          </cell>
          <cell r="H5179">
            <v>0</v>
          </cell>
          <cell r="I5179">
            <v>0</v>
          </cell>
          <cell r="J5179">
            <v>0</v>
          </cell>
        </row>
        <row r="5180">
          <cell r="A5180">
            <v>1826400873</v>
          </cell>
          <cell r="B5180" t="str">
            <v>תערוכות בובות</v>
          </cell>
          <cell r="C5180">
            <v>0</v>
          </cell>
          <cell r="D5180">
            <v>0</v>
          </cell>
          <cell r="E5180">
            <v>0</v>
          </cell>
          <cell r="F5180">
            <v>0</v>
          </cell>
          <cell r="G5180">
            <v>0</v>
          </cell>
          <cell r="H5180">
            <v>0</v>
          </cell>
          <cell r="I5180">
            <v>0</v>
          </cell>
          <cell r="J5180">
            <v>0</v>
          </cell>
        </row>
        <row r="5181">
          <cell r="A5181">
            <v>1826400874</v>
          </cell>
          <cell r="B5181" t="str">
            <v>פסטיבל קוסמים</v>
          </cell>
          <cell r="C5181">
            <v>0</v>
          </cell>
          <cell r="D5181">
            <v>0</v>
          </cell>
          <cell r="E5181">
            <v>0</v>
          </cell>
          <cell r="F5181">
            <v>0</v>
          </cell>
          <cell r="G5181">
            <v>0</v>
          </cell>
          <cell r="H5181">
            <v>0</v>
          </cell>
          <cell r="I5181">
            <v>0</v>
          </cell>
          <cell r="J5181">
            <v>0</v>
          </cell>
        </row>
        <row r="5182">
          <cell r="A5182">
            <v>1826400875</v>
          </cell>
          <cell r="B5182" t="str">
            <v>מנהל מוסיקלי</v>
          </cell>
          <cell r="C5182">
            <v>231515</v>
          </cell>
          <cell r="D5182">
            <v>243700</v>
          </cell>
          <cell r="E5182">
            <v>0</v>
          </cell>
          <cell r="F5182">
            <v>243700</v>
          </cell>
          <cell r="G5182">
            <v>-12185</v>
          </cell>
          <cell r="H5182">
            <v>105.26</v>
          </cell>
          <cell r="I5182">
            <v>243700</v>
          </cell>
          <cell r="J5182">
            <v>243700</v>
          </cell>
        </row>
        <row r="5183">
          <cell r="A5183">
            <v>1826400876</v>
          </cell>
          <cell r="B5183" t="str">
            <v>פסיטבל המוסיקה</v>
          </cell>
          <cell r="C5183">
            <v>0</v>
          </cell>
          <cell r="D5183">
            <v>0</v>
          </cell>
          <cell r="E5183">
            <v>0</v>
          </cell>
          <cell r="F5183">
            <v>0</v>
          </cell>
          <cell r="G5183">
            <v>0</v>
          </cell>
          <cell r="H5183">
            <v>0</v>
          </cell>
          <cell r="I5183">
            <v>0</v>
          </cell>
          <cell r="J5183">
            <v>0</v>
          </cell>
        </row>
        <row r="5184">
          <cell r="A5184">
            <v>1826400877</v>
          </cell>
          <cell r="B5184" t="str">
            <v>חשמל - שטיינברג</v>
          </cell>
          <cell r="C5184">
            <v>119700</v>
          </cell>
          <cell r="D5184">
            <v>51426.41</v>
          </cell>
          <cell r="E5184">
            <v>0</v>
          </cell>
          <cell r="F5184">
            <v>51426.41</v>
          </cell>
          <cell r="G5184">
            <v>68273.59</v>
          </cell>
          <cell r="H5184">
            <v>42.96</v>
          </cell>
          <cell r="I5184">
            <v>126000</v>
          </cell>
          <cell r="J5184">
            <v>51426.41</v>
          </cell>
        </row>
        <row r="5185">
          <cell r="A5185">
            <v>1826400879</v>
          </cell>
          <cell r="B5185" t="str">
            <v>ביטוח-כנגד הכנסות</v>
          </cell>
          <cell r="C5185">
            <v>12825</v>
          </cell>
          <cell r="D5185">
            <v>13500</v>
          </cell>
          <cell r="E5185">
            <v>0</v>
          </cell>
          <cell r="F5185">
            <v>13500</v>
          </cell>
          <cell r="G5185">
            <v>-675</v>
          </cell>
          <cell r="H5185">
            <v>105.26</v>
          </cell>
          <cell r="I5185">
            <v>13500</v>
          </cell>
          <cell r="J5185">
            <v>13500</v>
          </cell>
        </row>
        <row r="5186">
          <cell r="A5186">
            <v>1826400961</v>
          </cell>
          <cell r="B5186" t="str">
            <v>רז' פעולות ורכישות</v>
          </cell>
          <cell r="C5186">
            <v>0</v>
          </cell>
          <cell r="D5186">
            <v>0</v>
          </cell>
          <cell r="E5186">
            <v>0</v>
          </cell>
          <cell r="F5186">
            <v>0</v>
          </cell>
          <cell r="G5186">
            <v>0</v>
          </cell>
          <cell r="H5186">
            <v>0</v>
          </cell>
          <cell r="I5186">
            <v>0</v>
          </cell>
          <cell r="J5186">
            <v>0</v>
          </cell>
        </row>
        <row r="5187">
          <cell r="A5187">
            <v>1826500110</v>
          </cell>
          <cell r="B5187" t="str">
            <v>השכר הקובע-תקציבית</v>
          </cell>
          <cell r="C5187">
            <v>0</v>
          </cell>
          <cell r="D5187">
            <v>0</v>
          </cell>
          <cell r="E5187">
            <v>0</v>
          </cell>
          <cell r="F5187">
            <v>0</v>
          </cell>
          <cell r="G5187">
            <v>0</v>
          </cell>
          <cell r="H5187">
            <v>0</v>
          </cell>
          <cell r="I5187">
            <v>0</v>
          </cell>
          <cell r="J5187">
            <v>0</v>
          </cell>
        </row>
        <row r="5188">
          <cell r="A5188">
            <v>1826500119</v>
          </cell>
          <cell r="B5188" t="str">
            <v>השכר הקובע-צוברת</v>
          </cell>
          <cell r="C5188">
            <v>645145</v>
          </cell>
          <cell r="D5188">
            <v>556039.05000000005</v>
          </cell>
          <cell r="E5188">
            <v>0</v>
          </cell>
          <cell r="F5188">
            <v>556039.05000000005</v>
          </cell>
          <cell r="G5188">
            <v>89105.95</v>
          </cell>
          <cell r="H5188">
            <v>86.18</v>
          </cell>
          <cell r="I5188">
            <v>679100</v>
          </cell>
          <cell r="J5188">
            <v>556039.05000000005</v>
          </cell>
        </row>
        <row r="5189">
          <cell r="A5189">
            <v>1826500122</v>
          </cell>
          <cell r="B5189" t="str">
            <v>ביגוד</v>
          </cell>
          <cell r="C5189">
            <v>6460</v>
          </cell>
          <cell r="D5189">
            <v>5394.05</v>
          </cell>
          <cell r="E5189">
            <v>0</v>
          </cell>
          <cell r="F5189">
            <v>5394.05</v>
          </cell>
          <cell r="G5189">
            <v>1065.95</v>
          </cell>
          <cell r="H5189">
            <v>83.49</v>
          </cell>
          <cell r="I5189">
            <v>6800</v>
          </cell>
          <cell r="J5189">
            <v>5394.05</v>
          </cell>
        </row>
        <row r="5190">
          <cell r="A5190">
            <v>1826500126</v>
          </cell>
          <cell r="B5190" t="str">
            <v>דמי הבראה</v>
          </cell>
          <cell r="C5190">
            <v>19950</v>
          </cell>
          <cell r="D5190">
            <v>10842.2</v>
          </cell>
          <cell r="E5190">
            <v>0</v>
          </cell>
          <cell r="F5190">
            <v>10842.2</v>
          </cell>
          <cell r="G5190">
            <v>9107.7999999999993</v>
          </cell>
          <cell r="H5190">
            <v>54.34</v>
          </cell>
          <cell r="I5190">
            <v>21000</v>
          </cell>
          <cell r="J5190">
            <v>10842.2</v>
          </cell>
        </row>
        <row r="5191">
          <cell r="A5191">
            <v>1826500130</v>
          </cell>
          <cell r="B5191" t="str">
            <v>שעות נוספות</v>
          </cell>
          <cell r="C5191">
            <v>27930</v>
          </cell>
          <cell r="D5191">
            <v>30695.74</v>
          </cell>
          <cell r="E5191">
            <v>0</v>
          </cell>
          <cell r="F5191">
            <v>30695.74</v>
          </cell>
          <cell r="G5191">
            <v>-2765.74</v>
          </cell>
          <cell r="H5191">
            <v>109.9</v>
          </cell>
          <cell r="I5191">
            <v>29400</v>
          </cell>
          <cell r="J5191">
            <v>30695.74</v>
          </cell>
        </row>
        <row r="5192">
          <cell r="A5192">
            <v>1826500140</v>
          </cell>
          <cell r="B5192" t="str">
            <v>השתתפות באחזקת רכב</v>
          </cell>
          <cell r="C5192">
            <v>43225</v>
          </cell>
          <cell r="D5192">
            <v>25770.639999999999</v>
          </cell>
          <cell r="E5192">
            <v>0</v>
          </cell>
          <cell r="F5192">
            <v>25770.639999999999</v>
          </cell>
          <cell r="G5192">
            <v>17454.36</v>
          </cell>
          <cell r="H5192">
            <v>59.61</v>
          </cell>
          <cell r="I5192">
            <v>45500</v>
          </cell>
          <cell r="J5192">
            <v>25770.639999999999</v>
          </cell>
        </row>
        <row r="5193">
          <cell r="A5193">
            <v>1826500210</v>
          </cell>
          <cell r="B5193" t="str">
            <v>השכר הקובע</v>
          </cell>
          <cell r="C5193">
            <v>22800</v>
          </cell>
          <cell r="D5193">
            <v>17550.29</v>
          </cell>
          <cell r="E5193">
            <v>0</v>
          </cell>
          <cell r="F5193">
            <v>17550.29</v>
          </cell>
          <cell r="G5193">
            <v>5249.71</v>
          </cell>
          <cell r="H5193">
            <v>76.97</v>
          </cell>
          <cell r="I5193">
            <v>24000</v>
          </cell>
          <cell r="J5193">
            <v>17550.29</v>
          </cell>
        </row>
        <row r="5194">
          <cell r="A5194">
            <v>1826500263</v>
          </cell>
          <cell r="B5194" t="str">
            <v>עובדי כ"א</v>
          </cell>
          <cell r="C5194">
            <v>0</v>
          </cell>
          <cell r="D5194">
            <v>0</v>
          </cell>
          <cell r="E5194">
            <v>0</v>
          </cell>
          <cell r="F5194">
            <v>0</v>
          </cell>
          <cell r="G5194">
            <v>0</v>
          </cell>
          <cell r="H5194">
            <v>0</v>
          </cell>
          <cell r="I5194">
            <v>0</v>
          </cell>
          <cell r="J5194">
            <v>0</v>
          </cell>
        </row>
        <row r="5195">
          <cell r="A5195">
            <v>1826500350</v>
          </cell>
          <cell r="B5195" t="str">
            <v>ליסינג - 782-26-002</v>
          </cell>
          <cell r="C5195">
            <v>41800</v>
          </cell>
          <cell r="D5195">
            <v>46050.96</v>
          </cell>
          <cell r="E5195">
            <v>0</v>
          </cell>
          <cell r="F5195">
            <v>46050.96</v>
          </cell>
          <cell r="G5195">
            <v>-4250.96</v>
          </cell>
          <cell r="H5195">
            <v>110.16</v>
          </cell>
          <cell r="I5195">
            <v>44000</v>
          </cell>
          <cell r="J5195">
            <v>46050.96</v>
          </cell>
        </row>
        <row r="5196">
          <cell r="A5196">
            <v>1826500351</v>
          </cell>
          <cell r="B5196" t="str">
            <v>הוצאות - 782-26-002</v>
          </cell>
          <cell r="C5196">
            <v>30500</v>
          </cell>
          <cell r="D5196">
            <v>35499.980000000003</v>
          </cell>
          <cell r="E5196">
            <v>0</v>
          </cell>
          <cell r="F5196">
            <v>35499.980000000003</v>
          </cell>
          <cell r="G5196">
            <v>-4999.9799999999996</v>
          </cell>
          <cell r="H5196">
            <v>116.39</v>
          </cell>
          <cell r="I5196">
            <v>30500</v>
          </cell>
          <cell r="J5196">
            <v>35499.980000000003</v>
          </cell>
        </row>
        <row r="5197">
          <cell r="A5197">
            <v>1826500471</v>
          </cell>
          <cell r="B5197" t="str">
            <v>מכשירי כתיבה</v>
          </cell>
          <cell r="C5197">
            <v>2280</v>
          </cell>
          <cell r="D5197">
            <v>2215.39</v>
          </cell>
          <cell r="E5197">
            <v>0</v>
          </cell>
          <cell r="F5197">
            <v>2215.39</v>
          </cell>
          <cell r="G5197">
            <v>64.61</v>
          </cell>
          <cell r="H5197">
            <v>97.16</v>
          </cell>
          <cell r="I5197">
            <v>2400</v>
          </cell>
          <cell r="J5197">
            <v>2215.39</v>
          </cell>
        </row>
        <row r="5198">
          <cell r="A5198">
            <v>1826500511</v>
          </cell>
          <cell r="B5198" t="str">
            <v>אירוח וכיבוד</v>
          </cell>
          <cell r="C5198">
            <v>1900</v>
          </cell>
          <cell r="D5198">
            <v>1120.03</v>
          </cell>
          <cell r="E5198">
            <v>18.57</v>
          </cell>
          <cell r="F5198">
            <v>1138.5999999999999</v>
          </cell>
          <cell r="G5198">
            <v>761.4</v>
          </cell>
          <cell r="H5198">
            <v>59.92</v>
          </cell>
          <cell r="I5198">
            <v>2000</v>
          </cell>
          <cell r="J5198">
            <v>1120.03</v>
          </cell>
        </row>
        <row r="5199">
          <cell r="A5199">
            <v>1826500561</v>
          </cell>
          <cell r="B5199" t="str">
            <v>שיכפולים</v>
          </cell>
          <cell r="C5199">
            <v>0</v>
          </cell>
          <cell r="D5199">
            <v>0</v>
          </cell>
          <cell r="E5199">
            <v>0</v>
          </cell>
          <cell r="F5199">
            <v>0</v>
          </cell>
          <cell r="G5199">
            <v>0</v>
          </cell>
          <cell r="H5199">
            <v>0</v>
          </cell>
          <cell r="I5199">
            <v>0</v>
          </cell>
          <cell r="J5199">
            <v>0</v>
          </cell>
        </row>
        <row r="5200">
          <cell r="A5200">
            <v>1826500571</v>
          </cell>
          <cell r="B5200" t="str">
            <v>מיכון וענ"א</v>
          </cell>
          <cell r="C5200">
            <v>41420</v>
          </cell>
          <cell r="D5200">
            <v>43600</v>
          </cell>
          <cell r="E5200">
            <v>0</v>
          </cell>
          <cell r="F5200">
            <v>43600</v>
          </cell>
          <cell r="G5200">
            <v>-2180</v>
          </cell>
          <cell r="H5200">
            <v>105.26</v>
          </cell>
          <cell r="I5200">
            <v>43600</v>
          </cell>
          <cell r="J5200">
            <v>43600</v>
          </cell>
        </row>
        <row r="5201">
          <cell r="A5201">
            <v>1826500782</v>
          </cell>
          <cell r="B5201" t="str">
            <v>הפקת ארועים</v>
          </cell>
          <cell r="C5201">
            <v>6504616</v>
          </cell>
          <cell r="D5201">
            <v>6449705.8700000001</v>
          </cell>
          <cell r="E5201">
            <v>306473.08</v>
          </cell>
          <cell r="F5201">
            <v>6756178.9500000002</v>
          </cell>
          <cell r="G5201">
            <v>-251562.95</v>
          </cell>
          <cell r="H5201">
            <v>103.86</v>
          </cell>
          <cell r="I5201">
            <v>6504616</v>
          </cell>
          <cell r="J5201">
            <v>6449705.8700000001</v>
          </cell>
        </row>
        <row r="5202">
          <cell r="A5202">
            <v>1826500783</v>
          </cell>
          <cell r="B5202" t="str">
            <v>תוכנית סל"ע (כנגד הכנסה)</v>
          </cell>
          <cell r="C5202">
            <v>724850</v>
          </cell>
          <cell r="D5202">
            <v>394169.99</v>
          </cell>
          <cell r="E5202">
            <v>0</v>
          </cell>
          <cell r="F5202">
            <v>394169.99</v>
          </cell>
          <cell r="G5202">
            <v>330680.01</v>
          </cell>
          <cell r="H5202">
            <v>54.37</v>
          </cell>
          <cell r="I5202">
            <v>763000</v>
          </cell>
          <cell r="J5202">
            <v>394169.99</v>
          </cell>
        </row>
        <row r="5203">
          <cell r="A5203">
            <v>1826500784</v>
          </cell>
          <cell r="B5203" t="str">
            <v>פרס קוגל ואיילון</v>
          </cell>
          <cell r="C5203">
            <v>61750</v>
          </cell>
          <cell r="D5203">
            <v>0</v>
          </cell>
          <cell r="E5203">
            <v>0</v>
          </cell>
          <cell r="F5203">
            <v>0</v>
          </cell>
          <cell r="G5203">
            <v>61750</v>
          </cell>
          <cell r="H5203">
            <v>0</v>
          </cell>
          <cell r="I5203">
            <v>65000</v>
          </cell>
          <cell r="J5203">
            <v>0</v>
          </cell>
        </row>
        <row r="5204">
          <cell r="A5204">
            <v>1826500785</v>
          </cell>
          <cell r="B5204" t="str">
            <v>אירועים כנגד הכנסות</v>
          </cell>
          <cell r="C5204">
            <v>0</v>
          </cell>
          <cell r="D5204">
            <v>0</v>
          </cell>
          <cell r="E5204">
            <v>0</v>
          </cell>
          <cell r="F5204">
            <v>0</v>
          </cell>
          <cell r="G5204">
            <v>0</v>
          </cell>
          <cell r="H5204">
            <v>0</v>
          </cell>
          <cell r="I5204">
            <v>0</v>
          </cell>
          <cell r="J5204">
            <v>0</v>
          </cell>
        </row>
        <row r="5205">
          <cell r="A5205">
            <v>1826500788</v>
          </cell>
          <cell r="B5205" t="str">
            <v>פסטיבל שירה בינלאומי</v>
          </cell>
          <cell r="C5205">
            <v>0</v>
          </cell>
          <cell r="D5205">
            <v>0</v>
          </cell>
          <cell r="E5205">
            <v>0</v>
          </cell>
          <cell r="F5205">
            <v>0</v>
          </cell>
          <cell r="G5205">
            <v>0</v>
          </cell>
          <cell r="H5205">
            <v>0</v>
          </cell>
          <cell r="I5205">
            <v>0</v>
          </cell>
          <cell r="J5205">
            <v>0</v>
          </cell>
        </row>
        <row r="5206">
          <cell r="A5206">
            <v>1826500794</v>
          </cell>
          <cell r="B5206" t="str">
            <v>השתתפות בעזר 094</v>
          </cell>
          <cell r="C5206">
            <v>9690</v>
          </cell>
          <cell r="D5206">
            <v>12165</v>
          </cell>
          <cell r="E5206">
            <v>0</v>
          </cell>
          <cell r="F5206">
            <v>12165</v>
          </cell>
          <cell r="G5206">
            <v>-2475</v>
          </cell>
          <cell r="H5206">
            <v>125.54</v>
          </cell>
          <cell r="I5206">
            <v>10200</v>
          </cell>
          <cell r="J5206">
            <v>12165</v>
          </cell>
        </row>
        <row r="5207">
          <cell r="A5207">
            <v>1826500931</v>
          </cell>
          <cell r="B5207" t="str">
            <v>ארועי שנת ה - 60</v>
          </cell>
          <cell r="C5207">
            <v>0</v>
          </cell>
          <cell r="D5207">
            <v>0</v>
          </cell>
          <cell r="E5207">
            <v>0</v>
          </cell>
          <cell r="F5207">
            <v>0</v>
          </cell>
          <cell r="G5207">
            <v>0</v>
          </cell>
          <cell r="H5207">
            <v>0</v>
          </cell>
          <cell r="I5207">
            <v>0</v>
          </cell>
          <cell r="J5207">
            <v>0</v>
          </cell>
        </row>
        <row r="5208">
          <cell r="A5208">
            <v>1826500980</v>
          </cell>
          <cell r="B5208" t="str">
            <v>השכרות</v>
          </cell>
          <cell r="C5208">
            <v>0</v>
          </cell>
          <cell r="D5208">
            <v>0</v>
          </cell>
          <cell r="E5208">
            <v>0</v>
          </cell>
          <cell r="F5208">
            <v>0</v>
          </cell>
          <cell r="G5208">
            <v>0</v>
          </cell>
          <cell r="H5208">
            <v>0</v>
          </cell>
          <cell r="I5208">
            <v>0</v>
          </cell>
          <cell r="J5208">
            <v>0</v>
          </cell>
        </row>
        <row r="5209">
          <cell r="A5209">
            <v>1826600870</v>
          </cell>
          <cell r="B5209" t="str">
            <v>הש':תזמורת יד-חריף</v>
          </cell>
          <cell r="C5209">
            <v>0</v>
          </cell>
          <cell r="D5209">
            <v>0</v>
          </cell>
          <cell r="E5209">
            <v>0</v>
          </cell>
          <cell r="F5209">
            <v>0</v>
          </cell>
          <cell r="G5209">
            <v>0</v>
          </cell>
          <cell r="H5209">
            <v>0</v>
          </cell>
          <cell r="I5209">
            <v>0</v>
          </cell>
          <cell r="J5209">
            <v>0</v>
          </cell>
        </row>
        <row r="5210">
          <cell r="A5210">
            <v>1826700000</v>
          </cell>
          <cell r="B5210" t="str">
            <v>מרכז סירקין</v>
          </cell>
          <cell r="C5210">
            <v>0</v>
          </cell>
          <cell r="D5210">
            <v>0</v>
          </cell>
          <cell r="E5210">
            <v>0</v>
          </cell>
          <cell r="F5210">
            <v>0</v>
          </cell>
          <cell r="G5210">
            <v>0</v>
          </cell>
          <cell r="H5210">
            <v>0</v>
          </cell>
          <cell r="I5210">
            <v>0</v>
          </cell>
          <cell r="J5210">
            <v>0</v>
          </cell>
        </row>
        <row r="5211">
          <cell r="A5211">
            <v>1826700780</v>
          </cell>
          <cell r="B5211" t="str">
            <v>הוצאות-כנגד הכנסות</v>
          </cell>
          <cell r="C5211">
            <v>332500</v>
          </cell>
          <cell r="D5211">
            <v>180823</v>
          </cell>
          <cell r="E5211">
            <v>0</v>
          </cell>
          <cell r="F5211">
            <v>180823</v>
          </cell>
          <cell r="G5211">
            <v>151677</v>
          </cell>
          <cell r="H5211">
            <v>54.38</v>
          </cell>
          <cell r="I5211">
            <v>350000</v>
          </cell>
          <cell r="J5211">
            <v>180823</v>
          </cell>
        </row>
        <row r="5212">
          <cell r="A5212">
            <v>1826700870</v>
          </cell>
          <cell r="B5212" t="str">
            <v>הפעלת סירקין</v>
          </cell>
          <cell r="C5212">
            <v>990375</v>
          </cell>
          <cell r="D5212">
            <v>1042500</v>
          </cell>
          <cell r="E5212">
            <v>0</v>
          </cell>
          <cell r="F5212">
            <v>1042500</v>
          </cell>
          <cell r="G5212">
            <v>-52125</v>
          </cell>
          <cell r="H5212">
            <v>105.26</v>
          </cell>
          <cell r="I5212">
            <v>1042500</v>
          </cell>
          <cell r="J5212">
            <v>1042500</v>
          </cell>
        </row>
        <row r="5213">
          <cell r="A5213">
            <v>1826700871</v>
          </cell>
          <cell r="B5213" t="str">
            <v>פסטיבל בובות</v>
          </cell>
          <cell r="C5213">
            <v>0</v>
          </cell>
          <cell r="D5213">
            <v>0.66</v>
          </cell>
          <cell r="E5213">
            <v>0</v>
          </cell>
          <cell r="F5213">
            <v>0.66</v>
          </cell>
          <cell r="G5213">
            <v>-0.66</v>
          </cell>
          <cell r="H5213">
            <v>0</v>
          </cell>
          <cell r="I5213">
            <v>0</v>
          </cell>
          <cell r="J5213">
            <v>0.66</v>
          </cell>
        </row>
        <row r="5214">
          <cell r="A5214">
            <v>1826700872</v>
          </cell>
          <cell r="B5214" t="str">
            <v>בי"ס לבובות</v>
          </cell>
          <cell r="C5214">
            <v>316160</v>
          </cell>
          <cell r="D5214">
            <v>332801.68</v>
          </cell>
          <cell r="E5214">
            <v>0</v>
          </cell>
          <cell r="F5214">
            <v>332801.68</v>
          </cell>
          <cell r="G5214">
            <v>-16641.68</v>
          </cell>
          <cell r="H5214">
            <v>105.26</v>
          </cell>
          <cell r="I5214">
            <v>332800</v>
          </cell>
          <cell r="J5214">
            <v>332801.68</v>
          </cell>
        </row>
        <row r="5215">
          <cell r="A5215">
            <v>1826700873</v>
          </cell>
          <cell r="B5215" t="str">
            <v>מוזיאון בובות</v>
          </cell>
          <cell r="C5215">
            <v>0</v>
          </cell>
          <cell r="D5215">
            <v>0</v>
          </cell>
          <cell r="E5215">
            <v>0</v>
          </cell>
          <cell r="F5215">
            <v>0</v>
          </cell>
          <cell r="G5215">
            <v>0</v>
          </cell>
          <cell r="H5215">
            <v>0</v>
          </cell>
          <cell r="I5215">
            <v>0</v>
          </cell>
          <cell r="J5215">
            <v>0</v>
          </cell>
        </row>
        <row r="5216">
          <cell r="A5216">
            <v>1826700874</v>
          </cell>
          <cell r="B5216" t="str">
            <v>פסטיבל קוסמים</v>
          </cell>
          <cell r="C5216">
            <v>59090</v>
          </cell>
          <cell r="D5216">
            <v>0.66</v>
          </cell>
          <cell r="E5216">
            <v>0</v>
          </cell>
          <cell r="F5216">
            <v>0.66</v>
          </cell>
          <cell r="G5216">
            <v>59089.34</v>
          </cell>
          <cell r="H5216">
            <v>0</v>
          </cell>
          <cell r="I5216">
            <v>62200</v>
          </cell>
          <cell r="J5216">
            <v>0.66</v>
          </cell>
        </row>
        <row r="5217">
          <cell r="A5217">
            <v>1826700875</v>
          </cell>
          <cell r="B5217" t="str">
            <v>קורס אומנות הקרנבל</v>
          </cell>
          <cell r="C5217">
            <v>43985</v>
          </cell>
          <cell r="D5217">
            <v>46300.32</v>
          </cell>
          <cell r="E5217">
            <v>0</v>
          </cell>
          <cell r="F5217">
            <v>46300.32</v>
          </cell>
          <cell r="G5217">
            <v>-2315.3200000000002</v>
          </cell>
          <cell r="H5217">
            <v>105.26</v>
          </cell>
          <cell r="I5217">
            <v>46300</v>
          </cell>
          <cell r="J5217">
            <v>46300.32</v>
          </cell>
        </row>
        <row r="5218">
          <cell r="A5218">
            <v>1826800000</v>
          </cell>
          <cell r="B5218" t="str">
            <v>מוזיאון העיצוב</v>
          </cell>
          <cell r="C5218">
            <v>0</v>
          </cell>
          <cell r="D5218">
            <v>0</v>
          </cell>
          <cell r="E5218">
            <v>0</v>
          </cell>
          <cell r="F5218">
            <v>0</v>
          </cell>
          <cell r="G5218">
            <v>0</v>
          </cell>
          <cell r="H5218">
            <v>0</v>
          </cell>
          <cell r="I5218">
            <v>0</v>
          </cell>
          <cell r="J5218">
            <v>0</v>
          </cell>
        </row>
        <row r="5219">
          <cell r="A5219">
            <v>1826800413</v>
          </cell>
          <cell r="B5219" t="str">
            <v>דמ"ש</v>
          </cell>
          <cell r="C5219">
            <v>0</v>
          </cell>
          <cell r="D5219">
            <v>0</v>
          </cell>
          <cell r="E5219">
            <v>0</v>
          </cell>
          <cell r="F5219">
            <v>0</v>
          </cell>
          <cell r="G5219">
            <v>0</v>
          </cell>
          <cell r="H5219">
            <v>0</v>
          </cell>
          <cell r="I5219">
            <v>0</v>
          </cell>
          <cell r="J5219">
            <v>0</v>
          </cell>
        </row>
        <row r="5220">
          <cell r="A5220">
            <v>1826800441</v>
          </cell>
          <cell r="B5220" t="str">
            <v>ביטוח</v>
          </cell>
          <cell r="C5220">
            <v>104975</v>
          </cell>
          <cell r="D5220">
            <v>0</v>
          </cell>
          <cell r="E5220">
            <v>0</v>
          </cell>
          <cell r="F5220">
            <v>0</v>
          </cell>
          <cell r="G5220">
            <v>104975</v>
          </cell>
          <cell r="H5220">
            <v>0</v>
          </cell>
          <cell r="I5220">
            <v>110500</v>
          </cell>
          <cell r="J5220">
            <v>0</v>
          </cell>
        </row>
        <row r="5221">
          <cell r="A5221">
            <v>1826800870</v>
          </cell>
          <cell r="B5221" t="str">
            <v>הפעלת מוז' העיצוב</v>
          </cell>
          <cell r="C5221">
            <v>3938200</v>
          </cell>
          <cell r="D5221">
            <v>3938200</v>
          </cell>
          <cell r="E5221">
            <v>0</v>
          </cell>
          <cell r="F5221">
            <v>3938200</v>
          </cell>
          <cell r="G5221">
            <v>0</v>
          </cell>
          <cell r="H5221">
            <v>100</v>
          </cell>
          <cell r="I5221">
            <v>3938200</v>
          </cell>
          <cell r="J5221">
            <v>3938200</v>
          </cell>
        </row>
        <row r="5222">
          <cell r="A5222">
            <v>1826800879</v>
          </cell>
          <cell r="B5222" t="str">
            <v>ביטוח כנגד הכנסות</v>
          </cell>
          <cell r="C5222">
            <v>42750</v>
          </cell>
          <cell r="D5222">
            <v>45000</v>
          </cell>
          <cell r="E5222">
            <v>0</v>
          </cell>
          <cell r="F5222">
            <v>45000</v>
          </cell>
          <cell r="G5222">
            <v>-2250</v>
          </cell>
          <cell r="H5222">
            <v>105.26</v>
          </cell>
          <cell r="I5222">
            <v>45000</v>
          </cell>
          <cell r="J5222">
            <v>45000</v>
          </cell>
        </row>
        <row r="5223">
          <cell r="A5223">
            <v>1826800930</v>
          </cell>
          <cell r="B5223" t="str">
            <v>העברה חד פעמית</v>
          </cell>
          <cell r="C5223">
            <v>0</v>
          </cell>
          <cell r="D5223">
            <v>0</v>
          </cell>
          <cell r="E5223">
            <v>0</v>
          </cell>
          <cell r="F5223">
            <v>0</v>
          </cell>
          <cell r="G5223">
            <v>0</v>
          </cell>
          <cell r="H5223">
            <v>0</v>
          </cell>
          <cell r="I5223">
            <v>0</v>
          </cell>
          <cell r="J5223">
            <v>0</v>
          </cell>
        </row>
        <row r="5224">
          <cell r="A5224">
            <v>1826800981</v>
          </cell>
          <cell r="B5224" t="str">
            <v>הוצאות שנים קודמות</v>
          </cell>
          <cell r="C5224">
            <v>521930</v>
          </cell>
          <cell r="D5224">
            <v>549400</v>
          </cell>
          <cell r="E5224">
            <v>0</v>
          </cell>
          <cell r="F5224">
            <v>549400</v>
          </cell>
          <cell r="G5224">
            <v>-27470</v>
          </cell>
          <cell r="H5224">
            <v>105.26</v>
          </cell>
          <cell r="I5224">
            <v>549400</v>
          </cell>
          <cell r="J5224">
            <v>549400</v>
          </cell>
        </row>
        <row r="5225">
          <cell r="A5225">
            <v>1828100110</v>
          </cell>
          <cell r="B5225" t="str">
            <v>השכר הקובע-תקציבית</v>
          </cell>
          <cell r="C5225">
            <v>0</v>
          </cell>
          <cell r="D5225">
            <v>0</v>
          </cell>
          <cell r="E5225">
            <v>0</v>
          </cell>
          <cell r="F5225">
            <v>0</v>
          </cell>
          <cell r="G5225">
            <v>0</v>
          </cell>
          <cell r="H5225">
            <v>0</v>
          </cell>
          <cell r="I5225">
            <v>0</v>
          </cell>
          <cell r="J5225">
            <v>0</v>
          </cell>
        </row>
        <row r="5226">
          <cell r="A5226">
            <v>1828100118</v>
          </cell>
          <cell r="B5226" t="str">
            <v>מורות - הכנה לצה"ל</v>
          </cell>
          <cell r="C5226">
            <v>0</v>
          </cell>
          <cell r="D5226">
            <v>0</v>
          </cell>
          <cell r="E5226">
            <v>0</v>
          </cell>
          <cell r="F5226">
            <v>0</v>
          </cell>
          <cell r="G5226">
            <v>0</v>
          </cell>
          <cell r="H5226">
            <v>0</v>
          </cell>
          <cell r="I5226">
            <v>0</v>
          </cell>
          <cell r="J5226">
            <v>0</v>
          </cell>
        </row>
        <row r="5227">
          <cell r="A5227">
            <v>1828100119</v>
          </cell>
          <cell r="B5227" t="str">
            <v>השכר הקובע-צוברת</v>
          </cell>
          <cell r="C5227">
            <v>2107117</v>
          </cell>
          <cell r="D5227">
            <v>2123529.11</v>
          </cell>
          <cell r="E5227">
            <v>0</v>
          </cell>
          <cell r="F5227">
            <v>2123529.11</v>
          </cell>
          <cell r="G5227">
            <v>-16412.11</v>
          </cell>
          <cell r="H5227">
            <v>100.77</v>
          </cell>
          <cell r="I5227">
            <v>2218017</v>
          </cell>
          <cell r="J5227">
            <v>2123529.11</v>
          </cell>
        </row>
        <row r="5228">
          <cell r="A5228">
            <v>1828100122</v>
          </cell>
          <cell r="B5228" t="str">
            <v>ביגוד</v>
          </cell>
          <cell r="C5228">
            <v>15295</v>
          </cell>
          <cell r="D5228">
            <v>20125.88</v>
          </cell>
          <cell r="E5228">
            <v>0</v>
          </cell>
          <cell r="F5228">
            <v>20125.88</v>
          </cell>
          <cell r="G5228">
            <v>-4830.88</v>
          </cell>
          <cell r="H5228">
            <v>131.58000000000001</v>
          </cell>
          <cell r="I5228">
            <v>16100</v>
          </cell>
          <cell r="J5228">
            <v>20125.88</v>
          </cell>
        </row>
        <row r="5229">
          <cell r="A5229">
            <v>1828100126</v>
          </cell>
          <cell r="B5229" t="str">
            <v>דמי הבראה</v>
          </cell>
          <cell r="C5229">
            <v>59850</v>
          </cell>
          <cell r="D5229">
            <v>52045.26</v>
          </cell>
          <cell r="E5229">
            <v>0</v>
          </cell>
          <cell r="F5229">
            <v>52045.26</v>
          </cell>
          <cell r="G5229">
            <v>7804.74</v>
          </cell>
          <cell r="H5229">
            <v>86.95</v>
          </cell>
          <cell r="I5229">
            <v>63000</v>
          </cell>
          <cell r="J5229">
            <v>52045.26</v>
          </cell>
        </row>
        <row r="5230">
          <cell r="A5230">
            <v>1828100130</v>
          </cell>
          <cell r="B5230" t="str">
            <v>שעות נוספות</v>
          </cell>
          <cell r="C5230">
            <v>47690</v>
          </cell>
          <cell r="D5230">
            <v>31792.2</v>
          </cell>
          <cell r="E5230">
            <v>0</v>
          </cell>
          <cell r="F5230">
            <v>31792.2</v>
          </cell>
          <cell r="G5230">
            <v>15897.8</v>
          </cell>
          <cell r="H5230">
            <v>66.66</v>
          </cell>
          <cell r="I5230">
            <v>50200</v>
          </cell>
          <cell r="J5230">
            <v>31792.2</v>
          </cell>
        </row>
        <row r="5231">
          <cell r="A5231">
            <v>1828100140</v>
          </cell>
          <cell r="B5231" t="str">
            <v>השתתפות באחזקת רכב</v>
          </cell>
          <cell r="C5231">
            <v>179550</v>
          </cell>
          <cell r="D5231">
            <v>218989.79</v>
          </cell>
          <cell r="E5231">
            <v>0</v>
          </cell>
          <cell r="F5231">
            <v>218989.79</v>
          </cell>
          <cell r="G5231">
            <v>-39439.79</v>
          </cell>
          <cell r="H5231">
            <v>121.96</v>
          </cell>
          <cell r="I5231">
            <v>189000</v>
          </cell>
          <cell r="J5231">
            <v>218989.79</v>
          </cell>
        </row>
        <row r="5232">
          <cell r="A5232">
            <v>1828100210</v>
          </cell>
          <cell r="B5232" t="str">
            <v>השכר הקובע</v>
          </cell>
          <cell r="C5232">
            <v>0</v>
          </cell>
          <cell r="D5232">
            <v>0</v>
          </cell>
          <cell r="E5232">
            <v>0</v>
          </cell>
          <cell r="F5232">
            <v>0</v>
          </cell>
          <cell r="G5232">
            <v>0</v>
          </cell>
          <cell r="H5232">
            <v>0</v>
          </cell>
          <cell r="I5232">
            <v>0</v>
          </cell>
          <cell r="J5232">
            <v>0</v>
          </cell>
        </row>
        <row r="5233">
          <cell r="A5233">
            <v>1828100220</v>
          </cell>
          <cell r="B5233" t="str">
            <v>מורות חיילות</v>
          </cell>
          <cell r="C5233">
            <v>28500</v>
          </cell>
          <cell r="D5233">
            <v>19043.68</v>
          </cell>
          <cell r="E5233">
            <v>0</v>
          </cell>
          <cell r="F5233">
            <v>19043.68</v>
          </cell>
          <cell r="G5233">
            <v>9456.32</v>
          </cell>
          <cell r="H5233">
            <v>66.81</v>
          </cell>
          <cell r="I5233">
            <v>30000</v>
          </cell>
          <cell r="J5233">
            <v>19043.68</v>
          </cell>
        </row>
        <row r="5234">
          <cell r="A5234">
            <v>1828100250</v>
          </cell>
          <cell r="B5234" t="str">
            <v>שכר מושאלים</v>
          </cell>
          <cell r="C5234">
            <v>0</v>
          </cell>
          <cell r="D5234">
            <v>0</v>
          </cell>
          <cell r="E5234">
            <v>0</v>
          </cell>
          <cell r="F5234">
            <v>0</v>
          </cell>
          <cell r="G5234">
            <v>0</v>
          </cell>
          <cell r="H5234">
            <v>0</v>
          </cell>
          <cell r="I5234">
            <v>0</v>
          </cell>
          <cell r="J5234">
            <v>0</v>
          </cell>
        </row>
        <row r="5235">
          <cell r="A5235">
            <v>1828100253</v>
          </cell>
          <cell r="B5235" t="str">
            <v>אוזן קשבת</v>
          </cell>
          <cell r="C5235">
            <v>0</v>
          </cell>
          <cell r="D5235">
            <v>0</v>
          </cell>
          <cell r="E5235">
            <v>0</v>
          </cell>
          <cell r="F5235">
            <v>0</v>
          </cell>
          <cell r="G5235">
            <v>0</v>
          </cell>
          <cell r="H5235">
            <v>0</v>
          </cell>
          <cell r="I5235">
            <v>0</v>
          </cell>
          <cell r="J5235">
            <v>0</v>
          </cell>
        </row>
        <row r="5236">
          <cell r="A5236">
            <v>1828100263</v>
          </cell>
          <cell r="B5236" t="str">
            <v>עובדי חברת מוסדות</v>
          </cell>
          <cell r="C5236">
            <v>0</v>
          </cell>
          <cell r="D5236">
            <v>0</v>
          </cell>
          <cell r="E5236">
            <v>0</v>
          </cell>
          <cell r="F5236">
            <v>0</v>
          </cell>
          <cell r="G5236">
            <v>0</v>
          </cell>
          <cell r="H5236">
            <v>0</v>
          </cell>
          <cell r="I5236">
            <v>0</v>
          </cell>
          <cell r="J5236">
            <v>0</v>
          </cell>
        </row>
        <row r="5237">
          <cell r="A5237">
            <v>1828100350</v>
          </cell>
          <cell r="B5237" t="str">
            <v>ליסינג - 132-24-402</v>
          </cell>
          <cell r="C5237">
            <v>0</v>
          </cell>
          <cell r="D5237">
            <v>0</v>
          </cell>
          <cell r="E5237">
            <v>0</v>
          </cell>
          <cell r="F5237">
            <v>0</v>
          </cell>
          <cell r="G5237">
            <v>0</v>
          </cell>
          <cell r="H5237">
            <v>0</v>
          </cell>
          <cell r="I5237">
            <v>0</v>
          </cell>
          <cell r="J5237">
            <v>0</v>
          </cell>
        </row>
        <row r="5238">
          <cell r="A5238">
            <v>1828100351</v>
          </cell>
          <cell r="B5238" t="str">
            <v>הוצאות - 132-24-402</v>
          </cell>
          <cell r="C5238">
            <v>0</v>
          </cell>
          <cell r="D5238">
            <v>0</v>
          </cell>
          <cell r="E5238">
            <v>0</v>
          </cell>
          <cell r="F5238">
            <v>0</v>
          </cell>
          <cell r="G5238">
            <v>0</v>
          </cell>
          <cell r="H5238">
            <v>0</v>
          </cell>
          <cell r="I5238">
            <v>0</v>
          </cell>
          <cell r="J5238">
            <v>0</v>
          </cell>
        </row>
        <row r="5239">
          <cell r="A5239">
            <v>1828100391</v>
          </cell>
          <cell r="B5239" t="str">
            <v>הפרשה לפנסיה</v>
          </cell>
          <cell r="C5239">
            <v>0</v>
          </cell>
          <cell r="D5239">
            <v>0</v>
          </cell>
          <cell r="E5239">
            <v>0</v>
          </cell>
          <cell r="F5239">
            <v>0</v>
          </cell>
          <cell r="G5239">
            <v>0</v>
          </cell>
          <cell r="H5239">
            <v>0</v>
          </cell>
          <cell r="I5239">
            <v>0</v>
          </cell>
          <cell r="J5239">
            <v>0</v>
          </cell>
        </row>
        <row r="5240">
          <cell r="A5240">
            <v>1828100410</v>
          </cell>
          <cell r="B5240" t="str">
            <v>השתתפות בשכר דירה</v>
          </cell>
          <cell r="C5240">
            <v>273600</v>
          </cell>
          <cell r="D5240">
            <v>207750</v>
          </cell>
          <cell r="E5240">
            <v>0</v>
          </cell>
          <cell r="F5240">
            <v>207750</v>
          </cell>
          <cell r="G5240">
            <v>65850</v>
          </cell>
          <cell r="H5240">
            <v>75.930000000000007</v>
          </cell>
          <cell r="I5240">
            <v>288000</v>
          </cell>
          <cell r="J5240">
            <v>207750</v>
          </cell>
        </row>
        <row r="5241">
          <cell r="A5241">
            <v>1828100420</v>
          </cell>
          <cell r="B5241" t="str">
            <v>כיבוי אש</v>
          </cell>
          <cell r="C5241">
            <v>9000</v>
          </cell>
          <cell r="D5241">
            <v>8905.19</v>
          </cell>
          <cell r="E5241">
            <v>0</v>
          </cell>
          <cell r="F5241">
            <v>8905.19</v>
          </cell>
          <cell r="G5241">
            <v>94.81</v>
          </cell>
          <cell r="H5241">
            <v>98.94</v>
          </cell>
          <cell r="I5241">
            <v>9000</v>
          </cell>
          <cell r="J5241">
            <v>8905.19</v>
          </cell>
        </row>
        <row r="5242">
          <cell r="A5242">
            <v>1828100423</v>
          </cell>
          <cell r="B5242" t="str">
            <v>תחזוקת מבנה</v>
          </cell>
          <cell r="C5242">
            <v>0</v>
          </cell>
          <cell r="D5242">
            <v>0</v>
          </cell>
          <cell r="E5242">
            <v>0</v>
          </cell>
          <cell r="F5242">
            <v>0</v>
          </cell>
          <cell r="G5242">
            <v>0</v>
          </cell>
          <cell r="H5242">
            <v>0</v>
          </cell>
          <cell r="I5242">
            <v>0</v>
          </cell>
          <cell r="J5242">
            <v>0</v>
          </cell>
        </row>
        <row r="5243">
          <cell r="A5243">
            <v>1828100431</v>
          </cell>
          <cell r="B5243" t="str">
            <v>חשמל</v>
          </cell>
          <cell r="C5243">
            <v>53200</v>
          </cell>
          <cell r="D5243">
            <v>48199.46</v>
          </cell>
          <cell r="E5243">
            <v>0</v>
          </cell>
          <cell r="F5243">
            <v>48199.46</v>
          </cell>
          <cell r="G5243">
            <v>5000.54</v>
          </cell>
          <cell r="H5243">
            <v>90.6</v>
          </cell>
          <cell r="I5243">
            <v>56000</v>
          </cell>
          <cell r="J5243">
            <v>48199.46</v>
          </cell>
        </row>
        <row r="5244">
          <cell r="A5244">
            <v>1828100432</v>
          </cell>
          <cell r="B5244" t="str">
            <v>מים</v>
          </cell>
          <cell r="C5244">
            <v>2850</v>
          </cell>
          <cell r="D5244">
            <v>0</v>
          </cell>
          <cell r="E5244">
            <v>0</v>
          </cell>
          <cell r="F5244">
            <v>0</v>
          </cell>
          <cell r="G5244">
            <v>2850</v>
          </cell>
          <cell r="H5244">
            <v>0</v>
          </cell>
          <cell r="I5244">
            <v>3000</v>
          </cell>
          <cell r="J5244">
            <v>0</v>
          </cell>
        </row>
        <row r="5245">
          <cell r="A5245">
            <v>1828100433</v>
          </cell>
          <cell r="B5245" t="str">
            <v>חומרי נקיון</v>
          </cell>
          <cell r="C5245">
            <v>0</v>
          </cell>
          <cell r="D5245">
            <v>0</v>
          </cell>
          <cell r="E5245">
            <v>0</v>
          </cell>
          <cell r="F5245">
            <v>0</v>
          </cell>
          <cell r="G5245">
            <v>0</v>
          </cell>
          <cell r="H5245">
            <v>0</v>
          </cell>
          <cell r="I5245">
            <v>0</v>
          </cell>
          <cell r="J5245">
            <v>0</v>
          </cell>
        </row>
        <row r="5246">
          <cell r="A5246">
            <v>1828100434</v>
          </cell>
          <cell r="B5246" t="str">
            <v>חיטוי והדברה</v>
          </cell>
          <cell r="C5246">
            <v>0</v>
          </cell>
          <cell r="D5246">
            <v>0</v>
          </cell>
          <cell r="E5246">
            <v>0</v>
          </cell>
          <cell r="F5246">
            <v>0</v>
          </cell>
          <cell r="G5246">
            <v>0</v>
          </cell>
          <cell r="H5246">
            <v>0</v>
          </cell>
          <cell r="I5246">
            <v>0</v>
          </cell>
          <cell r="J5246">
            <v>0</v>
          </cell>
        </row>
        <row r="5247">
          <cell r="A5247">
            <v>1828100437</v>
          </cell>
          <cell r="B5247" t="str">
            <v>אחזקת אזעקה</v>
          </cell>
          <cell r="C5247">
            <v>8170</v>
          </cell>
          <cell r="D5247">
            <v>6718.14</v>
          </cell>
          <cell r="E5247">
            <v>0</v>
          </cell>
          <cell r="F5247">
            <v>6718.14</v>
          </cell>
          <cell r="G5247">
            <v>1451.86</v>
          </cell>
          <cell r="H5247">
            <v>82.22</v>
          </cell>
          <cell r="I5247">
            <v>8600</v>
          </cell>
          <cell r="J5247">
            <v>6718.14</v>
          </cell>
        </row>
        <row r="5248">
          <cell r="A5248">
            <v>1828100441</v>
          </cell>
          <cell r="B5248" t="str">
            <v>ביטוח</v>
          </cell>
          <cell r="C5248">
            <v>0</v>
          </cell>
          <cell r="D5248">
            <v>0</v>
          </cell>
          <cell r="E5248">
            <v>0</v>
          </cell>
          <cell r="F5248">
            <v>0</v>
          </cell>
          <cell r="G5248">
            <v>0</v>
          </cell>
          <cell r="H5248">
            <v>0</v>
          </cell>
          <cell r="I5248">
            <v>0</v>
          </cell>
          <cell r="J5248">
            <v>0</v>
          </cell>
        </row>
        <row r="5249">
          <cell r="A5249">
            <v>1828100450</v>
          </cell>
          <cell r="B5249" t="str">
            <v>אחזקת תמי 4</v>
          </cell>
          <cell r="C5249">
            <v>950</v>
          </cell>
          <cell r="D5249">
            <v>0</v>
          </cell>
          <cell r="E5249">
            <v>0</v>
          </cell>
          <cell r="F5249">
            <v>0</v>
          </cell>
          <cell r="G5249">
            <v>950</v>
          </cell>
          <cell r="H5249">
            <v>0</v>
          </cell>
          <cell r="I5249">
            <v>1000</v>
          </cell>
          <cell r="J5249">
            <v>0</v>
          </cell>
        </row>
        <row r="5250">
          <cell r="A5250">
            <v>1828100471</v>
          </cell>
          <cell r="B5250" t="str">
            <v>מכשירי כתיבה</v>
          </cell>
          <cell r="C5250">
            <v>950</v>
          </cell>
          <cell r="D5250">
            <v>852</v>
          </cell>
          <cell r="E5250">
            <v>5.85</v>
          </cell>
          <cell r="F5250">
            <v>857.85</v>
          </cell>
          <cell r="G5250">
            <v>92.15</v>
          </cell>
          <cell r="H5250">
            <v>90.3</v>
          </cell>
          <cell r="I5250">
            <v>1000</v>
          </cell>
          <cell r="J5250">
            <v>852</v>
          </cell>
        </row>
        <row r="5251">
          <cell r="A5251">
            <v>1828100511</v>
          </cell>
          <cell r="B5251" t="str">
            <v>אירוח וכיבוד</v>
          </cell>
          <cell r="C5251">
            <v>0</v>
          </cell>
          <cell r="D5251">
            <v>0</v>
          </cell>
          <cell r="E5251">
            <v>0</v>
          </cell>
          <cell r="F5251">
            <v>0</v>
          </cell>
          <cell r="G5251">
            <v>0</v>
          </cell>
          <cell r="H5251">
            <v>0</v>
          </cell>
          <cell r="I5251">
            <v>0</v>
          </cell>
          <cell r="J5251">
            <v>0</v>
          </cell>
        </row>
        <row r="5252">
          <cell r="A5252">
            <v>1828100512</v>
          </cell>
          <cell r="B5252" t="str">
            <v>נסיעות ואש"ל</v>
          </cell>
          <cell r="C5252">
            <v>0</v>
          </cell>
          <cell r="D5252">
            <v>0</v>
          </cell>
          <cell r="E5252">
            <v>0</v>
          </cell>
          <cell r="F5252">
            <v>0</v>
          </cell>
          <cell r="G5252">
            <v>0</v>
          </cell>
          <cell r="H5252">
            <v>0</v>
          </cell>
          <cell r="I5252">
            <v>0</v>
          </cell>
          <cell r="J5252">
            <v>0</v>
          </cell>
        </row>
        <row r="5253">
          <cell r="A5253">
            <v>1828100522</v>
          </cell>
          <cell r="B5253" t="str">
            <v>ספרים ועיתונים</v>
          </cell>
          <cell r="C5253">
            <v>855</v>
          </cell>
          <cell r="D5253">
            <v>0</v>
          </cell>
          <cell r="E5253">
            <v>0</v>
          </cell>
          <cell r="F5253">
            <v>0</v>
          </cell>
          <cell r="G5253">
            <v>855</v>
          </cell>
          <cell r="H5253">
            <v>0</v>
          </cell>
          <cell r="I5253">
            <v>900</v>
          </cell>
          <cell r="J5253">
            <v>0</v>
          </cell>
        </row>
        <row r="5254">
          <cell r="A5254">
            <v>1828100523</v>
          </cell>
          <cell r="B5254" t="str">
            <v>דמי חבר</v>
          </cell>
          <cell r="C5254">
            <v>0</v>
          </cell>
          <cell r="D5254">
            <v>0</v>
          </cell>
          <cell r="E5254">
            <v>0</v>
          </cell>
          <cell r="F5254">
            <v>0</v>
          </cell>
          <cell r="G5254">
            <v>0</v>
          </cell>
          <cell r="H5254">
            <v>0</v>
          </cell>
          <cell r="I5254">
            <v>0</v>
          </cell>
          <cell r="J5254">
            <v>0</v>
          </cell>
        </row>
        <row r="5255">
          <cell r="A5255">
            <v>1828100530</v>
          </cell>
          <cell r="B5255" t="str">
            <v>אופניים לעובדים</v>
          </cell>
          <cell r="C5255">
            <v>0</v>
          </cell>
          <cell r="D5255">
            <v>0</v>
          </cell>
          <cell r="E5255">
            <v>0</v>
          </cell>
          <cell r="F5255">
            <v>0</v>
          </cell>
          <cell r="G5255">
            <v>0</v>
          </cell>
          <cell r="H5255">
            <v>0</v>
          </cell>
          <cell r="I5255">
            <v>0</v>
          </cell>
          <cell r="J5255">
            <v>0</v>
          </cell>
        </row>
        <row r="5256">
          <cell r="A5256">
            <v>1828100540</v>
          </cell>
          <cell r="B5256" t="str">
            <v>הוצאות טלפון</v>
          </cell>
          <cell r="C5256">
            <v>28500</v>
          </cell>
          <cell r="D5256">
            <v>7665.75</v>
          </cell>
          <cell r="E5256">
            <v>0</v>
          </cell>
          <cell r="F5256">
            <v>7665.75</v>
          </cell>
          <cell r="G5256">
            <v>20834.25</v>
          </cell>
          <cell r="H5256">
            <v>26.89</v>
          </cell>
          <cell r="I5256">
            <v>30000</v>
          </cell>
          <cell r="J5256">
            <v>7665.75</v>
          </cell>
        </row>
        <row r="5257">
          <cell r="A5257">
            <v>1828100544</v>
          </cell>
          <cell r="B5257" t="str">
            <v>הוצאות דאר</v>
          </cell>
          <cell r="C5257">
            <v>0</v>
          </cell>
          <cell r="D5257">
            <v>0</v>
          </cell>
          <cell r="E5257">
            <v>0</v>
          </cell>
          <cell r="F5257">
            <v>0</v>
          </cell>
          <cell r="G5257">
            <v>0</v>
          </cell>
          <cell r="H5257">
            <v>0</v>
          </cell>
          <cell r="I5257">
            <v>0</v>
          </cell>
          <cell r="J5257">
            <v>0</v>
          </cell>
        </row>
        <row r="5258">
          <cell r="A5258">
            <v>1828100550</v>
          </cell>
          <cell r="B5258" t="str">
            <v>פירסומים</v>
          </cell>
          <cell r="C5258">
            <v>0</v>
          </cell>
          <cell r="D5258">
            <v>0</v>
          </cell>
          <cell r="E5258">
            <v>0</v>
          </cell>
          <cell r="F5258">
            <v>0</v>
          </cell>
          <cell r="G5258">
            <v>0</v>
          </cell>
          <cell r="H5258">
            <v>0</v>
          </cell>
          <cell r="I5258">
            <v>0</v>
          </cell>
          <cell r="J5258">
            <v>0</v>
          </cell>
        </row>
        <row r="5259">
          <cell r="A5259">
            <v>1828100561</v>
          </cell>
          <cell r="B5259" t="str">
            <v>שיכפולים</v>
          </cell>
          <cell r="C5259">
            <v>0</v>
          </cell>
          <cell r="D5259">
            <v>0</v>
          </cell>
          <cell r="E5259">
            <v>0</v>
          </cell>
          <cell r="F5259">
            <v>0</v>
          </cell>
          <cell r="G5259">
            <v>0</v>
          </cell>
          <cell r="H5259">
            <v>0</v>
          </cell>
          <cell r="I5259">
            <v>0</v>
          </cell>
          <cell r="J5259">
            <v>0</v>
          </cell>
        </row>
        <row r="5260">
          <cell r="A5260">
            <v>1828100562</v>
          </cell>
          <cell r="B5260" t="str">
            <v>הדפסות</v>
          </cell>
          <cell r="C5260">
            <v>0</v>
          </cell>
          <cell r="D5260">
            <v>0</v>
          </cell>
          <cell r="E5260">
            <v>0</v>
          </cell>
          <cell r="F5260">
            <v>0</v>
          </cell>
          <cell r="G5260">
            <v>0</v>
          </cell>
          <cell r="H5260">
            <v>0</v>
          </cell>
          <cell r="I5260">
            <v>0</v>
          </cell>
          <cell r="J5260">
            <v>0</v>
          </cell>
        </row>
        <row r="5261">
          <cell r="A5261">
            <v>1828100571</v>
          </cell>
          <cell r="B5261" t="str">
            <v>מיכון וענ"א</v>
          </cell>
          <cell r="C5261">
            <v>49590</v>
          </cell>
          <cell r="D5261">
            <v>52200</v>
          </cell>
          <cell r="E5261">
            <v>0</v>
          </cell>
          <cell r="F5261">
            <v>52200</v>
          </cell>
          <cell r="G5261">
            <v>-2610</v>
          </cell>
          <cell r="H5261">
            <v>105.26</v>
          </cell>
          <cell r="I5261">
            <v>52200</v>
          </cell>
          <cell r="J5261">
            <v>52200</v>
          </cell>
        </row>
        <row r="5262">
          <cell r="A5262">
            <v>1828100710</v>
          </cell>
          <cell r="B5262" t="str">
            <v>הסעות טיולים חצ"ב</v>
          </cell>
          <cell r="C5262">
            <v>0</v>
          </cell>
          <cell r="D5262">
            <v>0</v>
          </cell>
          <cell r="E5262">
            <v>0</v>
          </cell>
          <cell r="F5262">
            <v>0</v>
          </cell>
          <cell r="G5262">
            <v>0</v>
          </cell>
          <cell r="H5262">
            <v>0</v>
          </cell>
          <cell r="I5262">
            <v>0</v>
          </cell>
          <cell r="J5262">
            <v>0</v>
          </cell>
        </row>
        <row r="5263">
          <cell r="A5263">
            <v>1828100711</v>
          </cell>
          <cell r="B5263" t="str">
            <v>הסעות מתנדבים</v>
          </cell>
          <cell r="C5263">
            <v>0</v>
          </cell>
          <cell r="D5263">
            <v>0</v>
          </cell>
          <cell r="E5263">
            <v>0</v>
          </cell>
          <cell r="F5263">
            <v>0</v>
          </cell>
          <cell r="G5263">
            <v>0</v>
          </cell>
          <cell r="H5263">
            <v>0</v>
          </cell>
          <cell r="I5263">
            <v>0</v>
          </cell>
          <cell r="J5263">
            <v>0</v>
          </cell>
        </row>
        <row r="5264">
          <cell r="A5264">
            <v>1828100712</v>
          </cell>
          <cell r="B5264" t="str">
            <v>הסעות צרכים מיוחדים</v>
          </cell>
          <cell r="C5264">
            <v>90000</v>
          </cell>
          <cell r="D5264">
            <v>73893.36</v>
          </cell>
          <cell r="E5264">
            <v>0</v>
          </cell>
          <cell r="F5264">
            <v>73893.36</v>
          </cell>
          <cell r="G5264">
            <v>16106.64</v>
          </cell>
          <cell r="H5264">
            <v>82.1</v>
          </cell>
          <cell r="I5264">
            <v>90000</v>
          </cell>
          <cell r="J5264">
            <v>73893.36</v>
          </cell>
        </row>
        <row r="5265">
          <cell r="A5265">
            <v>1828100721</v>
          </cell>
          <cell r="B5265" t="str">
            <v>חמרים-תחזוקת מבנים</v>
          </cell>
          <cell r="C5265">
            <v>0</v>
          </cell>
          <cell r="D5265">
            <v>0</v>
          </cell>
          <cell r="E5265">
            <v>0</v>
          </cell>
          <cell r="F5265">
            <v>0</v>
          </cell>
          <cell r="G5265">
            <v>0</v>
          </cell>
          <cell r="H5265">
            <v>0</v>
          </cell>
          <cell r="I5265">
            <v>0</v>
          </cell>
          <cell r="J5265">
            <v>0</v>
          </cell>
        </row>
        <row r="5266">
          <cell r="A5266">
            <v>1828100722</v>
          </cell>
          <cell r="B5266" t="str">
            <v>חמרים-תחזוקה עצמית</v>
          </cell>
          <cell r="C5266">
            <v>0</v>
          </cell>
          <cell r="D5266">
            <v>0</v>
          </cell>
          <cell r="E5266">
            <v>0</v>
          </cell>
          <cell r="F5266">
            <v>0</v>
          </cell>
          <cell r="G5266">
            <v>0</v>
          </cell>
          <cell r="H5266">
            <v>0</v>
          </cell>
          <cell r="I5266">
            <v>0</v>
          </cell>
          <cell r="J5266">
            <v>0</v>
          </cell>
        </row>
        <row r="5267">
          <cell r="A5267">
            <v>1828100723</v>
          </cell>
          <cell r="B5267" t="str">
            <v>חומרים לחוגים</v>
          </cell>
          <cell r="C5267">
            <v>0</v>
          </cell>
          <cell r="D5267">
            <v>0</v>
          </cell>
          <cell r="E5267">
            <v>0</v>
          </cell>
          <cell r="F5267">
            <v>0</v>
          </cell>
          <cell r="G5267">
            <v>0</v>
          </cell>
          <cell r="H5267">
            <v>0</v>
          </cell>
          <cell r="I5267">
            <v>0</v>
          </cell>
          <cell r="J5267">
            <v>0</v>
          </cell>
        </row>
        <row r="5268">
          <cell r="A5268">
            <v>1828100742</v>
          </cell>
          <cell r="B5268" t="str">
            <v>כלים וציוד</v>
          </cell>
          <cell r="C5268">
            <v>9500</v>
          </cell>
          <cell r="D5268">
            <v>7418.72</v>
          </cell>
          <cell r="E5268">
            <v>2049.84</v>
          </cell>
          <cell r="F5268">
            <v>9468.56</v>
          </cell>
          <cell r="G5268">
            <v>31.44</v>
          </cell>
          <cell r="H5268">
            <v>99.66</v>
          </cell>
          <cell r="I5268">
            <v>9500</v>
          </cell>
          <cell r="J5268">
            <v>7418.72</v>
          </cell>
        </row>
        <row r="5269">
          <cell r="A5269">
            <v>1828100743</v>
          </cell>
          <cell r="B5269" t="str">
            <v>תחז' ציוד אלקטרוני</v>
          </cell>
          <cell r="C5269">
            <v>0</v>
          </cell>
          <cell r="D5269">
            <v>0</v>
          </cell>
          <cell r="E5269">
            <v>0</v>
          </cell>
          <cell r="F5269">
            <v>0</v>
          </cell>
          <cell r="G5269">
            <v>0</v>
          </cell>
          <cell r="H5269">
            <v>0</v>
          </cell>
          <cell r="I5269">
            <v>0</v>
          </cell>
          <cell r="J5269">
            <v>0</v>
          </cell>
        </row>
        <row r="5270">
          <cell r="A5270">
            <v>1828100744</v>
          </cell>
          <cell r="B5270" t="str">
            <v>תחזוקת מחשבים</v>
          </cell>
          <cell r="C5270">
            <v>0</v>
          </cell>
          <cell r="D5270">
            <v>0</v>
          </cell>
          <cell r="E5270">
            <v>0</v>
          </cell>
          <cell r="F5270">
            <v>0</v>
          </cell>
          <cell r="G5270">
            <v>0</v>
          </cell>
          <cell r="H5270">
            <v>0</v>
          </cell>
          <cell r="I5270">
            <v>0</v>
          </cell>
          <cell r="J5270">
            <v>0</v>
          </cell>
        </row>
        <row r="5271">
          <cell r="A5271">
            <v>1828100745</v>
          </cell>
          <cell r="B5271" t="str">
            <v>דמי פריצה - תכולה</v>
          </cell>
          <cell r="C5271">
            <v>0</v>
          </cell>
          <cell r="D5271">
            <v>0</v>
          </cell>
          <cell r="E5271">
            <v>0</v>
          </cell>
          <cell r="F5271">
            <v>0</v>
          </cell>
          <cell r="G5271">
            <v>0</v>
          </cell>
          <cell r="H5271">
            <v>0</v>
          </cell>
          <cell r="I5271">
            <v>0</v>
          </cell>
          <cell r="J5271">
            <v>0</v>
          </cell>
        </row>
        <row r="5272">
          <cell r="A5272">
            <v>1828100746</v>
          </cell>
          <cell r="B5272" t="str">
            <v>דמי פריצה - מבנה</v>
          </cell>
          <cell r="C5272">
            <v>0</v>
          </cell>
          <cell r="D5272">
            <v>0</v>
          </cell>
          <cell r="E5272">
            <v>0</v>
          </cell>
          <cell r="F5272">
            <v>0</v>
          </cell>
          <cell r="G5272">
            <v>0</v>
          </cell>
          <cell r="H5272">
            <v>0</v>
          </cell>
          <cell r="I5272">
            <v>0</v>
          </cell>
          <cell r="J5272">
            <v>0</v>
          </cell>
        </row>
        <row r="5273">
          <cell r="A5273">
            <v>1828100750</v>
          </cell>
          <cell r="B5273" t="str">
            <v>אחזקת מוסדות</v>
          </cell>
          <cell r="C5273">
            <v>223440</v>
          </cell>
          <cell r="D5273">
            <v>174253</v>
          </cell>
          <cell r="E5273">
            <v>0</v>
          </cell>
          <cell r="F5273">
            <v>174253</v>
          </cell>
          <cell r="G5273">
            <v>49187</v>
          </cell>
          <cell r="H5273">
            <v>77.98</v>
          </cell>
          <cell r="I5273">
            <v>235200</v>
          </cell>
          <cell r="J5273">
            <v>174253</v>
          </cell>
        </row>
        <row r="5274">
          <cell r="A5274">
            <v>1828100751</v>
          </cell>
          <cell r="B5274" t="str">
            <v>עבודות קבלניות</v>
          </cell>
          <cell r="C5274">
            <v>0</v>
          </cell>
          <cell r="D5274">
            <v>0</v>
          </cell>
          <cell r="E5274">
            <v>0</v>
          </cell>
          <cell r="F5274">
            <v>0</v>
          </cell>
          <cell r="G5274">
            <v>0</v>
          </cell>
          <cell r="H5274">
            <v>0</v>
          </cell>
          <cell r="I5274">
            <v>0</v>
          </cell>
          <cell r="J5274">
            <v>0</v>
          </cell>
        </row>
        <row r="5275">
          <cell r="A5275">
            <v>1828100752</v>
          </cell>
          <cell r="B5275" t="str">
            <v>נקיון מרכז הדרכה</v>
          </cell>
          <cell r="C5275">
            <v>6745</v>
          </cell>
          <cell r="D5275">
            <v>7099.77</v>
          </cell>
          <cell r="E5275">
            <v>0</v>
          </cell>
          <cell r="F5275">
            <v>7099.77</v>
          </cell>
          <cell r="G5275">
            <v>-354.77</v>
          </cell>
          <cell r="H5275">
            <v>105.25</v>
          </cell>
          <cell r="I5275">
            <v>7100</v>
          </cell>
          <cell r="J5275">
            <v>7099.77</v>
          </cell>
        </row>
        <row r="5276">
          <cell r="A5276">
            <v>1828100757</v>
          </cell>
          <cell r="B5276" t="str">
            <v>גיזום מרכזי נוער</v>
          </cell>
          <cell r="C5276">
            <v>28500</v>
          </cell>
          <cell r="D5276">
            <v>11934</v>
          </cell>
          <cell r="E5276">
            <v>0</v>
          </cell>
          <cell r="F5276">
            <v>11934</v>
          </cell>
          <cell r="G5276">
            <v>16566</v>
          </cell>
          <cell r="H5276">
            <v>41.87</v>
          </cell>
          <cell r="I5276">
            <v>30000</v>
          </cell>
          <cell r="J5276">
            <v>11934</v>
          </cell>
        </row>
        <row r="5277">
          <cell r="A5277">
            <v>1828100763</v>
          </cell>
          <cell r="B5277" t="str">
            <v>עובדי חברת מוסדות</v>
          </cell>
          <cell r="C5277">
            <v>0</v>
          </cell>
          <cell r="D5277">
            <v>0</v>
          </cell>
          <cell r="E5277">
            <v>0</v>
          </cell>
          <cell r="F5277">
            <v>0</v>
          </cell>
          <cell r="G5277">
            <v>0</v>
          </cell>
          <cell r="H5277">
            <v>0</v>
          </cell>
          <cell r="I5277">
            <v>0</v>
          </cell>
          <cell r="J5277">
            <v>0</v>
          </cell>
        </row>
        <row r="5278">
          <cell r="A5278">
            <v>1828100780</v>
          </cell>
          <cell r="B5278" t="str">
            <v>מרכז נוער עולה</v>
          </cell>
          <cell r="C5278">
            <v>232000</v>
          </cell>
          <cell r="D5278">
            <v>167691.15</v>
          </cell>
          <cell r="E5278">
            <v>0</v>
          </cell>
          <cell r="F5278">
            <v>167691.15</v>
          </cell>
          <cell r="G5278">
            <v>64308.85</v>
          </cell>
          <cell r="H5278">
            <v>72.28</v>
          </cell>
          <cell r="I5278">
            <v>232000</v>
          </cell>
          <cell r="J5278">
            <v>167691.15</v>
          </cell>
        </row>
        <row r="5279">
          <cell r="A5279">
            <v>1828100781</v>
          </cell>
          <cell r="B5279" t="str">
            <v>פרוייקטים + קיץ</v>
          </cell>
          <cell r="C5279">
            <v>579280</v>
          </cell>
          <cell r="D5279">
            <v>468535.03</v>
          </cell>
          <cell r="E5279">
            <v>149.19999999999999</v>
          </cell>
          <cell r="F5279">
            <v>468684.23</v>
          </cell>
          <cell r="G5279">
            <v>110595.77</v>
          </cell>
          <cell r="H5279">
            <v>80.900000000000006</v>
          </cell>
          <cell r="I5279">
            <v>579280</v>
          </cell>
          <cell r="J5279">
            <v>468535.03</v>
          </cell>
        </row>
        <row r="5280">
          <cell r="A5280">
            <v>1828100782</v>
          </cell>
          <cell r="B5280" t="str">
            <v>התנדבות בקהילה</v>
          </cell>
          <cell r="C5280">
            <v>0</v>
          </cell>
          <cell r="D5280">
            <v>0</v>
          </cell>
          <cell r="E5280">
            <v>0</v>
          </cell>
          <cell r="F5280">
            <v>0</v>
          </cell>
          <cell r="G5280">
            <v>0</v>
          </cell>
          <cell r="H5280">
            <v>0</v>
          </cell>
          <cell r="I5280">
            <v>0</v>
          </cell>
          <cell r="J5280">
            <v>0</v>
          </cell>
        </row>
        <row r="5281">
          <cell r="A5281">
            <v>1828100783</v>
          </cell>
          <cell r="B5281" t="str">
            <v>תנועות נוער-ארועים עירוניים</v>
          </cell>
          <cell r="C5281">
            <v>140700</v>
          </cell>
          <cell r="D5281">
            <v>128332.93</v>
          </cell>
          <cell r="E5281">
            <v>208.53</v>
          </cell>
          <cell r="F5281">
            <v>128541.46</v>
          </cell>
          <cell r="G5281">
            <v>12158.54</v>
          </cell>
          <cell r="H5281">
            <v>91.35</v>
          </cell>
          <cell r="I5281">
            <v>140700</v>
          </cell>
          <cell r="J5281">
            <v>128332.93</v>
          </cell>
        </row>
        <row r="5282">
          <cell r="A5282">
            <v>1828100784</v>
          </cell>
          <cell r="B5282" t="str">
            <v>מנהיגות וקשרי חוץ</v>
          </cell>
          <cell r="C5282">
            <v>85100</v>
          </cell>
          <cell r="D5282">
            <v>61938.91</v>
          </cell>
          <cell r="E5282">
            <v>171</v>
          </cell>
          <cell r="F5282">
            <v>62109.91</v>
          </cell>
          <cell r="G5282">
            <v>22990.09</v>
          </cell>
          <cell r="H5282">
            <v>72.98</v>
          </cell>
          <cell r="I5282">
            <v>85100</v>
          </cell>
          <cell r="J5282">
            <v>61938.91</v>
          </cell>
        </row>
        <row r="5283">
          <cell r="A5283">
            <v>1828100785</v>
          </cell>
          <cell r="B5283" t="str">
            <v>תחום מניעה</v>
          </cell>
          <cell r="C5283">
            <v>70900</v>
          </cell>
          <cell r="D5283">
            <v>59247.27</v>
          </cell>
          <cell r="E5283">
            <v>3330.14</v>
          </cell>
          <cell r="F5283">
            <v>62577.41</v>
          </cell>
          <cell r="G5283">
            <v>8322.59</v>
          </cell>
          <cell r="H5283">
            <v>88.26</v>
          </cell>
          <cell r="I5283">
            <v>70900</v>
          </cell>
          <cell r="J5283">
            <v>59247.27</v>
          </cell>
        </row>
        <row r="5284">
          <cell r="A5284">
            <v>1828100786</v>
          </cell>
          <cell r="B5284" t="str">
            <v>ארועים</v>
          </cell>
          <cell r="C5284">
            <v>203000</v>
          </cell>
          <cell r="D5284">
            <v>185060.24</v>
          </cell>
          <cell r="E5284">
            <v>0</v>
          </cell>
          <cell r="F5284">
            <v>185060.24</v>
          </cell>
          <cell r="G5284">
            <v>17939.759999999998</v>
          </cell>
          <cell r="H5284">
            <v>91.16</v>
          </cell>
          <cell r="I5284">
            <v>203000</v>
          </cell>
          <cell r="J5284">
            <v>185060.24</v>
          </cell>
        </row>
        <row r="5285">
          <cell r="A5285">
            <v>1828100787</v>
          </cell>
          <cell r="B5285" t="str">
            <v>קווי לילה לנוער</v>
          </cell>
          <cell r="C5285">
            <v>44600</v>
          </cell>
          <cell r="D5285">
            <v>44273</v>
          </cell>
          <cell r="E5285">
            <v>0</v>
          </cell>
          <cell r="F5285">
            <v>44273</v>
          </cell>
          <cell r="G5285">
            <v>327</v>
          </cell>
          <cell r="H5285">
            <v>99.26</v>
          </cell>
          <cell r="I5285">
            <v>44600</v>
          </cell>
          <cell r="J5285">
            <v>44273</v>
          </cell>
        </row>
        <row r="5286">
          <cell r="A5286">
            <v>1828100788</v>
          </cell>
          <cell r="B5286" t="str">
            <v>כולנו ביתא ישראל</v>
          </cell>
          <cell r="C5286">
            <v>20250</v>
          </cell>
          <cell r="D5286">
            <v>20000</v>
          </cell>
          <cell r="E5286">
            <v>0</v>
          </cell>
          <cell r="F5286">
            <v>20000</v>
          </cell>
          <cell r="G5286">
            <v>250</v>
          </cell>
          <cell r="H5286">
            <v>98.76</v>
          </cell>
          <cell r="I5286">
            <v>20250</v>
          </cell>
          <cell r="J5286">
            <v>20000</v>
          </cell>
        </row>
        <row r="5287">
          <cell r="A5287">
            <v>1828100789</v>
          </cell>
          <cell r="B5287" t="str">
            <v>מרכז הדרכה</v>
          </cell>
          <cell r="C5287">
            <v>39250</v>
          </cell>
          <cell r="D5287">
            <v>12191.49</v>
          </cell>
          <cell r="E5287">
            <v>2102.7800000000002</v>
          </cell>
          <cell r="F5287">
            <v>14294.27</v>
          </cell>
          <cell r="G5287">
            <v>24955.73</v>
          </cell>
          <cell r="H5287">
            <v>36.409999999999997</v>
          </cell>
          <cell r="I5287">
            <v>39250</v>
          </cell>
          <cell r="J5287">
            <v>12191.49</v>
          </cell>
        </row>
        <row r="5288">
          <cell r="A5288">
            <v>1828100790</v>
          </cell>
          <cell r="B5288" t="str">
            <v>פע' מהכנסות משה"ח</v>
          </cell>
          <cell r="C5288">
            <v>369000</v>
          </cell>
          <cell r="D5288">
            <v>495015.82</v>
          </cell>
          <cell r="E5288">
            <v>0</v>
          </cell>
          <cell r="F5288">
            <v>495015.82</v>
          </cell>
          <cell r="G5288">
            <v>-126015.82</v>
          </cell>
          <cell r="H5288">
            <v>134.15</v>
          </cell>
          <cell r="I5288">
            <v>369000</v>
          </cell>
          <cell r="J5288">
            <v>495015.82</v>
          </cell>
        </row>
        <row r="5289">
          <cell r="A5289">
            <v>1828100791</v>
          </cell>
          <cell r="B5289" t="str">
            <v>כנפיים של קרמבו</v>
          </cell>
          <cell r="C5289">
            <v>198000</v>
          </cell>
          <cell r="D5289">
            <v>180000</v>
          </cell>
          <cell r="E5289">
            <v>0</v>
          </cell>
          <cell r="F5289">
            <v>180000</v>
          </cell>
          <cell r="G5289">
            <v>18000</v>
          </cell>
          <cell r="H5289">
            <v>90.9</v>
          </cell>
          <cell r="I5289">
            <v>198000</v>
          </cell>
          <cell r="J5289">
            <v>180000</v>
          </cell>
        </row>
        <row r="5290">
          <cell r="A5290">
            <v>1828100792</v>
          </cell>
          <cell r="B5290" t="str">
            <v>יום המעשים  הטובים</v>
          </cell>
          <cell r="C5290">
            <v>0</v>
          </cell>
          <cell r="D5290">
            <v>6693</v>
          </cell>
          <cell r="E5290">
            <v>0</v>
          </cell>
          <cell r="F5290">
            <v>6693</v>
          </cell>
          <cell r="G5290">
            <v>-6693</v>
          </cell>
          <cell r="H5290">
            <v>0</v>
          </cell>
          <cell r="I5290">
            <v>0</v>
          </cell>
          <cell r="J5290">
            <v>6693</v>
          </cell>
        </row>
        <row r="5291">
          <cell r="A5291">
            <v>1828100793</v>
          </cell>
          <cell r="B5291" t="str">
            <v>תנועות נוער מחנות קיץ</v>
          </cell>
          <cell r="C5291">
            <v>513000</v>
          </cell>
          <cell r="D5291">
            <v>227800</v>
          </cell>
          <cell r="E5291">
            <v>0</v>
          </cell>
          <cell r="F5291">
            <v>227800</v>
          </cell>
          <cell r="G5291">
            <v>285200</v>
          </cell>
          <cell r="H5291">
            <v>44.4</v>
          </cell>
          <cell r="I5291">
            <v>540000</v>
          </cell>
          <cell r="J5291">
            <v>227800</v>
          </cell>
        </row>
        <row r="5292">
          <cell r="A5292">
            <v>1828100794</v>
          </cell>
          <cell r="B5292" t="str">
            <v>השתתפות בעזר 094</v>
          </cell>
          <cell r="C5292">
            <v>12160</v>
          </cell>
          <cell r="D5292">
            <v>15266</v>
          </cell>
          <cell r="E5292">
            <v>0</v>
          </cell>
          <cell r="F5292">
            <v>15266</v>
          </cell>
          <cell r="G5292">
            <v>-3106</v>
          </cell>
          <cell r="H5292">
            <v>125.54</v>
          </cell>
          <cell r="I5292">
            <v>12800</v>
          </cell>
          <cell r="J5292">
            <v>15266</v>
          </cell>
        </row>
        <row r="5293">
          <cell r="A5293">
            <v>1828100810</v>
          </cell>
          <cell r="B5293" t="str">
            <v>השת' בתנועות הנוער</v>
          </cell>
          <cell r="C5293">
            <v>510000</v>
          </cell>
          <cell r="D5293">
            <v>483899</v>
          </cell>
          <cell r="E5293">
            <v>0</v>
          </cell>
          <cell r="F5293">
            <v>483899</v>
          </cell>
          <cell r="G5293">
            <v>26101</v>
          </cell>
          <cell r="H5293">
            <v>94.88</v>
          </cell>
          <cell r="I5293">
            <v>510000</v>
          </cell>
          <cell r="J5293">
            <v>483899</v>
          </cell>
        </row>
        <row r="5294">
          <cell r="A5294">
            <v>1828100811</v>
          </cell>
          <cell r="B5294" t="str">
            <v>השתתפות בשכר רכזים</v>
          </cell>
          <cell r="C5294">
            <v>608903</v>
          </cell>
          <cell r="D5294">
            <v>593582</v>
          </cell>
          <cell r="E5294">
            <v>0</v>
          </cell>
          <cell r="F5294">
            <v>593582</v>
          </cell>
          <cell r="G5294">
            <v>15321</v>
          </cell>
          <cell r="H5294">
            <v>97.48</v>
          </cell>
          <cell r="I5294">
            <v>640950</v>
          </cell>
          <cell r="J5294">
            <v>593582</v>
          </cell>
        </row>
        <row r="5295">
          <cell r="A5295">
            <v>1828100812</v>
          </cell>
          <cell r="B5295" t="str">
            <v>מרכז נוער נאות רחל</v>
          </cell>
          <cell r="C5295">
            <v>0</v>
          </cell>
          <cell r="D5295">
            <v>0</v>
          </cell>
          <cell r="E5295">
            <v>0</v>
          </cell>
          <cell r="F5295">
            <v>0</v>
          </cell>
          <cell r="G5295">
            <v>0</v>
          </cell>
          <cell r="H5295">
            <v>0</v>
          </cell>
          <cell r="I5295">
            <v>0</v>
          </cell>
          <cell r="J5295">
            <v>0</v>
          </cell>
        </row>
        <row r="5296">
          <cell r="A5296">
            <v>1828100813</v>
          </cell>
          <cell r="B5296" t="str">
            <v>מרכז נוער תל גיבורים</v>
          </cell>
          <cell r="C5296">
            <v>0</v>
          </cell>
          <cell r="D5296">
            <v>0</v>
          </cell>
          <cell r="E5296">
            <v>0</v>
          </cell>
          <cell r="F5296">
            <v>0</v>
          </cell>
          <cell r="G5296">
            <v>0</v>
          </cell>
          <cell r="H5296">
            <v>0</v>
          </cell>
          <cell r="I5296">
            <v>0</v>
          </cell>
          <cell r="J5296">
            <v>0</v>
          </cell>
        </row>
        <row r="5297">
          <cell r="A5297">
            <v>1828100814</v>
          </cell>
          <cell r="B5297" t="str">
            <v>מרכז הדרכה ומנהיגות</v>
          </cell>
          <cell r="C5297">
            <v>149050</v>
          </cell>
          <cell r="D5297">
            <v>145102.54999999999</v>
          </cell>
          <cell r="E5297">
            <v>0</v>
          </cell>
          <cell r="F5297">
            <v>145102.54999999999</v>
          </cell>
          <cell r="G5297">
            <v>3947.45</v>
          </cell>
          <cell r="H5297">
            <v>97.35</v>
          </cell>
          <cell r="I5297">
            <v>149050</v>
          </cell>
          <cell r="J5297">
            <v>145102.54999999999</v>
          </cell>
        </row>
        <row r="5298">
          <cell r="A5298">
            <v>1828100815</v>
          </cell>
          <cell r="B5298" t="str">
            <v>מועדון הגמלאים</v>
          </cell>
          <cell r="C5298">
            <v>0</v>
          </cell>
          <cell r="D5298">
            <v>0</v>
          </cell>
          <cell r="E5298">
            <v>0</v>
          </cell>
          <cell r="F5298">
            <v>0</v>
          </cell>
          <cell r="G5298">
            <v>0</v>
          </cell>
          <cell r="H5298">
            <v>0</v>
          </cell>
          <cell r="I5298">
            <v>0</v>
          </cell>
          <cell r="J5298">
            <v>0</v>
          </cell>
        </row>
        <row r="5299">
          <cell r="A5299">
            <v>1828100816</v>
          </cell>
          <cell r="B5299" t="str">
            <v>פעילות נוער חרדי בקיץ</v>
          </cell>
          <cell r="C5299">
            <v>50000</v>
          </cell>
          <cell r="D5299">
            <v>50000</v>
          </cell>
          <cell r="E5299">
            <v>0</v>
          </cell>
          <cell r="F5299">
            <v>50000</v>
          </cell>
          <cell r="G5299">
            <v>0</v>
          </cell>
          <cell r="H5299">
            <v>100</v>
          </cell>
          <cell r="I5299">
            <v>50000</v>
          </cell>
          <cell r="J5299">
            <v>50000</v>
          </cell>
        </row>
        <row r="5300">
          <cell r="A5300">
            <v>1828100817</v>
          </cell>
          <cell r="B5300" t="str">
            <v>תמיכות באירגוני נוער</v>
          </cell>
          <cell r="C5300">
            <v>180000</v>
          </cell>
          <cell r="D5300">
            <v>151653</v>
          </cell>
          <cell r="E5300">
            <v>0</v>
          </cell>
          <cell r="F5300">
            <v>151653</v>
          </cell>
          <cell r="G5300">
            <v>28347</v>
          </cell>
          <cell r="H5300">
            <v>84.25</v>
          </cell>
          <cell r="I5300">
            <v>180000</v>
          </cell>
          <cell r="J5300">
            <v>151653</v>
          </cell>
        </row>
        <row r="5301">
          <cell r="A5301">
            <v>1828100818</v>
          </cell>
          <cell r="B5301" t="str">
            <v>תמיכה במכינות קד"צ</v>
          </cell>
          <cell r="C5301">
            <v>136800</v>
          </cell>
          <cell r="D5301">
            <v>136800</v>
          </cell>
          <cell r="E5301">
            <v>0</v>
          </cell>
          <cell r="F5301">
            <v>136800</v>
          </cell>
          <cell r="G5301">
            <v>0</v>
          </cell>
          <cell r="H5301">
            <v>100</v>
          </cell>
          <cell r="I5301">
            <v>136800</v>
          </cell>
          <cell r="J5301">
            <v>136800</v>
          </cell>
        </row>
        <row r="5302">
          <cell r="A5302">
            <v>1828100819</v>
          </cell>
          <cell r="B5302" t="str">
            <v>פרויקט מישמיש</v>
          </cell>
          <cell r="C5302">
            <v>0</v>
          </cell>
          <cell r="D5302">
            <v>0</v>
          </cell>
          <cell r="E5302">
            <v>0</v>
          </cell>
          <cell r="F5302">
            <v>0</v>
          </cell>
          <cell r="G5302">
            <v>0</v>
          </cell>
          <cell r="H5302">
            <v>0</v>
          </cell>
          <cell r="I5302">
            <v>0</v>
          </cell>
          <cell r="J5302">
            <v>0</v>
          </cell>
        </row>
        <row r="5303">
          <cell r="A5303">
            <v>1828100820</v>
          </cell>
          <cell r="B5303" t="str">
            <v>פרויקט צלילי זיכרון</v>
          </cell>
          <cell r="C5303">
            <v>0</v>
          </cell>
          <cell r="D5303">
            <v>0</v>
          </cell>
          <cell r="E5303">
            <v>0</v>
          </cell>
          <cell r="F5303">
            <v>0</v>
          </cell>
          <cell r="G5303">
            <v>0</v>
          </cell>
          <cell r="H5303">
            <v>0</v>
          </cell>
          <cell r="I5303">
            <v>0</v>
          </cell>
          <cell r="J5303">
            <v>0</v>
          </cell>
        </row>
        <row r="5304">
          <cell r="A5304">
            <v>1828100821</v>
          </cell>
          <cell r="B5304" t="str">
            <v>מרכז מנשה</v>
          </cell>
          <cell r="C5304">
            <v>0</v>
          </cell>
          <cell r="D5304">
            <v>0</v>
          </cell>
          <cell r="E5304">
            <v>0</v>
          </cell>
          <cell r="F5304">
            <v>0</v>
          </cell>
          <cell r="G5304">
            <v>0</v>
          </cell>
          <cell r="H5304">
            <v>0</v>
          </cell>
          <cell r="I5304">
            <v>0</v>
          </cell>
          <cell r="J5304">
            <v>0</v>
          </cell>
        </row>
        <row r="5305">
          <cell r="A5305">
            <v>1828100822</v>
          </cell>
          <cell r="B5305" t="str">
            <v>מרכז בוקסר</v>
          </cell>
          <cell r="C5305">
            <v>0</v>
          </cell>
          <cell r="D5305">
            <v>0</v>
          </cell>
          <cell r="E5305">
            <v>0</v>
          </cell>
          <cell r="F5305">
            <v>0</v>
          </cell>
          <cell r="G5305">
            <v>0</v>
          </cell>
          <cell r="H5305">
            <v>0</v>
          </cell>
          <cell r="I5305">
            <v>0</v>
          </cell>
          <cell r="J5305">
            <v>0</v>
          </cell>
        </row>
        <row r="5306">
          <cell r="A5306">
            <v>1828100823</v>
          </cell>
          <cell r="B5306" t="str">
            <v>מרכז שטרודל</v>
          </cell>
          <cell r="C5306">
            <v>0</v>
          </cell>
          <cell r="D5306">
            <v>0</v>
          </cell>
          <cell r="E5306">
            <v>0</v>
          </cell>
          <cell r="F5306">
            <v>0</v>
          </cell>
          <cell r="G5306">
            <v>0</v>
          </cell>
          <cell r="H5306">
            <v>0</v>
          </cell>
          <cell r="I5306">
            <v>0</v>
          </cell>
          <cell r="J5306">
            <v>0</v>
          </cell>
        </row>
        <row r="5307">
          <cell r="A5307">
            <v>1828100824</v>
          </cell>
          <cell r="B5307" t="str">
            <v>מרכז קמפוס</v>
          </cell>
          <cell r="C5307">
            <v>0</v>
          </cell>
          <cell r="D5307">
            <v>0</v>
          </cell>
          <cell r="E5307">
            <v>0</v>
          </cell>
          <cell r="F5307">
            <v>0</v>
          </cell>
          <cell r="G5307">
            <v>0</v>
          </cell>
          <cell r="H5307">
            <v>0</v>
          </cell>
          <cell r="I5307">
            <v>0</v>
          </cell>
          <cell r="J5307">
            <v>0</v>
          </cell>
        </row>
        <row r="5308">
          <cell r="A5308">
            <v>1828100825</v>
          </cell>
          <cell r="B5308" t="str">
            <v>מרכז רחלה</v>
          </cell>
          <cell r="C5308">
            <v>0</v>
          </cell>
          <cell r="D5308">
            <v>0</v>
          </cell>
          <cell r="E5308">
            <v>0</v>
          </cell>
          <cell r="F5308">
            <v>0</v>
          </cell>
          <cell r="G5308">
            <v>0</v>
          </cell>
          <cell r="H5308">
            <v>0</v>
          </cell>
          <cell r="I5308">
            <v>0</v>
          </cell>
          <cell r="J5308">
            <v>0</v>
          </cell>
        </row>
        <row r="5309">
          <cell r="A5309">
            <v>1828100826</v>
          </cell>
          <cell r="B5309" t="str">
            <v>מרכז בנגי'</v>
          </cell>
          <cell r="C5309">
            <v>0</v>
          </cell>
          <cell r="D5309">
            <v>0</v>
          </cell>
          <cell r="E5309">
            <v>0</v>
          </cell>
          <cell r="F5309">
            <v>0</v>
          </cell>
          <cell r="G5309">
            <v>0</v>
          </cell>
          <cell r="H5309">
            <v>0</v>
          </cell>
          <cell r="I5309">
            <v>0</v>
          </cell>
          <cell r="J5309">
            <v>0</v>
          </cell>
        </row>
        <row r="5310">
          <cell r="A5310">
            <v>1828100827</v>
          </cell>
          <cell r="B5310" t="str">
            <v>מרכז שברולט</v>
          </cell>
          <cell r="C5310">
            <v>0</v>
          </cell>
          <cell r="D5310">
            <v>0</v>
          </cell>
          <cell r="E5310">
            <v>0</v>
          </cell>
          <cell r="F5310">
            <v>0</v>
          </cell>
          <cell r="G5310">
            <v>0</v>
          </cell>
          <cell r="H5310">
            <v>0</v>
          </cell>
          <cell r="I5310">
            <v>0</v>
          </cell>
          <cell r="J5310">
            <v>0</v>
          </cell>
        </row>
        <row r="5311">
          <cell r="A5311">
            <v>1828100931</v>
          </cell>
          <cell r="B5311" t="str">
            <v>רכישות חד-פעמיות</v>
          </cell>
          <cell r="C5311">
            <v>0</v>
          </cell>
          <cell r="D5311">
            <v>0</v>
          </cell>
          <cell r="E5311">
            <v>0</v>
          </cell>
          <cell r="F5311">
            <v>0</v>
          </cell>
          <cell r="G5311">
            <v>0</v>
          </cell>
          <cell r="H5311">
            <v>0</v>
          </cell>
          <cell r="I5311">
            <v>0</v>
          </cell>
          <cell r="J5311">
            <v>0</v>
          </cell>
        </row>
        <row r="5312">
          <cell r="A5312">
            <v>1828100980</v>
          </cell>
          <cell r="B5312" t="str">
            <v>פעולות מרכז שואה</v>
          </cell>
          <cell r="C5312">
            <v>0</v>
          </cell>
          <cell r="D5312">
            <v>0</v>
          </cell>
          <cell r="E5312">
            <v>0</v>
          </cell>
          <cell r="F5312">
            <v>0</v>
          </cell>
          <cell r="G5312">
            <v>0</v>
          </cell>
          <cell r="H5312">
            <v>0</v>
          </cell>
          <cell r="I5312">
            <v>0</v>
          </cell>
          <cell r="J5312">
            <v>0</v>
          </cell>
        </row>
        <row r="5313">
          <cell r="A5313">
            <v>1828100981</v>
          </cell>
          <cell r="B5313" t="str">
            <v>שבוע רוסיה</v>
          </cell>
          <cell r="C5313">
            <v>0</v>
          </cell>
          <cell r="D5313">
            <v>0</v>
          </cell>
          <cell r="E5313">
            <v>0</v>
          </cell>
          <cell r="F5313">
            <v>0</v>
          </cell>
          <cell r="G5313">
            <v>0</v>
          </cell>
          <cell r="H5313">
            <v>0</v>
          </cell>
          <cell r="I5313">
            <v>0</v>
          </cell>
          <cell r="J5313">
            <v>0</v>
          </cell>
        </row>
        <row r="5314">
          <cell r="A5314">
            <v>1828100982</v>
          </cell>
          <cell r="B5314" t="str">
            <v>ארועי צעירים</v>
          </cell>
          <cell r="C5314">
            <v>0</v>
          </cell>
          <cell r="D5314">
            <v>0</v>
          </cell>
          <cell r="E5314">
            <v>0</v>
          </cell>
          <cell r="F5314">
            <v>0</v>
          </cell>
          <cell r="G5314">
            <v>0</v>
          </cell>
          <cell r="H5314">
            <v>0</v>
          </cell>
          <cell r="I5314">
            <v>0</v>
          </cell>
          <cell r="J5314">
            <v>0</v>
          </cell>
        </row>
        <row r="5315">
          <cell r="A5315">
            <v>1828100983</v>
          </cell>
          <cell r="B5315" t="str">
            <v>השלמה - ניידת</v>
          </cell>
          <cell r="C5315">
            <v>0</v>
          </cell>
          <cell r="D5315">
            <v>0</v>
          </cell>
          <cell r="E5315">
            <v>0</v>
          </cell>
          <cell r="F5315">
            <v>0</v>
          </cell>
          <cell r="G5315">
            <v>0</v>
          </cell>
          <cell r="H5315">
            <v>0</v>
          </cell>
          <cell r="I5315">
            <v>0</v>
          </cell>
          <cell r="J5315">
            <v>0</v>
          </cell>
        </row>
        <row r="5316">
          <cell r="A5316">
            <v>1828100984</v>
          </cell>
          <cell r="B5316" t="str">
            <v>תחום צעירים</v>
          </cell>
          <cell r="C5316">
            <v>0</v>
          </cell>
          <cell r="D5316">
            <v>0</v>
          </cell>
          <cell r="E5316">
            <v>0</v>
          </cell>
          <cell r="F5316">
            <v>0</v>
          </cell>
          <cell r="G5316">
            <v>0</v>
          </cell>
          <cell r="H5316">
            <v>0</v>
          </cell>
          <cell r="I5316">
            <v>0</v>
          </cell>
          <cell r="J5316">
            <v>0</v>
          </cell>
        </row>
        <row r="5317">
          <cell r="A5317">
            <v>1828100985</v>
          </cell>
          <cell r="B5317" t="str">
            <v>היפ הופ</v>
          </cell>
          <cell r="C5317">
            <v>0</v>
          </cell>
          <cell r="D5317">
            <v>0</v>
          </cell>
          <cell r="E5317">
            <v>0</v>
          </cell>
          <cell r="F5317">
            <v>0</v>
          </cell>
          <cell r="G5317">
            <v>0</v>
          </cell>
          <cell r="H5317">
            <v>0</v>
          </cell>
          <cell r="I5317">
            <v>0</v>
          </cell>
          <cell r="J5317">
            <v>0</v>
          </cell>
        </row>
        <row r="5318">
          <cell r="A5318">
            <v>1828100986</v>
          </cell>
          <cell r="B5318" t="str">
            <v>חוסמ'+סל"תים+נ'ירוק</v>
          </cell>
          <cell r="C5318">
            <v>0</v>
          </cell>
          <cell r="D5318">
            <v>0</v>
          </cell>
          <cell r="E5318">
            <v>0</v>
          </cell>
          <cell r="F5318">
            <v>0</v>
          </cell>
          <cell r="G5318">
            <v>0</v>
          </cell>
          <cell r="H5318">
            <v>0</v>
          </cell>
          <cell r="I5318">
            <v>0</v>
          </cell>
          <cell r="J5318">
            <v>0</v>
          </cell>
        </row>
        <row r="5319">
          <cell r="A5319">
            <v>1828100987</v>
          </cell>
          <cell r="B5319" t="str">
            <v>מרכז ייעוץ לנוער</v>
          </cell>
          <cell r="C5319">
            <v>415600</v>
          </cell>
          <cell r="D5319">
            <v>218617.59</v>
          </cell>
          <cell r="E5319">
            <v>0</v>
          </cell>
          <cell r="F5319">
            <v>218617.59</v>
          </cell>
          <cell r="G5319">
            <v>196982.41</v>
          </cell>
          <cell r="H5319">
            <v>52.6</v>
          </cell>
          <cell r="I5319">
            <v>415600</v>
          </cell>
          <cell r="J5319">
            <v>218617.59</v>
          </cell>
        </row>
        <row r="5320">
          <cell r="A5320">
            <v>1828100988</v>
          </cell>
          <cell r="B5320" t="str">
            <v>הכנה לצה"ל</v>
          </cell>
          <cell r="C5320">
            <v>359640</v>
          </cell>
          <cell r="D5320">
            <v>298015.06</v>
          </cell>
          <cell r="E5320">
            <v>30.96</v>
          </cell>
          <cell r="F5320">
            <v>298046.02</v>
          </cell>
          <cell r="G5320">
            <v>61593.98</v>
          </cell>
          <cell r="H5320">
            <v>82.87</v>
          </cell>
          <cell r="I5320">
            <v>359640</v>
          </cell>
          <cell r="J5320">
            <v>298015.06</v>
          </cell>
        </row>
        <row r="5321">
          <cell r="A5321">
            <v>1828100989</v>
          </cell>
          <cell r="B5321" t="str">
            <v>שבוע הנוער</v>
          </cell>
          <cell r="C5321">
            <v>0</v>
          </cell>
          <cell r="D5321">
            <v>0</v>
          </cell>
          <cell r="E5321">
            <v>0</v>
          </cell>
          <cell r="F5321">
            <v>0</v>
          </cell>
          <cell r="G5321">
            <v>0</v>
          </cell>
          <cell r="H5321">
            <v>0</v>
          </cell>
          <cell r="I5321">
            <v>0</v>
          </cell>
          <cell r="J5321">
            <v>0</v>
          </cell>
        </row>
        <row r="5322">
          <cell r="A5322">
            <v>1828110210</v>
          </cell>
          <cell r="B5322" t="str">
            <v>השכר הקובע</v>
          </cell>
          <cell r="C5322">
            <v>0</v>
          </cell>
          <cell r="D5322">
            <v>0</v>
          </cell>
          <cell r="E5322">
            <v>0</v>
          </cell>
          <cell r="F5322">
            <v>0</v>
          </cell>
          <cell r="G5322">
            <v>0</v>
          </cell>
          <cell r="H5322">
            <v>0</v>
          </cell>
          <cell r="I5322">
            <v>0</v>
          </cell>
          <cell r="J5322">
            <v>0</v>
          </cell>
        </row>
        <row r="5323">
          <cell r="A5323">
            <v>1828110757</v>
          </cell>
          <cell r="B5323" t="str">
            <v>חוגים בקבלנות</v>
          </cell>
          <cell r="C5323">
            <v>0</v>
          </cell>
          <cell r="D5323">
            <v>0</v>
          </cell>
          <cell r="E5323">
            <v>0</v>
          </cell>
          <cell r="F5323">
            <v>0</v>
          </cell>
          <cell r="G5323">
            <v>0</v>
          </cell>
          <cell r="H5323">
            <v>0</v>
          </cell>
          <cell r="I5323">
            <v>0</v>
          </cell>
          <cell r="J5323">
            <v>0</v>
          </cell>
        </row>
        <row r="5324">
          <cell r="A5324">
            <v>1828110763</v>
          </cell>
          <cell r="B5324" t="str">
            <v>עובדי חברת מוסדות</v>
          </cell>
          <cell r="C5324">
            <v>0</v>
          </cell>
          <cell r="D5324">
            <v>0</v>
          </cell>
          <cell r="E5324">
            <v>0</v>
          </cell>
          <cell r="F5324">
            <v>0</v>
          </cell>
          <cell r="G5324">
            <v>0</v>
          </cell>
          <cell r="H5324">
            <v>0</v>
          </cell>
          <cell r="I5324">
            <v>0</v>
          </cell>
          <cell r="J5324">
            <v>0</v>
          </cell>
        </row>
        <row r="5325">
          <cell r="A5325">
            <v>1828110780</v>
          </cell>
          <cell r="B5325" t="str">
            <v>פעולות מהכנסות</v>
          </cell>
          <cell r="C5325">
            <v>0</v>
          </cell>
          <cell r="D5325">
            <v>0</v>
          </cell>
          <cell r="E5325">
            <v>0</v>
          </cell>
          <cell r="F5325">
            <v>0</v>
          </cell>
          <cell r="G5325">
            <v>0</v>
          </cell>
          <cell r="H5325">
            <v>0</v>
          </cell>
          <cell r="I5325">
            <v>0</v>
          </cell>
          <cell r="J5325">
            <v>0</v>
          </cell>
        </row>
        <row r="5326">
          <cell r="A5326">
            <v>1828110781</v>
          </cell>
          <cell r="B5326" t="str">
            <v>פעולות</v>
          </cell>
          <cell r="C5326">
            <v>0</v>
          </cell>
          <cell r="D5326">
            <v>0</v>
          </cell>
          <cell r="E5326">
            <v>0</v>
          </cell>
          <cell r="F5326">
            <v>0</v>
          </cell>
          <cell r="G5326">
            <v>0</v>
          </cell>
          <cell r="H5326">
            <v>0</v>
          </cell>
          <cell r="I5326">
            <v>0</v>
          </cell>
          <cell r="J5326">
            <v>0</v>
          </cell>
        </row>
        <row r="5327">
          <cell r="A5327">
            <v>1828110784</v>
          </cell>
          <cell r="B5327" t="str">
            <v>פע' חצ"ב (מהכנסות)</v>
          </cell>
          <cell r="C5327">
            <v>0</v>
          </cell>
          <cell r="D5327">
            <v>0</v>
          </cell>
          <cell r="E5327">
            <v>0</v>
          </cell>
          <cell r="F5327">
            <v>0</v>
          </cell>
          <cell r="G5327">
            <v>0</v>
          </cell>
          <cell r="H5327">
            <v>0</v>
          </cell>
          <cell r="I5327">
            <v>0</v>
          </cell>
          <cell r="J5327">
            <v>0</v>
          </cell>
        </row>
        <row r="5328">
          <cell r="A5328">
            <v>1828110789</v>
          </cell>
          <cell r="B5328" t="str">
            <v>קייטנת קיץ</v>
          </cell>
          <cell r="C5328">
            <v>0</v>
          </cell>
          <cell r="D5328">
            <v>0</v>
          </cell>
          <cell r="E5328">
            <v>0</v>
          </cell>
          <cell r="F5328">
            <v>0</v>
          </cell>
          <cell r="G5328">
            <v>0</v>
          </cell>
          <cell r="H5328">
            <v>0</v>
          </cell>
          <cell r="I5328">
            <v>0</v>
          </cell>
          <cell r="J5328">
            <v>0</v>
          </cell>
        </row>
        <row r="5329">
          <cell r="A5329">
            <v>1828120110</v>
          </cell>
          <cell r="B5329" t="str">
            <v>השכר הקובע-תקציבית</v>
          </cell>
          <cell r="C5329">
            <v>365750</v>
          </cell>
          <cell r="D5329">
            <v>554523.54</v>
          </cell>
          <cell r="E5329">
            <v>0</v>
          </cell>
          <cell r="F5329">
            <v>554523.54</v>
          </cell>
          <cell r="G5329">
            <v>-188773.54</v>
          </cell>
          <cell r="H5329">
            <v>151.61000000000001</v>
          </cell>
          <cell r="I5329">
            <v>385000</v>
          </cell>
          <cell r="J5329">
            <v>554523.54</v>
          </cell>
        </row>
        <row r="5330">
          <cell r="A5330">
            <v>1828120119</v>
          </cell>
          <cell r="B5330" t="str">
            <v>השכר הקובע-צוברת</v>
          </cell>
          <cell r="C5330">
            <v>1714465</v>
          </cell>
          <cell r="D5330">
            <v>1712499.67</v>
          </cell>
          <cell r="E5330">
            <v>0</v>
          </cell>
          <cell r="F5330">
            <v>1712499.67</v>
          </cell>
          <cell r="G5330">
            <v>1965.33</v>
          </cell>
          <cell r="H5330">
            <v>99.88</v>
          </cell>
          <cell r="I5330">
            <v>1804700</v>
          </cell>
          <cell r="J5330">
            <v>1712499.67</v>
          </cell>
        </row>
        <row r="5331">
          <cell r="A5331">
            <v>1828120122</v>
          </cell>
          <cell r="B5331" t="str">
            <v>ביגוד</v>
          </cell>
          <cell r="C5331">
            <v>23275</v>
          </cell>
          <cell r="D5331">
            <v>31126.13</v>
          </cell>
          <cell r="E5331">
            <v>0</v>
          </cell>
          <cell r="F5331">
            <v>31126.13</v>
          </cell>
          <cell r="G5331">
            <v>-7851.13</v>
          </cell>
          <cell r="H5331">
            <v>133.72999999999999</v>
          </cell>
          <cell r="I5331">
            <v>24500</v>
          </cell>
          <cell r="J5331">
            <v>31126.13</v>
          </cell>
        </row>
        <row r="5332">
          <cell r="A5332">
            <v>1828120126</v>
          </cell>
          <cell r="B5332" t="str">
            <v>דמי הבראה</v>
          </cell>
          <cell r="C5332">
            <v>60325</v>
          </cell>
          <cell r="D5332">
            <v>73110.27</v>
          </cell>
          <cell r="E5332">
            <v>0</v>
          </cell>
          <cell r="F5332">
            <v>73110.27</v>
          </cell>
          <cell r="G5332">
            <v>-12785.27</v>
          </cell>
          <cell r="H5332">
            <v>121.19</v>
          </cell>
          <cell r="I5332">
            <v>63500</v>
          </cell>
          <cell r="J5332">
            <v>73110.27</v>
          </cell>
        </row>
        <row r="5333">
          <cell r="A5333">
            <v>1828120130</v>
          </cell>
          <cell r="B5333" t="str">
            <v>שעות נוספות</v>
          </cell>
          <cell r="C5333">
            <v>5225</v>
          </cell>
          <cell r="D5333">
            <v>4641.4799999999996</v>
          </cell>
          <cell r="E5333">
            <v>0</v>
          </cell>
          <cell r="F5333">
            <v>4641.4799999999996</v>
          </cell>
          <cell r="G5333">
            <v>583.52</v>
          </cell>
          <cell r="H5333">
            <v>88.83</v>
          </cell>
          <cell r="I5333">
            <v>5500</v>
          </cell>
          <cell r="J5333">
            <v>4641.4799999999996</v>
          </cell>
        </row>
        <row r="5334">
          <cell r="A5334">
            <v>1828120140</v>
          </cell>
          <cell r="B5334" t="str">
            <v>השתתפות באחזקת רכב</v>
          </cell>
          <cell r="C5334">
            <v>220400</v>
          </cell>
          <cell r="D5334">
            <v>238834.84</v>
          </cell>
          <cell r="E5334">
            <v>0</v>
          </cell>
          <cell r="F5334">
            <v>238834.84</v>
          </cell>
          <cell r="G5334">
            <v>-18434.84</v>
          </cell>
          <cell r="H5334">
            <v>108.36</v>
          </cell>
          <cell r="I5334">
            <v>232000</v>
          </cell>
          <cell r="J5334">
            <v>238834.84</v>
          </cell>
        </row>
        <row r="5335">
          <cell r="A5335">
            <v>1828120263</v>
          </cell>
          <cell r="B5335" t="str">
            <v>עובדי קידום נוער</v>
          </cell>
          <cell r="C5335">
            <v>0</v>
          </cell>
          <cell r="D5335">
            <v>0</v>
          </cell>
          <cell r="E5335">
            <v>0</v>
          </cell>
          <cell r="F5335">
            <v>0</v>
          </cell>
          <cell r="G5335">
            <v>0</v>
          </cell>
          <cell r="H5335">
            <v>0</v>
          </cell>
          <cell r="I5335">
            <v>0</v>
          </cell>
          <cell r="J5335">
            <v>0</v>
          </cell>
        </row>
        <row r="5336">
          <cell r="A5336">
            <v>1828120391</v>
          </cell>
          <cell r="B5336" t="str">
            <v>הפרשה לפנסיה</v>
          </cell>
          <cell r="C5336">
            <v>0</v>
          </cell>
          <cell r="D5336">
            <v>0</v>
          </cell>
          <cell r="E5336">
            <v>0</v>
          </cell>
          <cell r="F5336">
            <v>0</v>
          </cell>
          <cell r="G5336">
            <v>0</v>
          </cell>
          <cell r="H5336">
            <v>0</v>
          </cell>
          <cell r="I5336">
            <v>0</v>
          </cell>
          <cell r="J5336">
            <v>0</v>
          </cell>
        </row>
        <row r="5337">
          <cell r="A5337">
            <v>1828120420</v>
          </cell>
          <cell r="B5337" t="str">
            <v>כיבוי אש</v>
          </cell>
          <cell r="C5337">
            <v>0</v>
          </cell>
          <cell r="D5337">
            <v>0</v>
          </cell>
          <cell r="E5337">
            <v>0</v>
          </cell>
          <cell r="F5337">
            <v>0</v>
          </cell>
          <cell r="G5337">
            <v>0</v>
          </cell>
          <cell r="H5337">
            <v>0</v>
          </cell>
          <cell r="I5337">
            <v>0</v>
          </cell>
          <cell r="J5337">
            <v>0</v>
          </cell>
        </row>
        <row r="5338">
          <cell r="A5338">
            <v>1828120432</v>
          </cell>
          <cell r="B5338" t="str">
            <v>מים</v>
          </cell>
          <cell r="C5338">
            <v>0</v>
          </cell>
          <cell r="D5338">
            <v>0</v>
          </cell>
          <cell r="E5338">
            <v>0</v>
          </cell>
          <cell r="F5338">
            <v>0</v>
          </cell>
          <cell r="G5338">
            <v>0</v>
          </cell>
          <cell r="H5338">
            <v>0</v>
          </cell>
          <cell r="I5338">
            <v>0</v>
          </cell>
          <cell r="J5338">
            <v>0</v>
          </cell>
        </row>
        <row r="5339">
          <cell r="A5339">
            <v>1828120450</v>
          </cell>
          <cell r="B5339" t="str">
            <v>אחזקת תמי 4</v>
          </cell>
          <cell r="C5339">
            <v>950</v>
          </cell>
          <cell r="D5339">
            <v>0</v>
          </cell>
          <cell r="E5339">
            <v>0</v>
          </cell>
          <cell r="F5339">
            <v>0</v>
          </cell>
          <cell r="G5339">
            <v>950</v>
          </cell>
          <cell r="H5339">
            <v>0</v>
          </cell>
          <cell r="I5339">
            <v>1000</v>
          </cell>
          <cell r="J5339">
            <v>0</v>
          </cell>
        </row>
        <row r="5340">
          <cell r="A5340">
            <v>1828120540</v>
          </cell>
          <cell r="B5340" t="str">
            <v>הוצאות טלפון</v>
          </cell>
          <cell r="C5340">
            <v>0</v>
          </cell>
          <cell r="D5340">
            <v>0</v>
          </cell>
          <cell r="E5340">
            <v>0</v>
          </cell>
          <cell r="F5340">
            <v>0</v>
          </cell>
          <cell r="G5340">
            <v>0</v>
          </cell>
          <cell r="H5340">
            <v>0</v>
          </cell>
          <cell r="I5340">
            <v>0</v>
          </cell>
          <cell r="J5340">
            <v>0</v>
          </cell>
        </row>
        <row r="5341">
          <cell r="A5341">
            <v>1828120571</v>
          </cell>
          <cell r="B5341" t="str">
            <v>מיכון וענ"א</v>
          </cell>
          <cell r="C5341">
            <v>90345</v>
          </cell>
          <cell r="D5341">
            <v>95100</v>
          </cell>
          <cell r="E5341">
            <v>0</v>
          </cell>
          <cell r="F5341">
            <v>95100</v>
          </cell>
          <cell r="G5341">
            <v>-4755</v>
          </cell>
          <cell r="H5341">
            <v>105.26</v>
          </cell>
          <cell r="I5341">
            <v>95100</v>
          </cell>
          <cell r="J5341">
            <v>95100</v>
          </cell>
        </row>
        <row r="5342">
          <cell r="A5342">
            <v>1828120745</v>
          </cell>
          <cell r="B5342" t="str">
            <v>דמי פריצה - תכולה</v>
          </cell>
          <cell r="C5342">
            <v>0</v>
          </cell>
          <cell r="D5342">
            <v>0</v>
          </cell>
          <cell r="E5342">
            <v>0</v>
          </cell>
          <cell r="F5342">
            <v>0</v>
          </cell>
          <cell r="G5342">
            <v>0</v>
          </cell>
          <cell r="H5342">
            <v>0</v>
          </cell>
          <cell r="I5342">
            <v>0</v>
          </cell>
          <cell r="J5342">
            <v>0</v>
          </cell>
        </row>
        <row r="5343">
          <cell r="A5343">
            <v>1828120750</v>
          </cell>
          <cell r="B5343" t="str">
            <v>אחזקת מוסדות</v>
          </cell>
          <cell r="C5343">
            <v>15800</v>
          </cell>
          <cell r="D5343">
            <v>17625</v>
          </cell>
          <cell r="E5343">
            <v>0</v>
          </cell>
          <cell r="F5343">
            <v>17625</v>
          </cell>
          <cell r="G5343">
            <v>-1825</v>
          </cell>
          <cell r="H5343">
            <v>111.55</v>
          </cell>
          <cell r="I5343">
            <v>15800</v>
          </cell>
          <cell r="J5343">
            <v>17625</v>
          </cell>
        </row>
        <row r="5344">
          <cell r="A5344">
            <v>1828120752</v>
          </cell>
          <cell r="B5344" t="str">
            <v>נקיון בקבלנות</v>
          </cell>
          <cell r="C5344">
            <v>52345</v>
          </cell>
          <cell r="D5344">
            <v>55099.61</v>
          </cell>
          <cell r="E5344">
            <v>0</v>
          </cell>
          <cell r="F5344">
            <v>55099.61</v>
          </cell>
          <cell r="G5344">
            <v>-2754.61</v>
          </cell>
          <cell r="H5344">
            <v>105.26</v>
          </cell>
          <cell r="I5344">
            <v>55100</v>
          </cell>
          <cell r="J5344">
            <v>55099.61</v>
          </cell>
        </row>
        <row r="5345">
          <cell r="A5345">
            <v>1828120763</v>
          </cell>
          <cell r="B5345" t="str">
            <v>עובדי קידום נוער</v>
          </cell>
          <cell r="C5345">
            <v>0</v>
          </cell>
          <cell r="D5345">
            <v>0</v>
          </cell>
          <cell r="E5345">
            <v>0</v>
          </cell>
          <cell r="F5345">
            <v>0</v>
          </cell>
          <cell r="G5345">
            <v>0</v>
          </cell>
          <cell r="H5345">
            <v>0</v>
          </cell>
          <cell r="I5345">
            <v>0</v>
          </cell>
          <cell r="J5345">
            <v>0</v>
          </cell>
        </row>
        <row r="5346">
          <cell r="A5346">
            <v>1828120780</v>
          </cell>
          <cell r="B5346" t="str">
            <v>פעולות קידום נוער</v>
          </cell>
          <cell r="C5346">
            <v>44080</v>
          </cell>
          <cell r="D5346">
            <v>23664.53</v>
          </cell>
          <cell r="E5346">
            <v>4653.3500000000004</v>
          </cell>
          <cell r="F5346">
            <v>28317.88</v>
          </cell>
          <cell r="G5346">
            <v>15762.12</v>
          </cell>
          <cell r="H5346">
            <v>64.239999999999995</v>
          </cell>
          <cell r="I5346">
            <v>46400</v>
          </cell>
          <cell r="J5346">
            <v>23664.53</v>
          </cell>
        </row>
        <row r="5347">
          <cell r="A5347">
            <v>1828120781</v>
          </cell>
          <cell r="B5347" t="str">
            <v>צ'קפוינט - תרומה</v>
          </cell>
          <cell r="C5347">
            <v>0</v>
          </cell>
          <cell r="D5347">
            <v>0</v>
          </cell>
          <cell r="E5347">
            <v>0</v>
          </cell>
          <cell r="F5347">
            <v>0</v>
          </cell>
          <cell r="G5347">
            <v>0</v>
          </cell>
          <cell r="H5347">
            <v>0</v>
          </cell>
          <cell r="I5347">
            <v>0</v>
          </cell>
          <cell r="J5347">
            <v>0</v>
          </cell>
        </row>
        <row r="5348">
          <cell r="A5348">
            <v>1828120961</v>
          </cell>
          <cell r="B5348" t="str">
            <v>רז' פעולות ורכישות</v>
          </cell>
          <cell r="C5348">
            <v>0</v>
          </cell>
          <cell r="D5348">
            <v>0</v>
          </cell>
          <cell r="E5348">
            <v>0</v>
          </cell>
          <cell r="F5348">
            <v>0</v>
          </cell>
          <cell r="G5348">
            <v>0</v>
          </cell>
          <cell r="H5348">
            <v>0</v>
          </cell>
          <cell r="I5348">
            <v>0</v>
          </cell>
          <cell r="J5348">
            <v>0</v>
          </cell>
        </row>
        <row r="5349">
          <cell r="A5349">
            <v>1828130119</v>
          </cell>
          <cell r="B5349" t="str">
            <v>השכר הקובע - צוברת</v>
          </cell>
          <cell r="C5349">
            <v>2760700</v>
          </cell>
          <cell r="D5349">
            <v>2890090.4</v>
          </cell>
          <cell r="E5349">
            <v>0</v>
          </cell>
          <cell r="F5349">
            <v>2890090.4</v>
          </cell>
          <cell r="G5349">
            <v>-129390.39999999999</v>
          </cell>
          <cell r="H5349">
            <v>104.68</v>
          </cell>
          <cell r="I5349">
            <v>2906000</v>
          </cell>
          <cell r="J5349">
            <v>2890090.4</v>
          </cell>
        </row>
        <row r="5350">
          <cell r="A5350">
            <v>1828130122</v>
          </cell>
          <cell r="B5350" t="str">
            <v>ביגוד</v>
          </cell>
          <cell r="C5350">
            <v>27550</v>
          </cell>
          <cell r="D5350">
            <v>31726.01</v>
          </cell>
          <cell r="E5350">
            <v>0</v>
          </cell>
          <cell r="F5350">
            <v>31726.01</v>
          </cell>
          <cell r="G5350">
            <v>-4176.01</v>
          </cell>
          <cell r="H5350">
            <v>115.15</v>
          </cell>
          <cell r="I5350">
            <v>29000</v>
          </cell>
          <cell r="J5350">
            <v>31726.01</v>
          </cell>
        </row>
        <row r="5351">
          <cell r="A5351">
            <v>1828130126</v>
          </cell>
          <cell r="B5351" t="str">
            <v>דמי הבראה</v>
          </cell>
          <cell r="C5351">
            <v>47500</v>
          </cell>
          <cell r="D5351">
            <v>77092.600000000006</v>
          </cell>
          <cell r="E5351">
            <v>0</v>
          </cell>
          <cell r="F5351">
            <v>77092.600000000006</v>
          </cell>
          <cell r="G5351">
            <v>-29592.6</v>
          </cell>
          <cell r="H5351">
            <v>162.30000000000001</v>
          </cell>
          <cell r="I5351">
            <v>50000</v>
          </cell>
          <cell r="J5351">
            <v>77092.600000000006</v>
          </cell>
        </row>
        <row r="5352">
          <cell r="A5352">
            <v>1828130130</v>
          </cell>
          <cell r="B5352" t="str">
            <v>שעות נוספות</v>
          </cell>
          <cell r="C5352">
            <v>0</v>
          </cell>
          <cell r="D5352">
            <v>0</v>
          </cell>
          <cell r="E5352">
            <v>0</v>
          </cell>
          <cell r="F5352">
            <v>0</v>
          </cell>
          <cell r="G5352">
            <v>0</v>
          </cell>
          <cell r="H5352">
            <v>0</v>
          </cell>
          <cell r="I5352">
            <v>0</v>
          </cell>
          <cell r="J5352">
            <v>0</v>
          </cell>
        </row>
        <row r="5353">
          <cell r="A5353">
            <v>1828130140</v>
          </cell>
          <cell r="B5353" t="str">
            <v>השתתפות באחזקת רכב</v>
          </cell>
          <cell r="C5353">
            <v>332500</v>
          </cell>
          <cell r="D5353">
            <v>326431.86</v>
          </cell>
          <cell r="E5353">
            <v>0</v>
          </cell>
          <cell r="F5353">
            <v>326431.86</v>
          </cell>
          <cell r="G5353">
            <v>6068.14</v>
          </cell>
          <cell r="H5353">
            <v>98.17</v>
          </cell>
          <cell r="I5353">
            <v>350000</v>
          </cell>
          <cell r="J5353">
            <v>326431.86</v>
          </cell>
        </row>
        <row r="5354">
          <cell r="A5354">
            <v>1828130210</v>
          </cell>
          <cell r="B5354" t="str">
            <v>עובדים שעתיים</v>
          </cell>
          <cell r="C5354">
            <v>0</v>
          </cell>
          <cell r="D5354">
            <v>0</v>
          </cell>
          <cell r="E5354">
            <v>0</v>
          </cell>
          <cell r="F5354">
            <v>0</v>
          </cell>
          <cell r="G5354">
            <v>0</v>
          </cell>
          <cell r="H5354">
            <v>0</v>
          </cell>
          <cell r="I5354">
            <v>0</v>
          </cell>
          <cell r="J5354">
            <v>0</v>
          </cell>
        </row>
        <row r="5355">
          <cell r="A5355">
            <v>1828130253</v>
          </cell>
          <cell r="B5355" t="str">
            <v>עובדים חיצוניים</v>
          </cell>
          <cell r="C5355">
            <v>381995</v>
          </cell>
          <cell r="D5355">
            <v>507025.99</v>
          </cell>
          <cell r="E5355">
            <v>0</v>
          </cell>
          <cell r="F5355">
            <v>507025.99</v>
          </cell>
          <cell r="G5355">
            <v>-125030.99</v>
          </cell>
          <cell r="H5355">
            <v>132.72999999999999</v>
          </cell>
          <cell r="I5355">
            <v>402100</v>
          </cell>
          <cell r="J5355">
            <v>507025.99</v>
          </cell>
        </row>
        <row r="5356">
          <cell r="A5356">
            <v>1828130350</v>
          </cell>
          <cell r="B5356" t="str">
            <v>ליסינג- 471-67-602</v>
          </cell>
          <cell r="C5356">
            <v>47500</v>
          </cell>
          <cell r="D5356">
            <v>28365.56</v>
          </cell>
          <cell r="E5356">
            <v>0</v>
          </cell>
          <cell r="F5356">
            <v>28365.56</v>
          </cell>
          <cell r="G5356">
            <v>19134.439999999999</v>
          </cell>
          <cell r="H5356">
            <v>59.71</v>
          </cell>
          <cell r="I5356">
            <v>50000</v>
          </cell>
          <cell r="J5356">
            <v>28365.56</v>
          </cell>
        </row>
        <row r="5357">
          <cell r="A5357">
            <v>1828130351</v>
          </cell>
          <cell r="B5357" t="str">
            <v>הוצאות- 471-67-602</v>
          </cell>
          <cell r="C5357">
            <v>20900</v>
          </cell>
          <cell r="D5357">
            <v>10231.16</v>
          </cell>
          <cell r="E5357">
            <v>0</v>
          </cell>
          <cell r="F5357">
            <v>10231.16</v>
          </cell>
          <cell r="G5357">
            <v>10668.84</v>
          </cell>
          <cell r="H5357">
            <v>48.95</v>
          </cell>
          <cell r="I5357">
            <v>22000</v>
          </cell>
          <cell r="J5357">
            <v>10231.16</v>
          </cell>
        </row>
        <row r="5358">
          <cell r="A5358">
            <v>1828130410</v>
          </cell>
          <cell r="B5358" t="str">
            <v>שכ"ד הורות ומשפחה</v>
          </cell>
          <cell r="C5358">
            <v>110000</v>
          </cell>
          <cell r="D5358">
            <v>105763.23</v>
          </cell>
          <cell r="E5358">
            <v>0</v>
          </cell>
          <cell r="F5358">
            <v>105763.23</v>
          </cell>
          <cell r="G5358">
            <v>4236.7700000000004</v>
          </cell>
          <cell r="H5358">
            <v>96.14</v>
          </cell>
          <cell r="I5358">
            <v>110000</v>
          </cell>
          <cell r="J5358">
            <v>105763.23</v>
          </cell>
        </row>
        <row r="5359">
          <cell r="A5359">
            <v>1828130431</v>
          </cell>
          <cell r="B5359" t="str">
            <v>חשמל</v>
          </cell>
          <cell r="C5359">
            <v>19800</v>
          </cell>
          <cell r="D5359">
            <v>20780.37</v>
          </cell>
          <cell r="E5359">
            <v>0</v>
          </cell>
          <cell r="F5359">
            <v>20780.37</v>
          </cell>
          <cell r="G5359">
            <v>-980.37</v>
          </cell>
          <cell r="H5359">
            <v>104.95</v>
          </cell>
          <cell r="I5359">
            <v>19800</v>
          </cell>
          <cell r="J5359">
            <v>20780.37</v>
          </cell>
        </row>
        <row r="5360">
          <cell r="A5360">
            <v>1828130432</v>
          </cell>
          <cell r="B5360" t="str">
            <v>מים</v>
          </cell>
          <cell r="C5360">
            <v>6200</v>
          </cell>
          <cell r="D5360">
            <v>5903.02</v>
          </cell>
          <cell r="E5360">
            <v>0</v>
          </cell>
          <cell r="F5360">
            <v>5903.02</v>
          </cell>
          <cell r="G5360">
            <v>296.98</v>
          </cell>
          <cell r="H5360">
            <v>95.21</v>
          </cell>
          <cell r="I5360">
            <v>6200</v>
          </cell>
          <cell r="J5360">
            <v>5903.02</v>
          </cell>
        </row>
        <row r="5361">
          <cell r="A5361">
            <v>1828130433</v>
          </cell>
          <cell r="B5361" t="str">
            <v>חומרי נקיון</v>
          </cell>
          <cell r="C5361">
            <v>4275</v>
          </cell>
          <cell r="D5361">
            <v>1692.03</v>
          </cell>
          <cell r="E5361">
            <v>340.9</v>
          </cell>
          <cell r="F5361">
            <v>2032.93</v>
          </cell>
          <cell r="G5361">
            <v>2242.0700000000002</v>
          </cell>
          <cell r="H5361">
            <v>47.55</v>
          </cell>
          <cell r="I5361">
            <v>4500</v>
          </cell>
          <cell r="J5361">
            <v>1692.03</v>
          </cell>
        </row>
        <row r="5362">
          <cell r="A5362">
            <v>1828130450</v>
          </cell>
          <cell r="B5362" t="str">
            <v>אחזקת תמי 4</v>
          </cell>
          <cell r="C5362">
            <v>950</v>
          </cell>
          <cell r="D5362">
            <v>0</v>
          </cell>
          <cell r="E5362">
            <v>0</v>
          </cell>
          <cell r="F5362">
            <v>0</v>
          </cell>
          <cell r="G5362">
            <v>950</v>
          </cell>
          <cell r="H5362">
            <v>0</v>
          </cell>
          <cell r="I5362">
            <v>1000</v>
          </cell>
          <cell r="J5362">
            <v>0</v>
          </cell>
        </row>
        <row r="5363">
          <cell r="A5363">
            <v>1828130470</v>
          </cell>
          <cell r="B5363" t="str">
            <v>מכונות משרד</v>
          </cell>
          <cell r="C5363">
            <v>5130</v>
          </cell>
          <cell r="D5363">
            <v>5934</v>
          </cell>
          <cell r="E5363">
            <v>0</v>
          </cell>
          <cell r="F5363">
            <v>5934</v>
          </cell>
          <cell r="G5363">
            <v>-804</v>
          </cell>
          <cell r="H5363">
            <v>115.67</v>
          </cell>
          <cell r="I5363">
            <v>5400</v>
          </cell>
          <cell r="J5363">
            <v>5934</v>
          </cell>
        </row>
        <row r="5364">
          <cell r="A5364">
            <v>1828130471</v>
          </cell>
          <cell r="B5364" t="str">
            <v>מכשירי כתיבה</v>
          </cell>
          <cell r="C5364">
            <v>6300</v>
          </cell>
          <cell r="D5364">
            <v>6228.82</v>
          </cell>
          <cell r="E5364">
            <v>60.97</v>
          </cell>
          <cell r="F5364">
            <v>6289.79</v>
          </cell>
          <cell r="G5364">
            <v>10.210000000000001</v>
          </cell>
          <cell r="H5364">
            <v>99.83</v>
          </cell>
          <cell r="I5364">
            <v>6300</v>
          </cell>
          <cell r="J5364">
            <v>6228.82</v>
          </cell>
        </row>
        <row r="5365">
          <cell r="A5365">
            <v>1828130511</v>
          </cell>
          <cell r="B5365" t="str">
            <v>אירוח וכיבוד</v>
          </cell>
          <cell r="C5365">
            <v>4900</v>
          </cell>
          <cell r="D5365">
            <v>323.57</v>
          </cell>
          <cell r="E5365">
            <v>0</v>
          </cell>
          <cell r="F5365">
            <v>323.57</v>
          </cell>
          <cell r="G5365">
            <v>4576.43</v>
          </cell>
          <cell r="H5365">
            <v>6.6</v>
          </cell>
          <cell r="I5365">
            <v>4900</v>
          </cell>
          <cell r="J5365">
            <v>323.57</v>
          </cell>
        </row>
        <row r="5366">
          <cell r="A5366">
            <v>1828130540</v>
          </cell>
          <cell r="B5366" t="str">
            <v>הוצאות טלפון</v>
          </cell>
          <cell r="C5366">
            <v>11400</v>
          </cell>
          <cell r="D5366">
            <v>0</v>
          </cell>
          <cell r="E5366">
            <v>0</v>
          </cell>
          <cell r="F5366">
            <v>0</v>
          </cell>
          <cell r="G5366">
            <v>11400</v>
          </cell>
          <cell r="H5366">
            <v>0</v>
          </cell>
          <cell r="I5366">
            <v>12000</v>
          </cell>
          <cell r="J5366">
            <v>0</v>
          </cell>
        </row>
        <row r="5367">
          <cell r="A5367">
            <v>1828130544</v>
          </cell>
          <cell r="B5367" t="str">
            <v>הוצאות דאר</v>
          </cell>
          <cell r="C5367">
            <v>855</v>
          </cell>
          <cell r="D5367">
            <v>0</v>
          </cell>
          <cell r="E5367">
            <v>0</v>
          </cell>
          <cell r="F5367">
            <v>0</v>
          </cell>
          <cell r="G5367">
            <v>855</v>
          </cell>
          <cell r="H5367">
            <v>0</v>
          </cell>
          <cell r="I5367">
            <v>900</v>
          </cell>
          <cell r="J5367">
            <v>0</v>
          </cell>
        </row>
        <row r="5368">
          <cell r="A5368">
            <v>1828130562</v>
          </cell>
          <cell r="B5368" t="str">
            <v>הדפסות</v>
          </cell>
          <cell r="C5368">
            <v>1900</v>
          </cell>
          <cell r="D5368">
            <v>165</v>
          </cell>
          <cell r="E5368">
            <v>0</v>
          </cell>
          <cell r="F5368">
            <v>165</v>
          </cell>
          <cell r="G5368">
            <v>1735</v>
          </cell>
          <cell r="H5368">
            <v>8.68</v>
          </cell>
          <cell r="I5368">
            <v>2000</v>
          </cell>
          <cell r="J5368">
            <v>165</v>
          </cell>
        </row>
        <row r="5369">
          <cell r="A5369">
            <v>1828130580</v>
          </cell>
          <cell r="B5369" t="str">
            <v>יועצים</v>
          </cell>
          <cell r="C5369">
            <v>32490</v>
          </cell>
          <cell r="D5369">
            <v>0</v>
          </cell>
          <cell r="E5369">
            <v>0</v>
          </cell>
          <cell r="F5369">
            <v>0</v>
          </cell>
          <cell r="G5369">
            <v>32490</v>
          </cell>
          <cell r="H5369">
            <v>0</v>
          </cell>
          <cell r="I5369">
            <v>34200</v>
          </cell>
          <cell r="J5369">
            <v>0</v>
          </cell>
        </row>
        <row r="5370">
          <cell r="A5370">
            <v>1828130751</v>
          </cell>
          <cell r="B5370" t="str">
            <v>עבודות קבלניות</v>
          </cell>
          <cell r="C5370">
            <v>22705</v>
          </cell>
          <cell r="D5370">
            <v>20684.52</v>
          </cell>
          <cell r="E5370">
            <v>2823.21</v>
          </cell>
          <cell r="F5370">
            <v>23507.73</v>
          </cell>
          <cell r="G5370">
            <v>-802.73</v>
          </cell>
          <cell r="H5370">
            <v>103.53</v>
          </cell>
          <cell r="I5370">
            <v>23900</v>
          </cell>
          <cell r="J5370">
            <v>20684.52</v>
          </cell>
        </row>
        <row r="5371">
          <cell r="A5371">
            <v>1828130752</v>
          </cell>
          <cell r="B5371" t="str">
            <v>נקיון בקבלנות</v>
          </cell>
          <cell r="C5371">
            <v>165300</v>
          </cell>
          <cell r="D5371">
            <v>173999.82</v>
          </cell>
          <cell r="E5371">
            <v>0</v>
          </cell>
          <cell r="F5371">
            <v>173999.82</v>
          </cell>
          <cell r="G5371">
            <v>-8699.82</v>
          </cell>
          <cell r="H5371">
            <v>105.26</v>
          </cell>
          <cell r="I5371">
            <v>174000</v>
          </cell>
          <cell r="J5371">
            <v>173999.82</v>
          </cell>
        </row>
        <row r="5372">
          <cell r="A5372">
            <v>1828130753</v>
          </cell>
          <cell r="B5372" t="str">
            <v>עובד אחזקה</v>
          </cell>
          <cell r="C5372">
            <v>0</v>
          </cell>
          <cell r="D5372">
            <v>0</v>
          </cell>
          <cell r="E5372">
            <v>0</v>
          </cell>
          <cell r="F5372">
            <v>0</v>
          </cell>
          <cell r="G5372">
            <v>0</v>
          </cell>
          <cell r="H5372">
            <v>0</v>
          </cell>
          <cell r="I5372">
            <v>0</v>
          </cell>
          <cell r="J5372">
            <v>0</v>
          </cell>
        </row>
        <row r="5373">
          <cell r="A5373">
            <v>1828130756</v>
          </cell>
          <cell r="B5373" t="str">
            <v>שמירה בקבלנות</v>
          </cell>
          <cell r="C5373">
            <v>0</v>
          </cell>
          <cell r="D5373">
            <v>0</v>
          </cell>
          <cell r="E5373">
            <v>0</v>
          </cell>
          <cell r="F5373">
            <v>0</v>
          </cell>
          <cell r="G5373">
            <v>0</v>
          </cell>
          <cell r="H5373">
            <v>0</v>
          </cell>
          <cell r="I5373">
            <v>0</v>
          </cell>
          <cell r="J5373">
            <v>0</v>
          </cell>
        </row>
        <row r="5374">
          <cell r="A5374">
            <v>1828130780</v>
          </cell>
          <cell r="B5374" t="str">
            <v>פעילות צעירים</v>
          </cell>
          <cell r="C5374">
            <v>378136</v>
          </cell>
          <cell r="D5374">
            <v>357455</v>
          </cell>
          <cell r="E5374">
            <v>14665.7</v>
          </cell>
          <cell r="F5374">
            <v>372120.7</v>
          </cell>
          <cell r="G5374">
            <v>6015.3</v>
          </cell>
          <cell r="H5374">
            <v>98.4</v>
          </cell>
          <cell r="I5374">
            <v>378136</v>
          </cell>
          <cell r="J5374">
            <v>357455</v>
          </cell>
        </row>
        <row r="5375">
          <cell r="A5375">
            <v>1828130781</v>
          </cell>
          <cell r="B5375" t="str">
            <v>ארועים</v>
          </cell>
          <cell r="C5375">
            <v>171000</v>
          </cell>
          <cell r="D5375">
            <v>170986.17</v>
          </cell>
          <cell r="E5375">
            <v>0</v>
          </cell>
          <cell r="F5375">
            <v>170986.17</v>
          </cell>
          <cell r="G5375">
            <v>13.83</v>
          </cell>
          <cell r="H5375">
            <v>99.99</v>
          </cell>
          <cell r="I5375">
            <v>171000</v>
          </cell>
          <cell r="J5375">
            <v>170986.17</v>
          </cell>
        </row>
        <row r="5376">
          <cell r="A5376">
            <v>1828130782</v>
          </cell>
          <cell r="B5376" t="str">
            <v>חוגי הורים</v>
          </cell>
          <cell r="C5376">
            <v>23800</v>
          </cell>
          <cell r="D5376">
            <v>23800</v>
          </cell>
          <cell r="E5376">
            <v>0</v>
          </cell>
          <cell r="F5376">
            <v>23800</v>
          </cell>
          <cell r="G5376">
            <v>0</v>
          </cell>
          <cell r="H5376">
            <v>100</v>
          </cell>
          <cell r="I5376">
            <v>23800</v>
          </cell>
          <cell r="J5376">
            <v>23800</v>
          </cell>
        </row>
        <row r="5377">
          <cell r="A5377">
            <v>1828130783</v>
          </cell>
          <cell r="B5377" t="str">
            <v>אם לאם בקהילה</v>
          </cell>
          <cell r="C5377">
            <v>63200</v>
          </cell>
          <cell r="D5377">
            <v>60828.41</v>
          </cell>
          <cell r="E5377">
            <v>1962.13</v>
          </cell>
          <cell r="F5377">
            <v>62790.54</v>
          </cell>
          <cell r="G5377">
            <v>409.46</v>
          </cell>
          <cell r="H5377">
            <v>99.35</v>
          </cell>
          <cell r="I5377">
            <v>63200</v>
          </cell>
          <cell r="J5377">
            <v>60828.41</v>
          </cell>
        </row>
        <row r="5378">
          <cell r="A5378">
            <v>1828130784</v>
          </cell>
          <cell r="B5378" t="str">
            <v>פעילות הורות</v>
          </cell>
          <cell r="C5378">
            <v>501500</v>
          </cell>
          <cell r="D5378">
            <v>501288.97</v>
          </cell>
          <cell r="E5378">
            <v>210.6</v>
          </cell>
          <cell r="F5378">
            <v>501499.57</v>
          </cell>
          <cell r="G5378">
            <v>0.43</v>
          </cell>
          <cell r="H5378">
            <v>99.99</v>
          </cell>
          <cell r="I5378">
            <v>501500</v>
          </cell>
          <cell r="J5378">
            <v>501288.97</v>
          </cell>
        </row>
        <row r="5379">
          <cell r="A5379">
            <v>1828130785</v>
          </cell>
          <cell r="B5379" t="str">
            <v>תחום התנדבות</v>
          </cell>
          <cell r="C5379">
            <v>101200</v>
          </cell>
          <cell r="D5379">
            <v>81274.09</v>
          </cell>
          <cell r="E5379">
            <v>1933.59</v>
          </cell>
          <cell r="F5379">
            <v>83207.679999999993</v>
          </cell>
          <cell r="G5379">
            <v>17992.32</v>
          </cell>
          <cell r="H5379">
            <v>82.22</v>
          </cell>
          <cell r="I5379">
            <v>101200</v>
          </cell>
          <cell r="J5379">
            <v>81274.09</v>
          </cell>
        </row>
        <row r="5380">
          <cell r="A5380">
            <v>1828130786</v>
          </cell>
          <cell r="B5380" t="str">
            <v>ארוע שנתי למתנדבים</v>
          </cell>
          <cell r="C5380">
            <v>21900</v>
          </cell>
          <cell r="D5380">
            <v>21776.79</v>
          </cell>
          <cell r="E5380">
            <v>38.61</v>
          </cell>
          <cell r="F5380">
            <v>21815.4</v>
          </cell>
          <cell r="G5380">
            <v>84.6</v>
          </cell>
          <cell r="H5380">
            <v>99.61</v>
          </cell>
          <cell r="I5380">
            <v>21900</v>
          </cell>
          <cell r="J5380">
            <v>21776.79</v>
          </cell>
        </row>
        <row r="5381">
          <cell r="A5381">
            <v>1828130787</v>
          </cell>
          <cell r="B5381" t="str">
            <v>פעילות בקהילה</v>
          </cell>
          <cell r="C5381">
            <v>50000</v>
          </cell>
          <cell r="D5381">
            <v>46626.02</v>
          </cell>
          <cell r="E5381">
            <v>3299.1</v>
          </cell>
          <cell r="F5381">
            <v>49925.120000000003</v>
          </cell>
          <cell r="G5381">
            <v>74.88</v>
          </cell>
          <cell r="H5381">
            <v>99.85</v>
          </cell>
          <cell r="I5381">
            <v>50000</v>
          </cell>
          <cell r="J5381">
            <v>46626.02</v>
          </cell>
        </row>
        <row r="5382">
          <cell r="A5382">
            <v>1828130788</v>
          </cell>
          <cell r="B5382" t="str">
            <v>מעורבות חברתית פעילות</v>
          </cell>
          <cell r="C5382">
            <v>0</v>
          </cell>
          <cell r="D5382">
            <v>0</v>
          </cell>
          <cell r="E5382">
            <v>0</v>
          </cell>
          <cell r="F5382">
            <v>0</v>
          </cell>
          <cell r="G5382">
            <v>0</v>
          </cell>
          <cell r="H5382">
            <v>0</v>
          </cell>
          <cell r="I5382">
            <v>0</v>
          </cell>
          <cell r="J5382">
            <v>0</v>
          </cell>
        </row>
        <row r="5383">
          <cell r="A5383">
            <v>1828130789</v>
          </cell>
          <cell r="B5383" t="str">
            <v>תכנית פאזל</v>
          </cell>
          <cell r="C5383">
            <v>90000</v>
          </cell>
          <cell r="D5383">
            <v>89999.9</v>
          </cell>
          <cell r="E5383">
            <v>0</v>
          </cell>
          <cell r="F5383">
            <v>89999.9</v>
          </cell>
          <cell r="G5383">
            <v>0.1</v>
          </cell>
          <cell r="H5383">
            <v>99.99</v>
          </cell>
          <cell r="I5383">
            <v>90000</v>
          </cell>
          <cell r="J5383">
            <v>89999.9</v>
          </cell>
        </row>
        <row r="5384">
          <cell r="A5384">
            <v>1828130790</v>
          </cell>
          <cell r="B5384" t="str">
            <v>אימהות יחידניות</v>
          </cell>
          <cell r="C5384">
            <v>0</v>
          </cell>
          <cell r="D5384">
            <v>0</v>
          </cell>
          <cell r="E5384">
            <v>0</v>
          </cell>
          <cell r="F5384">
            <v>0</v>
          </cell>
          <cell r="G5384">
            <v>0</v>
          </cell>
          <cell r="H5384">
            <v>0</v>
          </cell>
          <cell r="I5384">
            <v>0</v>
          </cell>
          <cell r="J5384">
            <v>0</v>
          </cell>
        </row>
        <row r="5385">
          <cell r="A5385">
            <v>1828130791</v>
          </cell>
          <cell r="B5385" t="str">
            <v>התנדבות בחירים</v>
          </cell>
          <cell r="C5385">
            <v>0</v>
          </cell>
          <cell r="D5385">
            <v>0</v>
          </cell>
          <cell r="E5385">
            <v>0</v>
          </cell>
          <cell r="F5385">
            <v>0</v>
          </cell>
          <cell r="G5385">
            <v>0</v>
          </cell>
          <cell r="H5385">
            <v>0</v>
          </cell>
          <cell r="I5385">
            <v>0</v>
          </cell>
          <cell r="J5385">
            <v>0</v>
          </cell>
        </row>
        <row r="5386">
          <cell r="A5386">
            <v>1828130792</v>
          </cell>
          <cell r="B5386" t="str">
            <v>יום המעשים הטובים</v>
          </cell>
          <cell r="C5386">
            <v>46360</v>
          </cell>
          <cell r="D5386">
            <v>28812</v>
          </cell>
          <cell r="E5386">
            <v>0</v>
          </cell>
          <cell r="F5386">
            <v>28812</v>
          </cell>
          <cell r="G5386">
            <v>17548</v>
          </cell>
          <cell r="H5386">
            <v>62.14</v>
          </cell>
          <cell r="I5386">
            <v>48800</v>
          </cell>
          <cell r="J5386">
            <v>28812</v>
          </cell>
        </row>
        <row r="5387">
          <cell r="A5387">
            <v>1828130793</v>
          </cell>
          <cell r="B5387" t="str">
            <v>אירועים פעולות קהילתיות</v>
          </cell>
          <cell r="C5387">
            <v>0</v>
          </cell>
          <cell r="D5387">
            <v>0</v>
          </cell>
          <cell r="E5387">
            <v>0</v>
          </cell>
          <cell r="F5387">
            <v>0</v>
          </cell>
          <cell r="G5387">
            <v>0</v>
          </cell>
          <cell r="H5387">
            <v>0</v>
          </cell>
          <cell r="I5387">
            <v>0</v>
          </cell>
          <cell r="J5387">
            <v>0</v>
          </cell>
        </row>
        <row r="5388">
          <cell r="A5388">
            <v>1828130795</v>
          </cell>
          <cell r="B5388" t="str">
            <v>פרויקטים יזמות</v>
          </cell>
          <cell r="C5388">
            <v>0</v>
          </cell>
          <cell r="D5388">
            <v>0</v>
          </cell>
          <cell r="E5388">
            <v>0</v>
          </cell>
          <cell r="F5388">
            <v>0</v>
          </cell>
          <cell r="G5388">
            <v>0</v>
          </cell>
          <cell r="H5388">
            <v>0</v>
          </cell>
          <cell r="I5388">
            <v>0</v>
          </cell>
          <cell r="J5388">
            <v>0</v>
          </cell>
        </row>
        <row r="5389">
          <cell r="A5389">
            <v>1828130796</v>
          </cell>
          <cell r="B5389" t="str">
            <v>הורים עושים חיל</v>
          </cell>
          <cell r="C5389">
            <v>0</v>
          </cell>
          <cell r="D5389">
            <v>0</v>
          </cell>
          <cell r="E5389">
            <v>0</v>
          </cell>
          <cell r="F5389">
            <v>0</v>
          </cell>
          <cell r="G5389">
            <v>0</v>
          </cell>
          <cell r="H5389">
            <v>0</v>
          </cell>
          <cell r="I5389">
            <v>0</v>
          </cell>
          <cell r="J5389">
            <v>0</v>
          </cell>
        </row>
        <row r="5390">
          <cell r="A5390">
            <v>1828130797</v>
          </cell>
          <cell r="B5390" t="str">
            <v>קשר עם חיילים</v>
          </cell>
          <cell r="C5390">
            <v>0</v>
          </cell>
          <cell r="D5390">
            <v>0</v>
          </cell>
          <cell r="E5390">
            <v>0</v>
          </cell>
          <cell r="F5390">
            <v>0</v>
          </cell>
          <cell r="G5390">
            <v>0</v>
          </cell>
          <cell r="H5390">
            <v>0</v>
          </cell>
          <cell r="I5390">
            <v>0</v>
          </cell>
          <cell r="J5390">
            <v>0</v>
          </cell>
        </row>
        <row r="5391">
          <cell r="A5391">
            <v>1828130931</v>
          </cell>
          <cell r="B5391" t="str">
            <v>רכישות חד-פעמיות</v>
          </cell>
          <cell r="C5391">
            <v>5130</v>
          </cell>
          <cell r="D5391">
            <v>5328.28</v>
          </cell>
          <cell r="E5391">
            <v>0.94</v>
          </cell>
          <cell r="F5391">
            <v>5329.22</v>
          </cell>
          <cell r="G5391">
            <v>-199.22</v>
          </cell>
          <cell r="H5391">
            <v>103.88</v>
          </cell>
          <cell r="I5391">
            <v>5400</v>
          </cell>
          <cell r="J5391">
            <v>5328.28</v>
          </cell>
        </row>
        <row r="5392">
          <cell r="A5392">
            <v>1828130932</v>
          </cell>
          <cell r="B5392" t="str">
            <v>פעילות הצטיידות להט"ב</v>
          </cell>
          <cell r="C5392">
            <v>0</v>
          </cell>
          <cell r="D5392">
            <v>0</v>
          </cell>
          <cell r="E5392">
            <v>0</v>
          </cell>
          <cell r="F5392">
            <v>0</v>
          </cell>
          <cell r="G5392">
            <v>0</v>
          </cell>
          <cell r="H5392">
            <v>0</v>
          </cell>
          <cell r="I5392">
            <v>0</v>
          </cell>
          <cell r="J5392">
            <v>0</v>
          </cell>
        </row>
        <row r="5393">
          <cell r="A5393">
            <v>1828140119</v>
          </cell>
          <cell r="B5393" t="str">
            <v>השכר הקובע-צוברת</v>
          </cell>
          <cell r="C5393">
            <v>0</v>
          </cell>
          <cell r="D5393">
            <v>0</v>
          </cell>
          <cell r="E5393">
            <v>0</v>
          </cell>
          <cell r="F5393">
            <v>0</v>
          </cell>
          <cell r="G5393">
            <v>0</v>
          </cell>
          <cell r="H5393">
            <v>0</v>
          </cell>
          <cell r="I5393">
            <v>0</v>
          </cell>
          <cell r="J5393">
            <v>0</v>
          </cell>
        </row>
        <row r="5394">
          <cell r="A5394">
            <v>1828140122</v>
          </cell>
          <cell r="B5394" t="str">
            <v>ביגוד</v>
          </cell>
          <cell r="C5394">
            <v>0</v>
          </cell>
          <cell r="D5394">
            <v>0</v>
          </cell>
          <cell r="E5394">
            <v>0</v>
          </cell>
          <cell r="F5394">
            <v>0</v>
          </cell>
          <cell r="G5394">
            <v>0</v>
          </cell>
          <cell r="H5394">
            <v>0</v>
          </cell>
          <cell r="I5394">
            <v>0</v>
          </cell>
          <cell r="J5394">
            <v>0</v>
          </cell>
        </row>
        <row r="5395">
          <cell r="A5395">
            <v>1828140126</v>
          </cell>
          <cell r="B5395" t="str">
            <v>דמי הבראה</v>
          </cell>
          <cell r="C5395">
            <v>0</v>
          </cell>
          <cell r="D5395">
            <v>0</v>
          </cell>
          <cell r="E5395">
            <v>0</v>
          </cell>
          <cell r="F5395">
            <v>0</v>
          </cell>
          <cell r="G5395">
            <v>0</v>
          </cell>
          <cell r="H5395">
            <v>0</v>
          </cell>
          <cell r="I5395">
            <v>0</v>
          </cell>
          <cell r="J5395">
            <v>0</v>
          </cell>
        </row>
        <row r="5396">
          <cell r="A5396">
            <v>1828140130</v>
          </cell>
          <cell r="B5396" t="str">
            <v>שעות נוספות</v>
          </cell>
          <cell r="C5396">
            <v>0</v>
          </cell>
          <cell r="D5396">
            <v>0</v>
          </cell>
          <cell r="E5396">
            <v>0</v>
          </cell>
          <cell r="F5396">
            <v>0</v>
          </cell>
          <cell r="G5396">
            <v>0</v>
          </cell>
          <cell r="H5396">
            <v>0</v>
          </cell>
          <cell r="I5396">
            <v>0</v>
          </cell>
          <cell r="J5396">
            <v>0</v>
          </cell>
        </row>
        <row r="5397">
          <cell r="A5397">
            <v>1828140140</v>
          </cell>
          <cell r="B5397" t="str">
            <v>השתתפות באחזקת רכב</v>
          </cell>
          <cell r="C5397">
            <v>0</v>
          </cell>
          <cell r="D5397">
            <v>0</v>
          </cell>
          <cell r="E5397">
            <v>0</v>
          </cell>
          <cell r="F5397">
            <v>0</v>
          </cell>
          <cell r="G5397">
            <v>0</v>
          </cell>
          <cell r="H5397">
            <v>0</v>
          </cell>
          <cell r="I5397">
            <v>0</v>
          </cell>
          <cell r="J5397">
            <v>0</v>
          </cell>
        </row>
        <row r="5398">
          <cell r="A5398">
            <v>1828140350</v>
          </cell>
          <cell r="B5398" t="str">
            <v>ליסינג</v>
          </cell>
          <cell r="C5398">
            <v>0</v>
          </cell>
          <cell r="D5398">
            <v>0</v>
          </cell>
          <cell r="E5398">
            <v>0</v>
          </cell>
          <cell r="F5398">
            <v>0</v>
          </cell>
          <cell r="G5398">
            <v>0</v>
          </cell>
          <cell r="H5398">
            <v>0</v>
          </cell>
          <cell r="I5398">
            <v>0</v>
          </cell>
          <cell r="J5398">
            <v>0</v>
          </cell>
        </row>
        <row r="5399">
          <cell r="A5399">
            <v>1828140351</v>
          </cell>
          <cell r="B5399" t="str">
            <v>הוצאות</v>
          </cell>
          <cell r="C5399">
            <v>0</v>
          </cell>
          <cell r="D5399">
            <v>0</v>
          </cell>
          <cell r="E5399">
            <v>0</v>
          </cell>
          <cell r="F5399">
            <v>0</v>
          </cell>
          <cell r="G5399">
            <v>0</v>
          </cell>
          <cell r="H5399">
            <v>0</v>
          </cell>
          <cell r="I5399">
            <v>0</v>
          </cell>
          <cell r="J5399">
            <v>0</v>
          </cell>
        </row>
        <row r="5400">
          <cell r="A5400">
            <v>1828140471</v>
          </cell>
          <cell r="B5400" t="str">
            <v>מכשירי כתיבה</v>
          </cell>
          <cell r="C5400">
            <v>0</v>
          </cell>
          <cell r="D5400">
            <v>0</v>
          </cell>
          <cell r="E5400">
            <v>0</v>
          </cell>
          <cell r="F5400">
            <v>0</v>
          </cell>
          <cell r="G5400">
            <v>0</v>
          </cell>
          <cell r="H5400">
            <v>0</v>
          </cell>
          <cell r="I5400">
            <v>0</v>
          </cell>
          <cell r="J5400">
            <v>0</v>
          </cell>
        </row>
        <row r="5401">
          <cell r="A5401">
            <v>1828140511</v>
          </cell>
          <cell r="B5401" t="str">
            <v>אירוח וכיבוד</v>
          </cell>
          <cell r="C5401">
            <v>0</v>
          </cell>
          <cell r="D5401">
            <v>0</v>
          </cell>
          <cell r="E5401">
            <v>0</v>
          </cell>
          <cell r="F5401">
            <v>0</v>
          </cell>
          <cell r="G5401">
            <v>0</v>
          </cell>
          <cell r="H5401">
            <v>0</v>
          </cell>
          <cell r="I5401">
            <v>0</v>
          </cell>
          <cell r="J5401">
            <v>0</v>
          </cell>
        </row>
        <row r="5402">
          <cell r="A5402">
            <v>1828140512</v>
          </cell>
          <cell r="B5402" t="str">
            <v>נסיעות</v>
          </cell>
          <cell r="C5402">
            <v>0</v>
          </cell>
          <cell r="D5402">
            <v>0</v>
          </cell>
          <cell r="E5402">
            <v>0</v>
          </cell>
          <cell r="F5402">
            <v>0</v>
          </cell>
          <cell r="G5402">
            <v>0</v>
          </cell>
          <cell r="H5402">
            <v>0</v>
          </cell>
          <cell r="I5402">
            <v>0</v>
          </cell>
          <cell r="J5402">
            <v>0</v>
          </cell>
        </row>
        <row r="5403">
          <cell r="A5403">
            <v>1828140522</v>
          </cell>
          <cell r="B5403" t="str">
            <v>ספרות</v>
          </cell>
          <cell r="C5403">
            <v>0</v>
          </cell>
          <cell r="D5403">
            <v>0</v>
          </cell>
          <cell r="E5403">
            <v>0</v>
          </cell>
          <cell r="F5403">
            <v>0</v>
          </cell>
          <cell r="G5403">
            <v>0</v>
          </cell>
          <cell r="H5403">
            <v>0</v>
          </cell>
          <cell r="I5403">
            <v>0</v>
          </cell>
          <cell r="J5403">
            <v>0</v>
          </cell>
        </row>
        <row r="5404">
          <cell r="A5404">
            <v>1828140544</v>
          </cell>
          <cell r="B5404" t="str">
            <v>דואר</v>
          </cell>
          <cell r="C5404">
            <v>0</v>
          </cell>
          <cell r="D5404">
            <v>0</v>
          </cell>
          <cell r="E5404">
            <v>0</v>
          </cell>
          <cell r="F5404">
            <v>0</v>
          </cell>
          <cell r="G5404">
            <v>0</v>
          </cell>
          <cell r="H5404">
            <v>0</v>
          </cell>
          <cell r="I5404">
            <v>0</v>
          </cell>
          <cell r="J5404">
            <v>0</v>
          </cell>
        </row>
        <row r="5405">
          <cell r="A5405">
            <v>1828140550</v>
          </cell>
          <cell r="B5405" t="str">
            <v>פרסומים</v>
          </cell>
          <cell r="C5405">
            <v>0</v>
          </cell>
          <cell r="D5405">
            <v>0</v>
          </cell>
          <cell r="E5405">
            <v>0</v>
          </cell>
          <cell r="F5405">
            <v>0</v>
          </cell>
          <cell r="G5405">
            <v>0</v>
          </cell>
          <cell r="H5405">
            <v>0</v>
          </cell>
          <cell r="I5405">
            <v>0</v>
          </cell>
          <cell r="J5405">
            <v>0</v>
          </cell>
        </row>
        <row r="5406">
          <cell r="A5406">
            <v>1828140562</v>
          </cell>
          <cell r="B5406" t="str">
            <v>הדפסות</v>
          </cell>
          <cell r="C5406">
            <v>0</v>
          </cell>
          <cell r="D5406">
            <v>0</v>
          </cell>
          <cell r="E5406">
            <v>0</v>
          </cell>
          <cell r="F5406">
            <v>0</v>
          </cell>
          <cell r="G5406">
            <v>0</v>
          </cell>
          <cell r="H5406">
            <v>0</v>
          </cell>
          <cell r="I5406">
            <v>0</v>
          </cell>
          <cell r="J5406">
            <v>0</v>
          </cell>
        </row>
        <row r="5407">
          <cell r="A5407">
            <v>1828140781</v>
          </cell>
          <cell r="B5407" t="str">
            <v>פעולות סמנכ"ל</v>
          </cell>
          <cell r="C5407">
            <v>0</v>
          </cell>
          <cell r="D5407">
            <v>0</v>
          </cell>
          <cell r="E5407">
            <v>299.48</v>
          </cell>
          <cell r="F5407">
            <v>299.48</v>
          </cell>
          <cell r="G5407">
            <v>-299.48</v>
          </cell>
          <cell r="H5407">
            <v>0</v>
          </cell>
          <cell r="I5407">
            <v>0</v>
          </cell>
          <cell r="J5407">
            <v>0</v>
          </cell>
        </row>
        <row r="5408">
          <cell r="A5408">
            <v>1828140782</v>
          </cell>
          <cell r="B5408" t="str">
            <v>יוזמות סמנכ"ל</v>
          </cell>
          <cell r="C5408">
            <v>0</v>
          </cell>
          <cell r="D5408">
            <v>0</v>
          </cell>
          <cell r="E5408">
            <v>0</v>
          </cell>
          <cell r="F5408">
            <v>0</v>
          </cell>
          <cell r="G5408">
            <v>0</v>
          </cell>
          <cell r="H5408">
            <v>0</v>
          </cell>
          <cell r="I5408">
            <v>0</v>
          </cell>
          <cell r="J5408">
            <v>0</v>
          </cell>
        </row>
        <row r="5409">
          <cell r="A5409">
            <v>1828200210</v>
          </cell>
          <cell r="B5409" t="str">
            <v>לא פעיל</v>
          </cell>
          <cell r="C5409">
            <v>0</v>
          </cell>
          <cell r="D5409">
            <v>0</v>
          </cell>
          <cell r="E5409">
            <v>0</v>
          </cell>
          <cell r="F5409">
            <v>0</v>
          </cell>
          <cell r="G5409">
            <v>0</v>
          </cell>
          <cell r="H5409">
            <v>0</v>
          </cell>
          <cell r="I5409">
            <v>0</v>
          </cell>
          <cell r="J5409">
            <v>0</v>
          </cell>
        </row>
        <row r="5410">
          <cell r="A5410">
            <v>1828200250</v>
          </cell>
          <cell r="B5410" t="str">
            <v>שכר מושאלים</v>
          </cell>
          <cell r="C5410">
            <v>0</v>
          </cell>
          <cell r="D5410">
            <v>0</v>
          </cell>
          <cell r="E5410">
            <v>0</v>
          </cell>
          <cell r="F5410">
            <v>0</v>
          </cell>
          <cell r="G5410">
            <v>0</v>
          </cell>
          <cell r="H5410">
            <v>0</v>
          </cell>
          <cell r="I5410">
            <v>0</v>
          </cell>
          <cell r="J5410">
            <v>0</v>
          </cell>
        </row>
        <row r="5411">
          <cell r="A5411">
            <v>1828200391</v>
          </cell>
          <cell r="B5411" t="str">
            <v>הפרשה לפנסיה</v>
          </cell>
          <cell r="C5411">
            <v>0</v>
          </cell>
          <cell r="D5411">
            <v>0</v>
          </cell>
          <cell r="E5411">
            <v>0</v>
          </cell>
          <cell r="F5411">
            <v>0</v>
          </cell>
          <cell r="G5411">
            <v>0</v>
          </cell>
          <cell r="H5411">
            <v>0</v>
          </cell>
          <cell r="I5411">
            <v>0</v>
          </cell>
          <cell r="J5411">
            <v>0</v>
          </cell>
        </row>
        <row r="5412">
          <cell r="A5412">
            <v>1828200410</v>
          </cell>
          <cell r="B5412" t="str">
            <v>דמי שכירות</v>
          </cell>
          <cell r="C5412">
            <v>686850</v>
          </cell>
          <cell r="D5412">
            <v>723000</v>
          </cell>
          <cell r="E5412">
            <v>0</v>
          </cell>
          <cell r="F5412">
            <v>723000</v>
          </cell>
          <cell r="G5412">
            <v>-36150</v>
          </cell>
          <cell r="H5412">
            <v>105.26</v>
          </cell>
          <cell r="I5412">
            <v>723000</v>
          </cell>
          <cell r="J5412">
            <v>723000</v>
          </cell>
        </row>
        <row r="5413">
          <cell r="A5413">
            <v>1828200413</v>
          </cell>
          <cell r="B5413" t="str">
            <v>דמ"ש</v>
          </cell>
          <cell r="C5413">
            <v>0</v>
          </cell>
          <cell r="D5413">
            <v>0</v>
          </cell>
          <cell r="E5413">
            <v>0</v>
          </cell>
          <cell r="F5413">
            <v>0</v>
          </cell>
          <cell r="G5413">
            <v>0</v>
          </cell>
          <cell r="H5413">
            <v>0</v>
          </cell>
          <cell r="I5413">
            <v>0</v>
          </cell>
          <cell r="J5413">
            <v>0</v>
          </cell>
        </row>
        <row r="5414">
          <cell r="A5414">
            <v>1828200432</v>
          </cell>
          <cell r="B5414" t="str">
            <v>מים</v>
          </cell>
          <cell r="C5414">
            <v>0</v>
          </cell>
          <cell r="D5414">
            <v>0</v>
          </cell>
          <cell r="E5414">
            <v>0</v>
          </cell>
          <cell r="F5414">
            <v>0</v>
          </cell>
          <cell r="G5414">
            <v>0</v>
          </cell>
          <cell r="H5414">
            <v>0</v>
          </cell>
          <cell r="I5414">
            <v>0</v>
          </cell>
          <cell r="J5414">
            <v>0</v>
          </cell>
        </row>
        <row r="5415">
          <cell r="A5415">
            <v>1828200441</v>
          </cell>
          <cell r="B5415" t="str">
            <v>ביטוח</v>
          </cell>
          <cell r="C5415">
            <v>82365</v>
          </cell>
          <cell r="D5415">
            <v>0</v>
          </cell>
          <cell r="E5415">
            <v>0</v>
          </cell>
          <cell r="F5415">
            <v>0</v>
          </cell>
          <cell r="G5415">
            <v>82365</v>
          </cell>
          <cell r="H5415">
            <v>0</v>
          </cell>
          <cell r="I5415">
            <v>86700</v>
          </cell>
          <cell r="J5415">
            <v>0</v>
          </cell>
        </row>
        <row r="5416">
          <cell r="A5416">
            <v>1828200780</v>
          </cell>
          <cell r="B5416" t="str">
            <v>פרוייקט למידה ת"ג</v>
          </cell>
          <cell r="C5416">
            <v>46360</v>
          </cell>
          <cell r="D5416">
            <v>48800</v>
          </cell>
          <cell r="E5416">
            <v>0</v>
          </cell>
          <cell r="F5416">
            <v>48800</v>
          </cell>
          <cell r="G5416">
            <v>-2440</v>
          </cell>
          <cell r="H5416">
            <v>105.26</v>
          </cell>
          <cell r="I5416">
            <v>48800</v>
          </cell>
          <cell r="J5416">
            <v>48800</v>
          </cell>
        </row>
        <row r="5417">
          <cell r="A5417">
            <v>1828200781</v>
          </cell>
          <cell r="B5417" t="str">
            <v>מגמת עיצוב לבית רותר</v>
          </cell>
          <cell r="C5417">
            <v>123500</v>
          </cell>
          <cell r="D5417">
            <v>0</v>
          </cell>
          <cell r="E5417">
            <v>0</v>
          </cell>
          <cell r="F5417">
            <v>0</v>
          </cell>
          <cell r="G5417">
            <v>123500</v>
          </cell>
          <cell r="H5417">
            <v>0</v>
          </cell>
          <cell r="I5417">
            <v>130000</v>
          </cell>
          <cell r="J5417">
            <v>0</v>
          </cell>
        </row>
        <row r="5418">
          <cell r="A5418">
            <v>1828200782</v>
          </cell>
          <cell r="B5418" t="str">
            <v>רכזת ספורט</v>
          </cell>
          <cell r="C5418">
            <v>54055</v>
          </cell>
          <cell r="D5418">
            <v>56900</v>
          </cell>
          <cell r="E5418">
            <v>0</v>
          </cell>
          <cell r="F5418">
            <v>56900</v>
          </cell>
          <cell r="G5418">
            <v>-2845</v>
          </cell>
          <cell r="H5418">
            <v>105.26</v>
          </cell>
          <cell r="I5418">
            <v>56900</v>
          </cell>
          <cell r="J5418">
            <v>56900</v>
          </cell>
        </row>
        <row r="5419">
          <cell r="A5419">
            <v>1828200783</v>
          </cell>
          <cell r="B5419" t="str">
            <v>תחום נוער</v>
          </cell>
          <cell r="C5419">
            <v>1678300</v>
          </cell>
          <cell r="D5419">
            <v>1678299.91</v>
          </cell>
          <cell r="E5419">
            <v>0</v>
          </cell>
          <cell r="F5419">
            <v>1678299.91</v>
          </cell>
          <cell r="G5419">
            <v>0.09</v>
          </cell>
          <cell r="H5419">
            <v>99.99</v>
          </cell>
          <cell r="I5419">
            <v>1678300</v>
          </cell>
          <cell r="J5419">
            <v>1678299.91</v>
          </cell>
        </row>
        <row r="5420">
          <cell r="A5420">
            <v>1828200784</v>
          </cell>
          <cell r="B5420" t="str">
            <v>פרוייקטים + קיץ</v>
          </cell>
          <cell r="C5420">
            <v>0</v>
          </cell>
          <cell r="D5420">
            <v>0</v>
          </cell>
          <cell r="E5420">
            <v>0</v>
          </cell>
          <cell r="F5420">
            <v>0</v>
          </cell>
          <cell r="G5420">
            <v>0</v>
          </cell>
          <cell r="H5420">
            <v>0</v>
          </cell>
          <cell r="I5420">
            <v>0</v>
          </cell>
          <cell r="J5420">
            <v>0</v>
          </cell>
        </row>
        <row r="5421">
          <cell r="A5421">
            <v>1828200785</v>
          </cell>
          <cell r="B5421" t="str">
            <v>תנועות נוער</v>
          </cell>
          <cell r="C5421">
            <v>0</v>
          </cell>
          <cell r="D5421">
            <v>0</v>
          </cell>
          <cell r="E5421">
            <v>0</v>
          </cell>
          <cell r="F5421">
            <v>0</v>
          </cell>
          <cell r="G5421">
            <v>0</v>
          </cell>
          <cell r="H5421">
            <v>0</v>
          </cell>
          <cell r="I5421">
            <v>0</v>
          </cell>
          <cell r="J5421">
            <v>0</v>
          </cell>
        </row>
        <row r="5422">
          <cell r="A5422">
            <v>1828200786</v>
          </cell>
          <cell r="B5422" t="str">
            <v>היפ הופ</v>
          </cell>
          <cell r="C5422">
            <v>108300</v>
          </cell>
          <cell r="D5422">
            <v>114000</v>
          </cell>
          <cell r="E5422">
            <v>0</v>
          </cell>
          <cell r="F5422">
            <v>114000</v>
          </cell>
          <cell r="G5422">
            <v>-5700</v>
          </cell>
          <cell r="H5422">
            <v>105.26</v>
          </cell>
          <cell r="I5422">
            <v>114000</v>
          </cell>
          <cell r="J5422">
            <v>114000</v>
          </cell>
        </row>
        <row r="5423">
          <cell r="A5423">
            <v>1828200787</v>
          </cell>
          <cell r="B5423" t="str">
            <v>מנהיגות וקשרי חוץ</v>
          </cell>
          <cell r="C5423">
            <v>171475</v>
          </cell>
          <cell r="D5423">
            <v>180500</v>
          </cell>
          <cell r="E5423">
            <v>0</v>
          </cell>
          <cell r="F5423">
            <v>180500</v>
          </cell>
          <cell r="G5423">
            <v>-9025</v>
          </cell>
          <cell r="H5423">
            <v>105.26</v>
          </cell>
          <cell r="I5423">
            <v>180500</v>
          </cell>
          <cell r="J5423">
            <v>180500</v>
          </cell>
        </row>
        <row r="5424">
          <cell r="A5424">
            <v>1828200788</v>
          </cell>
          <cell r="B5424" t="str">
            <v>אומנויות לחימה קליין</v>
          </cell>
          <cell r="C5424">
            <v>133000</v>
          </cell>
          <cell r="D5424">
            <v>140000</v>
          </cell>
          <cell r="E5424">
            <v>0</v>
          </cell>
          <cell r="F5424">
            <v>140000</v>
          </cell>
          <cell r="G5424">
            <v>-7000</v>
          </cell>
          <cell r="H5424">
            <v>105.26</v>
          </cell>
          <cell r="I5424">
            <v>140000</v>
          </cell>
          <cell r="J5424">
            <v>140000</v>
          </cell>
        </row>
        <row r="5425">
          <cell r="A5425">
            <v>1828200789</v>
          </cell>
          <cell r="B5425" t="str">
            <v>תחום מניעה</v>
          </cell>
          <cell r="C5425">
            <v>37905</v>
          </cell>
          <cell r="D5425">
            <v>39900</v>
          </cell>
          <cell r="E5425">
            <v>0</v>
          </cell>
          <cell r="F5425">
            <v>39900</v>
          </cell>
          <cell r="G5425">
            <v>-1995</v>
          </cell>
          <cell r="H5425">
            <v>105.26</v>
          </cell>
          <cell r="I5425">
            <v>39900</v>
          </cell>
          <cell r="J5425">
            <v>39900</v>
          </cell>
        </row>
        <row r="5426">
          <cell r="A5426">
            <v>1828200810</v>
          </cell>
          <cell r="B5426" t="str">
            <v>השתתפות ברשת קו"פ</v>
          </cell>
          <cell r="C5426">
            <v>5474200</v>
          </cell>
          <cell r="D5426">
            <v>5455332.6900000004</v>
          </cell>
          <cell r="E5426">
            <v>0</v>
          </cell>
          <cell r="F5426">
            <v>5455332.6900000004</v>
          </cell>
          <cell r="G5426">
            <v>18867.310000000001</v>
          </cell>
          <cell r="H5426">
            <v>99.65</v>
          </cell>
          <cell r="I5426">
            <v>5474200</v>
          </cell>
          <cell r="J5426">
            <v>5455332.6900000004</v>
          </cell>
        </row>
        <row r="5427">
          <cell r="A5427">
            <v>1828200811</v>
          </cell>
          <cell r="B5427" t="str">
            <v>תרבות תורנית-מקהלות</v>
          </cell>
          <cell r="C5427">
            <v>428735</v>
          </cell>
          <cell r="D5427">
            <v>451300</v>
          </cell>
          <cell r="E5427">
            <v>0</v>
          </cell>
          <cell r="F5427">
            <v>451300</v>
          </cell>
          <cell r="G5427">
            <v>-22565</v>
          </cell>
          <cell r="H5427">
            <v>105.26</v>
          </cell>
          <cell r="I5427">
            <v>451300</v>
          </cell>
          <cell r="J5427">
            <v>451300</v>
          </cell>
        </row>
        <row r="5428">
          <cell r="A5428">
            <v>1828200812</v>
          </cell>
          <cell r="B5428" t="str">
            <v>למידה לזרוס</v>
          </cell>
          <cell r="C5428">
            <v>67925</v>
          </cell>
          <cell r="D5428">
            <v>71500</v>
          </cell>
          <cell r="E5428">
            <v>0</v>
          </cell>
          <cell r="F5428">
            <v>71500</v>
          </cell>
          <cell r="G5428">
            <v>-3575</v>
          </cell>
          <cell r="H5428">
            <v>105.26</v>
          </cell>
          <cell r="I5428">
            <v>71500</v>
          </cell>
          <cell r="J5428">
            <v>71500</v>
          </cell>
        </row>
        <row r="5429">
          <cell r="A5429">
            <v>1828200813</v>
          </cell>
          <cell r="B5429" t="str">
            <v>השתתפות בקייטנות</v>
          </cell>
          <cell r="C5429">
            <v>56240</v>
          </cell>
          <cell r="D5429">
            <v>59200</v>
          </cell>
          <cell r="E5429">
            <v>0</v>
          </cell>
          <cell r="F5429">
            <v>59200</v>
          </cell>
          <cell r="G5429">
            <v>-2960</v>
          </cell>
          <cell r="H5429">
            <v>105.26</v>
          </cell>
          <cell r="I5429">
            <v>59200</v>
          </cell>
          <cell r="J5429">
            <v>59200</v>
          </cell>
        </row>
        <row r="5430">
          <cell r="A5430">
            <v>1828200814</v>
          </cell>
          <cell r="B5430" t="str">
            <v>קורס אומנות הקרנבל-וולפסון</v>
          </cell>
          <cell r="C5430">
            <v>110295</v>
          </cell>
          <cell r="D5430">
            <v>116100</v>
          </cell>
          <cell r="E5430">
            <v>0</v>
          </cell>
          <cell r="F5430">
            <v>116100</v>
          </cell>
          <cell r="G5430">
            <v>-5805</v>
          </cell>
          <cell r="H5430">
            <v>105.26</v>
          </cell>
          <cell r="I5430">
            <v>116100</v>
          </cell>
          <cell r="J5430">
            <v>116100</v>
          </cell>
        </row>
        <row r="5431">
          <cell r="A5431">
            <v>1828200815</v>
          </cell>
          <cell r="B5431" t="str">
            <v>שברולט,שטרודל,אריות,ג'סי כהן</v>
          </cell>
          <cell r="C5431">
            <v>1429655</v>
          </cell>
          <cell r="D5431">
            <v>1504900</v>
          </cell>
          <cell r="E5431">
            <v>0</v>
          </cell>
          <cell r="F5431">
            <v>1504900</v>
          </cell>
          <cell r="G5431">
            <v>-75245</v>
          </cell>
          <cell r="H5431">
            <v>105.26</v>
          </cell>
          <cell r="I5431">
            <v>1504900</v>
          </cell>
          <cell r="J5431">
            <v>1504900</v>
          </cell>
        </row>
        <row r="5432">
          <cell r="A5432">
            <v>1828200816</v>
          </cell>
          <cell r="B5432" t="str">
            <v>רכזת מורשת</v>
          </cell>
          <cell r="C5432">
            <v>87495</v>
          </cell>
          <cell r="D5432">
            <v>92100</v>
          </cell>
          <cell r="E5432">
            <v>0</v>
          </cell>
          <cell r="F5432">
            <v>92100</v>
          </cell>
          <cell r="G5432">
            <v>-4605</v>
          </cell>
          <cell r="H5432">
            <v>105.26</v>
          </cell>
          <cell r="I5432">
            <v>92100</v>
          </cell>
          <cell r="J5432">
            <v>92100</v>
          </cell>
        </row>
        <row r="5433">
          <cell r="A5433">
            <v>1828200817</v>
          </cell>
          <cell r="B5433" t="str">
            <v>מועדון נכים-לזרוס</v>
          </cell>
          <cell r="C5433">
            <v>15485</v>
          </cell>
          <cell r="D5433">
            <v>16300</v>
          </cell>
          <cell r="E5433">
            <v>0</v>
          </cell>
          <cell r="F5433">
            <v>16300</v>
          </cell>
          <cell r="G5433">
            <v>-815</v>
          </cell>
          <cell r="H5433">
            <v>105.26</v>
          </cell>
          <cell r="I5433">
            <v>16300</v>
          </cell>
          <cell r="J5433">
            <v>16300</v>
          </cell>
        </row>
        <row r="5434">
          <cell r="A5434">
            <v>1828200818</v>
          </cell>
          <cell r="B5434" t="str">
            <v>חוסמסה-רכז+ארכיבאי</v>
          </cell>
          <cell r="C5434">
            <v>161690</v>
          </cell>
          <cell r="D5434">
            <v>170200</v>
          </cell>
          <cell r="E5434">
            <v>0</v>
          </cell>
          <cell r="F5434">
            <v>170200</v>
          </cell>
          <cell r="G5434">
            <v>-8510</v>
          </cell>
          <cell r="H5434">
            <v>105.26</v>
          </cell>
          <cell r="I5434">
            <v>170200</v>
          </cell>
          <cell r="J5434">
            <v>170200</v>
          </cell>
        </row>
        <row r="5435">
          <cell r="A5435">
            <v>1828200819</v>
          </cell>
          <cell r="B5435" t="str">
            <v>ספר חולון</v>
          </cell>
          <cell r="C5435">
            <v>0</v>
          </cell>
          <cell r="D5435">
            <v>0</v>
          </cell>
          <cell r="E5435">
            <v>0</v>
          </cell>
          <cell r="F5435">
            <v>0</v>
          </cell>
          <cell r="G5435">
            <v>0</v>
          </cell>
          <cell r="H5435">
            <v>0</v>
          </cell>
          <cell r="I5435">
            <v>0</v>
          </cell>
          <cell r="J5435">
            <v>0</v>
          </cell>
        </row>
        <row r="5436">
          <cell r="A5436">
            <v>1828200820</v>
          </cell>
          <cell r="B5436" t="str">
            <v>המוזיאון העירוני</v>
          </cell>
          <cell r="C5436">
            <v>210615</v>
          </cell>
          <cell r="D5436">
            <v>221700</v>
          </cell>
          <cell r="E5436">
            <v>0</v>
          </cell>
          <cell r="F5436">
            <v>221700</v>
          </cell>
          <cell r="G5436">
            <v>-11085</v>
          </cell>
          <cell r="H5436">
            <v>105.26</v>
          </cell>
          <cell r="I5436">
            <v>221700</v>
          </cell>
          <cell r="J5436">
            <v>221700</v>
          </cell>
        </row>
        <row r="5437">
          <cell r="A5437">
            <v>1828200821</v>
          </cell>
          <cell r="B5437" t="str">
            <v>מועדון עולי בוכרה</v>
          </cell>
          <cell r="C5437">
            <v>32680</v>
          </cell>
          <cell r="D5437">
            <v>34399</v>
          </cell>
          <cell r="E5437">
            <v>0</v>
          </cell>
          <cell r="F5437">
            <v>34399</v>
          </cell>
          <cell r="G5437">
            <v>-1719</v>
          </cell>
          <cell r="H5437">
            <v>105.26</v>
          </cell>
          <cell r="I5437">
            <v>34400</v>
          </cell>
          <cell r="J5437">
            <v>34399</v>
          </cell>
        </row>
        <row r="5438">
          <cell r="A5438">
            <v>1828200822</v>
          </cell>
          <cell r="B5438" t="str">
            <v>מרכז פסגות</v>
          </cell>
          <cell r="C5438">
            <v>657400</v>
          </cell>
          <cell r="D5438">
            <v>692000</v>
          </cell>
          <cell r="E5438">
            <v>0</v>
          </cell>
          <cell r="F5438">
            <v>692000</v>
          </cell>
          <cell r="G5438">
            <v>-34600</v>
          </cell>
          <cell r="H5438">
            <v>105.26</v>
          </cell>
          <cell r="I5438">
            <v>692000</v>
          </cell>
          <cell r="J5438">
            <v>692000</v>
          </cell>
        </row>
        <row r="5439">
          <cell r="A5439">
            <v>1828200823</v>
          </cell>
          <cell r="B5439" t="str">
            <v>מרכז מורשת</v>
          </cell>
          <cell r="C5439">
            <v>92625</v>
          </cell>
          <cell r="D5439">
            <v>97500</v>
          </cell>
          <cell r="E5439">
            <v>0</v>
          </cell>
          <cell r="F5439">
            <v>97500</v>
          </cell>
          <cell r="G5439">
            <v>-4875</v>
          </cell>
          <cell r="H5439">
            <v>105.26</v>
          </cell>
          <cell r="I5439">
            <v>97500</v>
          </cell>
          <cell r="J5439">
            <v>97500</v>
          </cell>
        </row>
        <row r="5440">
          <cell r="A5440">
            <v>1828200824</v>
          </cell>
          <cell r="B5440" t="str">
            <v>גוונים ניצנים-חיבורים</v>
          </cell>
          <cell r="C5440">
            <v>231515</v>
          </cell>
          <cell r="D5440">
            <v>243700</v>
          </cell>
          <cell r="E5440">
            <v>0</v>
          </cell>
          <cell r="F5440">
            <v>243700</v>
          </cell>
          <cell r="G5440">
            <v>-12185</v>
          </cell>
          <cell r="H5440">
            <v>105.26</v>
          </cell>
          <cell r="I5440">
            <v>243700</v>
          </cell>
          <cell r="J5440">
            <v>243700</v>
          </cell>
        </row>
        <row r="5441">
          <cell r="A5441">
            <v>1828200825</v>
          </cell>
          <cell r="B5441" t="str">
            <v>מתנ"ס מקהלות</v>
          </cell>
          <cell r="C5441">
            <v>342000</v>
          </cell>
          <cell r="D5441">
            <v>360000</v>
          </cell>
          <cell r="E5441">
            <v>0</v>
          </cell>
          <cell r="F5441">
            <v>360000</v>
          </cell>
          <cell r="G5441">
            <v>-18000</v>
          </cell>
          <cell r="H5441">
            <v>105.26</v>
          </cell>
          <cell r="I5441">
            <v>360000</v>
          </cell>
          <cell r="J5441">
            <v>360000</v>
          </cell>
        </row>
        <row r="5442">
          <cell r="A5442">
            <v>1828200826</v>
          </cell>
          <cell r="B5442" t="str">
            <v>הסעות טיולים חצ"ב</v>
          </cell>
          <cell r="C5442">
            <v>49115</v>
          </cell>
          <cell r="D5442">
            <v>51700</v>
          </cell>
          <cell r="E5442">
            <v>0</v>
          </cell>
          <cell r="F5442">
            <v>51700</v>
          </cell>
          <cell r="G5442">
            <v>-2585</v>
          </cell>
          <cell r="H5442">
            <v>105.26</v>
          </cell>
          <cell r="I5442">
            <v>51700</v>
          </cell>
          <cell r="J5442">
            <v>51700</v>
          </cell>
        </row>
        <row r="5443">
          <cell r="A5443">
            <v>1828200827</v>
          </cell>
          <cell r="B5443" t="str">
            <v>רכזים ומדריכים</v>
          </cell>
          <cell r="C5443">
            <v>417800</v>
          </cell>
          <cell r="D5443">
            <v>417800</v>
          </cell>
          <cell r="E5443">
            <v>0</v>
          </cell>
          <cell r="F5443">
            <v>417800</v>
          </cell>
          <cell r="G5443">
            <v>0</v>
          </cell>
          <cell r="H5443">
            <v>100</v>
          </cell>
          <cell r="I5443">
            <v>417800</v>
          </cell>
          <cell r="J5443">
            <v>417800</v>
          </cell>
        </row>
        <row r="5444">
          <cell r="A5444">
            <v>1828200832</v>
          </cell>
          <cell r="B5444" t="str">
            <v>מים - רשת קו"פ</v>
          </cell>
          <cell r="C5444">
            <v>154375</v>
          </cell>
          <cell r="D5444">
            <v>162500</v>
          </cell>
          <cell r="E5444">
            <v>0</v>
          </cell>
          <cell r="F5444">
            <v>162500</v>
          </cell>
          <cell r="G5444">
            <v>-8125</v>
          </cell>
          <cell r="H5444">
            <v>105.26</v>
          </cell>
          <cell r="I5444">
            <v>162500</v>
          </cell>
          <cell r="J5444">
            <v>162500</v>
          </cell>
        </row>
        <row r="5445">
          <cell r="A5445">
            <v>1828200874</v>
          </cell>
          <cell r="B5445" t="str">
            <v>דמי ניהול</v>
          </cell>
          <cell r="C5445">
            <v>202255</v>
          </cell>
          <cell r="D5445">
            <v>212900</v>
          </cell>
          <cell r="E5445">
            <v>0</v>
          </cell>
          <cell r="F5445">
            <v>212900</v>
          </cell>
          <cell r="G5445">
            <v>-10645</v>
          </cell>
          <cell r="H5445">
            <v>105.26</v>
          </cell>
          <cell r="I5445">
            <v>212900</v>
          </cell>
          <cell r="J5445">
            <v>212900</v>
          </cell>
        </row>
        <row r="5446">
          <cell r="A5446">
            <v>1828200879</v>
          </cell>
          <cell r="B5446" t="str">
            <v>ביטוח-כנגד הכנסות</v>
          </cell>
          <cell r="C5446">
            <v>33535</v>
          </cell>
          <cell r="D5446">
            <v>35300</v>
          </cell>
          <cell r="E5446">
            <v>0</v>
          </cell>
          <cell r="F5446">
            <v>35300</v>
          </cell>
          <cell r="G5446">
            <v>-1765</v>
          </cell>
          <cell r="H5446">
            <v>105.26</v>
          </cell>
          <cell r="I5446">
            <v>35300</v>
          </cell>
          <cell r="J5446">
            <v>35300</v>
          </cell>
        </row>
        <row r="5447">
          <cell r="A5447">
            <v>1828200930</v>
          </cell>
          <cell r="B5447" t="str">
            <v>השת' אולם ספורט דביר</v>
          </cell>
          <cell r="C5447">
            <v>113335</v>
          </cell>
          <cell r="D5447">
            <v>119300</v>
          </cell>
          <cell r="E5447">
            <v>0</v>
          </cell>
          <cell r="F5447">
            <v>119300</v>
          </cell>
          <cell r="G5447">
            <v>-5965</v>
          </cell>
          <cell r="H5447">
            <v>105.26</v>
          </cell>
          <cell r="I5447">
            <v>119300</v>
          </cell>
          <cell r="J5447">
            <v>119300</v>
          </cell>
        </row>
        <row r="5448">
          <cell r="A5448">
            <v>1828200980</v>
          </cell>
          <cell r="B5448" t="str">
            <v>הוצאות שנים קודמות</v>
          </cell>
          <cell r="C5448">
            <v>0</v>
          </cell>
          <cell r="D5448">
            <v>0</v>
          </cell>
          <cell r="E5448">
            <v>0</v>
          </cell>
          <cell r="F5448">
            <v>0</v>
          </cell>
          <cell r="G5448">
            <v>0</v>
          </cell>
          <cell r="H5448">
            <v>0</v>
          </cell>
          <cell r="I5448">
            <v>0</v>
          </cell>
          <cell r="J5448">
            <v>0</v>
          </cell>
        </row>
        <row r="5449">
          <cell r="A5449">
            <v>1828200981</v>
          </cell>
          <cell r="B5449" t="str">
            <v>התנדבות בקהילה</v>
          </cell>
          <cell r="C5449">
            <v>187700</v>
          </cell>
          <cell r="D5449">
            <v>187700</v>
          </cell>
          <cell r="E5449">
            <v>0</v>
          </cell>
          <cell r="F5449">
            <v>187700</v>
          </cell>
          <cell r="G5449">
            <v>0</v>
          </cell>
          <cell r="H5449">
            <v>100</v>
          </cell>
          <cell r="I5449">
            <v>187700</v>
          </cell>
          <cell r="J5449">
            <v>187700</v>
          </cell>
        </row>
        <row r="5450">
          <cell r="A5450">
            <v>1828200982</v>
          </cell>
          <cell r="B5450" t="str">
            <v>נועם ח'</v>
          </cell>
          <cell r="C5450">
            <v>216600</v>
          </cell>
          <cell r="D5450">
            <v>228000</v>
          </cell>
          <cell r="E5450">
            <v>0</v>
          </cell>
          <cell r="F5450">
            <v>228000</v>
          </cell>
          <cell r="G5450">
            <v>-11400</v>
          </cell>
          <cell r="H5450">
            <v>105.26</v>
          </cell>
          <cell r="I5450">
            <v>228000</v>
          </cell>
          <cell r="J5450">
            <v>228000</v>
          </cell>
        </row>
        <row r="5451">
          <cell r="A5451">
            <v>1828200983</v>
          </cell>
          <cell r="B5451" t="str">
            <v>מרכז הדרכה - הכשרות</v>
          </cell>
          <cell r="C5451">
            <v>0</v>
          </cell>
          <cell r="D5451">
            <v>0</v>
          </cell>
          <cell r="E5451">
            <v>0</v>
          </cell>
          <cell r="F5451">
            <v>0</v>
          </cell>
          <cell r="G5451">
            <v>0</v>
          </cell>
          <cell r="H5451">
            <v>0</v>
          </cell>
          <cell r="I5451">
            <v>0</v>
          </cell>
          <cell r="J5451">
            <v>0</v>
          </cell>
        </row>
        <row r="5452">
          <cell r="A5452">
            <v>1828200984</v>
          </cell>
          <cell r="B5452" t="str">
            <v>סיבסוד קייטנות בפריפריה</v>
          </cell>
          <cell r="C5452">
            <v>0</v>
          </cell>
          <cell r="D5452">
            <v>0</v>
          </cell>
          <cell r="E5452">
            <v>0</v>
          </cell>
          <cell r="F5452">
            <v>0</v>
          </cell>
          <cell r="G5452">
            <v>0</v>
          </cell>
          <cell r="H5452">
            <v>0</v>
          </cell>
          <cell r="I5452">
            <v>0</v>
          </cell>
          <cell r="J5452">
            <v>0</v>
          </cell>
        </row>
        <row r="5453">
          <cell r="A5453">
            <v>1828200991</v>
          </cell>
          <cell r="B5453" t="str">
            <v>מפעל הפיס-נוער בסיכון</v>
          </cell>
          <cell r="C5453">
            <v>0</v>
          </cell>
          <cell r="D5453">
            <v>0</v>
          </cell>
          <cell r="E5453">
            <v>0</v>
          </cell>
          <cell r="F5453">
            <v>0</v>
          </cell>
          <cell r="G5453">
            <v>0</v>
          </cell>
          <cell r="H5453">
            <v>0</v>
          </cell>
          <cell r="I5453">
            <v>0</v>
          </cell>
          <cell r="J5453">
            <v>0</v>
          </cell>
        </row>
        <row r="5454">
          <cell r="A5454">
            <v>1828210752</v>
          </cell>
          <cell r="B5454" t="str">
            <v>ניקיון בקבלנות</v>
          </cell>
          <cell r="C5454">
            <v>0</v>
          </cell>
          <cell r="D5454">
            <v>0</v>
          </cell>
          <cell r="E5454">
            <v>0</v>
          </cell>
          <cell r="F5454">
            <v>0</v>
          </cell>
          <cell r="G5454">
            <v>0</v>
          </cell>
          <cell r="H5454">
            <v>0</v>
          </cell>
          <cell r="I5454">
            <v>0</v>
          </cell>
          <cell r="J5454">
            <v>0</v>
          </cell>
        </row>
        <row r="5455">
          <cell r="A5455">
            <v>1828210780</v>
          </cell>
          <cell r="B5455" t="str">
            <v>הקצבה לבן - גוריון</v>
          </cell>
          <cell r="C5455">
            <v>0</v>
          </cell>
          <cell r="D5455">
            <v>0</v>
          </cell>
          <cell r="E5455">
            <v>0</v>
          </cell>
          <cell r="F5455">
            <v>0</v>
          </cell>
          <cell r="G5455">
            <v>0</v>
          </cell>
          <cell r="H5455">
            <v>0</v>
          </cell>
          <cell r="I5455">
            <v>0</v>
          </cell>
          <cell r="J5455">
            <v>0</v>
          </cell>
        </row>
        <row r="5456">
          <cell r="A5456">
            <v>1828210781</v>
          </cell>
          <cell r="B5456" t="str">
            <v>הקצבה לרביבים</v>
          </cell>
          <cell r="C5456">
            <v>0</v>
          </cell>
          <cell r="D5456">
            <v>0</v>
          </cell>
          <cell r="E5456">
            <v>0</v>
          </cell>
          <cell r="F5456">
            <v>0</v>
          </cell>
          <cell r="G5456">
            <v>0</v>
          </cell>
          <cell r="H5456">
            <v>0</v>
          </cell>
          <cell r="I5456">
            <v>0</v>
          </cell>
          <cell r="J5456">
            <v>0</v>
          </cell>
        </row>
        <row r="5457">
          <cell r="A5457">
            <v>1828240110</v>
          </cell>
          <cell r="B5457" t="str">
            <v>השכר הקובע-תקציבית</v>
          </cell>
          <cell r="C5457">
            <v>0</v>
          </cell>
          <cell r="D5457">
            <v>0</v>
          </cell>
          <cell r="E5457">
            <v>0</v>
          </cell>
          <cell r="F5457">
            <v>0</v>
          </cell>
          <cell r="G5457">
            <v>0</v>
          </cell>
          <cell r="H5457">
            <v>0</v>
          </cell>
          <cell r="I5457">
            <v>0</v>
          </cell>
          <cell r="J5457">
            <v>0</v>
          </cell>
        </row>
        <row r="5458">
          <cell r="A5458">
            <v>1828240119</v>
          </cell>
          <cell r="B5458" t="str">
            <v>השכר הקובע-צוברת</v>
          </cell>
          <cell r="C5458">
            <v>0</v>
          </cell>
          <cell r="D5458">
            <v>0</v>
          </cell>
          <cell r="E5458">
            <v>0</v>
          </cell>
          <cell r="F5458">
            <v>0</v>
          </cell>
          <cell r="G5458">
            <v>0</v>
          </cell>
          <cell r="H5458">
            <v>0</v>
          </cell>
          <cell r="I5458">
            <v>0</v>
          </cell>
          <cell r="J5458">
            <v>0</v>
          </cell>
        </row>
        <row r="5459">
          <cell r="A5459">
            <v>1828240122</v>
          </cell>
          <cell r="B5459" t="str">
            <v>ביגוד</v>
          </cell>
          <cell r="C5459">
            <v>0</v>
          </cell>
          <cell r="D5459">
            <v>0</v>
          </cell>
          <cell r="E5459">
            <v>0</v>
          </cell>
          <cell r="F5459">
            <v>0</v>
          </cell>
          <cell r="G5459">
            <v>0</v>
          </cell>
          <cell r="H5459">
            <v>0</v>
          </cell>
          <cell r="I5459">
            <v>0</v>
          </cell>
          <cell r="J5459">
            <v>0</v>
          </cell>
        </row>
        <row r="5460">
          <cell r="A5460">
            <v>1828240126</v>
          </cell>
          <cell r="B5460" t="str">
            <v>דמי הבראה</v>
          </cell>
          <cell r="C5460">
            <v>0</v>
          </cell>
          <cell r="D5460">
            <v>0</v>
          </cell>
          <cell r="E5460">
            <v>0</v>
          </cell>
          <cell r="F5460">
            <v>0</v>
          </cell>
          <cell r="G5460">
            <v>0</v>
          </cell>
          <cell r="H5460">
            <v>0</v>
          </cell>
          <cell r="I5460">
            <v>0</v>
          </cell>
          <cell r="J5460">
            <v>0</v>
          </cell>
        </row>
        <row r="5461">
          <cell r="A5461">
            <v>1828240130</v>
          </cell>
          <cell r="B5461" t="str">
            <v>שעות נוספות</v>
          </cell>
          <cell r="C5461">
            <v>0</v>
          </cell>
          <cell r="D5461">
            <v>0</v>
          </cell>
          <cell r="E5461">
            <v>0</v>
          </cell>
          <cell r="F5461">
            <v>0</v>
          </cell>
          <cell r="G5461">
            <v>0</v>
          </cell>
          <cell r="H5461">
            <v>0</v>
          </cell>
          <cell r="I5461">
            <v>0</v>
          </cell>
          <cell r="J5461">
            <v>0</v>
          </cell>
        </row>
        <row r="5462">
          <cell r="A5462">
            <v>1828240140</v>
          </cell>
          <cell r="B5462" t="str">
            <v>השתתפות באחזקת רכב</v>
          </cell>
          <cell r="C5462">
            <v>0</v>
          </cell>
          <cell r="D5462">
            <v>0</v>
          </cell>
          <cell r="E5462">
            <v>0</v>
          </cell>
          <cell r="F5462">
            <v>0</v>
          </cell>
          <cell r="G5462">
            <v>0</v>
          </cell>
          <cell r="H5462">
            <v>0</v>
          </cell>
          <cell r="I5462">
            <v>0</v>
          </cell>
          <cell r="J5462">
            <v>0</v>
          </cell>
        </row>
        <row r="5463">
          <cell r="A5463">
            <v>1828240210</v>
          </cell>
          <cell r="B5463" t="str">
            <v>השכר הקובע</v>
          </cell>
          <cell r="C5463">
            <v>0</v>
          </cell>
          <cell r="D5463">
            <v>0</v>
          </cell>
          <cell r="E5463">
            <v>0</v>
          </cell>
          <cell r="F5463">
            <v>0</v>
          </cell>
          <cell r="G5463">
            <v>0</v>
          </cell>
          <cell r="H5463">
            <v>0</v>
          </cell>
          <cell r="I5463">
            <v>0</v>
          </cell>
          <cell r="J5463">
            <v>0</v>
          </cell>
        </row>
        <row r="5464">
          <cell r="A5464">
            <v>1828240219</v>
          </cell>
          <cell r="B5464" t="str">
            <v>שכר קייטנת קיץ</v>
          </cell>
          <cell r="C5464">
            <v>0</v>
          </cell>
          <cell r="D5464">
            <v>0</v>
          </cell>
          <cell r="E5464">
            <v>0</v>
          </cell>
          <cell r="F5464">
            <v>0</v>
          </cell>
          <cell r="G5464">
            <v>0</v>
          </cell>
          <cell r="H5464">
            <v>0</v>
          </cell>
          <cell r="I5464">
            <v>0</v>
          </cell>
          <cell r="J5464">
            <v>0</v>
          </cell>
        </row>
        <row r="5465">
          <cell r="A5465">
            <v>1828240250</v>
          </cell>
          <cell r="B5465" t="str">
            <v>שכר מושאלים</v>
          </cell>
          <cell r="C5465">
            <v>0</v>
          </cell>
          <cell r="D5465">
            <v>0</v>
          </cell>
          <cell r="E5465">
            <v>0</v>
          </cell>
          <cell r="F5465">
            <v>0</v>
          </cell>
          <cell r="G5465">
            <v>0</v>
          </cell>
          <cell r="H5465">
            <v>0</v>
          </cell>
          <cell r="I5465">
            <v>0</v>
          </cell>
          <cell r="J5465">
            <v>0</v>
          </cell>
        </row>
        <row r="5466">
          <cell r="A5466">
            <v>1828240263</v>
          </cell>
          <cell r="B5466" t="str">
            <v>עובדי חברת מוסדות</v>
          </cell>
          <cell r="C5466">
            <v>0</v>
          </cell>
          <cell r="D5466">
            <v>0</v>
          </cell>
          <cell r="E5466">
            <v>0</v>
          </cell>
          <cell r="F5466">
            <v>0</v>
          </cell>
          <cell r="G5466">
            <v>0</v>
          </cell>
          <cell r="H5466">
            <v>0</v>
          </cell>
          <cell r="I5466">
            <v>0</v>
          </cell>
          <cell r="J5466">
            <v>0</v>
          </cell>
        </row>
        <row r="5467">
          <cell r="A5467">
            <v>1828240391</v>
          </cell>
          <cell r="B5467" t="str">
            <v>הפרשה לפנסיה</v>
          </cell>
          <cell r="C5467">
            <v>0</v>
          </cell>
          <cell r="D5467">
            <v>0</v>
          </cell>
          <cell r="E5467">
            <v>0</v>
          </cell>
          <cell r="F5467">
            <v>0</v>
          </cell>
          <cell r="G5467">
            <v>0</v>
          </cell>
          <cell r="H5467">
            <v>0</v>
          </cell>
          <cell r="I5467">
            <v>0</v>
          </cell>
          <cell r="J5467">
            <v>0</v>
          </cell>
        </row>
        <row r="5468">
          <cell r="A5468">
            <v>1828240410</v>
          </cell>
          <cell r="B5468" t="str">
            <v>השתתפות בועד בית</v>
          </cell>
          <cell r="C5468">
            <v>0</v>
          </cell>
          <cell r="D5468">
            <v>0</v>
          </cell>
          <cell r="E5468">
            <v>0</v>
          </cell>
          <cell r="F5468">
            <v>0</v>
          </cell>
          <cell r="G5468">
            <v>0</v>
          </cell>
          <cell r="H5468">
            <v>0</v>
          </cell>
          <cell r="I5468">
            <v>0</v>
          </cell>
          <cell r="J5468">
            <v>0</v>
          </cell>
        </row>
        <row r="5469">
          <cell r="A5469">
            <v>1828240413</v>
          </cell>
          <cell r="B5469" t="str">
            <v>דמ"ש</v>
          </cell>
          <cell r="C5469">
            <v>0</v>
          </cell>
          <cell r="D5469">
            <v>0</v>
          </cell>
          <cell r="E5469">
            <v>0</v>
          </cell>
          <cell r="F5469">
            <v>0</v>
          </cell>
          <cell r="G5469">
            <v>0</v>
          </cell>
          <cell r="H5469">
            <v>0</v>
          </cell>
          <cell r="I5469">
            <v>0</v>
          </cell>
          <cell r="J5469">
            <v>0</v>
          </cell>
        </row>
        <row r="5470">
          <cell r="A5470">
            <v>1828240420</v>
          </cell>
          <cell r="B5470" t="str">
            <v>כיבוי אש</v>
          </cell>
          <cell r="C5470">
            <v>0</v>
          </cell>
          <cell r="D5470">
            <v>0</v>
          </cell>
          <cell r="E5470">
            <v>0</v>
          </cell>
          <cell r="F5470">
            <v>0</v>
          </cell>
          <cell r="G5470">
            <v>0</v>
          </cell>
          <cell r="H5470">
            <v>0</v>
          </cell>
          <cell r="I5470">
            <v>0</v>
          </cell>
          <cell r="J5470">
            <v>0</v>
          </cell>
        </row>
        <row r="5471">
          <cell r="A5471">
            <v>1828240423</v>
          </cell>
          <cell r="B5471" t="str">
            <v>תחזוקת מבנה</v>
          </cell>
          <cell r="C5471">
            <v>0</v>
          </cell>
          <cell r="D5471">
            <v>0</v>
          </cell>
          <cell r="E5471">
            <v>0</v>
          </cell>
          <cell r="F5471">
            <v>0</v>
          </cell>
          <cell r="G5471">
            <v>0</v>
          </cell>
          <cell r="H5471">
            <v>0</v>
          </cell>
          <cell r="I5471">
            <v>0</v>
          </cell>
          <cell r="J5471">
            <v>0</v>
          </cell>
        </row>
        <row r="5472">
          <cell r="A5472">
            <v>1828240431</v>
          </cell>
          <cell r="B5472" t="str">
            <v>חשמל</v>
          </cell>
          <cell r="C5472">
            <v>0</v>
          </cell>
          <cell r="D5472">
            <v>0</v>
          </cell>
          <cell r="E5472">
            <v>0</v>
          </cell>
          <cell r="F5472">
            <v>0</v>
          </cell>
          <cell r="G5472">
            <v>0</v>
          </cell>
          <cell r="H5472">
            <v>0</v>
          </cell>
          <cell r="I5472">
            <v>0</v>
          </cell>
          <cell r="J5472">
            <v>0</v>
          </cell>
        </row>
        <row r="5473">
          <cell r="A5473">
            <v>1828240432</v>
          </cell>
          <cell r="B5473" t="str">
            <v>מים</v>
          </cell>
          <cell r="C5473">
            <v>0</v>
          </cell>
          <cell r="D5473">
            <v>0</v>
          </cell>
          <cell r="E5473">
            <v>0</v>
          </cell>
          <cell r="F5473">
            <v>0</v>
          </cell>
          <cell r="G5473">
            <v>0</v>
          </cell>
          <cell r="H5473">
            <v>0</v>
          </cell>
          <cell r="I5473">
            <v>0</v>
          </cell>
          <cell r="J5473">
            <v>0</v>
          </cell>
        </row>
        <row r="5474">
          <cell r="A5474">
            <v>1828240433</v>
          </cell>
          <cell r="B5474" t="str">
            <v>חומרי נקיון</v>
          </cell>
          <cell r="C5474">
            <v>0</v>
          </cell>
          <cell r="D5474">
            <v>0</v>
          </cell>
          <cell r="E5474">
            <v>0</v>
          </cell>
          <cell r="F5474">
            <v>0</v>
          </cell>
          <cell r="G5474">
            <v>0</v>
          </cell>
          <cell r="H5474">
            <v>0</v>
          </cell>
          <cell r="I5474">
            <v>0</v>
          </cell>
          <cell r="J5474">
            <v>0</v>
          </cell>
        </row>
        <row r="5475">
          <cell r="A5475">
            <v>1828240434</v>
          </cell>
          <cell r="B5475" t="str">
            <v>חיטוי והדברה</v>
          </cell>
          <cell r="C5475">
            <v>0</v>
          </cell>
          <cell r="D5475">
            <v>0</v>
          </cell>
          <cell r="E5475">
            <v>0</v>
          </cell>
          <cell r="F5475">
            <v>0</v>
          </cell>
          <cell r="G5475">
            <v>0</v>
          </cell>
          <cell r="H5475">
            <v>0</v>
          </cell>
          <cell r="I5475">
            <v>0</v>
          </cell>
          <cell r="J5475">
            <v>0</v>
          </cell>
        </row>
        <row r="5476">
          <cell r="A5476">
            <v>1828240437</v>
          </cell>
          <cell r="B5476" t="str">
            <v>אחזקת אזעקה</v>
          </cell>
          <cell r="C5476">
            <v>0</v>
          </cell>
          <cell r="D5476">
            <v>0</v>
          </cell>
          <cell r="E5476">
            <v>0</v>
          </cell>
          <cell r="F5476">
            <v>0</v>
          </cell>
          <cell r="G5476">
            <v>0</v>
          </cell>
          <cell r="H5476">
            <v>0</v>
          </cell>
          <cell r="I5476">
            <v>0</v>
          </cell>
          <cell r="J5476">
            <v>0</v>
          </cell>
        </row>
        <row r="5477">
          <cell r="A5477">
            <v>1828240441</v>
          </cell>
          <cell r="B5477" t="str">
            <v>ביטוח</v>
          </cell>
          <cell r="C5477">
            <v>0</v>
          </cell>
          <cell r="D5477">
            <v>0</v>
          </cell>
          <cell r="E5477">
            <v>0</v>
          </cell>
          <cell r="F5477">
            <v>0</v>
          </cell>
          <cell r="G5477">
            <v>0</v>
          </cell>
          <cell r="H5477">
            <v>0</v>
          </cell>
          <cell r="I5477">
            <v>0</v>
          </cell>
          <cell r="J5477">
            <v>0</v>
          </cell>
        </row>
        <row r="5478">
          <cell r="A5478">
            <v>1828240450</v>
          </cell>
          <cell r="B5478" t="str">
            <v>ריהוט ואחזקתו</v>
          </cell>
          <cell r="C5478">
            <v>0</v>
          </cell>
          <cell r="D5478">
            <v>0</v>
          </cell>
          <cell r="E5478">
            <v>0</v>
          </cell>
          <cell r="F5478">
            <v>0</v>
          </cell>
          <cell r="G5478">
            <v>0</v>
          </cell>
          <cell r="H5478">
            <v>0</v>
          </cell>
          <cell r="I5478">
            <v>0</v>
          </cell>
          <cell r="J5478">
            <v>0</v>
          </cell>
        </row>
        <row r="5479">
          <cell r="A5479">
            <v>1828240471</v>
          </cell>
          <cell r="B5479" t="str">
            <v>מכשירי כתיבה</v>
          </cell>
          <cell r="C5479">
            <v>0</v>
          </cell>
          <cell r="D5479">
            <v>0</v>
          </cell>
          <cell r="E5479">
            <v>0</v>
          </cell>
          <cell r="F5479">
            <v>0</v>
          </cell>
          <cell r="G5479">
            <v>0</v>
          </cell>
          <cell r="H5479">
            <v>0</v>
          </cell>
          <cell r="I5479">
            <v>0</v>
          </cell>
          <cell r="J5479">
            <v>0</v>
          </cell>
        </row>
        <row r="5480">
          <cell r="A5480">
            <v>1828240511</v>
          </cell>
          <cell r="B5480" t="str">
            <v>אירוח וכיבוד</v>
          </cell>
          <cell r="C5480">
            <v>0</v>
          </cell>
          <cell r="D5480">
            <v>0</v>
          </cell>
          <cell r="E5480">
            <v>0</v>
          </cell>
          <cell r="F5480">
            <v>0</v>
          </cell>
          <cell r="G5480">
            <v>0</v>
          </cell>
          <cell r="H5480">
            <v>0</v>
          </cell>
          <cell r="I5480">
            <v>0</v>
          </cell>
          <cell r="J5480">
            <v>0</v>
          </cell>
        </row>
        <row r="5481">
          <cell r="A5481">
            <v>1828240512</v>
          </cell>
          <cell r="B5481" t="str">
            <v>נסיעות ואש"ל</v>
          </cell>
          <cell r="C5481">
            <v>0</v>
          </cell>
          <cell r="D5481">
            <v>0</v>
          </cell>
          <cell r="E5481">
            <v>0</v>
          </cell>
          <cell r="F5481">
            <v>0</v>
          </cell>
          <cell r="G5481">
            <v>0</v>
          </cell>
          <cell r="H5481">
            <v>0</v>
          </cell>
          <cell r="I5481">
            <v>0</v>
          </cell>
          <cell r="J5481">
            <v>0</v>
          </cell>
        </row>
        <row r="5482">
          <cell r="A5482">
            <v>1828240522</v>
          </cell>
          <cell r="B5482" t="str">
            <v>ספרים</v>
          </cell>
          <cell r="C5482">
            <v>0</v>
          </cell>
          <cell r="D5482">
            <v>0</v>
          </cell>
          <cell r="E5482">
            <v>0</v>
          </cell>
          <cell r="F5482">
            <v>0</v>
          </cell>
          <cell r="G5482">
            <v>0</v>
          </cell>
          <cell r="H5482">
            <v>0</v>
          </cell>
          <cell r="I5482">
            <v>0</v>
          </cell>
          <cell r="J5482">
            <v>0</v>
          </cell>
        </row>
        <row r="5483">
          <cell r="A5483">
            <v>1828240540</v>
          </cell>
          <cell r="B5483" t="str">
            <v>הוצאות טלפון</v>
          </cell>
          <cell r="C5483">
            <v>0</v>
          </cell>
          <cell r="D5483">
            <v>0</v>
          </cell>
          <cell r="E5483">
            <v>0</v>
          </cell>
          <cell r="F5483">
            <v>0</v>
          </cell>
          <cell r="G5483">
            <v>0</v>
          </cell>
          <cell r="H5483">
            <v>0</v>
          </cell>
          <cell r="I5483">
            <v>0</v>
          </cell>
          <cell r="J5483">
            <v>0</v>
          </cell>
        </row>
        <row r="5484">
          <cell r="A5484">
            <v>1828240544</v>
          </cell>
          <cell r="B5484" t="str">
            <v>הוצאות דאר</v>
          </cell>
          <cell r="C5484">
            <v>0</v>
          </cell>
          <cell r="D5484">
            <v>0</v>
          </cell>
          <cell r="E5484">
            <v>0</v>
          </cell>
          <cell r="F5484">
            <v>0</v>
          </cell>
          <cell r="G5484">
            <v>0</v>
          </cell>
          <cell r="H5484">
            <v>0</v>
          </cell>
          <cell r="I5484">
            <v>0</v>
          </cell>
          <cell r="J5484">
            <v>0</v>
          </cell>
        </row>
        <row r="5485">
          <cell r="A5485">
            <v>1828240550</v>
          </cell>
          <cell r="B5485" t="str">
            <v>פירסומים</v>
          </cell>
          <cell r="C5485">
            <v>0</v>
          </cell>
          <cell r="D5485">
            <v>0</v>
          </cell>
          <cell r="E5485">
            <v>0</v>
          </cell>
          <cell r="F5485">
            <v>0</v>
          </cell>
          <cell r="G5485">
            <v>0</v>
          </cell>
          <cell r="H5485">
            <v>0</v>
          </cell>
          <cell r="I5485">
            <v>0</v>
          </cell>
          <cell r="J5485">
            <v>0</v>
          </cell>
        </row>
        <row r="5486">
          <cell r="A5486">
            <v>1828240561</v>
          </cell>
          <cell r="B5486" t="str">
            <v>שיכפולים</v>
          </cell>
          <cell r="C5486">
            <v>0</v>
          </cell>
          <cell r="D5486">
            <v>0</v>
          </cell>
          <cell r="E5486">
            <v>0</v>
          </cell>
          <cell r="F5486">
            <v>0</v>
          </cell>
          <cell r="G5486">
            <v>0</v>
          </cell>
          <cell r="H5486">
            <v>0</v>
          </cell>
          <cell r="I5486">
            <v>0</v>
          </cell>
          <cell r="J5486">
            <v>0</v>
          </cell>
        </row>
        <row r="5487">
          <cell r="A5487">
            <v>1828240562</v>
          </cell>
          <cell r="B5487" t="str">
            <v>הדפסות</v>
          </cell>
          <cell r="C5487">
            <v>0</v>
          </cell>
          <cell r="D5487">
            <v>0</v>
          </cell>
          <cell r="E5487">
            <v>0</v>
          </cell>
          <cell r="F5487">
            <v>0</v>
          </cell>
          <cell r="G5487">
            <v>0</v>
          </cell>
          <cell r="H5487">
            <v>0</v>
          </cell>
          <cell r="I5487">
            <v>0</v>
          </cell>
          <cell r="J5487">
            <v>0</v>
          </cell>
        </row>
        <row r="5488">
          <cell r="A5488">
            <v>1828240710</v>
          </cell>
          <cell r="B5488" t="str">
            <v>הובלות  והסעות</v>
          </cell>
          <cell r="C5488">
            <v>0</v>
          </cell>
          <cell r="D5488">
            <v>0</v>
          </cell>
          <cell r="E5488">
            <v>0</v>
          </cell>
          <cell r="F5488">
            <v>0</v>
          </cell>
          <cell r="G5488">
            <v>0</v>
          </cell>
          <cell r="H5488">
            <v>0</v>
          </cell>
          <cell r="I5488">
            <v>0</v>
          </cell>
          <cell r="J5488">
            <v>0</v>
          </cell>
        </row>
        <row r="5489">
          <cell r="A5489">
            <v>1828240721</v>
          </cell>
          <cell r="B5489" t="str">
            <v>חמרים-תחזוקת מבנים</v>
          </cell>
          <cell r="C5489">
            <v>0</v>
          </cell>
          <cell r="D5489">
            <v>0</v>
          </cell>
          <cell r="E5489">
            <v>0</v>
          </cell>
          <cell r="F5489">
            <v>0</v>
          </cell>
          <cell r="G5489">
            <v>0</v>
          </cell>
          <cell r="H5489">
            <v>0</v>
          </cell>
          <cell r="I5489">
            <v>0</v>
          </cell>
          <cell r="J5489">
            <v>0</v>
          </cell>
        </row>
        <row r="5490">
          <cell r="A5490">
            <v>1828240722</v>
          </cell>
          <cell r="B5490" t="str">
            <v>חמרים-תחזוקה עצמית</v>
          </cell>
          <cell r="C5490">
            <v>0</v>
          </cell>
          <cell r="D5490">
            <v>0</v>
          </cell>
          <cell r="E5490">
            <v>0</v>
          </cell>
          <cell r="F5490">
            <v>0</v>
          </cell>
          <cell r="G5490">
            <v>0</v>
          </cell>
          <cell r="H5490">
            <v>0</v>
          </cell>
          <cell r="I5490">
            <v>0</v>
          </cell>
          <cell r="J5490">
            <v>0</v>
          </cell>
        </row>
        <row r="5491">
          <cell r="A5491">
            <v>1828240723</v>
          </cell>
          <cell r="B5491" t="str">
            <v>חומרים לחוגים</v>
          </cell>
          <cell r="C5491">
            <v>0</v>
          </cell>
          <cell r="D5491">
            <v>0</v>
          </cell>
          <cell r="E5491">
            <v>0</v>
          </cell>
          <cell r="F5491">
            <v>0</v>
          </cell>
          <cell r="G5491">
            <v>0</v>
          </cell>
          <cell r="H5491">
            <v>0</v>
          </cell>
          <cell r="I5491">
            <v>0</v>
          </cell>
          <cell r="J5491">
            <v>0</v>
          </cell>
        </row>
        <row r="5492">
          <cell r="A5492">
            <v>1828240724</v>
          </cell>
          <cell r="B5492" t="str">
            <v>תיקים</v>
          </cell>
          <cell r="C5492">
            <v>0</v>
          </cell>
          <cell r="D5492">
            <v>0</v>
          </cell>
          <cell r="E5492">
            <v>0</v>
          </cell>
          <cell r="F5492">
            <v>0</v>
          </cell>
          <cell r="G5492">
            <v>0</v>
          </cell>
          <cell r="H5492">
            <v>0</v>
          </cell>
          <cell r="I5492">
            <v>0</v>
          </cell>
          <cell r="J5492">
            <v>0</v>
          </cell>
        </row>
        <row r="5493">
          <cell r="A5493">
            <v>1828240742</v>
          </cell>
          <cell r="B5493" t="str">
            <v>כלים וציוד</v>
          </cell>
          <cell r="C5493">
            <v>0</v>
          </cell>
          <cell r="D5493">
            <v>0</v>
          </cell>
          <cell r="E5493">
            <v>0</v>
          </cell>
          <cell r="F5493">
            <v>0</v>
          </cell>
          <cell r="G5493">
            <v>0</v>
          </cell>
          <cell r="H5493">
            <v>0</v>
          </cell>
          <cell r="I5493">
            <v>0</v>
          </cell>
          <cell r="J5493">
            <v>0</v>
          </cell>
        </row>
        <row r="5494">
          <cell r="A5494">
            <v>1828240743</v>
          </cell>
          <cell r="B5494" t="str">
            <v>תחזוקת ציוד</v>
          </cell>
          <cell r="C5494">
            <v>0</v>
          </cell>
          <cell r="D5494">
            <v>0</v>
          </cell>
          <cell r="E5494">
            <v>0</v>
          </cell>
          <cell r="F5494">
            <v>0</v>
          </cell>
          <cell r="G5494">
            <v>0</v>
          </cell>
          <cell r="H5494">
            <v>0</v>
          </cell>
          <cell r="I5494">
            <v>0</v>
          </cell>
          <cell r="J5494">
            <v>0</v>
          </cell>
        </row>
        <row r="5495">
          <cell r="A5495">
            <v>1828240745</v>
          </cell>
          <cell r="B5495" t="str">
            <v>דמי פריצה - תכולה</v>
          </cell>
          <cell r="C5495">
            <v>0</v>
          </cell>
          <cell r="D5495">
            <v>0</v>
          </cell>
          <cell r="E5495">
            <v>0</v>
          </cell>
          <cell r="F5495">
            <v>0</v>
          </cell>
          <cell r="G5495">
            <v>0</v>
          </cell>
          <cell r="H5495">
            <v>0</v>
          </cell>
          <cell r="I5495">
            <v>0</v>
          </cell>
          <cell r="J5495">
            <v>0</v>
          </cell>
        </row>
        <row r="5496">
          <cell r="A5496">
            <v>1828240746</v>
          </cell>
          <cell r="B5496" t="str">
            <v>דמי פריצה - מבנה</v>
          </cell>
          <cell r="C5496">
            <v>0</v>
          </cell>
          <cell r="D5496">
            <v>0</v>
          </cell>
          <cell r="E5496">
            <v>0</v>
          </cell>
          <cell r="F5496">
            <v>0</v>
          </cell>
          <cell r="G5496">
            <v>0</v>
          </cell>
          <cell r="H5496">
            <v>0</v>
          </cell>
          <cell r="I5496">
            <v>0</v>
          </cell>
          <cell r="J5496">
            <v>0</v>
          </cell>
        </row>
        <row r="5497">
          <cell r="A5497">
            <v>1828240751</v>
          </cell>
          <cell r="B5497" t="str">
            <v>עבודות קבלניות</v>
          </cell>
          <cell r="C5497">
            <v>0</v>
          </cell>
          <cell r="D5497">
            <v>0</v>
          </cell>
          <cell r="E5497">
            <v>0</v>
          </cell>
          <cell r="F5497">
            <v>0</v>
          </cell>
          <cell r="G5497">
            <v>0</v>
          </cell>
          <cell r="H5497">
            <v>0</v>
          </cell>
          <cell r="I5497">
            <v>0</v>
          </cell>
          <cell r="J5497">
            <v>0</v>
          </cell>
        </row>
        <row r="5498">
          <cell r="A5498">
            <v>1828240752</v>
          </cell>
          <cell r="B5498" t="str">
            <v>נקיון בקבלנות</v>
          </cell>
          <cell r="C5498">
            <v>0</v>
          </cell>
          <cell r="D5498">
            <v>0</v>
          </cell>
          <cell r="E5498">
            <v>0</v>
          </cell>
          <cell r="F5498">
            <v>0</v>
          </cell>
          <cell r="G5498">
            <v>0</v>
          </cell>
          <cell r="H5498">
            <v>0</v>
          </cell>
          <cell r="I5498">
            <v>0</v>
          </cell>
          <cell r="J5498">
            <v>0</v>
          </cell>
        </row>
        <row r="5499">
          <cell r="A5499">
            <v>1828240753</v>
          </cell>
          <cell r="B5499" t="str">
            <v>ע"ח חוות אומנויות</v>
          </cell>
          <cell r="C5499">
            <v>0</v>
          </cell>
          <cell r="D5499">
            <v>0</v>
          </cell>
          <cell r="E5499">
            <v>0</v>
          </cell>
          <cell r="F5499">
            <v>0</v>
          </cell>
          <cell r="G5499">
            <v>0</v>
          </cell>
          <cell r="H5499">
            <v>0</v>
          </cell>
          <cell r="I5499">
            <v>0</v>
          </cell>
          <cell r="J5499">
            <v>0</v>
          </cell>
        </row>
        <row r="5500">
          <cell r="A5500">
            <v>1828240757</v>
          </cell>
          <cell r="B5500" t="str">
            <v>חוגים בקבלנות</v>
          </cell>
          <cell r="C5500">
            <v>0</v>
          </cell>
          <cell r="D5500">
            <v>0</v>
          </cell>
          <cell r="E5500">
            <v>0</v>
          </cell>
          <cell r="F5500">
            <v>0</v>
          </cell>
          <cell r="G5500">
            <v>0</v>
          </cell>
          <cell r="H5500">
            <v>0</v>
          </cell>
          <cell r="I5500">
            <v>0</v>
          </cell>
          <cell r="J5500">
            <v>0</v>
          </cell>
        </row>
        <row r="5501">
          <cell r="A5501">
            <v>1828240763</v>
          </cell>
          <cell r="B5501" t="str">
            <v>עובדי חברת מוסדות</v>
          </cell>
          <cell r="C5501">
            <v>0</v>
          </cell>
          <cell r="D5501">
            <v>0</v>
          </cell>
          <cell r="E5501">
            <v>0</v>
          </cell>
          <cell r="F5501">
            <v>0</v>
          </cell>
          <cell r="G5501">
            <v>0</v>
          </cell>
          <cell r="H5501">
            <v>0</v>
          </cell>
          <cell r="I5501">
            <v>0</v>
          </cell>
          <cell r="J5501">
            <v>0</v>
          </cell>
        </row>
        <row r="5502">
          <cell r="A5502">
            <v>1828240780</v>
          </cell>
          <cell r="B5502" t="str">
            <v>ירחון אינטרנט</v>
          </cell>
          <cell r="C5502">
            <v>0</v>
          </cell>
          <cell r="D5502">
            <v>0</v>
          </cell>
          <cell r="E5502">
            <v>0</v>
          </cell>
          <cell r="F5502">
            <v>0</v>
          </cell>
          <cell r="G5502">
            <v>0</v>
          </cell>
          <cell r="H5502">
            <v>0</v>
          </cell>
          <cell r="I5502">
            <v>0</v>
          </cell>
          <cell r="J5502">
            <v>0</v>
          </cell>
        </row>
        <row r="5503">
          <cell r="A5503">
            <v>1828240781</v>
          </cell>
          <cell r="B5503" t="str">
            <v>ארועים</v>
          </cell>
          <cell r="C5503">
            <v>0</v>
          </cell>
          <cell r="D5503">
            <v>0</v>
          </cell>
          <cell r="E5503">
            <v>0</v>
          </cell>
          <cell r="F5503">
            <v>0</v>
          </cell>
          <cell r="G5503">
            <v>0</v>
          </cell>
          <cell r="H5503">
            <v>0</v>
          </cell>
          <cell r="I5503">
            <v>0</v>
          </cell>
          <cell r="J5503">
            <v>0</v>
          </cell>
        </row>
        <row r="5504">
          <cell r="A5504">
            <v>1828240782</v>
          </cell>
          <cell r="B5504" t="str">
            <v>חווידע</v>
          </cell>
          <cell r="C5504">
            <v>0</v>
          </cell>
          <cell r="D5504">
            <v>0</v>
          </cell>
          <cell r="E5504">
            <v>0</v>
          </cell>
          <cell r="F5504">
            <v>0</v>
          </cell>
          <cell r="G5504">
            <v>0</v>
          </cell>
          <cell r="H5504">
            <v>0</v>
          </cell>
          <cell r="I5504">
            <v>0</v>
          </cell>
          <cell r="J5504">
            <v>0</v>
          </cell>
        </row>
        <row r="5505">
          <cell r="A5505">
            <v>1828240783</v>
          </cell>
          <cell r="B5505" t="str">
            <v>פע' חוות אומנויות</v>
          </cell>
          <cell r="C5505">
            <v>0</v>
          </cell>
          <cell r="D5505">
            <v>0</v>
          </cell>
          <cell r="E5505">
            <v>0</v>
          </cell>
          <cell r="F5505">
            <v>0</v>
          </cell>
          <cell r="G5505">
            <v>0</v>
          </cell>
          <cell r="H5505">
            <v>0</v>
          </cell>
          <cell r="I5505">
            <v>0</v>
          </cell>
          <cell r="J5505">
            <v>0</v>
          </cell>
        </row>
        <row r="5506">
          <cell r="A5506">
            <v>1828240784</v>
          </cell>
          <cell r="B5506" t="str">
            <v>מרכז וידאו ארט</v>
          </cell>
          <cell r="C5506">
            <v>0</v>
          </cell>
          <cell r="D5506">
            <v>0</v>
          </cell>
          <cell r="E5506">
            <v>0</v>
          </cell>
          <cell r="F5506">
            <v>0</v>
          </cell>
          <cell r="G5506">
            <v>0</v>
          </cell>
          <cell r="H5506">
            <v>0</v>
          </cell>
          <cell r="I5506">
            <v>0</v>
          </cell>
          <cell r="J5506">
            <v>0</v>
          </cell>
        </row>
        <row r="5507">
          <cell r="A5507">
            <v>1828240785</v>
          </cell>
          <cell r="B5507" t="str">
            <v>הסעות ( מהכנסות )</v>
          </cell>
          <cell r="C5507">
            <v>0</v>
          </cell>
          <cell r="D5507">
            <v>0</v>
          </cell>
          <cell r="E5507">
            <v>0</v>
          </cell>
          <cell r="F5507">
            <v>0</v>
          </cell>
          <cell r="G5507">
            <v>0</v>
          </cell>
          <cell r="H5507">
            <v>0</v>
          </cell>
          <cell r="I5507">
            <v>0</v>
          </cell>
          <cell r="J5507">
            <v>0</v>
          </cell>
        </row>
        <row r="5508">
          <cell r="A5508">
            <v>1828240789</v>
          </cell>
          <cell r="B5508" t="str">
            <v>קייטנת קיץ-פעולות</v>
          </cell>
          <cell r="C5508">
            <v>0</v>
          </cell>
          <cell r="D5508">
            <v>0</v>
          </cell>
          <cell r="E5508">
            <v>0</v>
          </cell>
          <cell r="F5508">
            <v>0</v>
          </cell>
          <cell r="G5508">
            <v>0</v>
          </cell>
          <cell r="H5508">
            <v>0</v>
          </cell>
          <cell r="I5508">
            <v>0</v>
          </cell>
          <cell r="J5508">
            <v>0</v>
          </cell>
        </row>
        <row r="5509">
          <cell r="A5509">
            <v>1828240794</v>
          </cell>
          <cell r="B5509" t="str">
            <v>השתתפות בעזר 094</v>
          </cell>
          <cell r="C5509">
            <v>0</v>
          </cell>
          <cell r="D5509">
            <v>0</v>
          </cell>
          <cell r="E5509">
            <v>0</v>
          </cell>
          <cell r="F5509">
            <v>0</v>
          </cell>
          <cell r="G5509">
            <v>0</v>
          </cell>
          <cell r="H5509">
            <v>0</v>
          </cell>
          <cell r="I5509">
            <v>0</v>
          </cell>
          <cell r="J5509">
            <v>0</v>
          </cell>
        </row>
        <row r="5510">
          <cell r="A5510">
            <v>1828240870</v>
          </cell>
          <cell r="B5510" t="str">
            <v>וידיאו ארט</v>
          </cell>
          <cell r="C5510">
            <v>0</v>
          </cell>
          <cell r="D5510">
            <v>0</v>
          </cell>
          <cell r="E5510">
            <v>0</v>
          </cell>
          <cell r="F5510">
            <v>0</v>
          </cell>
          <cell r="G5510">
            <v>0</v>
          </cell>
          <cell r="H5510">
            <v>0</v>
          </cell>
          <cell r="I5510">
            <v>0</v>
          </cell>
          <cell r="J5510">
            <v>0</v>
          </cell>
        </row>
        <row r="5511">
          <cell r="A5511">
            <v>1828240871</v>
          </cell>
          <cell r="B5511" t="str">
            <v>מרכז וידאו ארט</v>
          </cell>
          <cell r="C5511">
            <v>0</v>
          </cell>
          <cell r="D5511">
            <v>0</v>
          </cell>
          <cell r="E5511">
            <v>0</v>
          </cell>
          <cell r="F5511">
            <v>0</v>
          </cell>
          <cell r="G5511">
            <v>0</v>
          </cell>
          <cell r="H5511">
            <v>0</v>
          </cell>
          <cell r="I5511">
            <v>0</v>
          </cell>
          <cell r="J5511">
            <v>0</v>
          </cell>
        </row>
        <row r="5512">
          <cell r="A5512">
            <v>1828240872</v>
          </cell>
          <cell r="B5512" t="str">
            <v>המרכז לאומנות דיגיטלית</v>
          </cell>
          <cell r="C5512">
            <v>1146600</v>
          </cell>
          <cell r="D5512">
            <v>1146600</v>
          </cell>
          <cell r="E5512">
            <v>0</v>
          </cell>
          <cell r="F5512">
            <v>1146600</v>
          </cell>
          <cell r="G5512">
            <v>0</v>
          </cell>
          <cell r="H5512">
            <v>100</v>
          </cell>
          <cell r="I5512">
            <v>1146600</v>
          </cell>
          <cell r="J5512">
            <v>1146600</v>
          </cell>
        </row>
        <row r="5513">
          <cell r="A5513">
            <v>1828240873</v>
          </cell>
          <cell r="B5513" t="str">
            <v>ג'סי כהן</v>
          </cell>
          <cell r="C5513">
            <v>0</v>
          </cell>
          <cell r="D5513">
            <v>0</v>
          </cell>
          <cell r="E5513">
            <v>0</v>
          </cell>
          <cell r="F5513">
            <v>0</v>
          </cell>
          <cell r="G5513">
            <v>0</v>
          </cell>
          <cell r="H5513">
            <v>0</v>
          </cell>
          <cell r="I5513">
            <v>0</v>
          </cell>
          <cell r="J5513">
            <v>0</v>
          </cell>
        </row>
        <row r="5514">
          <cell r="A5514">
            <v>1828240874</v>
          </cell>
          <cell r="B5514" t="str">
            <v>אמנים יוצרים בקהילה</v>
          </cell>
          <cell r="C5514">
            <v>0</v>
          </cell>
          <cell r="D5514">
            <v>0</v>
          </cell>
          <cell r="E5514">
            <v>0</v>
          </cell>
          <cell r="F5514">
            <v>0</v>
          </cell>
          <cell r="G5514">
            <v>0</v>
          </cell>
          <cell r="H5514">
            <v>0</v>
          </cell>
          <cell r="I5514">
            <v>0</v>
          </cell>
          <cell r="J5514">
            <v>0</v>
          </cell>
        </row>
        <row r="5515">
          <cell r="A5515">
            <v>1828240879</v>
          </cell>
          <cell r="B5515" t="str">
            <v>ביטוח-כנגד הכנסות</v>
          </cell>
          <cell r="C5515">
            <v>4180</v>
          </cell>
          <cell r="D5515">
            <v>4400</v>
          </cell>
          <cell r="E5515">
            <v>0</v>
          </cell>
          <cell r="F5515">
            <v>4400</v>
          </cell>
          <cell r="G5515">
            <v>-220</v>
          </cell>
          <cell r="H5515">
            <v>105.26</v>
          </cell>
          <cell r="I5515">
            <v>4400</v>
          </cell>
          <cell r="J5515">
            <v>4400</v>
          </cell>
        </row>
        <row r="5516">
          <cell r="A5516">
            <v>1828240931</v>
          </cell>
          <cell r="B5516" t="str">
            <v>רכישות חד-פעמיות</v>
          </cell>
          <cell r="C5516">
            <v>0</v>
          </cell>
          <cell r="D5516">
            <v>0</v>
          </cell>
          <cell r="E5516">
            <v>0</v>
          </cell>
          <cell r="F5516">
            <v>0</v>
          </cell>
          <cell r="G5516">
            <v>0</v>
          </cell>
          <cell r="H5516">
            <v>0</v>
          </cell>
          <cell r="I5516">
            <v>0</v>
          </cell>
          <cell r="J5516">
            <v>0</v>
          </cell>
        </row>
        <row r="5517">
          <cell r="A5517">
            <v>1828240981</v>
          </cell>
          <cell r="B5517" t="str">
            <v>הוצאות שנים קודמות</v>
          </cell>
          <cell r="C5517">
            <v>157320</v>
          </cell>
          <cell r="D5517">
            <v>165600</v>
          </cell>
          <cell r="E5517">
            <v>0</v>
          </cell>
          <cell r="F5517">
            <v>165600</v>
          </cell>
          <cell r="G5517">
            <v>-8280</v>
          </cell>
          <cell r="H5517">
            <v>105.26</v>
          </cell>
          <cell r="I5517">
            <v>165600</v>
          </cell>
          <cell r="J5517">
            <v>165600</v>
          </cell>
        </row>
        <row r="5518">
          <cell r="A5518">
            <v>1828260784</v>
          </cell>
          <cell r="B5518" t="str">
            <v>לא פעיל</v>
          </cell>
          <cell r="C5518">
            <v>0</v>
          </cell>
          <cell r="D5518">
            <v>0</v>
          </cell>
          <cell r="E5518">
            <v>0</v>
          </cell>
          <cell r="F5518">
            <v>0</v>
          </cell>
          <cell r="G5518">
            <v>0</v>
          </cell>
          <cell r="H5518">
            <v>0</v>
          </cell>
          <cell r="I5518">
            <v>0</v>
          </cell>
          <cell r="J5518">
            <v>0</v>
          </cell>
        </row>
        <row r="5519">
          <cell r="A5519">
            <v>1828400441</v>
          </cell>
          <cell r="B5519" t="str">
            <v>ביטוח</v>
          </cell>
          <cell r="C5519">
            <v>0</v>
          </cell>
          <cell r="D5519">
            <v>0</v>
          </cell>
          <cell r="E5519">
            <v>0</v>
          </cell>
          <cell r="F5519">
            <v>0</v>
          </cell>
          <cell r="G5519">
            <v>0</v>
          </cell>
          <cell r="H5519">
            <v>0</v>
          </cell>
          <cell r="I5519">
            <v>0</v>
          </cell>
          <cell r="J5519">
            <v>0</v>
          </cell>
        </row>
        <row r="5520">
          <cell r="A5520">
            <v>1828400561</v>
          </cell>
          <cell r="B5520" t="str">
            <v>שיכפולים</v>
          </cell>
          <cell r="C5520">
            <v>0</v>
          </cell>
          <cell r="D5520">
            <v>0</v>
          </cell>
          <cell r="E5520">
            <v>0</v>
          </cell>
          <cell r="F5520">
            <v>0</v>
          </cell>
          <cell r="G5520">
            <v>0</v>
          </cell>
          <cell r="H5520">
            <v>0</v>
          </cell>
          <cell r="I5520">
            <v>0</v>
          </cell>
          <cell r="J5520">
            <v>0</v>
          </cell>
        </row>
        <row r="5521">
          <cell r="A5521">
            <v>1828400811</v>
          </cell>
          <cell r="B5521" t="str">
            <v>השתתפות ללזרוס</v>
          </cell>
          <cell r="C5521">
            <v>0</v>
          </cell>
          <cell r="D5521">
            <v>0</v>
          </cell>
          <cell r="E5521">
            <v>0</v>
          </cell>
          <cell r="F5521">
            <v>0</v>
          </cell>
          <cell r="G5521">
            <v>0</v>
          </cell>
          <cell r="H5521">
            <v>0</v>
          </cell>
          <cell r="I5521">
            <v>0</v>
          </cell>
          <cell r="J5521">
            <v>0</v>
          </cell>
        </row>
        <row r="5522">
          <cell r="A5522">
            <v>1828400812</v>
          </cell>
          <cell r="B5522" t="str">
            <v>השתת' למתנ"ס קליין</v>
          </cell>
          <cell r="C5522">
            <v>0</v>
          </cell>
          <cell r="D5522">
            <v>0</v>
          </cell>
          <cell r="E5522">
            <v>0</v>
          </cell>
          <cell r="F5522">
            <v>0</v>
          </cell>
          <cell r="G5522">
            <v>0</v>
          </cell>
          <cell r="H5522">
            <v>0</v>
          </cell>
          <cell r="I5522">
            <v>0</v>
          </cell>
          <cell r="J5522">
            <v>0</v>
          </cell>
        </row>
        <row r="5523">
          <cell r="A5523">
            <v>1829100119</v>
          </cell>
          <cell r="B5523" t="str">
            <v>השכר הקובע-צוברת</v>
          </cell>
          <cell r="C5523">
            <v>0</v>
          </cell>
          <cell r="D5523">
            <v>0</v>
          </cell>
          <cell r="E5523">
            <v>0</v>
          </cell>
          <cell r="F5523">
            <v>0</v>
          </cell>
          <cell r="G5523">
            <v>0</v>
          </cell>
          <cell r="H5523">
            <v>0</v>
          </cell>
          <cell r="I5523">
            <v>0</v>
          </cell>
          <cell r="J5523">
            <v>0</v>
          </cell>
        </row>
        <row r="5524">
          <cell r="A5524">
            <v>1829100122</v>
          </cell>
          <cell r="B5524" t="str">
            <v>ביגוד</v>
          </cell>
          <cell r="C5524">
            <v>0</v>
          </cell>
          <cell r="D5524">
            <v>0</v>
          </cell>
          <cell r="E5524">
            <v>0</v>
          </cell>
          <cell r="F5524">
            <v>0</v>
          </cell>
          <cell r="G5524">
            <v>0</v>
          </cell>
          <cell r="H5524">
            <v>0</v>
          </cell>
          <cell r="I5524">
            <v>0</v>
          </cell>
          <cell r="J5524">
            <v>0</v>
          </cell>
        </row>
        <row r="5525">
          <cell r="A5525">
            <v>1829100126</v>
          </cell>
          <cell r="B5525" t="str">
            <v>דמי הבראה</v>
          </cell>
          <cell r="C5525">
            <v>0</v>
          </cell>
          <cell r="D5525">
            <v>0</v>
          </cell>
          <cell r="E5525">
            <v>0</v>
          </cell>
          <cell r="F5525">
            <v>0</v>
          </cell>
          <cell r="G5525">
            <v>0</v>
          </cell>
          <cell r="H5525">
            <v>0</v>
          </cell>
          <cell r="I5525">
            <v>0</v>
          </cell>
          <cell r="J5525">
            <v>0</v>
          </cell>
        </row>
        <row r="5526">
          <cell r="A5526">
            <v>1829100130</v>
          </cell>
          <cell r="B5526" t="str">
            <v>שעות נוספות</v>
          </cell>
          <cell r="C5526">
            <v>0</v>
          </cell>
          <cell r="D5526">
            <v>0</v>
          </cell>
          <cell r="E5526">
            <v>0</v>
          </cell>
          <cell r="F5526">
            <v>0</v>
          </cell>
          <cell r="G5526">
            <v>0</v>
          </cell>
          <cell r="H5526">
            <v>0</v>
          </cell>
          <cell r="I5526">
            <v>0</v>
          </cell>
          <cell r="J5526">
            <v>0</v>
          </cell>
        </row>
        <row r="5527">
          <cell r="A5527">
            <v>1829100140</v>
          </cell>
          <cell r="B5527" t="str">
            <v>השתתפות באחזקת רכב</v>
          </cell>
          <cell r="C5527">
            <v>0</v>
          </cell>
          <cell r="D5527">
            <v>0</v>
          </cell>
          <cell r="E5527">
            <v>0</v>
          </cell>
          <cell r="F5527">
            <v>0</v>
          </cell>
          <cell r="G5527">
            <v>0</v>
          </cell>
          <cell r="H5527">
            <v>0</v>
          </cell>
          <cell r="I5527">
            <v>0</v>
          </cell>
          <cell r="J5527">
            <v>0</v>
          </cell>
        </row>
        <row r="5528">
          <cell r="A5528">
            <v>1829100210</v>
          </cell>
          <cell r="B5528" t="str">
            <v>השכר הקובע</v>
          </cell>
          <cell r="C5528">
            <v>0</v>
          </cell>
          <cell r="D5528">
            <v>0</v>
          </cell>
          <cell r="E5528">
            <v>0</v>
          </cell>
          <cell r="F5528">
            <v>0</v>
          </cell>
          <cell r="G5528">
            <v>0</v>
          </cell>
          <cell r="H5528">
            <v>0</v>
          </cell>
          <cell r="I5528">
            <v>0</v>
          </cell>
          <cell r="J5528">
            <v>0</v>
          </cell>
        </row>
        <row r="5529">
          <cell r="A5529">
            <v>1829100216</v>
          </cell>
          <cell r="B5529" t="str">
            <v>שכר חוגי ספורט ע"י</v>
          </cell>
          <cell r="C5529">
            <v>0</v>
          </cell>
          <cell r="D5529">
            <v>0</v>
          </cell>
          <cell r="E5529">
            <v>0</v>
          </cell>
          <cell r="F5529">
            <v>0</v>
          </cell>
          <cell r="G5529">
            <v>0</v>
          </cell>
          <cell r="H5529">
            <v>0</v>
          </cell>
          <cell r="I5529">
            <v>0</v>
          </cell>
          <cell r="J5529">
            <v>0</v>
          </cell>
        </row>
        <row r="5530">
          <cell r="A5530">
            <v>1829100217</v>
          </cell>
          <cell r="B5530" t="str">
            <v>מועדון בית ספרי</v>
          </cell>
          <cell r="C5530">
            <v>0</v>
          </cell>
          <cell r="D5530">
            <v>0</v>
          </cell>
          <cell r="E5530">
            <v>0</v>
          </cell>
          <cell r="F5530">
            <v>0</v>
          </cell>
          <cell r="G5530">
            <v>0</v>
          </cell>
          <cell r="H5530">
            <v>0</v>
          </cell>
          <cell r="I5530">
            <v>0</v>
          </cell>
          <cell r="J5530">
            <v>0</v>
          </cell>
        </row>
        <row r="5531">
          <cell r="A5531">
            <v>1829100218</v>
          </cell>
          <cell r="B5531" t="str">
            <v>ספורט - בתי נוער</v>
          </cell>
          <cell r="C5531">
            <v>0</v>
          </cell>
          <cell r="D5531">
            <v>0</v>
          </cell>
          <cell r="E5531">
            <v>0</v>
          </cell>
          <cell r="F5531">
            <v>0</v>
          </cell>
          <cell r="G5531">
            <v>0</v>
          </cell>
          <cell r="H5531">
            <v>0</v>
          </cell>
          <cell r="I5531">
            <v>0</v>
          </cell>
          <cell r="J5531">
            <v>0</v>
          </cell>
        </row>
        <row r="5532">
          <cell r="A5532">
            <v>1829100250</v>
          </cell>
          <cell r="B5532" t="str">
            <v>שכר מושאלים</v>
          </cell>
          <cell r="C5532">
            <v>0</v>
          </cell>
          <cell r="D5532">
            <v>0</v>
          </cell>
          <cell r="E5532">
            <v>0</v>
          </cell>
          <cell r="F5532">
            <v>0</v>
          </cell>
          <cell r="G5532">
            <v>0</v>
          </cell>
          <cell r="H5532">
            <v>0</v>
          </cell>
          <cell r="I5532">
            <v>0</v>
          </cell>
          <cell r="J5532">
            <v>0</v>
          </cell>
        </row>
        <row r="5533">
          <cell r="A5533">
            <v>1829100391</v>
          </cell>
          <cell r="B5533" t="str">
            <v>הפרשה לפנסיה</v>
          </cell>
          <cell r="C5533">
            <v>0</v>
          </cell>
          <cell r="D5533">
            <v>0</v>
          </cell>
          <cell r="E5533">
            <v>0</v>
          </cell>
          <cell r="F5533">
            <v>0</v>
          </cell>
          <cell r="G5533">
            <v>0</v>
          </cell>
          <cell r="H5533">
            <v>0</v>
          </cell>
          <cell r="I5533">
            <v>0</v>
          </cell>
          <cell r="J5533">
            <v>0</v>
          </cell>
        </row>
        <row r="5534">
          <cell r="A5534">
            <v>1829100413</v>
          </cell>
          <cell r="B5534" t="str">
            <v>דמ"ש</v>
          </cell>
          <cell r="C5534">
            <v>0</v>
          </cell>
          <cell r="D5534">
            <v>0</v>
          </cell>
          <cell r="E5534">
            <v>0</v>
          </cell>
          <cell r="F5534">
            <v>0</v>
          </cell>
          <cell r="G5534">
            <v>0</v>
          </cell>
          <cell r="H5534">
            <v>0</v>
          </cell>
          <cell r="I5534">
            <v>0</v>
          </cell>
          <cell r="J5534">
            <v>0</v>
          </cell>
        </row>
        <row r="5535">
          <cell r="A5535">
            <v>1829100441</v>
          </cell>
          <cell r="B5535" t="str">
            <v>ביטוח מחלקת הספורט</v>
          </cell>
          <cell r="C5535">
            <v>41705</v>
          </cell>
          <cell r="D5535">
            <v>0</v>
          </cell>
          <cell r="E5535">
            <v>0</v>
          </cell>
          <cell r="F5535">
            <v>0</v>
          </cell>
          <cell r="G5535">
            <v>41705</v>
          </cell>
          <cell r="H5535">
            <v>0</v>
          </cell>
          <cell r="I5535">
            <v>43900</v>
          </cell>
          <cell r="J5535">
            <v>0</v>
          </cell>
        </row>
        <row r="5536">
          <cell r="A5536">
            <v>1829100471</v>
          </cell>
          <cell r="B5536" t="str">
            <v>מכשירי כתיבה</v>
          </cell>
          <cell r="C5536">
            <v>0</v>
          </cell>
          <cell r="D5536">
            <v>0</v>
          </cell>
          <cell r="E5536">
            <v>0</v>
          </cell>
          <cell r="F5536">
            <v>0</v>
          </cell>
          <cell r="G5536">
            <v>0</v>
          </cell>
          <cell r="H5536">
            <v>0</v>
          </cell>
          <cell r="I5536">
            <v>0</v>
          </cell>
          <cell r="J5536">
            <v>0</v>
          </cell>
        </row>
        <row r="5537">
          <cell r="A5537">
            <v>1829100540</v>
          </cell>
          <cell r="B5537" t="str">
            <v>הוצאות טלפון</v>
          </cell>
          <cell r="C5537">
            <v>0</v>
          </cell>
          <cell r="D5537">
            <v>0</v>
          </cell>
          <cell r="E5537">
            <v>0</v>
          </cell>
          <cell r="F5537">
            <v>0</v>
          </cell>
          <cell r="G5537">
            <v>0</v>
          </cell>
          <cell r="H5537">
            <v>0</v>
          </cell>
          <cell r="I5537">
            <v>0</v>
          </cell>
          <cell r="J5537">
            <v>0</v>
          </cell>
        </row>
        <row r="5538">
          <cell r="A5538">
            <v>1829100544</v>
          </cell>
          <cell r="B5538" t="str">
            <v>הוצאות דאר</v>
          </cell>
          <cell r="C5538">
            <v>0</v>
          </cell>
          <cell r="D5538">
            <v>0</v>
          </cell>
          <cell r="E5538">
            <v>0</v>
          </cell>
          <cell r="F5538">
            <v>0</v>
          </cell>
          <cell r="G5538">
            <v>0</v>
          </cell>
          <cell r="H5538">
            <v>0</v>
          </cell>
          <cell r="I5538">
            <v>0</v>
          </cell>
          <cell r="J5538">
            <v>0</v>
          </cell>
        </row>
        <row r="5539">
          <cell r="A5539">
            <v>1829100550</v>
          </cell>
          <cell r="B5539" t="str">
            <v>פירסומים</v>
          </cell>
          <cell r="C5539">
            <v>0</v>
          </cell>
          <cell r="D5539">
            <v>0</v>
          </cell>
          <cell r="E5539">
            <v>0</v>
          </cell>
          <cell r="F5539">
            <v>0</v>
          </cell>
          <cell r="G5539">
            <v>0</v>
          </cell>
          <cell r="H5539">
            <v>0</v>
          </cell>
          <cell r="I5539">
            <v>0</v>
          </cell>
          <cell r="J5539">
            <v>0</v>
          </cell>
        </row>
        <row r="5540">
          <cell r="A5540">
            <v>1829100551</v>
          </cell>
          <cell r="B5540" t="str">
            <v>מודעות והדבקתן</v>
          </cell>
          <cell r="C5540">
            <v>0</v>
          </cell>
          <cell r="D5540">
            <v>0</v>
          </cell>
          <cell r="E5540">
            <v>0</v>
          </cell>
          <cell r="F5540">
            <v>0</v>
          </cell>
          <cell r="G5540">
            <v>0</v>
          </cell>
          <cell r="H5540">
            <v>0</v>
          </cell>
          <cell r="I5540">
            <v>0</v>
          </cell>
          <cell r="J5540">
            <v>0</v>
          </cell>
        </row>
        <row r="5541">
          <cell r="A5541">
            <v>1829100561</v>
          </cell>
          <cell r="B5541" t="str">
            <v>שיכפולים</v>
          </cell>
          <cell r="C5541">
            <v>0</v>
          </cell>
          <cell r="D5541">
            <v>0</v>
          </cell>
          <cell r="E5541">
            <v>0</v>
          </cell>
          <cell r="F5541">
            <v>0</v>
          </cell>
          <cell r="G5541">
            <v>0</v>
          </cell>
          <cell r="H5541">
            <v>0</v>
          </cell>
          <cell r="I5541">
            <v>0</v>
          </cell>
          <cell r="J5541">
            <v>0</v>
          </cell>
        </row>
        <row r="5542">
          <cell r="A5542">
            <v>1829100562</v>
          </cell>
          <cell r="B5542" t="str">
            <v>הדפסות</v>
          </cell>
          <cell r="C5542">
            <v>0</v>
          </cell>
          <cell r="D5542">
            <v>0</v>
          </cell>
          <cell r="E5542">
            <v>0</v>
          </cell>
          <cell r="F5542">
            <v>0</v>
          </cell>
          <cell r="G5542">
            <v>0</v>
          </cell>
          <cell r="H5542">
            <v>0</v>
          </cell>
          <cell r="I5542">
            <v>0</v>
          </cell>
          <cell r="J5542">
            <v>0</v>
          </cell>
        </row>
        <row r="5543">
          <cell r="A5543">
            <v>1829100571</v>
          </cell>
          <cell r="B5543" t="str">
            <v>מיכון וענ"א</v>
          </cell>
          <cell r="C5543">
            <v>0</v>
          </cell>
          <cell r="D5543">
            <v>0</v>
          </cell>
          <cell r="E5543">
            <v>0</v>
          </cell>
          <cell r="F5543">
            <v>0</v>
          </cell>
          <cell r="G5543">
            <v>0</v>
          </cell>
          <cell r="H5543">
            <v>0</v>
          </cell>
          <cell r="I5543">
            <v>0</v>
          </cell>
          <cell r="J5543">
            <v>0</v>
          </cell>
        </row>
        <row r="5544">
          <cell r="A5544">
            <v>1829100710</v>
          </cell>
          <cell r="B5544" t="str">
            <v>הובלות  והסעות</v>
          </cell>
          <cell r="C5544">
            <v>0</v>
          </cell>
          <cell r="D5544">
            <v>0</v>
          </cell>
          <cell r="E5544">
            <v>0</v>
          </cell>
          <cell r="F5544">
            <v>0</v>
          </cell>
          <cell r="G5544">
            <v>0</v>
          </cell>
          <cell r="H5544">
            <v>0</v>
          </cell>
          <cell r="I5544">
            <v>0</v>
          </cell>
          <cell r="J5544">
            <v>0</v>
          </cell>
        </row>
        <row r="5545">
          <cell r="A5545">
            <v>1829100727</v>
          </cell>
          <cell r="B5545" t="str">
            <v>חול לבורות קפיצה</v>
          </cell>
          <cell r="C5545">
            <v>0</v>
          </cell>
          <cell r="D5545">
            <v>0</v>
          </cell>
          <cell r="E5545">
            <v>0</v>
          </cell>
          <cell r="F5545">
            <v>0</v>
          </cell>
          <cell r="G5545">
            <v>0</v>
          </cell>
          <cell r="H5545">
            <v>0</v>
          </cell>
          <cell r="I5545">
            <v>0</v>
          </cell>
          <cell r="J5545">
            <v>0</v>
          </cell>
        </row>
        <row r="5546">
          <cell r="A5546">
            <v>1829100742</v>
          </cell>
          <cell r="B5546" t="str">
            <v>כלים וציוד</v>
          </cell>
          <cell r="C5546">
            <v>0</v>
          </cell>
          <cell r="D5546">
            <v>0</v>
          </cell>
          <cell r="E5546">
            <v>0</v>
          </cell>
          <cell r="F5546">
            <v>0</v>
          </cell>
          <cell r="G5546">
            <v>0</v>
          </cell>
          <cell r="H5546">
            <v>0</v>
          </cell>
          <cell r="I5546">
            <v>0</v>
          </cell>
          <cell r="J5546">
            <v>0</v>
          </cell>
        </row>
        <row r="5547">
          <cell r="A5547">
            <v>1829100743</v>
          </cell>
          <cell r="B5547" t="str">
            <v>ח'-תח' מתקני ספורט</v>
          </cell>
          <cell r="C5547">
            <v>0</v>
          </cell>
          <cell r="D5547">
            <v>0</v>
          </cell>
          <cell r="E5547">
            <v>0</v>
          </cell>
          <cell r="F5547">
            <v>0</v>
          </cell>
          <cell r="G5547">
            <v>0</v>
          </cell>
          <cell r="H5547">
            <v>0</v>
          </cell>
          <cell r="I5547">
            <v>0</v>
          </cell>
          <cell r="J5547">
            <v>0</v>
          </cell>
        </row>
        <row r="5548">
          <cell r="A5548">
            <v>1829100744</v>
          </cell>
          <cell r="B5548" t="str">
            <v>תעודות ומדליות</v>
          </cell>
          <cell r="C5548">
            <v>0</v>
          </cell>
          <cell r="D5548">
            <v>0</v>
          </cell>
          <cell r="E5548">
            <v>0</v>
          </cell>
          <cell r="F5548">
            <v>0</v>
          </cell>
          <cell r="G5548">
            <v>0</v>
          </cell>
          <cell r="H5548">
            <v>0</v>
          </cell>
          <cell r="I5548">
            <v>0</v>
          </cell>
          <cell r="J5548">
            <v>0</v>
          </cell>
        </row>
        <row r="5549">
          <cell r="A5549">
            <v>1829100763</v>
          </cell>
          <cell r="B5549" t="str">
            <v>עובדי חברת מוסדות</v>
          </cell>
          <cell r="C5549">
            <v>0</v>
          </cell>
          <cell r="D5549">
            <v>0</v>
          </cell>
          <cell r="E5549">
            <v>0</v>
          </cell>
          <cell r="F5549">
            <v>0</v>
          </cell>
          <cell r="G5549">
            <v>0</v>
          </cell>
          <cell r="H5549">
            <v>0</v>
          </cell>
          <cell r="I5549">
            <v>0</v>
          </cell>
          <cell r="J5549">
            <v>0</v>
          </cell>
        </row>
        <row r="5550">
          <cell r="A5550">
            <v>1829100781</v>
          </cell>
          <cell r="B5550" t="str">
            <v>מפעלי ספורט</v>
          </cell>
          <cell r="C5550">
            <v>0</v>
          </cell>
          <cell r="D5550">
            <v>0</v>
          </cell>
          <cell r="E5550">
            <v>0</v>
          </cell>
          <cell r="F5550">
            <v>0</v>
          </cell>
          <cell r="G5550">
            <v>0</v>
          </cell>
          <cell r="H5550">
            <v>0</v>
          </cell>
          <cell r="I5550">
            <v>0</v>
          </cell>
          <cell r="J5550">
            <v>0</v>
          </cell>
        </row>
        <row r="5551">
          <cell r="A5551">
            <v>1829100794</v>
          </cell>
          <cell r="B5551" t="str">
            <v>השתתפות בעזר 094</v>
          </cell>
          <cell r="C5551">
            <v>0</v>
          </cell>
          <cell r="D5551">
            <v>0</v>
          </cell>
          <cell r="E5551">
            <v>0</v>
          </cell>
          <cell r="F5551">
            <v>0</v>
          </cell>
          <cell r="G5551">
            <v>0</v>
          </cell>
          <cell r="H5551">
            <v>0</v>
          </cell>
          <cell r="I5551">
            <v>0</v>
          </cell>
          <cell r="J5551">
            <v>0</v>
          </cell>
        </row>
        <row r="5552">
          <cell r="A5552">
            <v>1829100810</v>
          </cell>
          <cell r="B5552" t="str">
            <v>מועדון ספורט בי"ס</v>
          </cell>
          <cell r="C5552">
            <v>247950</v>
          </cell>
          <cell r="D5552">
            <v>256204</v>
          </cell>
          <cell r="E5552">
            <v>0</v>
          </cell>
          <cell r="F5552">
            <v>256204</v>
          </cell>
          <cell r="G5552">
            <v>-8254</v>
          </cell>
          <cell r="H5552">
            <v>103.32</v>
          </cell>
          <cell r="I5552">
            <v>261000</v>
          </cell>
          <cell r="J5552">
            <v>256204</v>
          </cell>
        </row>
        <row r="5553">
          <cell r="A5553">
            <v>1829100811</v>
          </cell>
          <cell r="B5553" t="str">
            <v>אליפות אומנותית</v>
          </cell>
          <cell r="C5553">
            <v>0</v>
          </cell>
          <cell r="D5553">
            <v>0</v>
          </cell>
          <cell r="E5553">
            <v>0</v>
          </cell>
          <cell r="F5553">
            <v>0</v>
          </cell>
          <cell r="G5553">
            <v>0</v>
          </cell>
          <cell r="H5553">
            <v>0</v>
          </cell>
          <cell r="I5553">
            <v>0</v>
          </cell>
          <cell r="J5553">
            <v>0</v>
          </cell>
        </row>
        <row r="5554">
          <cell r="A5554">
            <v>1829100812</v>
          </cell>
          <cell r="B5554" t="str">
            <v>אליפות בין-לאומית</v>
          </cell>
          <cell r="C5554">
            <v>231515</v>
          </cell>
          <cell r="D5554">
            <v>243700</v>
          </cell>
          <cell r="E5554">
            <v>0</v>
          </cell>
          <cell r="F5554">
            <v>243700</v>
          </cell>
          <cell r="G5554">
            <v>-12185</v>
          </cell>
          <cell r="H5554">
            <v>105.26</v>
          </cell>
          <cell r="I5554">
            <v>243700</v>
          </cell>
          <cell r="J5554">
            <v>243700</v>
          </cell>
        </row>
        <row r="5555">
          <cell r="A5555">
            <v>1829100813</v>
          </cell>
          <cell r="B5555" t="str">
            <v>תיפעול המחלקה</v>
          </cell>
          <cell r="C5555">
            <v>566390</v>
          </cell>
          <cell r="D5555">
            <v>596200</v>
          </cell>
          <cell r="E5555">
            <v>0</v>
          </cell>
          <cell r="F5555">
            <v>596200</v>
          </cell>
          <cell r="G5555">
            <v>-29810</v>
          </cell>
          <cell r="H5555">
            <v>105.26</v>
          </cell>
          <cell r="I5555">
            <v>596200</v>
          </cell>
          <cell r="J5555">
            <v>596200</v>
          </cell>
        </row>
        <row r="5556">
          <cell r="A5556">
            <v>1829100814</v>
          </cell>
          <cell r="B5556" t="str">
            <v>השת' באולם ספורט שמיר</v>
          </cell>
          <cell r="C5556">
            <v>82080</v>
          </cell>
          <cell r="D5556">
            <v>86400</v>
          </cell>
          <cell r="E5556">
            <v>0</v>
          </cell>
          <cell r="F5556">
            <v>86400</v>
          </cell>
          <cell r="G5556">
            <v>-4320</v>
          </cell>
          <cell r="H5556">
            <v>105.26</v>
          </cell>
          <cell r="I5556">
            <v>86400</v>
          </cell>
          <cell r="J5556">
            <v>86400</v>
          </cell>
        </row>
        <row r="5557">
          <cell r="A5557">
            <v>1829100815</v>
          </cell>
          <cell r="B5557" t="str">
            <v>פרחי ספורט</v>
          </cell>
          <cell r="C5557">
            <v>0</v>
          </cell>
          <cell r="D5557">
            <v>0</v>
          </cell>
          <cell r="E5557">
            <v>0</v>
          </cell>
          <cell r="F5557">
            <v>0</v>
          </cell>
          <cell r="G5557">
            <v>0</v>
          </cell>
          <cell r="H5557">
            <v>0</v>
          </cell>
          <cell r="I5557">
            <v>0</v>
          </cell>
          <cell r="J5557">
            <v>0</v>
          </cell>
        </row>
        <row r="5558">
          <cell r="A5558">
            <v>1829100816</v>
          </cell>
          <cell r="B5558" t="str">
            <v>אליפות אירופה באקרובטיקה</v>
          </cell>
          <cell r="C5558">
            <v>0</v>
          </cell>
          <cell r="D5558">
            <v>0</v>
          </cell>
          <cell r="E5558">
            <v>0</v>
          </cell>
          <cell r="F5558">
            <v>0</v>
          </cell>
          <cell r="G5558">
            <v>0</v>
          </cell>
          <cell r="H5558">
            <v>0</v>
          </cell>
          <cell r="I5558">
            <v>0</v>
          </cell>
          <cell r="J5558">
            <v>0</v>
          </cell>
        </row>
        <row r="5559">
          <cell r="A5559">
            <v>1829100817</v>
          </cell>
          <cell r="B5559" t="str">
            <v>השת' אולם ספורט שרון</v>
          </cell>
          <cell r="C5559">
            <v>136135</v>
          </cell>
          <cell r="D5559">
            <v>143297.01</v>
          </cell>
          <cell r="E5559">
            <v>0</v>
          </cell>
          <cell r="F5559">
            <v>143297.01</v>
          </cell>
          <cell r="G5559">
            <v>-7162.01</v>
          </cell>
          <cell r="H5559">
            <v>105.26</v>
          </cell>
          <cell r="I5559">
            <v>143300</v>
          </cell>
          <cell r="J5559">
            <v>143297.01</v>
          </cell>
        </row>
        <row r="5560">
          <cell r="A5560">
            <v>1829100818</v>
          </cell>
          <cell r="B5560" t="str">
            <v>הפעלת סקייטפארק</v>
          </cell>
          <cell r="C5560">
            <v>271605</v>
          </cell>
          <cell r="D5560">
            <v>285900</v>
          </cell>
          <cell r="E5560">
            <v>0</v>
          </cell>
          <cell r="F5560">
            <v>285900</v>
          </cell>
          <cell r="G5560">
            <v>-14295</v>
          </cell>
          <cell r="H5560">
            <v>105.26</v>
          </cell>
          <cell r="I5560">
            <v>285900</v>
          </cell>
          <cell r="J5560">
            <v>285900</v>
          </cell>
        </row>
        <row r="5561">
          <cell r="A5561">
            <v>1829100819</v>
          </cell>
          <cell r="B5561" t="str">
            <v>השתתפות בנופשונית</v>
          </cell>
          <cell r="C5561">
            <v>812250</v>
          </cell>
          <cell r="D5561">
            <v>855003.01</v>
          </cell>
          <cell r="E5561">
            <v>0</v>
          </cell>
          <cell r="F5561">
            <v>855003.01</v>
          </cell>
          <cell r="G5561">
            <v>-42753.01</v>
          </cell>
          <cell r="H5561">
            <v>105.26</v>
          </cell>
          <cell r="I5561">
            <v>855000</v>
          </cell>
          <cell r="J5561">
            <v>855003.01</v>
          </cell>
        </row>
        <row r="5562">
          <cell r="A5562">
            <v>1829100820</v>
          </cell>
          <cell r="B5562" t="str">
            <v>מרכזי מצוינות</v>
          </cell>
          <cell r="C5562">
            <v>178695</v>
          </cell>
          <cell r="D5562">
            <v>170000</v>
          </cell>
          <cell r="E5562">
            <v>0</v>
          </cell>
          <cell r="F5562">
            <v>170000</v>
          </cell>
          <cell r="G5562">
            <v>8695</v>
          </cell>
          <cell r="H5562">
            <v>95.13</v>
          </cell>
          <cell r="I5562">
            <v>188100</v>
          </cell>
          <cell r="J5562">
            <v>170000</v>
          </cell>
        </row>
        <row r="5563">
          <cell r="A5563">
            <v>1829100821</v>
          </cell>
          <cell r="B5563" t="str">
            <v>השתתפות היכל הספורט</v>
          </cell>
          <cell r="C5563">
            <v>4300000</v>
          </cell>
          <cell r="D5563">
            <v>4300000.95</v>
          </cell>
          <cell r="E5563">
            <v>0</v>
          </cell>
          <cell r="F5563">
            <v>4300000.95</v>
          </cell>
          <cell r="G5563">
            <v>-0.95</v>
          </cell>
          <cell r="H5563">
            <v>100</v>
          </cell>
          <cell r="I5563">
            <v>4300000</v>
          </cell>
          <cell r="J5563">
            <v>4300000.95</v>
          </cell>
        </row>
        <row r="5564">
          <cell r="A5564">
            <v>1829100822</v>
          </cell>
          <cell r="B5564" t="str">
            <v>ליגת הכוכבים</v>
          </cell>
          <cell r="C5564">
            <v>127300</v>
          </cell>
          <cell r="D5564">
            <v>133994.32</v>
          </cell>
          <cell r="E5564">
            <v>0</v>
          </cell>
          <cell r="F5564">
            <v>133994.32</v>
          </cell>
          <cell r="G5564">
            <v>-6694.32</v>
          </cell>
          <cell r="H5564">
            <v>105.25</v>
          </cell>
          <cell r="I5564">
            <v>134000</v>
          </cell>
          <cell r="J5564">
            <v>133994.32</v>
          </cell>
        </row>
        <row r="5565">
          <cell r="A5565">
            <v>1829100824</v>
          </cell>
          <cell r="B5565" t="str">
            <v>השתתפות אולם מכבי</v>
          </cell>
          <cell r="C5565">
            <v>0</v>
          </cell>
          <cell r="D5565">
            <v>0</v>
          </cell>
          <cell r="E5565">
            <v>0</v>
          </cell>
          <cell r="F5565">
            <v>0</v>
          </cell>
          <cell r="G5565">
            <v>0</v>
          </cell>
          <cell r="H5565">
            <v>0</v>
          </cell>
          <cell r="I5565">
            <v>0</v>
          </cell>
          <cell r="J5565">
            <v>0</v>
          </cell>
        </row>
        <row r="5566">
          <cell r="A5566">
            <v>1829100870</v>
          </cell>
          <cell r="B5566" t="str">
            <v>חוגי ספורט-בי"ס</v>
          </cell>
          <cell r="C5566">
            <v>0</v>
          </cell>
          <cell r="D5566">
            <v>0</v>
          </cell>
          <cell r="E5566">
            <v>0</v>
          </cell>
          <cell r="F5566">
            <v>0</v>
          </cell>
          <cell r="G5566">
            <v>0</v>
          </cell>
          <cell r="H5566">
            <v>0</v>
          </cell>
          <cell r="I5566">
            <v>0</v>
          </cell>
          <cell r="J5566">
            <v>0</v>
          </cell>
        </row>
        <row r="5567">
          <cell r="A5567">
            <v>1829100871</v>
          </cell>
          <cell r="B5567" t="str">
            <v>תחזוקת מגרש אורט</v>
          </cell>
          <cell r="C5567">
            <v>95000</v>
          </cell>
          <cell r="D5567">
            <v>100001.33</v>
          </cell>
          <cell r="E5567">
            <v>0</v>
          </cell>
          <cell r="F5567">
            <v>100001.33</v>
          </cell>
          <cell r="G5567">
            <v>-5001.33</v>
          </cell>
          <cell r="H5567">
            <v>105.26</v>
          </cell>
          <cell r="I5567">
            <v>100000</v>
          </cell>
          <cell r="J5567">
            <v>100001.33</v>
          </cell>
        </row>
        <row r="5568">
          <cell r="A5568">
            <v>1829100872</v>
          </cell>
          <cell r="B5568" t="str">
            <v>מרכז טניס עירוני</v>
          </cell>
          <cell r="C5568">
            <v>142500</v>
          </cell>
          <cell r="D5568">
            <v>150000</v>
          </cell>
          <cell r="E5568">
            <v>0</v>
          </cell>
          <cell r="F5568">
            <v>150000</v>
          </cell>
          <cell r="G5568">
            <v>-7500</v>
          </cell>
          <cell r="H5568">
            <v>105.26</v>
          </cell>
          <cell r="I5568">
            <v>150000</v>
          </cell>
          <cell r="J5568">
            <v>150000</v>
          </cell>
        </row>
        <row r="5569">
          <cell r="A5569">
            <v>1829100873</v>
          </cell>
          <cell r="B5569" t="str">
            <v>פרוייקטים</v>
          </cell>
          <cell r="C5569">
            <v>306755</v>
          </cell>
          <cell r="D5569">
            <v>322900</v>
          </cell>
          <cell r="E5569">
            <v>0</v>
          </cell>
          <cell r="F5569">
            <v>322900</v>
          </cell>
          <cell r="G5569">
            <v>-16145</v>
          </cell>
          <cell r="H5569">
            <v>105.26</v>
          </cell>
          <cell r="I5569">
            <v>322900</v>
          </cell>
          <cell r="J5569">
            <v>322900</v>
          </cell>
        </row>
        <row r="5570">
          <cell r="A5570">
            <v>1829100874</v>
          </cell>
          <cell r="B5570" t="str">
            <v>תיגבור חט"ב ק"ש-אג</v>
          </cell>
          <cell r="C5570">
            <v>41515</v>
          </cell>
          <cell r="D5570">
            <v>43703.01</v>
          </cell>
          <cell r="E5570">
            <v>0</v>
          </cell>
          <cell r="F5570">
            <v>43703.01</v>
          </cell>
          <cell r="G5570">
            <v>-2188.0100000000002</v>
          </cell>
          <cell r="H5570">
            <v>105.27</v>
          </cell>
          <cell r="I5570">
            <v>43700</v>
          </cell>
          <cell r="J5570">
            <v>43703.01</v>
          </cell>
        </row>
        <row r="5571">
          <cell r="A5571">
            <v>1829100875</v>
          </cell>
          <cell r="B5571" t="str">
            <v>פעולות ספורט</v>
          </cell>
          <cell r="C5571">
            <v>0</v>
          </cell>
          <cell r="D5571">
            <v>0</v>
          </cell>
          <cell r="E5571">
            <v>0</v>
          </cell>
          <cell r="F5571">
            <v>0</v>
          </cell>
          <cell r="G5571">
            <v>0</v>
          </cell>
          <cell r="H5571">
            <v>0</v>
          </cell>
          <cell r="I5571">
            <v>0</v>
          </cell>
          <cell r="J5571">
            <v>0</v>
          </cell>
        </row>
        <row r="5572">
          <cell r="A5572">
            <v>1829100876</v>
          </cell>
          <cell r="B5572" t="str">
            <v>מרוץ חולון</v>
          </cell>
          <cell r="C5572">
            <v>0</v>
          </cell>
          <cell r="D5572">
            <v>0</v>
          </cell>
          <cell r="E5572">
            <v>0</v>
          </cell>
          <cell r="F5572">
            <v>0</v>
          </cell>
          <cell r="G5572">
            <v>0</v>
          </cell>
          <cell r="H5572">
            <v>0</v>
          </cell>
          <cell r="I5572">
            <v>0</v>
          </cell>
          <cell r="J5572">
            <v>0</v>
          </cell>
        </row>
        <row r="5573">
          <cell r="A5573">
            <v>1829100877</v>
          </cell>
          <cell r="B5573" t="str">
            <v>מרוצי ילדים עממיים</v>
          </cell>
          <cell r="C5573">
            <v>0</v>
          </cell>
          <cell r="D5573">
            <v>0</v>
          </cell>
          <cell r="E5573">
            <v>0</v>
          </cell>
          <cell r="F5573">
            <v>0</v>
          </cell>
          <cell r="G5573">
            <v>0</v>
          </cell>
          <cell r="H5573">
            <v>0</v>
          </cell>
          <cell r="I5573">
            <v>0</v>
          </cell>
          <cell r="J5573">
            <v>0</v>
          </cell>
        </row>
        <row r="5574">
          <cell r="A5574">
            <v>1829100878</v>
          </cell>
          <cell r="B5574" t="str">
            <v>חוגי שחייה</v>
          </cell>
          <cell r="C5574">
            <v>190000</v>
          </cell>
          <cell r="D5574">
            <v>200000</v>
          </cell>
          <cell r="E5574">
            <v>0</v>
          </cell>
          <cell r="F5574">
            <v>200000</v>
          </cell>
          <cell r="G5574">
            <v>-10000</v>
          </cell>
          <cell r="H5574">
            <v>105.26</v>
          </cell>
          <cell r="I5574">
            <v>200000</v>
          </cell>
          <cell r="J5574">
            <v>200000</v>
          </cell>
        </row>
        <row r="5575">
          <cell r="A5575">
            <v>1829100879</v>
          </cell>
          <cell r="B5575" t="str">
            <v>ביטוח-כנגד הכנסות</v>
          </cell>
          <cell r="C5575">
            <v>41705</v>
          </cell>
          <cell r="D5575">
            <v>43900</v>
          </cell>
          <cell r="E5575">
            <v>0</v>
          </cell>
          <cell r="F5575">
            <v>43900</v>
          </cell>
          <cell r="G5575">
            <v>-2195</v>
          </cell>
          <cell r="H5575">
            <v>105.26</v>
          </cell>
          <cell r="I5575">
            <v>43900</v>
          </cell>
          <cell r="J5575">
            <v>43900</v>
          </cell>
        </row>
        <row r="5576">
          <cell r="A5576">
            <v>1829100920</v>
          </cell>
          <cell r="B5576" t="str">
            <v>פעולות כנגד הכנסות</v>
          </cell>
          <cell r="C5576">
            <v>285665</v>
          </cell>
          <cell r="D5576">
            <v>305712</v>
          </cell>
          <cell r="E5576">
            <v>0</v>
          </cell>
          <cell r="F5576">
            <v>305712</v>
          </cell>
          <cell r="G5576">
            <v>-20047</v>
          </cell>
          <cell r="H5576">
            <v>107.01</v>
          </cell>
          <cell r="I5576">
            <v>300700</v>
          </cell>
          <cell r="J5576">
            <v>305712</v>
          </cell>
        </row>
        <row r="5577">
          <cell r="A5577">
            <v>1829100921</v>
          </cell>
          <cell r="B5577" t="str">
            <v>מתחם הפועל</v>
          </cell>
          <cell r="C5577">
            <v>598500</v>
          </cell>
          <cell r="D5577">
            <v>0</v>
          </cell>
          <cell r="E5577">
            <v>0</v>
          </cell>
          <cell r="F5577">
            <v>0</v>
          </cell>
          <cell r="G5577">
            <v>598500</v>
          </cell>
          <cell r="H5577">
            <v>0</v>
          </cell>
          <cell r="I5577">
            <v>630000</v>
          </cell>
          <cell r="J5577">
            <v>0</v>
          </cell>
        </row>
        <row r="5578">
          <cell r="A5578">
            <v>1829100930</v>
          </cell>
          <cell r="B5578" t="str">
            <v>חוגי ספורט-בי"ס</v>
          </cell>
          <cell r="C5578">
            <v>0</v>
          </cell>
          <cell r="D5578">
            <v>0</v>
          </cell>
          <cell r="E5578">
            <v>0</v>
          </cell>
          <cell r="F5578">
            <v>0</v>
          </cell>
          <cell r="G5578">
            <v>0</v>
          </cell>
          <cell r="H5578">
            <v>0</v>
          </cell>
          <cell r="I5578">
            <v>0</v>
          </cell>
          <cell r="J5578">
            <v>0</v>
          </cell>
        </row>
        <row r="5579">
          <cell r="A5579">
            <v>1829100931</v>
          </cell>
          <cell r="B5579" t="str">
            <v>אגודות השג (הכנס')</v>
          </cell>
          <cell r="C5579">
            <v>0</v>
          </cell>
          <cell r="D5579">
            <v>0</v>
          </cell>
          <cell r="E5579">
            <v>0</v>
          </cell>
          <cell r="F5579">
            <v>0</v>
          </cell>
          <cell r="G5579">
            <v>0</v>
          </cell>
          <cell r="H5579">
            <v>0</v>
          </cell>
          <cell r="I5579">
            <v>0</v>
          </cell>
          <cell r="J5579">
            <v>0</v>
          </cell>
        </row>
        <row r="5580">
          <cell r="A5580">
            <v>1829100932</v>
          </cell>
          <cell r="B5580" t="str">
            <v>מרכז מצוינות</v>
          </cell>
          <cell r="C5580">
            <v>0</v>
          </cell>
          <cell r="D5580">
            <v>0</v>
          </cell>
          <cell r="E5580">
            <v>0</v>
          </cell>
          <cell r="F5580">
            <v>0</v>
          </cell>
          <cell r="G5580">
            <v>0</v>
          </cell>
          <cell r="H5580">
            <v>0</v>
          </cell>
          <cell r="I5580">
            <v>0</v>
          </cell>
          <cell r="J5580">
            <v>0</v>
          </cell>
        </row>
        <row r="5581">
          <cell r="A5581">
            <v>1829100933</v>
          </cell>
          <cell r="B5581" t="str">
            <v>פרוייקטים (מאגודות)</v>
          </cell>
          <cell r="C5581">
            <v>0</v>
          </cell>
          <cell r="D5581">
            <v>0</v>
          </cell>
          <cell r="E5581">
            <v>0</v>
          </cell>
          <cell r="F5581">
            <v>0</v>
          </cell>
          <cell r="G5581">
            <v>0</v>
          </cell>
          <cell r="H5581">
            <v>0</v>
          </cell>
          <cell r="I5581">
            <v>0</v>
          </cell>
          <cell r="J5581">
            <v>0</v>
          </cell>
        </row>
        <row r="5582">
          <cell r="A5582">
            <v>1829100934</v>
          </cell>
          <cell r="B5582" t="str">
            <v>תיגבור חט"ב ק"ש-אג</v>
          </cell>
          <cell r="C5582">
            <v>0</v>
          </cell>
          <cell r="D5582">
            <v>0</v>
          </cell>
          <cell r="E5582">
            <v>0</v>
          </cell>
          <cell r="F5582">
            <v>0</v>
          </cell>
          <cell r="G5582">
            <v>0</v>
          </cell>
          <cell r="H5582">
            <v>0</v>
          </cell>
          <cell r="I5582">
            <v>0</v>
          </cell>
          <cell r="J5582">
            <v>0</v>
          </cell>
        </row>
        <row r="5583">
          <cell r="A5583">
            <v>1829100950</v>
          </cell>
          <cell r="B5583" t="str">
            <v>הלוואה לחב' לבילוי ובידור</v>
          </cell>
          <cell r="C5583">
            <v>0</v>
          </cell>
          <cell r="D5583">
            <v>0</v>
          </cell>
          <cell r="E5583">
            <v>0</v>
          </cell>
          <cell r="F5583">
            <v>0</v>
          </cell>
          <cell r="G5583">
            <v>0</v>
          </cell>
          <cell r="H5583">
            <v>0</v>
          </cell>
          <cell r="I5583">
            <v>0</v>
          </cell>
          <cell r="J5583">
            <v>0</v>
          </cell>
        </row>
        <row r="5584">
          <cell r="A5584">
            <v>1829100980</v>
          </cell>
          <cell r="B5584" t="str">
            <v>תכנית אב לספורט</v>
          </cell>
          <cell r="C5584">
            <v>0</v>
          </cell>
          <cell r="D5584">
            <v>0</v>
          </cell>
          <cell r="E5584">
            <v>0</v>
          </cell>
          <cell r="F5584">
            <v>0</v>
          </cell>
          <cell r="G5584">
            <v>0</v>
          </cell>
          <cell r="H5584">
            <v>0</v>
          </cell>
          <cell r="I5584">
            <v>0</v>
          </cell>
          <cell r="J5584">
            <v>0</v>
          </cell>
        </row>
        <row r="5585">
          <cell r="A5585">
            <v>1829100982</v>
          </cell>
          <cell r="B5585" t="str">
            <v>מועדון לספורט עממי</v>
          </cell>
          <cell r="C5585">
            <v>0</v>
          </cell>
          <cell r="D5585">
            <v>0</v>
          </cell>
          <cell r="E5585">
            <v>0</v>
          </cell>
          <cell r="F5585">
            <v>0</v>
          </cell>
          <cell r="G5585">
            <v>0</v>
          </cell>
          <cell r="H5585">
            <v>0</v>
          </cell>
          <cell r="I5585">
            <v>0</v>
          </cell>
          <cell r="J5585">
            <v>0</v>
          </cell>
        </row>
        <row r="5586">
          <cell r="A5586">
            <v>1829200110</v>
          </cell>
          <cell r="B5586" t="str">
            <v>השכר הקובע-תקציבית</v>
          </cell>
          <cell r="C5586">
            <v>0</v>
          </cell>
          <cell r="D5586">
            <v>0</v>
          </cell>
          <cell r="E5586">
            <v>0</v>
          </cell>
          <cell r="F5586">
            <v>0</v>
          </cell>
          <cell r="G5586">
            <v>0</v>
          </cell>
          <cell r="H5586">
            <v>0</v>
          </cell>
          <cell r="I5586">
            <v>0</v>
          </cell>
          <cell r="J5586">
            <v>0</v>
          </cell>
        </row>
        <row r="5587">
          <cell r="A5587">
            <v>1829200119</v>
          </cell>
          <cell r="B5587" t="str">
            <v>השכר הקובע-צוברת</v>
          </cell>
          <cell r="C5587">
            <v>0</v>
          </cell>
          <cell r="D5587">
            <v>0</v>
          </cell>
          <cell r="E5587">
            <v>0</v>
          </cell>
          <cell r="F5587">
            <v>0</v>
          </cell>
          <cell r="G5587">
            <v>0</v>
          </cell>
          <cell r="H5587">
            <v>0</v>
          </cell>
          <cell r="I5587">
            <v>0</v>
          </cell>
          <cell r="J5587">
            <v>0</v>
          </cell>
        </row>
        <row r="5588">
          <cell r="A5588">
            <v>1829200122</v>
          </cell>
          <cell r="B5588" t="str">
            <v>ביגוד</v>
          </cell>
          <cell r="C5588">
            <v>0</v>
          </cell>
          <cell r="D5588">
            <v>0</v>
          </cell>
          <cell r="E5588">
            <v>0</v>
          </cell>
          <cell r="F5588">
            <v>0</v>
          </cell>
          <cell r="G5588">
            <v>0</v>
          </cell>
          <cell r="H5588">
            <v>0</v>
          </cell>
          <cell r="I5588">
            <v>0</v>
          </cell>
          <cell r="J5588">
            <v>0</v>
          </cell>
        </row>
        <row r="5589">
          <cell r="A5589">
            <v>1829200126</v>
          </cell>
          <cell r="B5589" t="str">
            <v>דמי הבראה</v>
          </cell>
          <cell r="C5589">
            <v>0</v>
          </cell>
          <cell r="D5589">
            <v>0</v>
          </cell>
          <cell r="E5589">
            <v>0</v>
          </cell>
          <cell r="F5589">
            <v>0</v>
          </cell>
          <cell r="G5589">
            <v>0</v>
          </cell>
          <cell r="H5589">
            <v>0</v>
          </cell>
          <cell r="I5589">
            <v>0</v>
          </cell>
          <cell r="J5589">
            <v>0</v>
          </cell>
        </row>
        <row r="5590">
          <cell r="A5590">
            <v>1829200130</v>
          </cell>
          <cell r="B5590" t="str">
            <v>שעות נוספות</v>
          </cell>
          <cell r="C5590">
            <v>0</v>
          </cell>
          <cell r="D5590">
            <v>0</v>
          </cell>
          <cell r="E5590">
            <v>0</v>
          </cell>
          <cell r="F5590">
            <v>0</v>
          </cell>
          <cell r="G5590">
            <v>0</v>
          </cell>
          <cell r="H5590">
            <v>0</v>
          </cell>
          <cell r="I5590">
            <v>0</v>
          </cell>
          <cell r="J5590">
            <v>0</v>
          </cell>
        </row>
        <row r="5591">
          <cell r="A5591">
            <v>1829200140</v>
          </cell>
          <cell r="B5591" t="str">
            <v>השתתפות באחזקת רכב</v>
          </cell>
          <cell r="C5591">
            <v>0</v>
          </cell>
          <cell r="D5591">
            <v>0</v>
          </cell>
          <cell r="E5591">
            <v>0</v>
          </cell>
          <cell r="F5591">
            <v>0</v>
          </cell>
          <cell r="G5591">
            <v>0</v>
          </cell>
          <cell r="H5591">
            <v>0</v>
          </cell>
          <cell r="I5591">
            <v>0</v>
          </cell>
          <cell r="J5591">
            <v>0</v>
          </cell>
        </row>
        <row r="5592">
          <cell r="A5592">
            <v>1829200210</v>
          </cell>
          <cell r="B5592" t="str">
            <v>השכר הקובע</v>
          </cell>
          <cell r="C5592">
            <v>0</v>
          </cell>
          <cell r="D5592">
            <v>0</v>
          </cell>
          <cell r="E5592">
            <v>0</v>
          </cell>
          <cell r="F5592">
            <v>0</v>
          </cell>
          <cell r="G5592">
            <v>0</v>
          </cell>
          <cell r="H5592">
            <v>0</v>
          </cell>
          <cell r="I5592">
            <v>0</v>
          </cell>
          <cell r="J5592">
            <v>0</v>
          </cell>
        </row>
        <row r="5593">
          <cell r="A5593">
            <v>1829200217</v>
          </cell>
          <cell r="B5593" t="str">
            <v>מרכז אתלטיקה</v>
          </cell>
          <cell r="C5593">
            <v>0</v>
          </cell>
          <cell r="D5593">
            <v>0</v>
          </cell>
          <cell r="E5593">
            <v>0</v>
          </cell>
          <cell r="F5593">
            <v>0</v>
          </cell>
          <cell r="G5593">
            <v>0</v>
          </cell>
          <cell r="H5593">
            <v>0</v>
          </cell>
          <cell r="I5593">
            <v>0</v>
          </cell>
          <cell r="J5593">
            <v>0</v>
          </cell>
        </row>
        <row r="5594">
          <cell r="A5594">
            <v>1829200250</v>
          </cell>
          <cell r="B5594" t="str">
            <v>שכר מושאלים</v>
          </cell>
          <cell r="C5594">
            <v>0</v>
          </cell>
          <cell r="D5594">
            <v>0</v>
          </cell>
          <cell r="E5594">
            <v>0</v>
          </cell>
          <cell r="F5594">
            <v>0</v>
          </cell>
          <cell r="G5594">
            <v>0</v>
          </cell>
          <cell r="H5594">
            <v>0</v>
          </cell>
          <cell r="I5594">
            <v>0</v>
          </cell>
          <cell r="J5594">
            <v>0</v>
          </cell>
        </row>
        <row r="5595">
          <cell r="A5595">
            <v>1829200391</v>
          </cell>
          <cell r="B5595" t="str">
            <v>הפרשה לפנסיה</v>
          </cell>
          <cell r="C5595">
            <v>0</v>
          </cell>
          <cell r="D5595">
            <v>0</v>
          </cell>
          <cell r="E5595">
            <v>0</v>
          </cell>
          <cell r="F5595">
            <v>0</v>
          </cell>
          <cell r="G5595">
            <v>0</v>
          </cell>
          <cell r="H5595">
            <v>0</v>
          </cell>
          <cell r="I5595">
            <v>0</v>
          </cell>
          <cell r="J5595">
            <v>0</v>
          </cell>
        </row>
        <row r="5596">
          <cell r="A5596">
            <v>1829200420</v>
          </cell>
          <cell r="B5596" t="str">
            <v>כיבוי אש</v>
          </cell>
          <cell r="C5596">
            <v>0</v>
          </cell>
          <cell r="D5596">
            <v>0</v>
          </cell>
          <cell r="E5596">
            <v>0</v>
          </cell>
          <cell r="F5596">
            <v>0</v>
          </cell>
          <cell r="G5596">
            <v>0</v>
          </cell>
          <cell r="H5596">
            <v>0</v>
          </cell>
          <cell r="I5596">
            <v>0</v>
          </cell>
          <cell r="J5596">
            <v>0</v>
          </cell>
        </row>
        <row r="5597">
          <cell r="A5597">
            <v>1829200423</v>
          </cell>
          <cell r="B5597" t="str">
            <v>תחזוקת מבנה</v>
          </cell>
          <cell r="C5597">
            <v>0</v>
          </cell>
          <cell r="D5597">
            <v>0</v>
          </cell>
          <cell r="E5597">
            <v>0</v>
          </cell>
          <cell r="F5597">
            <v>0</v>
          </cell>
          <cell r="G5597">
            <v>0</v>
          </cell>
          <cell r="H5597">
            <v>0</v>
          </cell>
          <cell r="I5597">
            <v>0</v>
          </cell>
          <cell r="J5597">
            <v>0</v>
          </cell>
        </row>
        <row r="5598">
          <cell r="A5598">
            <v>1829200430</v>
          </cell>
          <cell r="B5598" t="str">
            <v>גז</v>
          </cell>
          <cell r="C5598">
            <v>0</v>
          </cell>
          <cell r="D5598">
            <v>0</v>
          </cell>
          <cell r="E5598">
            <v>0</v>
          </cell>
          <cell r="F5598">
            <v>0</v>
          </cell>
          <cell r="G5598">
            <v>0</v>
          </cell>
          <cell r="H5598">
            <v>0</v>
          </cell>
          <cell r="I5598">
            <v>0</v>
          </cell>
          <cell r="J5598">
            <v>0</v>
          </cell>
        </row>
        <row r="5599">
          <cell r="A5599">
            <v>1829200431</v>
          </cell>
          <cell r="B5599" t="str">
            <v>חשמל</v>
          </cell>
          <cell r="C5599">
            <v>0</v>
          </cell>
          <cell r="D5599">
            <v>0</v>
          </cell>
          <cell r="E5599">
            <v>0</v>
          </cell>
          <cell r="F5599">
            <v>0</v>
          </cell>
          <cell r="G5599">
            <v>0</v>
          </cell>
          <cell r="H5599">
            <v>0</v>
          </cell>
          <cell r="I5599">
            <v>0</v>
          </cell>
          <cell r="J5599">
            <v>0</v>
          </cell>
        </row>
        <row r="5600">
          <cell r="A5600">
            <v>1829200432</v>
          </cell>
          <cell r="B5600" t="str">
            <v>מים</v>
          </cell>
          <cell r="C5600">
            <v>0</v>
          </cell>
          <cell r="D5600">
            <v>0</v>
          </cell>
          <cell r="E5600">
            <v>0</v>
          </cell>
          <cell r="F5600">
            <v>0</v>
          </cell>
          <cell r="G5600">
            <v>0</v>
          </cell>
          <cell r="H5600">
            <v>0</v>
          </cell>
          <cell r="I5600">
            <v>0</v>
          </cell>
          <cell r="J5600">
            <v>0</v>
          </cell>
        </row>
        <row r="5601">
          <cell r="A5601">
            <v>1829200433</v>
          </cell>
          <cell r="B5601" t="str">
            <v>חומרי נקיון</v>
          </cell>
          <cell r="C5601">
            <v>0</v>
          </cell>
          <cell r="D5601">
            <v>0</v>
          </cell>
          <cell r="E5601">
            <v>0</v>
          </cell>
          <cell r="F5601">
            <v>0</v>
          </cell>
          <cell r="G5601">
            <v>0</v>
          </cell>
          <cell r="H5601">
            <v>0</v>
          </cell>
          <cell r="I5601">
            <v>0</v>
          </cell>
          <cell r="J5601">
            <v>0</v>
          </cell>
        </row>
        <row r="5602">
          <cell r="A5602">
            <v>1829200437</v>
          </cell>
          <cell r="B5602" t="str">
            <v>אחזקת אזעקה</v>
          </cell>
          <cell r="C5602">
            <v>0</v>
          </cell>
          <cell r="D5602">
            <v>0</v>
          </cell>
          <cell r="E5602">
            <v>0</v>
          </cell>
          <cell r="F5602">
            <v>0</v>
          </cell>
          <cell r="G5602">
            <v>0</v>
          </cell>
          <cell r="H5602">
            <v>0</v>
          </cell>
          <cell r="I5602">
            <v>0</v>
          </cell>
          <cell r="J5602">
            <v>0</v>
          </cell>
        </row>
        <row r="5603">
          <cell r="A5603">
            <v>1829200441</v>
          </cell>
          <cell r="B5603" t="str">
            <v>ביטוח</v>
          </cell>
          <cell r="C5603">
            <v>0</v>
          </cell>
          <cell r="D5603">
            <v>0</v>
          </cell>
          <cell r="E5603">
            <v>0</v>
          </cell>
          <cell r="F5603">
            <v>0</v>
          </cell>
          <cell r="G5603">
            <v>0</v>
          </cell>
          <cell r="H5603">
            <v>0</v>
          </cell>
          <cell r="I5603">
            <v>0</v>
          </cell>
          <cell r="J5603">
            <v>0</v>
          </cell>
        </row>
        <row r="5604">
          <cell r="A5604">
            <v>1829200471</v>
          </cell>
          <cell r="B5604" t="str">
            <v>מכשירי כתיבה</v>
          </cell>
          <cell r="C5604">
            <v>0</v>
          </cell>
          <cell r="D5604">
            <v>0</v>
          </cell>
          <cell r="E5604">
            <v>0</v>
          </cell>
          <cell r="F5604">
            <v>0</v>
          </cell>
          <cell r="G5604">
            <v>0</v>
          </cell>
          <cell r="H5604">
            <v>0</v>
          </cell>
          <cell r="I5604">
            <v>0</v>
          </cell>
          <cell r="J5604">
            <v>0</v>
          </cell>
        </row>
        <row r="5605">
          <cell r="A5605">
            <v>1829200511</v>
          </cell>
          <cell r="B5605" t="str">
            <v>אירוח וכיבוד</v>
          </cell>
          <cell r="C5605">
            <v>0</v>
          </cell>
          <cell r="D5605">
            <v>0</v>
          </cell>
          <cell r="E5605">
            <v>0</v>
          </cell>
          <cell r="F5605">
            <v>0</v>
          </cell>
          <cell r="G5605">
            <v>0</v>
          </cell>
          <cell r="H5605">
            <v>0</v>
          </cell>
          <cell r="I5605">
            <v>0</v>
          </cell>
          <cell r="J5605">
            <v>0</v>
          </cell>
        </row>
        <row r="5606">
          <cell r="A5606">
            <v>1829200512</v>
          </cell>
          <cell r="B5606" t="str">
            <v>נסיעות ואש"ל</v>
          </cell>
          <cell r="C5606">
            <v>0</v>
          </cell>
          <cell r="D5606">
            <v>0</v>
          </cell>
          <cell r="E5606">
            <v>0</v>
          </cell>
          <cell r="F5606">
            <v>0</v>
          </cell>
          <cell r="G5606">
            <v>0</v>
          </cell>
          <cell r="H5606">
            <v>0</v>
          </cell>
          <cell r="I5606">
            <v>0</v>
          </cell>
          <cell r="J5606">
            <v>0</v>
          </cell>
        </row>
        <row r="5607">
          <cell r="A5607">
            <v>1829200540</v>
          </cell>
          <cell r="B5607" t="str">
            <v>הוצאות טלפון</v>
          </cell>
          <cell r="C5607">
            <v>0</v>
          </cell>
          <cell r="D5607">
            <v>0</v>
          </cell>
          <cell r="E5607">
            <v>0</v>
          </cell>
          <cell r="F5607">
            <v>0</v>
          </cell>
          <cell r="G5607">
            <v>0</v>
          </cell>
          <cell r="H5607">
            <v>0</v>
          </cell>
          <cell r="I5607">
            <v>0</v>
          </cell>
          <cell r="J5607">
            <v>0</v>
          </cell>
        </row>
        <row r="5608">
          <cell r="A5608">
            <v>1829200544</v>
          </cell>
          <cell r="B5608" t="str">
            <v>הוצאות דאר</v>
          </cell>
          <cell r="C5608">
            <v>0</v>
          </cell>
          <cell r="D5608">
            <v>0</v>
          </cell>
          <cell r="E5608">
            <v>0</v>
          </cell>
          <cell r="F5608">
            <v>0</v>
          </cell>
          <cell r="G5608">
            <v>0</v>
          </cell>
          <cell r="H5608">
            <v>0</v>
          </cell>
          <cell r="I5608">
            <v>0</v>
          </cell>
          <cell r="J5608">
            <v>0</v>
          </cell>
        </row>
        <row r="5609">
          <cell r="A5609">
            <v>1829200550</v>
          </cell>
          <cell r="B5609" t="str">
            <v>פירסומים</v>
          </cell>
          <cell r="C5609">
            <v>0</v>
          </cell>
          <cell r="D5609">
            <v>0</v>
          </cell>
          <cell r="E5609">
            <v>0</v>
          </cell>
          <cell r="F5609">
            <v>0</v>
          </cell>
          <cell r="G5609">
            <v>0</v>
          </cell>
          <cell r="H5609">
            <v>0</v>
          </cell>
          <cell r="I5609">
            <v>0</v>
          </cell>
          <cell r="J5609">
            <v>0</v>
          </cell>
        </row>
        <row r="5610">
          <cell r="A5610">
            <v>1829200551</v>
          </cell>
          <cell r="B5610" t="str">
            <v>מודעות והדבקתן</v>
          </cell>
          <cell r="C5610">
            <v>0</v>
          </cell>
          <cell r="D5610">
            <v>0</v>
          </cell>
          <cell r="E5610">
            <v>0</v>
          </cell>
          <cell r="F5610">
            <v>0</v>
          </cell>
          <cell r="G5610">
            <v>0</v>
          </cell>
          <cell r="H5610">
            <v>0</v>
          </cell>
          <cell r="I5610">
            <v>0</v>
          </cell>
          <cell r="J5610">
            <v>0</v>
          </cell>
        </row>
        <row r="5611">
          <cell r="A5611">
            <v>1829200561</v>
          </cell>
          <cell r="B5611" t="str">
            <v>שיכפולים</v>
          </cell>
          <cell r="C5611">
            <v>0</v>
          </cell>
          <cell r="D5611">
            <v>0</v>
          </cell>
          <cell r="E5611">
            <v>0</v>
          </cell>
          <cell r="F5611">
            <v>0</v>
          </cell>
          <cell r="G5611">
            <v>0</v>
          </cell>
          <cell r="H5611">
            <v>0</v>
          </cell>
          <cell r="I5611">
            <v>0</v>
          </cell>
          <cell r="J5611">
            <v>0</v>
          </cell>
        </row>
        <row r="5612">
          <cell r="A5612">
            <v>1829200596</v>
          </cell>
          <cell r="B5612" t="str">
            <v>השתתפות בעזר 096</v>
          </cell>
          <cell r="C5612">
            <v>0</v>
          </cell>
          <cell r="D5612">
            <v>0</v>
          </cell>
          <cell r="E5612">
            <v>0</v>
          </cell>
          <cell r="F5612">
            <v>0</v>
          </cell>
          <cell r="G5612">
            <v>0</v>
          </cell>
          <cell r="H5612">
            <v>0</v>
          </cell>
          <cell r="I5612">
            <v>0</v>
          </cell>
          <cell r="J5612">
            <v>0</v>
          </cell>
        </row>
        <row r="5613">
          <cell r="A5613">
            <v>1829200710</v>
          </cell>
          <cell r="B5613" t="str">
            <v>שעות טרקטור</v>
          </cell>
          <cell r="C5613">
            <v>0</v>
          </cell>
          <cell r="D5613">
            <v>0</v>
          </cell>
          <cell r="E5613">
            <v>0</v>
          </cell>
          <cell r="F5613">
            <v>0</v>
          </cell>
          <cell r="G5613">
            <v>0</v>
          </cell>
          <cell r="H5613">
            <v>0</v>
          </cell>
          <cell r="I5613">
            <v>0</v>
          </cell>
          <cell r="J5613">
            <v>0</v>
          </cell>
        </row>
        <row r="5614">
          <cell r="A5614">
            <v>1829200721</v>
          </cell>
          <cell r="B5614" t="str">
            <v>חמרים-תחזוקת מבנים</v>
          </cell>
          <cell r="C5614">
            <v>0</v>
          </cell>
          <cell r="D5614">
            <v>0</v>
          </cell>
          <cell r="E5614">
            <v>0</v>
          </cell>
          <cell r="F5614">
            <v>0</v>
          </cell>
          <cell r="G5614">
            <v>0</v>
          </cell>
          <cell r="H5614">
            <v>0</v>
          </cell>
          <cell r="I5614">
            <v>0</v>
          </cell>
          <cell r="J5614">
            <v>0</v>
          </cell>
        </row>
        <row r="5615">
          <cell r="A5615">
            <v>1829200722</v>
          </cell>
          <cell r="B5615" t="str">
            <v>חמרים-תחזוקה עצמית</v>
          </cell>
          <cell r="C5615">
            <v>0</v>
          </cell>
          <cell r="D5615">
            <v>0</v>
          </cell>
          <cell r="E5615">
            <v>0</v>
          </cell>
          <cell r="F5615">
            <v>0</v>
          </cell>
          <cell r="G5615">
            <v>0</v>
          </cell>
          <cell r="H5615">
            <v>0</v>
          </cell>
          <cell r="I5615">
            <v>0</v>
          </cell>
          <cell r="J5615">
            <v>0</v>
          </cell>
        </row>
        <row r="5616">
          <cell r="A5616">
            <v>1829200723</v>
          </cell>
          <cell r="B5616" t="str">
            <v>זבלים+דשנים+השקייה</v>
          </cell>
          <cell r="C5616">
            <v>0</v>
          </cell>
          <cell r="D5616">
            <v>0</v>
          </cell>
          <cell r="E5616">
            <v>0</v>
          </cell>
          <cell r="F5616">
            <v>0</v>
          </cell>
          <cell r="G5616">
            <v>0</v>
          </cell>
          <cell r="H5616">
            <v>0</v>
          </cell>
          <cell r="I5616">
            <v>0</v>
          </cell>
          <cell r="J5616">
            <v>0</v>
          </cell>
        </row>
        <row r="5617">
          <cell r="A5617">
            <v>1829200724</v>
          </cell>
          <cell r="B5617" t="str">
            <v>חלקי חילוף ואחזקה</v>
          </cell>
          <cell r="C5617">
            <v>0</v>
          </cell>
          <cell r="D5617">
            <v>0</v>
          </cell>
          <cell r="E5617">
            <v>0</v>
          </cell>
          <cell r="F5617">
            <v>0</v>
          </cell>
          <cell r="G5617">
            <v>0</v>
          </cell>
          <cell r="H5617">
            <v>0</v>
          </cell>
          <cell r="I5617">
            <v>0</v>
          </cell>
          <cell r="J5617">
            <v>0</v>
          </cell>
        </row>
        <row r="5618">
          <cell r="A5618">
            <v>1829200742</v>
          </cell>
          <cell r="B5618" t="str">
            <v>כלים וציוד</v>
          </cell>
          <cell r="C5618">
            <v>0</v>
          </cell>
          <cell r="D5618">
            <v>0</v>
          </cell>
          <cell r="E5618">
            <v>0</v>
          </cell>
          <cell r="F5618">
            <v>0</v>
          </cell>
          <cell r="G5618">
            <v>0</v>
          </cell>
          <cell r="H5618">
            <v>0</v>
          </cell>
          <cell r="I5618">
            <v>0</v>
          </cell>
          <cell r="J5618">
            <v>0</v>
          </cell>
        </row>
        <row r="5619">
          <cell r="A5619">
            <v>1829200745</v>
          </cell>
          <cell r="B5619" t="str">
            <v>דמי פריצה - תכולה</v>
          </cell>
          <cell r="C5619">
            <v>0</v>
          </cell>
          <cell r="D5619">
            <v>0</v>
          </cell>
          <cell r="E5619">
            <v>0</v>
          </cell>
          <cell r="F5619">
            <v>0</v>
          </cell>
          <cell r="G5619">
            <v>0</v>
          </cell>
          <cell r="H5619">
            <v>0</v>
          </cell>
          <cell r="I5619">
            <v>0</v>
          </cell>
          <cell r="J5619">
            <v>0</v>
          </cell>
        </row>
        <row r="5620">
          <cell r="A5620">
            <v>1829200751</v>
          </cell>
          <cell r="B5620" t="str">
            <v>עבודות קבלניות</v>
          </cell>
          <cell r="C5620">
            <v>0</v>
          </cell>
          <cell r="D5620">
            <v>0</v>
          </cell>
          <cell r="E5620">
            <v>0</v>
          </cell>
          <cell r="F5620">
            <v>0</v>
          </cell>
          <cell r="G5620">
            <v>0</v>
          </cell>
          <cell r="H5620">
            <v>0</v>
          </cell>
          <cell r="I5620">
            <v>0</v>
          </cell>
          <cell r="J5620">
            <v>0</v>
          </cell>
        </row>
        <row r="5621">
          <cell r="A5621">
            <v>1829200752</v>
          </cell>
          <cell r="B5621" t="str">
            <v>נקיון בקבלנות</v>
          </cell>
          <cell r="C5621">
            <v>0</v>
          </cell>
          <cell r="D5621">
            <v>0</v>
          </cell>
          <cell r="E5621">
            <v>0</v>
          </cell>
          <cell r="F5621">
            <v>0</v>
          </cell>
          <cell r="G5621">
            <v>0</v>
          </cell>
          <cell r="H5621">
            <v>0</v>
          </cell>
          <cell r="I5621">
            <v>0</v>
          </cell>
          <cell r="J5621">
            <v>0</v>
          </cell>
        </row>
        <row r="5622">
          <cell r="A5622">
            <v>1829200753</v>
          </cell>
          <cell r="B5622" t="str">
            <v>עובדים חיצוניים</v>
          </cell>
          <cell r="C5622">
            <v>0</v>
          </cell>
          <cell r="D5622">
            <v>0</v>
          </cell>
          <cell r="E5622">
            <v>0</v>
          </cell>
          <cell r="F5622">
            <v>0</v>
          </cell>
          <cell r="G5622">
            <v>0</v>
          </cell>
          <cell r="H5622">
            <v>0</v>
          </cell>
          <cell r="I5622">
            <v>0</v>
          </cell>
          <cell r="J5622">
            <v>0</v>
          </cell>
        </row>
        <row r="5623">
          <cell r="A5623">
            <v>1829200754</v>
          </cell>
          <cell r="B5623" t="str">
            <v>שיפוץ איצטדיונים</v>
          </cell>
          <cell r="C5623">
            <v>0</v>
          </cell>
          <cell r="D5623">
            <v>0</v>
          </cell>
          <cell r="E5623">
            <v>0</v>
          </cell>
          <cell r="F5623">
            <v>0</v>
          </cell>
          <cell r="G5623">
            <v>0</v>
          </cell>
          <cell r="H5623">
            <v>0</v>
          </cell>
          <cell r="I5623">
            <v>0</v>
          </cell>
          <cell r="J5623">
            <v>0</v>
          </cell>
        </row>
        <row r="5624">
          <cell r="A5624">
            <v>1829200756</v>
          </cell>
          <cell r="B5624" t="str">
            <v>שמירה בקרית הספורט</v>
          </cell>
          <cell r="C5624">
            <v>0</v>
          </cell>
          <cell r="D5624">
            <v>0</v>
          </cell>
          <cell r="E5624">
            <v>0</v>
          </cell>
          <cell r="F5624">
            <v>0</v>
          </cell>
          <cell r="G5624">
            <v>0</v>
          </cell>
          <cell r="H5624">
            <v>0</v>
          </cell>
          <cell r="I5624">
            <v>0</v>
          </cell>
          <cell r="J5624">
            <v>0</v>
          </cell>
        </row>
        <row r="5625">
          <cell r="A5625">
            <v>1829200757</v>
          </cell>
          <cell r="B5625" t="str">
            <v>אחז' מגרשים בקבלנו</v>
          </cell>
          <cell r="C5625">
            <v>0</v>
          </cell>
          <cell r="D5625">
            <v>0</v>
          </cell>
          <cell r="E5625">
            <v>0</v>
          </cell>
          <cell r="F5625">
            <v>0</v>
          </cell>
          <cell r="G5625">
            <v>0</v>
          </cell>
          <cell r="H5625">
            <v>0</v>
          </cell>
          <cell r="I5625">
            <v>0</v>
          </cell>
          <cell r="J5625">
            <v>0</v>
          </cell>
        </row>
        <row r="5626">
          <cell r="A5626">
            <v>1829200763</v>
          </cell>
          <cell r="B5626" t="str">
            <v>עב' חברת מוסדות</v>
          </cell>
          <cell r="C5626">
            <v>0</v>
          </cell>
          <cell r="D5626">
            <v>0</v>
          </cell>
          <cell r="E5626">
            <v>0</v>
          </cell>
          <cell r="F5626">
            <v>0</v>
          </cell>
          <cell r="G5626">
            <v>0</v>
          </cell>
          <cell r="H5626">
            <v>0</v>
          </cell>
          <cell r="I5626">
            <v>0</v>
          </cell>
          <cell r="J5626">
            <v>0</v>
          </cell>
        </row>
        <row r="5627">
          <cell r="A5627">
            <v>1829200794</v>
          </cell>
          <cell r="B5627" t="str">
            <v>השתתפות בעזר 094</v>
          </cell>
          <cell r="C5627">
            <v>0</v>
          </cell>
          <cell r="D5627">
            <v>0</v>
          </cell>
          <cell r="E5627">
            <v>0</v>
          </cell>
          <cell r="F5627">
            <v>0</v>
          </cell>
          <cell r="G5627">
            <v>0</v>
          </cell>
          <cell r="H5627">
            <v>0</v>
          </cell>
          <cell r="I5627">
            <v>0</v>
          </cell>
          <cell r="J5627">
            <v>0</v>
          </cell>
        </row>
        <row r="5628">
          <cell r="A5628">
            <v>1829200810</v>
          </cell>
          <cell r="B5628" t="str">
            <v>השת' בתק' הפעלה</v>
          </cell>
          <cell r="C5628">
            <v>962255</v>
          </cell>
          <cell r="D5628">
            <v>1012901.32</v>
          </cell>
          <cell r="E5628">
            <v>0</v>
          </cell>
          <cell r="F5628">
            <v>1012901.32</v>
          </cell>
          <cell r="G5628">
            <v>-50646.32</v>
          </cell>
          <cell r="H5628">
            <v>105.26</v>
          </cell>
          <cell r="I5628">
            <v>1012900</v>
          </cell>
          <cell r="J5628">
            <v>1012901.32</v>
          </cell>
        </row>
        <row r="5629">
          <cell r="A5629">
            <v>1829200879</v>
          </cell>
          <cell r="B5629" t="str">
            <v>ביטוח-כנגד הכנסות</v>
          </cell>
          <cell r="C5629">
            <v>0</v>
          </cell>
          <cell r="D5629">
            <v>0</v>
          </cell>
          <cell r="E5629">
            <v>0</v>
          </cell>
          <cell r="F5629">
            <v>0</v>
          </cell>
          <cell r="G5629">
            <v>0</v>
          </cell>
          <cell r="H5629">
            <v>0</v>
          </cell>
          <cell r="I5629">
            <v>0</v>
          </cell>
          <cell r="J5629">
            <v>0</v>
          </cell>
        </row>
        <row r="5630">
          <cell r="A5630">
            <v>1829200931</v>
          </cell>
          <cell r="B5630" t="str">
            <v>ציוד חד-פעמי(הכנ')</v>
          </cell>
          <cell r="C5630">
            <v>0</v>
          </cell>
          <cell r="D5630">
            <v>0</v>
          </cell>
          <cell r="E5630">
            <v>0</v>
          </cell>
          <cell r="F5630">
            <v>0</v>
          </cell>
          <cell r="G5630">
            <v>0</v>
          </cell>
          <cell r="H5630">
            <v>0</v>
          </cell>
          <cell r="I5630">
            <v>0</v>
          </cell>
          <cell r="J5630">
            <v>0</v>
          </cell>
        </row>
        <row r="5631">
          <cell r="A5631">
            <v>1829200932</v>
          </cell>
          <cell r="B5631" t="str">
            <v>מרכז אתלטיקה (הכ')</v>
          </cell>
          <cell r="C5631">
            <v>0</v>
          </cell>
          <cell r="D5631">
            <v>0</v>
          </cell>
          <cell r="E5631">
            <v>0</v>
          </cell>
          <cell r="F5631">
            <v>0</v>
          </cell>
          <cell r="G5631">
            <v>0</v>
          </cell>
          <cell r="H5631">
            <v>0</v>
          </cell>
          <cell r="I5631">
            <v>0</v>
          </cell>
          <cell r="J5631">
            <v>0</v>
          </cell>
        </row>
        <row r="5632">
          <cell r="A5632">
            <v>1829400410</v>
          </cell>
          <cell r="B5632" t="str">
            <v>דמי זכיון</v>
          </cell>
          <cell r="C5632">
            <v>0</v>
          </cell>
          <cell r="D5632">
            <v>0</v>
          </cell>
          <cell r="E5632">
            <v>0</v>
          </cell>
          <cell r="F5632">
            <v>0</v>
          </cell>
          <cell r="G5632">
            <v>0</v>
          </cell>
          <cell r="H5632">
            <v>0</v>
          </cell>
          <cell r="I5632">
            <v>0</v>
          </cell>
          <cell r="J5632">
            <v>0</v>
          </cell>
        </row>
        <row r="5633">
          <cell r="A5633">
            <v>1829400810</v>
          </cell>
          <cell r="B5633" t="str">
            <v>השתתפות בחוגי שחיה</v>
          </cell>
          <cell r="C5633">
            <v>0</v>
          </cell>
          <cell r="D5633">
            <v>0</v>
          </cell>
          <cell r="E5633">
            <v>0</v>
          </cell>
          <cell r="F5633">
            <v>0</v>
          </cell>
          <cell r="G5633">
            <v>0</v>
          </cell>
          <cell r="H5633">
            <v>0</v>
          </cell>
          <cell r="I5633">
            <v>0</v>
          </cell>
          <cell r="J5633">
            <v>0</v>
          </cell>
        </row>
        <row r="5634">
          <cell r="A5634">
            <v>1829500110</v>
          </cell>
          <cell r="B5634" t="str">
            <v>השכר הקובע-תקציבית</v>
          </cell>
          <cell r="C5634">
            <v>0</v>
          </cell>
          <cell r="D5634">
            <v>0</v>
          </cell>
          <cell r="E5634">
            <v>0</v>
          </cell>
          <cell r="F5634">
            <v>0</v>
          </cell>
          <cell r="G5634">
            <v>0</v>
          </cell>
          <cell r="H5634">
            <v>0</v>
          </cell>
          <cell r="I5634">
            <v>0</v>
          </cell>
          <cell r="J5634">
            <v>0</v>
          </cell>
        </row>
        <row r="5635">
          <cell r="A5635">
            <v>1829500119</v>
          </cell>
          <cell r="B5635" t="str">
            <v>השכר הקובע-צוברת</v>
          </cell>
          <cell r="C5635">
            <v>0</v>
          </cell>
          <cell r="D5635">
            <v>0</v>
          </cell>
          <cell r="E5635">
            <v>0</v>
          </cell>
          <cell r="F5635">
            <v>0</v>
          </cell>
          <cell r="G5635">
            <v>0</v>
          </cell>
          <cell r="H5635">
            <v>0</v>
          </cell>
          <cell r="I5635">
            <v>0</v>
          </cell>
          <cell r="J5635">
            <v>0</v>
          </cell>
        </row>
        <row r="5636">
          <cell r="A5636">
            <v>1829500122</v>
          </cell>
          <cell r="B5636" t="str">
            <v>ביגוד</v>
          </cell>
          <cell r="C5636">
            <v>0</v>
          </cell>
          <cell r="D5636">
            <v>0</v>
          </cell>
          <cell r="E5636">
            <v>0</v>
          </cell>
          <cell r="F5636">
            <v>0</v>
          </cell>
          <cell r="G5636">
            <v>0</v>
          </cell>
          <cell r="H5636">
            <v>0</v>
          </cell>
          <cell r="I5636">
            <v>0</v>
          </cell>
          <cell r="J5636">
            <v>0</v>
          </cell>
        </row>
        <row r="5637">
          <cell r="A5637">
            <v>1829500126</v>
          </cell>
          <cell r="B5637" t="str">
            <v>דמי הבראה</v>
          </cell>
          <cell r="C5637">
            <v>0</v>
          </cell>
          <cell r="D5637">
            <v>0</v>
          </cell>
          <cell r="E5637">
            <v>0</v>
          </cell>
          <cell r="F5637">
            <v>0</v>
          </cell>
          <cell r="G5637">
            <v>0</v>
          </cell>
          <cell r="H5637">
            <v>0</v>
          </cell>
          <cell r="I5637">
            <v>0</v>
          </cell>
          <cell r="J5637">
            <v>0</v>
          </cell>
        </row>
        <row r="5638">
          <cell r="A5638">
            <v>1829500130</v>
          </cell>
          <cell r="B5638" t="str">
            <v>שעות נוספות</v>
          </cell>
          <cell r="C5638">
            <v>0</v>
          </cell>
          <cell r="D5638">
            <v>0</v>
          </cell>
          <cell r="E5638">
            <v>0</v>
          </cell>
          <cell r="F5638">
            <v>0</v>
          </cell>
          <cell r="G5638">
            <v>0</v>
          </cell>
          <cell r="H5638">
            <v>0</v>
          </cell>
          <cell r="I5638">
            <v>0</v>
          </cell>
          <cell r="J5638">
            <v>0</v>
          </cell>
        </row>
        <row r="5639">
          <cell r="A5639">
            <v>1829500140</v>
          </cell>
          <cell r="B5639" t="str">
            <v>השתתפות באחזקת רכב</v>
          </cell>
          <cell r="C5639">
            <v>0</v>
          </cell>
          <cell r="D5639">
            <v>0</v>
          </cell>
          <cell r="E5639">
            <v>0</v>
          </cell>
          <cell r="F5639">
            <v>0</v>
          </cell>
          <cell r="G5639">
            <v>0</v>
          </cell>
          <cell r="H5639">
            <v>0</v>
          </cell>
          <cell r="I5639">
            <v>0</v>
          </cell>
          <cell r="J5639">
            <v>0</v>
          </cell>
        </row>
        <row r="5640">
          <cell r="A5640">
            <v>1829500210</v>
          </cell>
          <cell r="B5640" t="str">
            <v>השכר הקובע</v>
          </cell>
          <cell r="C5640">
            <v>0</v>
          </cell>
          <cell r="D5640">
            <v>0</v>
          </cell>
          <cell r="E5640">
            <v>0</v>
          </cell>
          <cell r="F5640">
            <v>0</v>
          </cell>
          <cell r="G5640">
            <v>0</v>
          </cell>
          <cell r="H5640">
            <v>0</v>
          </cell>
          <cell r="I5640">
            <v>0</v>
          </cell>
          <cell r="J5640">
            <v>0</v>
          </cell>
        </row>
        <row r="5641">
          <cell r="A5641">
            <v>1829500216</v>
          </cell>
          <cell r="B5641" t="str">
            <v>שכר מועדוני ספורט</v>
          </cell>
          <cell r="C5641">
            <v>0</v>
          </cell>
          <cell r="D5641">
            <v>0</v>
          </cell>
          <cell r="E5641">
            <v>0</v>
          </cell>
          <cell r="F5641">
            <v>0</v>
          </cell>
          <cell r="G5641">
            <v>0</v>
          </cell>
          <cell r="H5641">
            <v>0</v>
          </cell>
          <cell r="I5641">
            <v>0</v>
          </cell>
          <cell r="J5641">
            <v>0</v>
          </cell>
        </row>
        <row r="5642">
          <cell r="A5642">
            <v>1829500219</v>
          </cell>
          <cell r="B5642" t="str">
            <v>שכר קייטנת קיץ</v>
          </cell>
          <cell r="C5642">
            <v>0</v>
          </cell>
          <cell r="D5642">
            <v>0</v>
          </cell>
          <cell r="E5642">
            <v>0</v>
          </cell>
          <cell r="F5642">
            <v>0</v>
          </cell>
          <cell r="G5642">
            <v>0</v>
          </cell>
          <cell r="H5642">
            <v>0</v>
          </cell>
          <cell r="I5642">
            <v>0</v>
          </cell>
          <cell r="J5642">
            <v>0</v>
          </cell>
        </row>
        <row r="5643">
          <cell r="A5643">
            <v>1829500391</v>
          </cell>
          <cell r="B5643" t="str">
            <v>הפרשה לפנסיה</v>
          </cell>
          <cell r="C5643">
            <v>0</v>
          </cell>
          <cell r="D5643">
            <v>0</v>
          </cell>
          <cell r="E5643">
            <v>0</v>
          </cell>
          <cell r="F5643">
            <v>0</v>
          </cell>
          <cell r="G5643">
            <v>0</v>
          </cell>
          <cell r="H5643">
            <v>0</v>
          </cell>
          <cell r="I5643">
            <v>0</v>
          </cell>
          <cell r="J5643">
            <v>0</v>
          </cell>
        </row>
        <row r="5644">
          <cell r="A5644">
            <v>1829500420</v>
          </cell>
          <cell r="B5644" t="str">
            <v>כיבוי אש</v>
          </cell>
          <cell r="C5644">
            <v>0</v>
          </cell>
          <cell r="D5644">
            <v>0</v>
          </cell>
          <cell r="E5644">
            <v>0</v>
          </cell>
          <cell r="F5644">
            <v>0</v>
          </cell>
          <cell r="G5644">
            <v>0</v>
          </cell>
          <cell r="H5644">
            <v>0</v>
          </cell>
          <cell r="I5644">
            <v>0</v>
          </cell>
          <cell r="J5644">
            <v>0</v>
          </cell>
        </row>
        <row r="5645">
          <cell r="A5645">
            <v>1829500423</v>
          </cell>
          <cell r="B5645" t="str">
            <v>תחזוקת מבנה</v>
          </cell>
          <cell r="C5645">
            <v>0</v>
          </cell>
          <cell r="D5645">
            <v>0</v>
          </cell>
          <cell r="E5645">
            <v>0</v>
          </cell>
          <cell r="F5645">
            <v>0</v>
          </cell>
          <cell r="G5645">
            <v>0</v>
          </cell>
          <cell r="H5645">
            <v>0</v>
          </cell>
          <cell r="I5645">
            <v>0</v>
          </cell>
          <cell r="J5645">
            <v>0</v>
          </cell>
        </row>
        <row r="5646">
          <cell r="A5646">
            <v>1829500431</v>
          </cell>
          <cell r="B5646" t="str">
            <v>חשמל</v>
          </cell>
          <cell r="C5646">
            <v>0</v>
          </cell>
          <cell r="D5646">
            <v>0</v>
          </cell>
          <cell r="E5646">
            <v>0</v>
          </cell>
          <cell r="F5646">
            <v>0</v>
          </cell>
          <cell r="G5646">
            <v>0</v>
          </cell>
          <cell r="H5646">
            <v>0</v>
          </cell>
          <cell r="I5646">
            <v>0</v>
          </cell>
          <cell r="J5646">
            <v>0</v>
          </cell>
        </row>
        <row r="5647">
          <cell r="A5647">
            <v>1829500432</v>
          </cell>
          <cell r="B5647" t="str">
            <v>מים</v>
          </cell>
          <cell r="C5647">
            <v>0</v>
          </cell>
          <cell r="D5647">
            <v>0</v>
          </cell>
          <cell r="E5647">
            <v>0</v>
          </cell>
          <cell r="F5647">
            <v>0</v>
          </cell>
          <cell r="G5647">
            <v>0</v>
          </cell>
          <cell r="H5647">
            <v>0</v>
          </cell>
          <cell r="I5647">
            <v>0</v>
          </cell>
          <cell r="J5647">
            <v>0</v>
          </cell>
        </row>
        <row r="5648">
          <cell r="A5648">
            <v>1829500433</v>
          </cell>
          <cell r="B5648" t="str">
            <v>חומרי נקיון</v>
          </cell>
          <cell r="C5648">
            <v>0</v>
          </cell>
          <cell r="D5648">
            <v>0</v>
          </cell>
          <cell r="E5648">
            <v>0</v>
          </cell>
          <cell r="F5648">
            <v>0</v>
          </cell>
          <cell r="G5648">
            <v>0</v>
          </cell>
          <cell r="H5648">
            <v>0</v>
          </cell>
          <cell r="I5648">
            <v>0</v>
          </cell>
          <cell r="J5648">
            <v>0</v>
          </cell>
        </row>
        <row r="5649">
          <cell r="A5649">
            <v>1829500436</v>
          </cell>
          <cell r="B5649" t="str">
            <v>אחזקת מזגנים</v>
          </cell>
          <cell r="C5649">
            <v>0</v>
          </cell>
          <cell r="D5649">
            <v>0</v>
          </cell>
          <cell r="E5649">
            <v>0</v>
          </cell>
          <cell r="F5649">
            <v>0</v>
          </cell>
          <cell r="G5649">
            <v>0</v>
          </cell>
          <cell r="H5649">
            <v>0</v>
          </cell>
          <cell r="I5649">
            <v>0</v>
          </cell>
          <cell r="J5649">
            <v>0</v>
          </cell>
        </row>
        <row r="5650">
          <cell r="A5650">
            <v>1829500437</v>
          </cell>
          <cell r="B5650" t="str">
            <v>אחזקת אזעקה</v>
          </cell>
          <cell r="C5650">
            <v>0</v>
          </cell>
          <cell r="D5650">
            <v>0</v>
          </cell>
          <cell r="E5650">
            <v>0</v>
          </cell>
          <cell r="F5650">
            <v>0</v>
          </cell>
          <cell r="G5650">
            <v>0</v>
          </cell>
          <cell r="H5650">
            <v>0</v>
          </cell>
          <cell r="I5650">
            <v>0</v>
          </cell>
          <cell r="J5650">
            <v>0</v>
          </cell>
        </row>
        <row r="5651">
          <cell r="A5651">
            <v>1829500441</v>
          </cell>
          <cell r="B5651" t="str">
            <v>ביטוח</v>
          </cell>
          <cell r="C5651">
            <v>0</v>
          </cell>
          <cell r="D5651">
            <v>0</v>
          </cell>
          <cell r="E5651">
            <v>0</v>
          </cell>
          <cell r="F5651">
            <v>0</v>
          </cell>
          <cell r="G5651">
            <v>0</v>
          </cell>
          <cell r="H5651">
            <v>0</v>
          </cell>
          <cell r="I5651">
            <v>0</v>
          </cell>
          <cell r="J5651">
            <v>0</v>
          </cell>
        </row>
        <row r="5652">
          <cell r="A5652">
            <v>1829500450</v>
          </cell>
          <cell r="B5652" t="str">
            <v>ריהוט ואחזקתו</v>
          </cell>
          <cell r="C5652">
            <v>0</v>
          </cell>
          <cell r="D5652">
            <v>0</v>
          </cell>
          <cell r="E5652">
            <v>0</v>
          </cell>
          <cell r="F5652">
            <v>0</v>
          </cell>
          <cell r="G5652">
            <v>0</v>
          </cell>
          <cell r="H5652">
            <v>0</v>
          </cell>
          <cell r="I5652">
            <v>0</v>
          </cell>
          <cell r="J5652">
            <v>0</v>
          </cell>
        </row>
        <row r="5653">
          <cell r="A5653">
            <v>1829500471</v>
          </cell>
          <cell r="B5653" t="str">
            <v>מכשירי כתיבה</v>
          </cell>
          <cell r="C5653">
            <v>0</v>
          </cell>
          <cell r="D5653">
            <v>0</v>
          </cell>
          <cell r="E5653">
            <v>0</v>
          </cell>
          <cell r="F5653">
            <v>0</v>
          </cell>
          <cell r="G5653">
            <v>0</v>
          </cell>
          <cell r="H5653">
            <v>0</v>
          </cell>
          <cell r="I5653">
            <v>0</v>
          </cell>
          <cell r="J5653">
            <v>0</v>
          </cell>
        </row>
        <row r="5654">
          <cell r="A5654">
            <v>1829500511</v>
          </cell>
          <cell r="B5654" t="str">
            <v>אירוח וכיבוד</v>
          </cell>
          <cell r="C5654">
            <v>0</v>
          </cell>
          <cell r="D5654">
            <v>0</v>
          </cell>
          <cell r="E5654">
            <v>0</v>
          </cell>
          <cell r="F5654">
            <v>0</v>
          </cell>
          <cell r="G5654">
            <v>0</v>
          </cell>
          <cell r="H5654">
            <v>0</v>
          </cell>
          <cell r="I5654">
            <v>0</v>
          </cell>
          <cell r="J5654">
            <v>0</v>
          </cell>
        </row>
        <row r="5655">
          <cell r="A5655">
            <v>1829500540</v>
          </cell>
          <cell r="B5655" t="str">
            <v>הוצאות טלפון</v>
          </cell>
          <cell r="C5655">
            <v>0</v>
          </cell>
          <cell r="D5655">
            <v>0</v>
          </cell>
          <cell r="E5655">
            <v>0</v>
          </cell>
          <cell r="F5655">
            <v>0</v>
          </cell>
          <cell r="G5655">
            <v>0</v>
          </cell>
          <cell r="H5655">
            <v>0</v>
          </cell>
          <cell r="I5655">
            <v>0</v>
          </cell>
          <cell r="J5655">
            <v>0</v>
          </cell>
        </row>
        <row r="5656">
          <cell r="A5656">
            <v>1829500544</v>
          </cell>
          <cell r="B5656" t="str">
            <v>הוצאות דאר</v>
          </cell>
          <cell r="C5656">
            <v>0</v>
          </cell>
          <cell r="D5656">
            <v>0</v>
          </cell>
          <cell r="E5656">
            <v>0</v>
          </cell>
          <cell r="F5656">
            <v>0</v>
          </cell>
          <cell r="G5656">
            <v>0</v>
          </cell>
          <cell r="H5656">
            <v>0</v>
          </cell>
          <cell r="I5656">
            <v>0</v>
          </cell>
          <cell r="J5656">
            <v>0</v>
          </cell>
        </row>
        <row r="5657">
          <cell r="A5657">
            <v>1829500550</v>
          </cell>
          <cell r="B5657" t="str">
            <v>פירסומים</v>
          </cell>
          <cell r="C5657">
            <v>0</v>
          </cell>
          <cell r="D5657">
            <v>0</v>
          </cell>
          <cell r="E5657">
            <v>0</v>
          </cell>
          <cell r="F5657">
            <v>0</v>
          </cell>
          <cell r="G5657">
            <v>0</v>
          </cell>
          <cell r="H5657">
            <v>0</v>
          </cell>
          <cell r="I5657">
            <v>0</v>
          </cell>
          <cell r="J5657">
            <v>0</v>
          </cell>
        </row>
        <row r="5658">
          <cell r="A5658">
            <v>1829500551</v>
          </cell>
          <cell r="B5658" t="str">
            <v>מודעות והדבקתן</v>
          </cell>
          <cell r="C5658">
            <v>0</v>
          </cell>
          <cell r="D5658">
            <v>0</v>
          </cell>
          <cell r="E5658">
            <v>0</v>
          </cell>
          <cell r="F5658">
            <v>0</v>
          </cell>
          <cell r="G5658">
            <v>0</v>
          </cell>
          <cell r="H5658">
            <v>0</v>
          </cell>
          <cell r="I5658">
            <v>0</v>
          </cell>
          <cell r="J5658">
            <v>0</v>
          </cell>
        </row>
        <row r="5659">
          <cell r="A5659">
            <v>1829500561</v>
          </cell>
          <cell r="B5659" t="str">
            <v>שיכפולים</v>
          </cell>
          <cell r="C5659">
            <v>0</v>
          </cell>
          <cell r="D5659">
            <v>0</v>
          </cell>
          <cell r="E5659">
            <v>0</v>
          </cell>
          <cell r="F5659">
            <v>0</v>
          </cell>
          <cell r="G5659">
            <v>0</v>
          </cell>
          <cell r="H5659">
            <v>0</v>
          </cell>
          <cell r="I5659">
            <v>0</v>
          </cell>
          <cell r="J5659">
            <v>0</v>
          </cell>
        </row>
        <row r="5660">
          <cell r="A5660">
            <v>1829500562</v>
          </cell>
          <cell r="B5660" t="str">
            <v>הדפסות</v>
          </cell>
          <cell r="C5660">
            <v>0</v>
          </cell>
          <cell r="D5660">
            <v>0</v>
          </cell>
          <cell r="E5660">
            <v>0</v>
          </cell>
          <cell r="F5660">
            <v>0</v>
          </cell>
          <cell r="G5660">
            <v>0</v>
          </cell>
          <cell r="H5660">
            <v>0</v>
          </cell>
          <cell r="I5660">
            <v>0</v>
          </cell>
          <cell r="J5660">
            <v>0</v>
          </cell>
        </row>
        <row r="5661">
          <cell r="A5661">
            <v>1829500710</v>
          </cell>
          <cell r="B5661" t="str">
            <v>הובלות והסעות</v>
          </cell>
          <cell r="C5661">
            <v>0</v>
          </cell>
          <cell r="D5661">
            <v>0</v>
          </cell>
          <cell r="E5661">
            <v>0</v>
          </cell>
          <cell r="F5661">
            <v>0</v>
          </cell>
          <cell r="G5661">
            <v>0</v>
          </cell>
          <cell r="H5661">
            <v>0</v>
          </cell>
          <cell r="I5661">
            <v>0</v>
          </cell>
          <cell r="J5661">
            <v>0</v>
          </cell>
        </row>
        <row r="5662">
          <cell r="A5662">
            <v>1829500721</v>
          </cell>
          <cell r="B5662" t="str">
            <v>חמרים-תחזוקת מבנים</v>
          </cell>
          <cell r="C5662">
            <v>0</v>
          </cell>
          <cell r="D5662">
            <v>0</v>
          </cell>
          <cell r="E5662">
            <v>0</v>
          </cell>
          <cell r="F5662">
            <v>0</v>
          </cell>
          <cell r="G5662">
            <v>0</v>
          </cell>
          <cell r="H5662">
            <v>0</v>
          </cell>
          <cell r="I5662">
            <v>0</v>
          </cell>
          <cell r="J5662">
            <v>0</v>
          </cell>
        </row>
        <row r="5663">
          <cell r="A5663">
            <v>1829500722</v>
          </cell>
          <cell r="B5663" t="str">
            <v>חמרים-תחזוקה עצמית</v>
          </cell>
          <cell r="C5663">
            <v>0</v>
          </cell>
          <cell r="D5663">
            <v>0</v>
          </cell>
          <cell r="E5663">
            <v>0</v>
          </cell>
          <cell r="F5663">
            <v>0</v>
          </cell>
          <cell r="G5663">
            <v>0</v>
          </cell>
          <cell r="H5663">
            <v>0</v>
          </cell>
          <cell r="I5663">
            <v>0</v>
          </cell>
          <cell r="J5663">
            <v>0</v>
          </cell>
        </row>
        <row r="5664">
          <cell r="A5664">
            <v>1829500723</v>
          </cell>
          <cell r="B5664" t="str">
            <v>חומרים לחוגים</v>
          </cell>
          <cell r="C5664">
            <v>0</v>
          </cell>
          <cell r="D5664">
            <v>0</v>
          </cell>
          <cell r="E5664">
            <v>0</v>
          </cell>
          <cell r="F5664">
            <v>0</v>
          </cell>
          <cell r="G5664">
            <v>0</v>
          </cell>
          <cell r="H5664">
            <v>0</v>
          </cell>
          <cell r="I5664">
            <v>0</v>
          </cell>
          <cell r="J5664">
            <v>0</v>
          </cell>
        </row>
        <row r="5665">
          <cell r="A5665">
            <v>1829500724</v>
          </cell>
          <cell r="B5665" t="str">
            <v>מועדונית</v>
          </cell>
          <cell r="C5665">
            <v>0</v>
          </cell>
          <cell r="D5665">
            <v>0</v>
          </cell>
          <cell r="E5665">
            <v>0</v>
          </cell>
          <cell r="F5665">
            <v>0</v>
          </cell>
          <cell r="G5665">
            <v>0</v>
          </cell>
          <cell r="H5665">
            <v>0</v>
          </cell>
          <cell r="I5665">
            <v>0</v>
          </cell>
          <cell r="J5665">
            <v>0</v>
          </cell>
        </row>
        <row r="5666">
          <cell r="A5666">
            <v>1829500725</v>
          </cell>
          <cell r="B5666" t="str">
            <v>מזון למועדונית</v>
          </cell>
          <cell r="C5666">
            <v>0</v>
          </cell>
          <cell r="D5666">
            <v>0</v>
          </cell>
          <cell r="E5666">
            <v>0</v>
          </cell>
          <cell r="F5666">
            <v>0</v>
          </cell>
          <cell r="G5666">
            <v>0</v>
          </cell>
          <cell r="H5666">
            <v>0</v>
          </cell>
          <cell r="I5666">
            <v>0</v>
          </cell>
          <cell r="J5666">
            <v>0</v>
          </cell>
        </row>
        <row r="5667">
          <cell r="A5667">
            <v>1829500742</v>
          </cell>
          <cell r="B5667" t="str">
            <v>כלים וציוד</v>
          </cell>
          <cell r="C5667">
            <v>0</v>
          </cell>
          <cell r="D5667">
            <v>0</v>
          </cell>
          <cell r="E5667">
            <v>0</v>
          </cell>
          <cell r="F5667">
            <v>0</v>
          </cell>
          <cell r="G5667">
            <v>0</v>
          </cell>
          <cell r="H5667">
            <v>0</v>
          </cell>
          <cell r="I5667">
            <v>0</v>
          </cell>
          <cell r="J5667">
            <v>0</v>
          </cell>
        </row>
        <row r="5668">
          <cell r="A5668">
            <v>1829500743</v>
          </cell>
          <cell r="B5668" t="str">
            <v>תחזוקת ציוד</v>
          </cell>
          <cell r="C5668">
            <v>0</v>
          </cell>
          <cell r="D5668">
            <v>0</v>
          </cell>
          <cell r="E5668">
            <v>0</v>
          </cell>
          <cell r="F5668">
            <v>0</v>
          </cell>
          <cell r="G5668">
            <v>0</v>
          </cell>
          <cell r="H5668">
            <v>0</v>
          </cell>
          <cell r="I5668">
            <v>0</v>
          </cell>
          <cell r="J5668">
            <v>0</v>
          </cell>
        </row>
        <row r="5669">
          <cell r="A5669">
            <v>1829500744</v>
          </cell>
          <cell r="B5669" t="str">
            <v>תלבושות וגביע</v>
          </cell>
          <cell r="C5669">
            <v>0</v>
          </cell>
          <cell r="D5669">
            <v>0</v>
          </cell>
          <cell r="E5669">
            <v>0</v>
          </cell>
          <cell r="F5669">
            <v>0</v>
          </cell>
          <cell r="G5669">
            <v>0</v>
          </cell>
          <cell r="H5669">
            <v>0</v>
          </cell>
          <cell r="I5669">
            <v>0</v>
          </cell>
          <cell r="J5669">
            <v>0</v>
          </cell>
        </row>
        <row r="5670">
          <cell r="A5670">
            <v>1829500745</v>
          </cell>
          <cell r="B5670" t="str">
            <v>דמי פריצה - תכולה</v>
          </cell>
          <cell r="C5670">
            <v>0</v>
          </cell>
          <cell r="D5670">
            <v>0</v>
          </cell>
          <cell r="E5670">
            <v>0</v>
          </cell>
          <cell r="F5670">
            <v>0</v>
          </cell>
          <cell r="G5670">
            <v>0</v>
          </cell>
          <cell r="H5670">
            <v>0</v>
          </cell>
          <cell r="I5670">
            <v>0</v>
          </cell>
          <cell r="J5670">
            <v>0</v>
          </cell>
        </row>
        <row r="5671">
          <cell r="A5671">
            <v>1829500751</v>
          </cell>
          <cell r="B5671" t="str">
            <v>עבודות קבלניות</v>
          </cell>
          <cell r="C5671">
            <v>0</v>
          </cell>
          <cell r="D5671">
            <v>0</v>
          </cell>
          <cell r="E5671">
            <v>0</v>
          </cell>
          <cell r="F5671">
            <v>0</v>
          </cell>
          <cell r="G5671">
            <v>0</v>
          </cell>
          <cell r="H5671">
            <v>0</v>
          </cell>
          <cell r="I5671">
            <v>0</v>
          </cell>
          <cell r="J5671">
            <v>0</v>
          </cell>
        </row>
        <row r="5672">
          <cell r="A5672">
            <v>1829500752</v>
          </cell>
          <cell r="B5672" t="str">
            <v>נקיון בקבלנות</v>
          </cell>
          <cell r="C5672">
            <v>0</v>
          </cell>
          <cell r="D5672">
            <v>0</v>
          </cell>
          <cell r="E5672">
            <v>0</v>
          </cell>
          <cell r="F5672">
            <v>0</v>
          </cell>
          <cell r="G5672">
            <v>0</v>
          </cell>
          <cell r="H5672">
            <v>0</v>
          </cell>
          <cell r="I5672">
            <v>0</v>
          </cell>
          <cell r="J5672">
            <v>0</v>
          </cell>
        </row>
        <row r="5673">
          <cell r="A5673">
            <v>1829500757</v>
          </cell>
          <cell r="B5673" t="str">
            <v>חוגים בקבלנות</v>
          </cell>
          <cell r="C5673">
            <v>0</v>
          </cell>
          <cell r="D5673">
            <v>0</v>
          </cell>
          <cell r="E5673">
            <v>0</v>
          </cell>
          <cell r="F5673">
            <v>0</v>
          </cell>
          <cell r="G5673">
            <v>0</v>
          </cell>
          <cell r="H5673">
            <v>0</v>
          </cell>
          <cell r="I5673">
            <v>0</v>
          </cell>
          <cell r="J5673">
            <v>0</v>
          </cell>
        </row>
        <row r="5674">
          <cell r="A5674">
            <v>1829500758</v>
          </cell>
          <cell r="B5674" t="str">
            <v>הפעלת המרכז</v>
          </cell>
          <cell r="C5674">
            <v>0</v>
          </cell>
          <cell r="D5674">
            <v>0</v>
          </cell>
          <cell r="E5674">
            <v>0</v>
          </cell>
          <cell r="F5674">
            <v>0</v>
          </cell>
          <cell r="G5674">
            <v>0</v>
          </cell>
          <cell r="H5674">
            <v>0</v>
          </cell>
          <cell r="I5674">
            <v>0</v>
          </cell>
          <cell r="J5674">
            <v>0</v>
          </cell>
        </row>
        <row r="5675">
          <cell r="A5675">
            <v>1829500763</v>
          </cell>
          <cell r="B5675" t="str">
            <v>עובדי חברת מוסדות</v>
          </cell>
          <cell r="C5675">
            <v>0</v>
          </cell>
          <cell r="D5675">
            <v>0</v>
          </cell>
          <cell r="E5675">
            <v>0</v>
          </cell>
          <cell r="F5675">
            <v>0</v>
          </cell>
          <cell r="G5675">
            <v>0</v>
          </cell>
          <cell r="H5675">
            <v>0</v>
          </cell>
          <cell r="I5675">
            <v>0</v>
          </cell>
          <cell r="J5675">
            <v>0</v>
          </cell>
        </row>
        <row r="5676">
          <cell r="A5676">
            <v>1829500780</v>
          </cell>
          <cell r="B5676" t="str">
            <v>שכר מרקידים</v>
          </cell>
          <cell r="C5676">
            <v>0</v>
          </cell>
          <cell r="D5676">
            <v>0</v>
          </cell>
          <cell r="E5676">
            <v>0</v>
          </cell>
          <cell r="F5676">
            <v>0</v>
          </cell>
          <cell r="G5676">
            <v>0</v>
          </cell>
          <cell r="H5676">
            <v>0</v>
          </cell>
          <cell r="I5676">
            <v>0</v>
          </cell>
          <cell r="J5676">
            <v>0</v>
          </cell>
        </row>
        <row r="5677">
          <cell r="A5677">
            <v>1829500781</v>
          </cell>
          <cell r="B5677" t="str">
            <v>ארועים (מהכנסות)</v>
          </cell>
          <cell r="C5677">
            <v>0</v>
          </cell>
          <cell r="D5677">
            <v>0</v>
          </cell>
          <cell r="E5677">
            <v>0</v>
          </cell>
          <cell r="F5677">
            <v>0</v>
          </cell>
          <cell r="G5677">
            <v>0</v>
          </cell>
          <cell r="H5677">
            <v>0</v>
          </cell>
          <cell r="I5677">
            <v>0</v>
          </cell>
          <cell r="J5677">
            <v>0</v>
          </cell>
        </row>
        <row r="5678">
          <cell r="A5678">
            <v>1829500783</v>
          </cell>
          <cell r="B5678" t="str">
            <v>פעולות כנ"פ</v>
          </cell>
          <cell r="C5678">
            <v>0</v>
          </cell>
          <cell r="D5678">
            <v>0</v>
          </cell>
          <cell r="E5678">
            <v>0</v>
          </cell>
          <cell r="F5678">
            <v>0</v>
          </cell>
          <cell r="G5678">
            <v>0</v>
          </cell>
          <cell r="H5678">
            <v>0</v>
          </cell>
          <cell r="I5678">
            <v>0</v>
          </cell>
          <cell r="J5678">
            <v>0</v>
          </cell>
        </row>
        <row r="5679">
          <cell r="A5679">
            <v>1829500784</v>
          </cell>
          <cell r="B5679" t="str">
            <v>פע' חצ"ב (מהכנסות)</v>
          </cell>
          <cell r="C5679">
            <v>0</v>
          </cell>
          <cell r="D5679">
            <v>0</v>
          </cell>
          <cell r="E5679">
            <v>0</v>
          </cell>
          <cell r="F5679">
            <v>0</v>
          </cell>
          <cell r="G5679">
            <v>0</v>
          </cell>
          <cell r="H5679">
            <v>0</v>
          </cell>
          <cell r="I5679">
            <v>0</v>
          </cell>
          <cell r="J5679">
            <v>0</v>
          </cell>
        </row>
        <row r="5680">
          <cell r="A5680">
            <v>1829500786</v>
          </cell>
          <cell r="B5680" t="str">
            <v>פע' מועדוני ספורט</v>
          </cell>
          <cell r="C5680">
            <v>0</v>
          </cell>
          <cell r="D5680">
            <v>0</v>
          </cell>
          <cell r="E5680">
            <v>0</v>
          </cell>
          <cell r="F5680">
            <v>0</v>
          </cell>
          <cell r="G5680">
            <v>0</v>
          </cell>
          <cell r="H5680">
            <v>0</v>
          </cell>
          <cell r="I5680">
            <v>0</v>
          </cell>
          <cell r="J5680">
            <v>0</v>
          </cell>
        </row>
        <row r="5681">
          <cell r="A5681">
            <v>1829500787</v>
          </cell>
          <cell r="B5681" t="str">
            <v>פעולות פסח</v>
          </cell>
          <cell r="C5681">
            <v>0</v>
          </cell>
          <cell r="D5681">
            <v>0</v>
          </cell>
          <cell r="E5681">
            <v>0</v>
          </cell>
          <cell r="F5681">
            <v>0</v>
          </cell>
          <cell r="G5681">
            <v>0</v>
          </cell>
          <cell r="H5681">
            <v>0</v>
          </cell>
          <cell r="I5681">
            <v>0</v>
          </cell>
          <cell r="J5681">
            <v>0</v>
          </cell>
        </row>
        <row r="5682">
          <cell r="A5682">
            <v>1829500789</v>
          </cell>
          <cell r="B5682" t="str">
            <v>קייטנת קיץ-פעולות</v>
          </cell>
          <cell r="C5682">
            <v>0</v>
          </cell>
          <cell r="D5682">
            <v>0</v>
          </cell>
          <cell r="E5682">
            <v>0</v>
          </cell>
          <cell r="F5682">
            <v>0</v>
          </cell>
          <cell r="G5682">
            <v>0</v>
          </cell>
          <cell r="H5682">
            <v>0</v>
          </cell>
          <cell r="I5682">
            <v>0</v>
          </cell>
          <cell r="J5682">
            <v>0</v>
          </cell>
        </row>
        <row r="5683">
          <cell r="A5683">
            <v>1829500794</v>
          </cell>
          <cell r="B5683" t="str">
            <v>השתתפות בעזר 094</v>
          </cell>
          <cell r="C5683">
            <v>0</v>
          </cell>
          <cell r="D5683">
            <v>0</v>
          </cell>
          <cell r="E5683">
            <v>0</v>
          </cell>
          <cell r="F5683">
            <v>0</v>
          </cell>
          <cell r="G5683">
            <v>0</v>
          </cell>
          <cell r="H5683">
            <v>0</v>
          </cell>
          <cell r="I5683">
            <v>0</v>
          </cell>
          <cell r="J5683">
            <v>0</v>
          </cell>
        </row>
        <row r="5684">
          <cell r="A5684">
            <v>1829500810</v>
          </cell>
          <cell r="B5684" t="str">
            <v>השת' בתק' הפעלה</v>
          </cell>
          <cell r="C5684">
            <v>99560</v>
          </cell>
          <cell r="D5684">
            <v>104800</v>
          </cell>
          <cell r="E5684">
            <v>0</v>
          </cell>
          <cell r="F5684">
            <v>104800</v>
          </cell>
          <cell r="G5684">
            <v>-5240</v>
          </cell>
          <cell r="H5684">
            <v>105.26</v>
          </cell>
          <cell r="I5684">
            <v>104800</v>
          </cell>
          <cell r="J5684">
            <v>104800</v>
          </cell>
        </row>
        <row r="5685">
          <cell r="A5685">
            <v>1829500879</v>
          </cell>
          <cell r="B5685" t="str">
            <v>ביטוח-כנגד הכנסות</v>
          </cell>
          <cell r="C5685">
            <v>0</v>
          </cell>
          <cell r="D5685">
            <v>0</v>
          </cell>
          <cell r="E5685">
            <v>0</v>
          </cell>
          <cell r="F5685">
            <v>0</v>
          </cell>
          <cell r="G5685">
            <v>0</v>
          </cell>
          <cell r="H5685">
            <v>0</v>
          </cell>
          <cell r="I5685">
            <v>0</v>
          </cell>
          <cell r="J5685">
            <v>0</v>
          </cell>
        </row>
        <row r="5686">
          <cell r="A5686">
            <v>1829500931</v>
          </cell>
          <cell r="B5686" t="str">
            <v>רכישות חד-פעמיות</v>
          </cell>
          <cell r="C5686">
            <v>0</v>
          </cell>
          <cell r="D5686">
            <v>0</v>
          </cell>
          <cell r="E5686">
            <v>0</v>
          </cell>
          <cell r="F5686">
            <v>0</v>
          </cell>
          <cell r="G5686">
            <v>0</v>
          </cell>
          <cell r="H5686">
            <v>0</v>
          </cell>
          <cell r="I5686">
            <v>0</v>
          </cell>
          <cell r="J5686">
            <v>0</v>
          </cell>
        </row>
        <row r="5687">
          <cell r="A5687">
            <v>1829600110</v>
          </cell>
          <cell r="B5687" t="str">
            <v>השכר הקובע-תקציבית</v>
          </cell>
          <cell r="C5687">
            <v>0</v>
          </cell>
          <cell r="D5687">
            <v>0</v>
          </cell>
          <cell r="E5687">
            <v>0</v>
          </cell>
          <cell r="F5687">
            <v>0</v>
          </cell>
          <cell r="G5687">
            <v>0</v>
          </cell>
          <cell r="H5687">
            <v>0</v>
          </cell>
          <cell r="I5687">
            <v>0</v>
          </cell>
          <cell r="J5687">
            <v>0</v>
          </cell>
        </row>
        <row r="5688">
          <cell r="A5688">
            <v>1829600119</v>
          </cell>
          <cell r="B5688" t="str">
            <v>השכר הקובע-צוברת</v>
          </cell>
          <cell r="C5688">
            <v>0</v>
          </cell>
          <cell r="D5688">
            <v>0</v>
          </cell>
          <cell r="E5688">
            <v>0</v>
          </cell>
          <cell r="F5688">
            <v>0</v>
          </cell>
          <cell r="G5688">
            <v>0</v>
          </cell>
          <cell r="H5688">
            <v>0</v>
          </cell>
          <cell r="I5688">
            <v>0</v>
          </cell>
          <cell r="J5688">
            <v>0</v>
          </cell>
        </row>
        <row r="5689">
          <cell r="A5689">
            <v>1829600122</v>
          </cell>
          <cell r="B5689" t="str">
            <v>ביגוד</v>
          </cell>
          <cell r="C5689">
            <v>0</v>
          </cell>
          <cell r="D5689">
            <v>0</v>
          </cell>
          <cell r="E5689">
            <v>0</v>
          </cell>
          <cell r="F5689">
            <v>0</v>
          </cell>
          <cell r="G5689">
            <v>0</v>
          </cell>
          <cell r="H5689">
            <v>0</v>
          </cell>
          <cell r="I5689">
            <v>0</v>
          </cell>
          <cell r="J5689">
            <v>0</v>
          </cell>
        </row>
        <row r="5690">
          <cell r="A5690">
            <v>1829600126</v>
          </cell>
          <cell r="B5690" t="str">
            <v>דמי הבראה</v>
          </cell>
          <cell r="C5690">
            <v>0</v>
          </cell>
          <cell r="D5690">
            <v>0</v>
          </cell>
          <cell r="E5690">
            <v>0</v>
          </cell>
          <cell r="F5690">
            <v>0</v>
          </cell>
          <cell r="G5690">
            <v>0</v>
          </cell>
          <cell r="H5690">
            <v>0</v>
          </cell>
          <cell r="I5690">
            <v>0</v>
          </cell>
          <cell r="J5690">
            <v>0</v>
          </cell>
        </row>
        <row r="5691">
          <cell r="A5691">
            <v>1829600130</v>
          </cell>
          <cell r="B5691" t="str">
            <v>שעות נוספות</v>
          </cell>
          <cell r="C5691">
            <v>0</v>
          </cell>
          <cell r="D5691">
            <v>0</v>
          </cell>
          <cell r="E5691">
            <v>0</v>
          </cell>
          <cell r="F5691">
            <v>0</v>
          </cell>
          <cell r="G5691">
            <v>0</v>
          </cell>
          <cell r="H5691">
            <v>0</v>
          </cell>
          <cell r="I5691">
            <v>0</v>
          </cell>
          <cell r="J5691">
            <v>0</v>
          </cell>
        </row>
        <row r="5692">
          <cell r="A5692">
            <v>1829600140</v>
          </cell>
          <cell r="B5692" t="str">
            <v>השתתפות באחזקת רכב</v>
          </cell>
          <cell r="C5692">
            <v>0</v>
          </cell>
          <cell r="D5692">
            <v>0</v>
          </cell>
          <cell r="E5692">
            <v>0</v>
          </cell>
          <cell r="F5692">
            <v>0</v>
          </cell>
          <cell r="G5692">
            <v>0</v>
          </cell>
          <cell r="H5692">
            <v>0</v>
          </cell>
          <cell r="I5692">
            <v>0</v>
          </cell>
          <cell r="J5692">
            <v>0</v>
          </cell>
        </row>
        <row r="5693">
          <cell r="A5693">
            <v>1829600210</v>
          </cell>
          <cell r="B5693" t="str">
            <v>השכר הקובע</v>
          </cell>
          <cell r="C5693">
            <v>0</v>
          </cell>
          <cell r="D5693">
            <v>0</v>
          </cell>
          <cell r="E5693">
            <v>0</v>
          </cell>
          <cell r="F5693">
            <v>0</v>
          </cell>
          <cell r="G5693">
            <v>0</v>
          </cell>
          <cell r="H5693">
            <v>0</v>
          </cell>
          <cell r="I5693">
            <v>0</v>
          </cell>
          <cell r="J5693">
            <v>0</v>
          </cell>
        </row>
        <row r="5694">
          <cell r="A5694">
            <v>1829600216</v>
          </cell>
          <cell r="B5694" t="str">
            <v>שכר מועדוני ספורט</v>
          </cell>
          <cell r="C5694">
            <v>0</v>
          </cell>
          <cell r="D5694">
            <v>0</v>
          </cell>
          <cell r="E5694">
            <v>0</v>
          </cell>
          <cell r="F5694">
            <v>0</v>
          </cell>
          <cell r="G5694">
            <v>0</v>
          </cell>
          <cell r="H5694">
            <v>0</v>
          </cell>
          <cell r="I5694">
            <v>0</v>
          </cell>
          <cell r="J5694">
            <v>0</v>
          </cell>
        </row>
        <row r="5695">
          <cell r="A5695">
            <v>1829600219</v>
          </cell>
          <cell r="B5695" t="str">
            <v>שכר קייטנת קיץ</v>
          </cell>
          <cell r="C5695">
            <v>0</v>
          </cell>
          <cell r="D5695">
            <v>0</v>
          </cell>
          <cell r="E5695">
            <v>0</v>
          </cell>
          <cell r="F5695">
            <v>0</v>
          </cell>
          <cell r="G5695">
            <v>0</v>
          </cell>
          <cell r="H5695">
            <v>0</v>
          </cell>
          <cell r="I5695">
            <v>0</v>
          </cell>
          <cell r="J5695">
            <v>0</v>
          </cell>
        </row>
        <row r="5696">
          <cell r="A5696">
            <v>1829600250</v>
          </cell>
          <cell r="B5696" t="str">
            <v>שכר מושאלים</v>
          </cell>
          <cell r="C5696">
            <v>0</v>
          </cell>
          <cell r="D5696">
            <v>0</v>
          </cell>
          <cell r="E5696">
            <v>0</v>
          </cell>
          <cell r="F5696">
            <v>0</v>
          </cell>
          <cell r="G5696">
            <v>0</v>
          </cell>
          <cell r="H5696">
            <v>0</v>
          </cell>
          <cell r="I5696">
            <v>0</v>
          </cell>
          <cell r="J5696">
            <v>0</v>
          </cell>
        </row>
        <row r="5697">
          <cell r="A5697">
            <v>1829600391</v>
          </cell>
          <cell r="B5697" t="str">
            <v>הפרשה לפנסיה</v>
          </cell>
          <cell r="C5697">
            <v>0</v>
          </cell>
          <cell r="D5697">
            <v>0</v>
          </cell>
          <cell r="E5697">
            <v>0</v>
          </cell>
          <cell r="F5697">
            <v>0</v>
          </cell>
          <cell r="G5697">
            <v>0</v>
          </cell>
          <cell r="H5697">
            <v>0</v>
          </cell>
          <cell r="I5697">
            <v>0</v>
          </cell>
          <cell r="J5697">
            <v>0</v>
          </cell>
        </row>
        <row r="5698">
          <cell r="A5698">
            <v>1829600420</v>
          </cell>
          <cell r="B5698" t="str">
            <v>כיבוי אש</v>
          </cell>
          <cell r="C5698">
            <v>0</v>
          </cell>
          <cell r="D5698">
            <v>0</v>
          </cell>
          <cell r="E5698">
            <v>0</v>
          </cell>
          <cell r="F5698">
            <v>0</v>
          </cell>
          <cell r="G5698">
            <v>0</v>
          </cell>
          <cell r="H5698">
            <v>0</v>
          </cell>
          <cell r="I5698">
            <v>0</v>
          </cell>
          <cell r="J5698">
            <v>0</v>
          </cell>
        </row>
        <row r="5699">
          <cell r="A5699">
            <v>1829600423</v>
          </cell>
          <cell r="B5699" t="str">
            <v>תחזוקת מבנה</v>
          </cell>
          <cell r="C5699">
            <v>0</v>
          </cell>
          <cell r="D5699">
            <v>0</v>
          </cell>
          <cell r="E5699">
            <v>0</v>
          </cell>
          <cell r="F5699">
            <v>0</v>
          </cell>
          <cell r="G5699">
            <v>0</v>
          </cell>
          <cell r="H5699">
            <v>0</v>
          </cell>
          <cell r="I5699">
            <v>0</v>
          </cell>
          <cell r="J5699">
            <v>0</v>
          </cell>
        </row>
        <row r="5700">
          <cell r="A5700">
            <v>1829600431</v>
          </cell>
          <cell r="B5700" t="str">
            <v>חשמל</v>
          </cell>
          <cell r="C5700">
            <v>0</v>
          </cell>
          <cell r="D5700">
            <v>0</v>
          </cell>
          <cell r="E5700">
            <v>0</v>
          </cell>
          <cell r="F5700">
            <v>0</v>
          </cell>
          <cell r="G5700">
            <v>0</v>
          </cell>
          <cell r="H5700">
            <v>0</v>
          </cell>
          <cell r="I5700">
            <v>0</v>
          </cell>
          <cell r="J5700">
            <v>0</v>
          </cell>
        </row>
        <row r="5701">
          <cell r="A5701">
            <v>1829600432</v>
          </cell>
          <cell r="B5701" t="str">
            <v>מים</v>
          </cell>
          <cell r="C5701">
            <v>0</v>
          </cell>
          <cell r="D5701">
            <v>0</v>
          </cell>
          <cell r="E5701">
            <v>0</v>
          </cell>
          <cell r="F5701">
            <v>0</v>
          </cell>
          <cell r="G5701">
            <v>0</v>
          </cell>
          <cell r="H5701">
            <v>0</v>
          </cell>
          <cell r="I5701">
            <v>0</v>
          </cell>
          <cell r="J5701">
            <v>0</v>
          </cell>
        </row>
        <row r="5702">
          <cell r="A5702">
            <v>1829600433</v>
          </cell>
          <cell r="B5702" t="str">
            <v>חומרי נקיון</v>
          </cell>
          <cell r="C5702">
            <v>0</v>
          </cell>
          <cell r="D5702">
            <v>0</v>
          </cell>
          <cell r="E5702">
            <v>0</v>
          </cell>
          <cell r="F5702">
            <v>0</v>
          </cell>
          <cell r="G5702">
            <v>0</v>
          </cell>
          <cell r="H5702">
            <v>0</v>
          </cell>
          <cell r="I5702">
            <v>0</v>
          </cell>
          <cell r="J5702">
            <v>0</v>
          </cell>
        </row>
        <row r="5703">
          <cell r="A5703">
            <v>1829600434</v>
          </cell>
          <cell r="B5703" t="str">
            <v>חיטוי והדברה</v>
          </cell>
          <cell r="C5703">
            <v>0</v>
          </cell>
          <cell r="D5703">
            <v>0</v>
          </cell>
          <cell r="E5703">
            <v>0</v>
          </cell>
          <cell r="F5703">
            <v>0</v>
          </cell>
          <cell r="G5703">
            <v>0</v>
          </cell>
          <cell r="H5703">
            <v>0</v>
          </cell>
          <cell r="I5703">
            <v>0</v>
          </cell>
          <cell r="J5703">
            <v>0</v>
          </cell>
        </row>
        <row r="5704">
          <cell r="A5704">
            <v>1829600437</v>
          </cell>
          <cell r="B5704" t="str">
            <v>אחזקת אזעקה</v>
          </cell>
          <cell r="C5704">
            <v>0</v>
          </cell>
          <cell r="D5704">
            <v>0</v>
          </cell>
          <cell r="E5704">
            <v>0</v>
          </cell>
          <cell r="F5704">
            <v>0</v>
          </cell>
          <cell r="G5704">
            <v>0</v>
          </cell>
          <cell r="H5704">
            <v>0</v>
          </cell>
          <cell r="I5704">
            <v>0</v>
          </cell>
          <cell r="J5704">
            <v>0</v>
          </cell>
        </row>
        <row r="5705">
          <cell r="A5705">
            <v>1829600441</v>
          </cell>
          <cell r="B5705" t="str">
            <v>ביטוח</v>
          </cell>
          <cell r="C5705">
            <v>0</v>
          </cell>
          <cell r="D5705">
            <v>0</v>
          </cell>
          <cell r="E5705">
            <v>0</v>
          </cell>
          <cell r="F5705">
            <v>0</v>
          </cell>
          <cell r="G5705">
            <v>0</v>
          </cell>
          <cell r="H5705">
            <v>0</v>
          </cell>
          <cell r="I5705">
            <v>0</v>
          </cell>
          <cell r="J5705">
            <v>0</v>
          </cell>
        </row>
        <row r="5706">
          <cell r="A5706">
            <v>1829600450</v>
          </cell>
          <cell r="B5706" t="str">
            <v>ריהוט ואחזקתו</v>
          </cell>
          <cell r="C5706">
            <v>0</v>
          </cell>
          <cell r="D5706">
            <v>0</v>
          </cell>
          <cell r="E5706">
            <v>0</v>
          </cell>
          <cell r="F5706">
            <v>0</v>
          </cell>
          <cell r="G5706">
            <v>0</v>
          </cell>
          <cell r="H5706">
            <v>0</v>
          </cell>
          <cell r="I5706">
            <v>0</v>
          </cell>
          <cell r="J5706">
            <v>0</v>
          </cell>
        </row>
        <row r="5707">
          <cell r="A5707">
            <v>1829600471</v>
          </cell>
          <cell r="B5707" t="str">
            <v>מכשירי כתיבה</v>
          </cell>
          <cell r="C5707">
            <v>0</v>
          </cell>
          <cell r="D5707">
            <v>0</v>
          </cell>
          <cell r="E5707">
            <v>0</v>
          </cell>
          <cell r="F5707">
            <v>0</v>
          </cell>
          <cell r="G5707">
            <v>0</v>
          </cell>
          <cell r="H5707">
            <v>0</v>
          </cell>
          <cell r="I5707">
            <v>0</v>
          </cell>
          <cell r="J5707">
            <v>0</v>
          </cell>
        </row>
        <row r="5708">
          <cell r="A5708">
            <v>1829600511</v>
          </cell>
          <cell r="B5708" t="str">
            <v>אירוח וכיבוד</v>
          </cell>
          <cell r="C5708">
            <v>0</v>
          </cell>
          <cell r="D5708">
            <v>0</v>
          </cell>
          <cell r="E5708">
            <v>0</v>
          </cell>
          <cell r="F5708">
            <v>0</v>
          </cell>
          <cell r="G5708">
            <v>0</v>
          </cell>
          <cell r="H5708">
            <v>0</v>
          </cell>
          <cell r="I5708">
            <v>0</v>
          </cell>
          <cell r="J5708">
            <v>0</v>
          </cell>
        </row>
        <row r="5709">
          <cell r="A5709">
            <v>1829600512</v>
          </cell>
          <cell r="B5709" t="str">
            <v>נסיעות ואש"ל</v>
          </cell>
          <cell r="C5709">
            <v>0</v>
          </cell>
          <cell r="D5709">
            <v>0</v>
          </cell>
          <cell r="E5709">
            <v>0</v>
          </cell>
          <cell r="F5709">
            <v>0</v>
          </cell>
          <cell r="G5709">
            <v>0</v>
          </cell>
          <cell r="H5709">
            <v>0</v>
          </cell>
          <cell r="I5709">
            <v>0</v>
          </cell>
          <cell r="J5709">
            <v>0</v>
          </cell>
        </row>
        <row r="5710">
          <cell r="A5710">
            <v>1829600540</v>
          </cell>
          <cell r="B5710" t="str">
            <v>הוצאות טלפון</v>
          </cell>
          <cell r="C5710">
            <v>0</v>
          </cell>
          <cell r="D5710">
            <v>0</v>
          </cell>
          <cell r="E5710">
            <v>0</v>
          </cell>
          <cell r="F5710">
            <v>0</v>
          </cell>
          <cell r="G5710">
            <v>0</v>
          </cell>
          <cell r="H5710">
            <v>0</v>
          </cell>
          <cell r="I5710">
            <v>0</v>
          </cell>
          <cell r="J5710">
            <v>0</v>
          </cell>
        </row>
        <row r="5711">
          <cell r="A5711">
            <v>1829600544</v>
          </cell>
          <cell r="B5711" t="str">
            <v>הוצאות דאר</v>
          </cell>
          <cell r="C5711">
            <v>0</v>
          </cell>
          <cell r="D5711">
            <v>0</v>
          </cell>
          <cell r="E5711">
            <v>0</v>
          </cell>
          <cell r="F5711">
            <v>0</v>
          </cell>
          <cell r="G5711">
            <v>0</v>
          </cell>
          <cell r="H5711">
            <v>0</v>
          </cell>
          <cell r="I5711">
            <v>0</v>
          </cell>
          <cell r="J5711">
            <v>0</v>
          </cell>
        </row>
        <row r="5712">
          <cell r="A5712">
            <v>1829600550</v>
          </cell>
          <cell r="B5712" t="str">
            <v>פירסומים</v>
          </cell>
          <cell r="C5712">
            <v>0</v>
          </cell>
          <cell r="D5712">
            <v>0</v>
          </cell>
          <cell r="E5712">
            <v>0</v>
          </cell>
          <cell r="F5712">
            <v>0</v>
          </cell>
          <cell r="G5712">
            <v>0</v>
          </cell>
          <cell r="H5712">
            <v>0</v>
          </cell>
          <cell r="I5712">
            <v>0</v>
          </cell>
          <cell r="J5712">
            <v>0</v>
          </cell>
        </row>
        <row r="5713">
          <cell r="A5713">
            <v>1829600551</v>
          </cell>
          <cell r="B5713" t="str">
            <v>מודעות והדבקתן</v>
          </cell>
          <cell r="C5713">
            <v>0</v>
          </cell>
          <cell r="D5713">
            <v>0</v>
          </cell>
          <cell r="E5713">
            <v>0</v>
          </cell>
          <cell r="F5713">
            <v>0</v>
          </cell>
          <cell r="G5713">
            <v>0</v>
          </cell>
          <cell r="H5713">
            <v>0</v>
          </cell>
          <cell r="I5713">
            <v>0</v>
          </cell>
          <cell r="J5713">
            <v>0</v>
          </cell>
        </row>
        <row r="5714">
          <cell r="A5714">
            <v>1829600561</v>
          </cell>
          <cell r="B5714" t="str">
            <v>שיכפולים</v>
          </cell>
          <cell r="C5714">
            <v>0</v>
          </cell>
          <cell r="D5714">
            <v>0</v>
          </cell>
          <cell r="E5714">
            <v>0</v>
          </cell>
          <cell r="F5714">
            <v>0</v>
          </cell>
          <cell r="G5714">
            <v>0</v>
          </cell>
          <cell r="H5714">
            <v>0</v>
          </cell>
          <cell r="I5714">
            <v>0</v>
          </cell>
          <cell r="J5714">
            <v>0</v>
          </cell>
        </row>
        <row r="5715">
          <cell r="A5715">
            <v>1829600562</v>
          </cell>
          <cell r="B5715" t="str">
            <v>הדפסות</v>
          </cell>
          <cell r="C5715">
            <v>0</v>
          </cell>
          <cell r="D5715">
            <v>0</v>
          </cell>
          <cell r="E5715">
            <v>0</v>
          </cell>
          <cell r="F5715">
            <v>0</v>
          </cell>
          <cell r="G5715">
            <v>0</v>
          </cell>
          <cell r="H5715">
            <v>0</v>
          </cell>
          <cell r="I5715">
            <v>0</v>
          </cell>
          <cell r="J5715">
            <v>0</v>
          </cell>
        </row>
        <row r="5716">
          <cell r="A5716">
            <v>1829600710</v>
          </cell>
          <cell r="B5716" t="str">
            <v>הובלות והסעות</v>
          </cell>
          <cell r="C5716">
            <v>0</v>
          </cell>
          <cell r="D5716">
            <v>0</v>
          </cell>
          <cell r="E5716">
            <v>0</v>
          </cell>
          <cell r="F5716">
            <v>0</v>
          </cell>
          <cell r="G5716">
            <v>0</v>
          </cell>
          <cell r="H5716">
            <v>0</v>
          </cell>
          <cell r="I5716">
            <v>0</v>
          </cell>
          <cell r="J5716">
            <v>0</v>
          </cell>
        </row>
        <row r="5717">
          <cell r="A5717">
            <v>1829600721</v>
          </cell>
          <cell r="B5717" t="str">
            <v>חמרים-תחזוקת מבנים</v>
          </cell>
          <cell r="C5717">
            <v>0</v>
          </cell>
          <cell r="D5717">
            <v>0</v>
          </cell>
          <cell r="E5717">
            <v>0</v>
          </cell>
          <cell r="F5717">
            <v>0</v>
          </cell>
          <cell r="G5717">
            <v>0</v>
          </cell>
          <cell r="H5717">
            <v>0</v>
          </cell>
          <cell r="I5717">
            <v>0</v>
          </cell>
          <cell r="J5717">
            <v>0</v>
          </cell>
        </row>
        <row r="5718">
          <cell r="A5718">
            <v>1829600722</v>
          </cell>
          <cell r="B5718" t="str">
            <v>חמרים-תחזוקה עצמית</v>
          </cell>
          <cell r="C5718">
            <v>0</v>
          </cell>
          <cell r="D5718">
            <v>0</v>
          </cell>
          <cell r="E5718">
            <v>0</v>
          </cell>
          <cell r="F5718">
            <v>0</v>
          </cell>
          <cell r="G5718">
            <v>0</v>
          </cell>
          <cell r="H5718">
            <v>0</v>
          </cell>
          <cell r="I5718">
            <v>0</v>
          </cell>
          <cell r="J5718">
            <v>0</v>
          </cell>
        </row>
        <row r="5719">
          <cell r="A5719">
            <v>1829600742</v>
          </cell>
          <cell r="B5719" t="str">
            <v>כלים וציוד</v>
          </cell>
          <cell r="C5719">
            <v>0</v>
          </cell>
          <cell r="D5719">
            <v>0</v>
          </cell>
          <cell r="E5719">
            <v>0</v>
          </cell>
          <cell r="F5719">
            <v>0</v>
          </cell>
          <cell r="G5719">
            <v>0</v>
          </cell>
          <cell r="H5719">
            <v>0</v>
          </cell>
          <cell r="I5719">
            <v>0</v>
          </cell>
          <cell r="J5719">
            <v>0</v>
          </cell>
        </row>
        <row r="5720">
          <cell r="A5720">
            <v>1829600743</v>
          </cell>
          <cell r="B5720" t="str">
            <v>תחזוקת ציוד</v>
          </cell>
          <cell r="C5720">
            <v>0</v>
          </cell>
          <cell r="D5720">
            <v>0</v>
          </cell>
          <cell r="E5720">
            <v>0</v>
          </cell>
          <cell r="F5720">
            <v>0</v>
          </cell>
          <cell r="G5720">
            <v>0</v>
          </cell>
          <cell r="H5720">
            <v>0</v>
          </cell>
          <cell r="I5720">
            <v>0</v>
          </cell>
          <cell r="J5720">
            <v>0</v>
          </cell>
        </row>
        <row r="5721">
          <cell r="A5721">
            <v>1829600744</v>
          </cell>
          <cell r="B5721" t="str">
            <v>ציוד ספורט</v>
          </cell>
          <cell r="C5721">
            <v>0</v>
          </cell>
          <cell r="D5721">
            <v>0</v>
          </cell>
          <cell r="E5721">
            <v>0</v>
          </cell>
          <cell r="F5721">
            <v>0</v>
          </cell>
          <cell r="G5721">
            <v>0</v>
          </cell>
          <cell r="H5721">
            <v>0</v>
          </cell>
          <cell r="I5721">
            <v>0</v>
          </cell>
          <cell r="J5721">
            <v>0</v>
          </cell>
        </row>
        <row r="5722">
          <cell r="A5722">
            <v>1829600745</v>
          </cell>
          <cell r="B5722" t="str">
            <v>דמי פריצה - תכולה</v>
          </cell>
          <cell r="C5722">
            <v>0</v>
          </cell>
          <cell r="D5722">
            <v>0</v>
          </cell>
          <cell r="E5722">
            <v>0</v>
          </cell>
          <cell r="F5722">
            <v>0</v>
          </cell>
          <cell r="G5722">
            <v>0</v>
          </cell>
          <cell r="H5722">
            <v>0</v>
          </cell>
          <cell r="I5722">
            <v>0</v>
          </cell>
          <cell r="J5722">
            <v>0</v>
          </cell>
        </row>
        <row r="5723">
          <cell r="A5723">
            <v>1829600746</v>
          </cell>
          <cell r="B5723" t="str">
            <v>דמי פריצה - מבנה</v>
          </cell>
          <cell r="C5723">
            <v>0</v>
          </cell>
          <cell r="D5723">
            <v>0</v>
          </cell>
          <cell r="E5723">
            <v>0</v>
          </cell>
          <cell r="F5723">
            <v>0</v>
          </cell>
          <cell r="G5723">
            <v>0</v>
          </cell>
          <cell r="H5723">
            <v>0</v>
          </cell>
          <cell r="I5723">
            <v>0</v>
          </cell>
          <cell r="J5723">
            <v>0</v>
          </cell>
        </row>
        <row r="5724">
          <cell r="A5724">
            <v>1829600751</v>
          </cell>
          <cell r="B5724" t="str">
            <v>עבודות קבלניות</v>
          </cell>
          <cell r="C5724">
            <v>0</v>
          </cell>
          <cell r="D5724">
            <v>0</v>
          </cell>
          <cell r="E5724">
            <v>0</v>
          </cell>
          <cell r="F5724">
            <v>0</v>
          </cell>
          <cell r="G5724">
            <v>0</v>
          </cell>
          <cell r="H5724">
            <v>0</v>
          </cell>
          <cell r="I5724">
            <v>0</v>
          </cell>
          <cell r="J5724">
            <v>0</v>
          </cell>
        </row>
        <row r="5725">
          <cell r="A5725">
            <v>1829600752</v>
          </cell>
          <cell r="B5725" t="str">
            <v>נקיון בקבלנות</v>
          </cell>
          <cell r="C5725">
            <v>0</v>
          </cell>
          <cell r="D5725">
            <v>0</v>
          </cell>
          <cell r="E5725">
            <v>0</v>
          </cell>
          <cell r="F5725">
            <v>0</v>
          </cell>
          <cell r="G5725">
            <v>0</v>
          </cell>
          <cell r="H5725">
            <v>0</v>
          </cell>
          <cell r="I5725">
            <v>0</v>
          </cell>
          <cell r="J5725">
            <v>0</v>
          </cell>
        </row>
        <row r="5726">
          <cell r="A5726">
            <v>1829600753</v>
          </cell>
          <cell r="B5726" t="str">
            <v>עובד חברה</v>
          </cell>
          <cell r="C5726">
            <v>0</v>
          </cell>
          <cell r="D5726">
            <v>0</v>
          </cell>
          <cell r="E5726">
            <v>0</v>
          </cell>
          <cell r="F5726">
            <v>0</v>
          </cell>
          <cell r="G5726">
            <v>0</v>
          </cell>
          <cell r="H5726">
            <v>0</v>
          </cell>
          <cell r="I5726">
            <v>0</v>
          </cell>
          <cell r="J5726">
            <v>0</v>
          </cell>
        </row>
        <row r="5727">
          <cell r="A5727">
            <v>1829600757</v>
          </cell>
          <cell r="B5727" t="str">
            <v>חוגים בקבלנות</v>
          </cell>
          <cell r="C5727">
            <v>0</v>
          </cell>
          <cell r="D5727">
            <v>0</v>
          </cell>
          <cell r="E5727">
            <v>0</v>
          </cell>
          <cell r="F5727">
            <v>0</v>
          </cell>
          <cell r="G5727">
            <v>0</v>
          </cell>
          <cell r="H5727">
            <v>0</v>
          </cell>
          <cell r="I5727">
            <v>0</v>
          </cell>
          <cell r="J5727">
            <v>0</v>
          </cell>
        </row>
        <row r="5728">
          <cell r="A5728">
            <v>1829600758</v>
          </cell>
          <cell r="B5728" t="str">
            <v>הפעלת המרכז</v>
          </cell>
          <cell r="C5728">
            <v>0</v>
          </cell>
          <cell r="D5728">
            <v>0</v>
          </cell>
          <cell r="E5728">
            <v>0</v>
          </cell>
          <cell r="F5728">
            <v>0</v>
          </cell>
          <cell r="G5728">
            <v>0</v>
          </cell>
          <cell r="H5728">
            <v>0</v>
          </cell>
          <cell r="I5728">
            <v>0</v>
          </cell>
          <cell r="J5728">
            <v>0</v>
          </cell>
        </row>
        <row r="5729">
          <cell r="A5729">
            <v>1829600759</v>
          </cell>
          <cell r="B5729" t="str">
            <v>פעולות יחודיות</v>
          </cell>
          <cell r="C5729">
            <v>0</v>
          </cell>
          <cell r="D5729">
            <v>0</v>
          </cell>
          <cell r="E5729">
            <v>0</v>
          </cell>
          <cell r="F5729">
            <v>0</v>
          </cell>
          <cell r="G5729">
            <v>0</v>
          </cell>
          <cell r="H5729">
            <v>0</v>
          </cell>
          <cell r="I5729">
            <v>0</v>
          </cell>
          <cell r="J5729">
            <v>0</v>
          </cell>
        </row>
        <row r="5730">
          <cell r="A5730">
            <v>1829600763</v>
          </cell>
          <cell r="B5730" t="str">
            <v>עובדי חברת מוסדות</v>
          </cell>
          <cell r="C5730">
            <v>0</v>
          </cell>
          <cell r="D5730">
            <v>0</v>
          </cell>
          <cell r="E5730">
            <v>0</v>
          </cell>
          <cell r="F5730">
            <v>0</v>
          </cell>
          <cell r="G5730">
            <v>0</v>
          </cell>
          <cell r="H5730">
            <v>0</v>
          </cell>
          <cell r="I5730">
            <v>0</v>
          </cell>
          <cell r="J5730">
            <v>0</v>
          </cell>
        </row>
        <row r="5731">
          <cell r="A5731">
            <v>1829600780</v>
          </cell>
          <cell r="B5731" t="str">
            <v>הרקדות (מהכנסות)</v>
          </cell>
          <cell r="C5731">
            <v>0</v>
          </cell>
          <cell r="D5731">
            <v>0</v>
          </cell>
          <cell r="E5731">
            <v>0</v>
          </cell>
          <cell r="F5731">
            <v>0</v>
          </cell>
          <cell r="G5731">
            <v>0</v>
          </cell>
          <cell r="H5731">
            <v>0</v>
          </cell>
          <cell r="I5731">
            <v>0</v>
          </cell>
          <cell r="J5731">
            <v>0</v>
          </cell>
        </row>
        <row r="5732">
          <cell r="A5732">
            <v>1829600782</v>
          </cell>
          <cell r="B5732" t="str">
            <v>הוצאות (מהכנסות)</v>
          </cell>
          <cell r="C5732">
            <v>0</v>
          </cell>
          <cell r="D5732">
            <v>0</v>
          </cell>
          <cell r="E5732">
            <v>0</v>
          </cell>
          <cell r="F5732">
            <v>0</v>
          </cell>
          <cell r="G5732">
            <v>0</v>
          </cell>
          <cell r="H5732">
            <v>0</v>
          </cell>
          <cell r="I5732">
            <v>0</v>
          </cell>
          <cell r="J5732">
            <v>0</v>
          </cell>
        </row>
        <row r="5733">
          <cell r="A5733">
            <v>1829600783</v>
          </cell>
          <cell r="B5733" t="str">
            <v>פעולות מחנה קייץ</v>
          </cell>
          <cell r="C5733">
            <v>0</v>
          </cell>
          <cell r="D5733">
            <v>0</v>
          </cell>
          <cell r="E5733">
            <v>0</v>
          </cell>
          <cell r="F5733">
            <v>0</v>
          </cell>
          <cell r="G5733">
            <v>0</v>
          </cell>
          <cell r="H5733">
            <v>0</v>
          </cell>
          <cell r="I5733">
            <v>0</v>
          </cell>
          <cell r="J5733">
            <v>0</v>
          </cell>
        </row>
        <row r="5734">
          <cell r="A5734">
            <v>1829600786</v>
          </cell>
          <cell r="B5734" t="str">
            <v>פע' מועדוני ספורט</v>
          </cell>
          <cell r="C5734">
            <v>0</v>
          </cell>
          <cell r="D5734">
            <v>0</v>
          </cell>
          <cell r="E5734">
            <v>0</v>
          </cell>
          <cell r="F5734">
            <v>0</v>
          </cell>
          <cell r="G5734">
            <v>0</v>
          </cell>
          <cell r="H5734">
            <v>0</v>
          </cell>
          <cell r="I5734">
            <v>0</v>
          </cell>
          <cell r="J5734">
            <v>0</v>
          </cell>
        </row>
        <row r="5735">
          <cell r="A5735">
            <v>1829600789</v>
          </cell>
          <cell r="B5735" t="str">
            <v>קייטנת קיץ-פעולות</v>
          </cell>
          <cell r="C5735">
            <v>0</v>
          </cell>
          <cell r="D5735">
            <v>0</v>
          </cell>
          <cell r="E5735">
            <v>0</v>
          </cell>
          <cell r="F5735">
            <v>0</v>
          </cell>
          <cell r="G5735">
            <v>0</v>
          </cell>
          <cell r="H5735">
            <v>0</v>
          </cell>
          <cell r="I5735">
            <v>0</v>
          </cell>
          <cell r="J5735">
            <v>0</v>
          </cell>
        </row>
        <row r="5736">
          <cell r="A5736">
            <v>1829600794</v>
          </cell>
          <cell r="B5736" t="str">
            <v>השתתפות בעזר 094</v>
          </cell>
          <cell r="C5736">
            <v>0</v>
          </cell>
          <cell r="D5736">
            <v>0</v>
          </cell>
          <cell r="E5736">
            <v>0</v>
          </cell>
          <cell r="F5736">
            <v>0</v>
          </cell>
          <cell r="G5736">
            <v>0</v>
          </cell>
          <cell r="H5736">
            <v>0</v>
          </cell>
          <cell r="I5736">
            <v>0</v>
          </cell>
          <cell r="J5736">
            <v>0</v>
          </cell>
        </row>
        <row r="5737">
          <cell r="A5737">
            <v>1829600810</v>
          </cell>
          <cell r="B5737" t="str">
            <v>השת' התק' הפעלה</v>
          </cell>
          <cell r="C5737">
            <v>137560</v>
          </cell>
          <cell r="D5737">
            <v>144801.32</v>
          </cell>
          <cell r="E5737">
            <v>0</v>
          </cell>
          <cell r="F5737">
            <v>144801.32</v>
          </cell>
          <cell r="G5737">
            <v>-7241.32</v>
          </cell>
          <cell r="H5737">
            <v>105.26</v>
          </cell>
          <cell r="I5737">
            <v>144800</v>
          </cell>
          <cell r="J5737">
            <v>144801.32</v>
          </cell>
        </row>
        <row r="5738">
          <cell r="A5738">
            <v>1829600821</v>
          </cell>
          <cell r="B5738" t="str">
            <v>הפעלת אולם בגין</v>
          </cell>
          <cell r="C5738">
            <v>81700</v>
          </cell>
          <cell r="D5738">
            <v>86001.32</v>
          </cell>
          <cell r="E5738">
            <v>0</v>
          </cell>
          <cell r="F5738">
            <v>86001.32</v>
          </cell>
          <cell r="G5738">
            <v>-4301.32</v>
          </cell>
          <cell r="H5738">
            <v>105.26</v>
          </cell>
          <cell r="I5738">
            <v>86000</v>
          </cell>
          <cell r="J5738">
            <v>86001.32</v>
          </cell>
        </row>
        <row r="5739">
          <cell r="A5739">
            <v>1829600879</v>
          </cell>
          <cell r="B5739" t="str">
            <v>ביטוח-כנגד הכנסות</v>
          </cell>
          <cell r="C5739">
            <v>0</v>
          </cell>
          <cell r="D5739">
            <v>0</v>
          </cell>
          <cell r="E5739">
            <v>0</v>
          </cell>
          <cell r="F5739">
            <v>0</v>
          </cell>
          <cell r="G5739">
            <v>0</v>
          </cell>
          <cell r="H5739">
            <v>0</v>
          </cell>
          <cell r="I5739">
            <v>0</v>
          </cell>
          <cell r="J5739">
            <v>0</v>
          </cell>
        </row>
        <row r="5740">
          <cell r="A5740">
            <v>1829600930</v>
          </cell>
          <cell r="B5740" t="str">
            <v>ציוד לכבוי אש</v>
          </cell>
          <cell r="C5740">
            <v>0</v>
          </cell>
          <cell r="D5740">
            <v>0</v>
          </cell>
          <cell r="E5740">
            <v>0</v>
          </cell>
          <cell r="F5740">
            <v>0</v>
          </cell>
          <cell r="G5740">
            <v>0</v>
          </cell>
          <cell r="H5740">
            <v>0</v>
          </cell>
          <cell r="I5740">
            <v>0</v>
          </cell>
          <cell r="J5740">
            <v>0</v>
          </cell>
        </row>
        <row r="5741">
          <cell r="A5741">
            <v>1829600931</v>
          </cell>
          <cell r="B5741" t="str">
            <v>רכישות חד-פעמיות</v>
          </cell>
          <cell r="C5741">
            <v>0</v>
          </cell>
          <cell r="D5741">
            <v>0</v>
          </cell>
          <cell r="E5741">
            <v>0</v>
          </cell>
          <cell r="F5741">
            <v>0</v>
          </cell>
          <cell r="G5741">
            <v>0</v>
          </cell>
          <cell r="H5741">
            <v>0</v>
          </cell>
          <cell r="I5741">
            <v>0</v>
          </cell>
          <cell r="J5741">
            <v>0</v>
          </cell>
        </row>
        <row r="5742">
          <cell r="A5742">
            <v>1829700110</v>
          </cell>
          <cell r="B5742" t="str">
            <v>השכר הקובע-תקציבית</v>
          </cell>
          <cell r="C5742">
            <v>0</v>
          </cell>
          <cell r="D5742">
            <v>0</v>
          </cell>
          <cell r="E5742">
            <v>0</v>
          </cell>
          <cell r="F5742">
            <v>0</v>
          </cell>
          <cell r="G5742">
            <v>0</v>
          </cell>
          <cell r="H5742">
            <v>0</v>
          </cell>
          <cell r="I5742">
            <v>0</v>
          </cell>
          <cell r="J5742">
            <v>0</v>
          </cell>
        </row>
        <row r="5743">
          <cell r="A5743">
            <v>1829700119</v>
          </cell>
          <cell r="B5743" t="str">
            <v>השכר הקובע-צוברת</v>
          </cell>
          <cell r="C5743">
            <v>0</v>
          </cell>
          <cell r="D5743">
            <v>0</v>
          </cell>
          <cell r="E5743">
            <v>0</v>
          </cell>
          <cell r="F5743">
            <v>0</v>
          </cell>
          <cell r="G5743">
            <v>0</v>
          </cell>
          <cell r="H5743">
            <v>0</v>
          </cell>
          <cell r="I5743">
            <v>0</v>
          </cell>
          <cell r="J5743">
            <v>0</v>
          </cell>
        </row>
        <row r="5744">
          <cell r="A5744">
            <v>1829700122</v>
          </cell>
          <cell r="B5744" t="str">
            <v>ביגוד</v>
          </cell>
          <cell r="C5744">
            <v>0</v>
          </cell>
          <cell r="D5744">
            <v>0</v>
          </cell>
          <cell r="E5744">
            <v>0</v>
          </cell>
          <cell r="F5744">
            <v>0</v>
          </cell>
          <cell r="G5744">
            <v>0</v>
          </cell>
          <cell r="H5744">
            <v>0</v>
          </cell>
          <cell r="I5744">
            <v>0</v>
          </cell>
          <cell r="J5744">
            <v>0</v>
          </cell>
        </row>
        <row r="5745">
          <cell r="A5745">
            <v>1829700126</v>
          </cell>
          <cell r="B5745" t="str">
            <v>דמי הבראה</v>
          </cell>
          <cell r="C5745">
            <v>0</v>
          </cell>
          <cell r="D5745">
            <v>0</v>
          </cell>
          <cell r="E5745">
            <v>0</v>
          </cell>
          <cell r="F5745">
            <v>0</v>
          </cell>
          <cell r="G5745">
            <v>0</v>
          </cell>
          <cell r="H5745">
            <v>0</v>
          </cell>
          <cell r="I5745">
            <v>0</v>
          </cell>
          <cell r="J5745">
            <v>0</v>
          </cell>
        </row>
        <row r="5746">
          <cell r="A5746">
            <v>1829700130</v>
          </cell>
          <cell r="B5746" t="str">
            <v>שעות נוספות</v>
          </cell>
          <cell r="C5746">
            <v>0</v>
          </cell>
          <cell r="D5746">
            <v>0</v>
          </cell>
          <cell r="E5746">
            <v>0</v>
          </cell>
          <cell r="F5746">
            <v>0</v>
          </cell>
          <cell r="G5746">
            <v>0</v>
          </cell>
          <cell r="H5746">
            <v>0</v>
          </cell>
          <cell r="I5746">
            <v>0</v>
          </cell>
          <cell r="J5746">
            <v>0</v>
          </cell>
        </row>
        <row r="5747">
          <cell r="A5747">
            <v>1829700140</v>
          </cell>
          <cell r="B5747" t="str">
            <v>השתתפות באחזקת רכב</v>
          </cell>
          <cell r="C5747">
            <v>0</v>
          </cell>
          <cell r="D5747">
            <v>0</v>
          </cell>
          <cell r="E5747">
            <v>0</v>
          </cell>
          <cell r="F5747">
            <v>0</v>
          </cell>
          <cell r="G5747">
            <v>0</v>
          </cell>
          <cell r="H5747">
            <v>0</v>
          </cell>
          <cell r="I5747">
            <v>0</v>
          </cell>
          <cell r="J5747">
            <v>0</v>
          </cell>
        </row>
        <row r="5748">
          <cell r="A5748">
            <v>1829700210</v>
          </cell>
          <cell r="B5748" t="str">
            <v>השכר הקובע</v>
          </cell>
          <cell r="C5748">
            <v>0</v>
          </cell>
          <cell r="D5748">
            <v>0</v>
          </cell>
          <cell r="E5748">
            <v>0</v>
          </cell>
          <cell r="F5748">
            <v>0</v>
          </cell>
          <cell r="G5748">
            <v>0</v>
          </cell>
          <cell r="H5748">
            <v>0</v>
          </cell>
          <cell r="I5748">
            <v>0</v>
          </cell>
          <cell r="J5748">
            <v>0</v>
          </cell>
        </row>
        <row r="5749">
          <cell r="A5749">
            <v>1829700250</v>
          </cell>
          <cell r="B5749" t="str">
            <v>שכר מושאלים</v>
          </cell>
          <cell r="C5749">
            <v>0</v>
          </cell>
          <cell r="D5749">
            <v>0</v>
          </cell>
          <cell r="E5749">
            <v>0</v>
          </cell>
          <cell r="F5749">
            <v>0</v>
          </cell>
          <cell r="G5749">
            <v>0</v>
          </cell>
          <cell r="H5749">
            <v>0</v>
          </cell>
          <cell r="I5749">
            <v>0</v>
          </cell>
          <cell r="J5749">
            <v>0</v>
          </cell>
        </row>
        <row r="5750">
          <cell r="A5750">
            <v>1829700391</v>
          </cell>
          <cell r="B5750" t="str">
            <v>הפרשה לפנסיה</v>
          </cell>
          <cell r="C5750">
            <v>0</v>
          </cell>
          <cell r="D5750">
            <v>0</v>
          </cell>
          <cell r="E5750">
            <v>0</v>
          </cell>
          <cell r="F5750">
            <v>0</v>
          </cell>
          <cell r="G5750">
            <v>0</v>
          </cell>
          <cell r="H5750">
            <v>0</v>
          </cell>
          <cell r="I5750">
            <v>0</v>
          </cell>
          <cell r="J5750">
            <v>0</v>
          </cell>
        </row>
        <row r="5751">
          <cell r="A5751">
            <v>1829700420</v>
          </cell>
          <cell r="B5751" t="str">
            <v>כיבוי אש</v>
          </cell>
          <cell r="C5751">
            <v>0</v>
          </cell>
          <cell r="D5751">
            <v>0</v>
          </cell>
          <cell r="E5751">
            <v>0</v>
          </cell>
          <cell r="F5751">
            <v>0</v>
          </cell>
          <cell r="G5751">
            <v>0</v>
          </cell>
          <cell r="H5751">
            <v>0</v>
          </cell>
          <cell r="I5751">
            <v>0</v>
          </cell>
          <cell r="J5751">
            <v>0</v>
          </cell>
        </row>
        <row r="5752">
          <cell r="A5752">
            <v>1829700423</v>
          </cell>
          <cell r="B5752" t="str">
            <v>תחזוקת מבנה</v>
          </cell>
          <cell r="C5752">
            <v>0</v>
          </cell>
          <cell r="D5752">
            <v>0</v>
          </cell>
          <cell r="E5752">
            <v>0</v>
          </cell>
          <cell r="F5752">
            <v>0</v>
          </cell>
          <cell r="G5752">
            <v>0</v>
          </cell>
          <cell r="H5752">
            <v>0</v>
          </cell>
          <cell r="I5752">
            <v>0</v>
          </cell>
          <cell r="J5752">
            <v>0</v>
          </cell>
        </row>
        <row r="5753">
          <cell r="A5753">
            <v>1829700431</v>
          </cell>
          <cell r="B5753" t="str">
            <v>חשמל</v>
          </cell>
          <cell r="C5753">
            <v>0</v>
          </cell>
          <cell r="D5753">
            <v>0</v>
          </cell>
          <cell r="E5753">
            <v>0</v>
          </cell>
          <cell r="F5753">
            <v>0</v>
          </cell>
          <cell r="G5753">
            <v>0</v>
          </cell>
          <cell r="H5753">
            <v>0</v>
          </cell>
          <cell r="I5753">
            <v>0</v>
          </cell>
          <cell r="J5753">
            <v>0</v>
          </cell>
        </row>
        <row r="5754">
          <cell r="A5754">
            <v>1829700432</v>
          </cell>
          <cell r="B5754" t="str">
            <v>מים</v>
          </cell>
          <cell r="C5754">
            <v>0</v>
          </cell>
          <cell r="D5754">
            <v>0</v>
          </cell>
          <cell r="E5754">
            <v>0</v>
          </cell>
          <cell r="F5754">
            <v>0</v>
          </cell>
          <cell r="G5754">
            <v>0</v>
          </cell>
          <cell r="H5754">
            <v>0</v>
          </cell>
          <cell r="I5754">
            <v>0</v>
          </cell>
          <cell r="J5754">
            <v>0</v>
          </cell>
        </row>
        <row r="5755">
          <cell r="A5755">
            <v>1829700433</v>
          </cell>
          <cell r="B5755" t="str">
            <v>חומרי נקיון</v>
          </cell>
          <cell r="C5755">
            <v>0</v>
          </cell>
          <cell r="D5755">
            <v>0</v>
          </cell>
          <cell r="E5755">
            <v>0</v>
          </cell>
          <cell r="F5755">
            <v>0</v>
          </cell>
          <cell r="G5755">
            <v>0</v>
          </cell>
          <cell r="H5755">
            <v>0</v>
          </cell>
          <cell r="I5755">
            <v>0</v>
          </cell>
          <cell r="J5755">
            <v>0</v>
          </cell>
        </row>
        <row r="5756">
          <cell r="A5756">
            <v>1829700436</v>
          </cell>
          <cell r="B5756" t="str">
            <v>אחזקת מזגנים</v>
          </cell>
          <cell r="C5756">
            <v>0</v>
          </cell>
          <cell r="D5756">
            <v>0</v>
          </cell>
          <cell r="E5756">
            <v>0</v>
          </cell>
          <cell r="F5756">
            <v>0</v>
          </cell>
          <cell r="G5756">
            <v>0</v>
          </cell>
          <cell r="H5756">
            <v>0</v>
          </cell>
          <cell r="I5756">
            <v>0</v>
          </cell>
          <cell r="J5756">
            <v>0</v>
          </cell>
        </row>
        <row r="5757">
          <cell r="A5757">
            <v>1829700437</v>
          </cell>
          <cell r="B5757" t="str">
            <v>אחזקת אזעקה</v>
          </cell>
          <cell r="C5757">
            <v>0</v>
          </cell>
          <cell r="D5757">
            <v>0</v>
          </cell>
          <cell r="E5757">
            <v>0</v>
          </cell>
          <cell r="F5757">
            <v>0</v>
          </cell>
          <cell r="G5757">
            <v>0</v>
          </cell>
          <cell r="H5757">
            <v>0</v>
          </cell>
          <cell r="I5757">
            <v>0</v>
          </cell>
          <cell r="J5757">
            <v>0</v>
          </cell>
        </row>
        <row r="5758">
          <cell r="A5758">
            <v>1829700441</v>
          </cell>
          <cell r="B5758" t="str">
            <v>ביטוח</v>
          </cell>
          <cell r="C5758">
            <v>0</v>
          </cell>
          <cell r="D5758">
            <v>0</v>
          </cell>
          <cell r="E5758">
            <v>0</v>
          </cell>
          <cell r="F5758">
            <v>0</v>
          </cell>
          <cell r="G5758">
            <v>0</v>
          </cell>
          <cell r="H5758">
            <v>0</v>
          </cell>
          <cell r="I5758">
            <v>0</v>
          </cell>
          <cell r="J5758">
            <v>0</v>
          </cell>
        </row>
        <row r="5759">
          <cell r="A5759">
            <v>1829700450</v>
          </cell>
          <cell r="B5759" t="str">
            <v>ריהוט ואחזקתו</v>
          </cell>
          <cell r="C5759">
            <v>0</v>
          </cell>
          <cell r="D5759">
            <v>0</v>
          </cell>
          <cell r="E5759">
            <v>0</v>
          </cell>
          <cell r="F5759">
            <v>0</v>
          </cell>
          <cell r="G5759">
            <v>0</v>
          </cell>
          <cell r="H5759">
            <v>0</v>
          </cell>
          <cell r="I5759">
            <v>0</v>
          </cell>
          <cell r="J5759">
            <v>0</v>
          </cell>
        </row>
        <row r="5760">
          <cell r="A5760">
            <v>1829700471</v>
          </cell>
          <cell r="B5760" t="str">
            <v>מכשירי כתיבה</v>
          </cell>
          <cell r="C5760">
            <v>0</v>
          </cell>
          <cell r="D5760">
            <v>0</v>
          </cell>
          <cell r="E5760">
            <v>0</v>
          </cell>
          <cell r="F5760">
            <v>0</v>
          </cell>
          <cell r="G5760">
            <v>0</v>
          </cell>
          <cell r="H5760">
            <v>0</v>
          </cell>
          <cell r="I5760">
            <v>0</v>
          </cell>
          <cell r="J5760">
            <v>0</v>
          </cell>
        </row>
        <row r="5761">
          <cell r="A5761">
            <v>1829700511</v>
          </cell>
          <cell r="B5761" t="str">
            <v>אירוח וכיבוד</v>
          </cell>
          <cell r="C5761">
            <v>0</v>
          </cell>
          <cell r="D5761">
            <v>0</v>
          </cell>
          <cell r="E5761">
            <v>0</v>
          </cell>
          <cell r="F5761">
            <v>0</v>
          </cell>
          <cell r="G5761">
            <v>0</v>
          </cell>
          <cell r="H5761">
            <v>0</v>
          </cell>
          <cell r="I5761">
            <v>0</v>
          </cell>
          <cell r="J5761">
            <v>0</v>
          </cell>
        </row>
        <row r="5762">
          <cell r="A5762">
            <v>1829700521</v>
          </cell>
          <cell r="B5762" t="str">
            <v>השתלמויות</v>
          </cell>
          <cell r="C5762">
            <v>0</v>
          </cell>
          <cell r="D5762">
            <v>0</v>
          </cell>
          <cell r="E5762">
            <v>0</v>
          </cell>
          <cell r="F5762">
            <v>0</v>
          </cell>
          <cell r="G5762">
            <v>0</v>
          </cell>
          <cell r="H5762">
            <v>0</v>
          </cell>
          <cell r="I5762">
            <v>0</v>
          </cell>
          <cell r="J5762">
            <v>0</v>
          </cell>
        </row>
        <row r="5763">
          <cell r="A5763">
            <v>1829700522</v>
          </cell>
          <cell r="B5763" t="str">
            <v>ספרים</v>
          </cell>
          <cell r="C5763">
            <v>0</v>
          </cell>
          <cell r="D5763">
            <v>0</v>
          </cell>
          <cell r="E5763">
            <v>0</v>
          </cell>
          <cell r="F5763">
            <v>0</v>
          </cell>
          <cell r="G5763">
            <v>0</v>
          </cell>
          <cell r="H5763">
            <v>0</v>
          </cell>
          <cell r="I5763">
            <v>0</v>
          </cell>
          <cell r="J5763">
            <v>0</v>
          </cell>
        </row>
        <row r="5764">
          <cell r="A5764">
            <v>1829700540</v>
          </cell>
          <cell r="B5764" t="str">
            <v>הוצאות טלפון</v>
          </cell>
          <cell r="C5764">
            <v>0</v>
          </cell>
          <cell r="D5764">
            <v>0</v>
          </cell>
          <cell r="E5764">
            <v>0</v>
          </cell>
          <cell r="F5764">
            <v>0</v>
          </cell>
          <cell r="G5764">
            <v>0</v>
          </cell>
          <cell r="H5764">
            <v>0</v>
          </cell>
          <cell r="I5764">
            <v>0</v>
          </cell>
          <cell r="J5764">
            <v>0</v>
          </cell>
        </row>
        <row r="5765">
          <cell r="A5765">
            <v>1829700544</v>
          </cell>
          <cell r="B5765" t="str">
            <v>הוצאות דאר</v>
          </cell>
          <cell r="C5765">
            <v>0</v>
          </cell>
          <cell r="D5765">
            <v>0</v>
          </cell>
          <cell r="E5765">
            <v>0</v>
          </cell>
          <cell r="F5765">
            <v>0</v>
          </cell>
          <cell r="G5765">
            <v>0</v>
          </cell>
          <cell r="H5765">
            <v>0</v>
          </cell>
          <cell r="I5765">
            <v>0</v>
          </cell>
          <cell r="J5765">
            <v>0</v>
          </cell>
        </row>
        <row r="5766">
          <cell r="A5766">
            <v>1829700561</v>
          </cell>
          <cell r="B5766" t="str">
            <v>שיכפולים</v>
          </cell>
          <cell r="C5766">
            <v>0</v>
          </cell>
          <cell r="D5766">
            <v>0</v>
          </cell>
          <cell r="E5766">
            <v>0</v>
          </cell>
          <cell r="F5766">
            <v>0</v>
          </cell>
          <cell r="G5766">
            <v>0</v>
          </cell>
          <cell r="H5766">
            <v>0</v>
          </cell>
          <cell r="I5766">
            <v>0</v>
          </cell>
          <cell r="J5766">
            <v>0</v>
          </cell>
        </row>
        <row r="5767">
          <cell r="A5767">
            <v>1829700562</v>
          </cell>
          <cell r="B5767" t="str">
            <v>הדפסות</v>
          </cell>
          <cell r="C5767">
            <v>0</v>
          </cell>
          <cell r="D5767">
            <v>0</v>
          </cell>
          <cell r="E5767">
            <v>0</v>
          </cell>
          <cell r="F5767">
            <v>0</v>
          </cell>
          <cell r="G5767">
            <v>0</v>
          </cell>
          <cell r="H5767">
            <v>0</v>
          </cell>
          <cell r="I5767">
            <v>0</v>
          </cell>
          <cell r="J5767">
            <v>0</v>
          </cell>
        </row>
        <row r="5768">
          <cell r="A5768">
            <v>1829700583</v>
          </cell>
          <cell r="B5768" t="str">
            <v>רופא</v>
          </cell>
          <cell r="C5768">
            <v>0</v>
          </cell>
          <cell r="D5768">
            <v>0</v>
          </cell>
          <cell r="E5768">
            <v>0</v>
          </cell>
          <cell r="F5768">
            <v>0</v>
          </cell>
          <cell r="G5768">
            <v>0</v>
          </cell>
          <cell r="H5768">
            <v>0</v>
          </cell>
          <cell r="I5768">
            <v>0</v>
          </cell>
          <cell r="J5768">
            <v>0</v>
          </cell>
        </row>
        <row r="5769">
          <cell r="A5769">
            <v>1829700710</v>
          </cell>
          <cell r="B5769" t="str">
            <v>הובלות והסעות</v>
          </cell>
          <cell r="C5769">
            <v>0</v>
          </cell>
          <cell r="D5769">
            <v>0</v>
          </cell>
          <cell r="E5769">
            <v>0</v>
          </cell>
          <cell r="F5769">
            <v>0</v>
          </cell>
          <cell r="G5769">
            <v>0</v>
          </cell>
          <cell r="H5769">
            <v>0</v>
          </cell>
          <cell r="I5769">
            <v>0</v>
          </cell>
          <cell r="J5769">
            <v>0</v>
          </cell>
        </row>
        <row r="5770">
          <cell r="A5770">
            <v>1829700721</v>
          </cell>
          <cell r="B5770" t="str">
            <v>חמרים-תחזוקת מבנים</v>
          </cell>
          <cell r="C5770">
            <v>0</v>
          </cell>
          <cell r="D5770">
            <v>0</v>
          </cell>
          <cell r="E5770">
            <v>0</v>
          </cell>
          <cell r="F5770">
            <v>0</v>
          </cell>
          <cell r="G5770">
            <v>0</v>
          </cell>
          <cell r="H5770">
            <v>0</v>
          </cell>
          <cell r="I5770">
            <v>0</v>
          </cell>
          <cell r="J5770">
            <v>0</v>
          </cell>
        </row>
        <row r="5771">
          <cell r="A5771">
            <v>1829700722</v>
          </cell>
          <cell r="B5771" t="str">
            <v>חמרים-תחזוקה עצמית</v>
          </cell>
          <cell r="C5771">
            <v>0</v>
          </cell>
          <cell r="D5771">
            <v>0</v>
          </cell>
          <cell r="E5771">
            <v>0</v>
          </cell>
          <cell r="F5771">
            <v>0</v>
          </cell>
          <cell r="G5771">
            <v>0</v>
          </cell>
          <cell r="H5771">
            <v>0</v>
          </cell>
          <cell r="I5771">
            <v>0</v>
          </cell>
          <cell r="J5771">
            <v>0</v>
          </cell>
        </row>
        <row r="5772">
          <cell r="A5772">
            <v>1829700742</v>
          </cell>
          <cell r="B5772" t="str">
            <v>כלים וציוד</v>
          </cell>
          <cell r="C5772">
            <v>0</v>
          </cell>
          <cell r="D5772">
            <v>0</v>
          </cell>
          <cell r="E5772">
            <v>0</v>
          </cell>
          <cell r="F5772">
            <v>0</v>
          </cell>
          <cell r="G5772">
            <v>0</v>
          </cell>
          <cell r="H5772">
            <v>0</v>
          </cell>
          <cell r="I5772">
            <v>0</v>
          </cell>
          <cell r="J5772">
            <v>0</v>
          </cell>
        </row>
        <row r="5773">
          <cell r="A5773">
            <v>1829700745</v>
          </cell>
          <cell r="B5773" t="str">
            <v>דמי פריצה - תכולה</v>
          </cell>
          <cell r="C5773">
            <v>0</v>
          </cell>
          <cell r="D5773">
            <v>0</v>
          </cell>
          <cell r="E5773">
            <v>0</v>
          </cell>
          <cell r="F5773">
            <v>0</v>
          </cell>
          <cell r="G5773">
            <v>0</v>
          </cell>
          <cell r="H5773">
            <v>0</v>
          </cell>
          <cell r="I5773">
            <v>0</v>
          </cell>
          <cell r="J5773">
            <v>0</v>
          </cell>
        </row>
        <row r="5774">
          <cell r="A5774">
            <v>1829700751</v>
          </cell>
          <cell r="B5774" t="str">
            <v>עבודות קבלניות</v>
          </cell>
          <cell r="C5774">
            <v>0</v>
          </cell>
          <cell r="D5774">
            <v>0</v>
          </cell>
          <cell r="E5774">
            <v>0</v>
          </cell>
          <cell r="F5774">
            <v>0</v>
          </cell>
          <cell r="G5774">
            <v>0</v>
          </cell>
          <cell r="H5774">
            <v>0</v>
          </cell>
          <cell r="I5774">
            <v>0</v>
          </cell>
          <cell r="J5774">
            <v>0</v>
          </cell>
        </row>
        <row r="5775">
          <cell r="A5775">
            <v>1829700752</v>
          </cell>
          <cell r="B5775" t="str">
            <v>נקיון בקבלנות</v>
          </cell>
          <cell r="C5775">
            <v>0</v>
          </cell>
          <cell r="D5775">
            <v>0</v>
          </cell>
          <cell r="E5775">
            <v>0</v>
          </cell>
          <cell r="F5775">
            <v>0</v>
          </cell>
          <cell r="G5775">
            <v>0</v>
          </cell>
          <cell r="H5775">
            <v>0</v>
          </cell>
          <cell r="I5775">
            <v>0</v>
          </cell>
          <cell r="J5775">
            <v>0</v>
          </cell>
        </row>
        <row r="5776">
          <cell r="A5776">
            <v>1829700757</v>
          </cell>
          <cell r="B5776" t="str">
            <v>חוגים בקבלנות</v>
          </cell>
          <cell r="C5776">
            <v>0</v>
          </cell>
          <cell r="D5776">
            <v>0</v>
          </cell>
          <cell r="E5776">
            <v>0</v>
          </cell>
          <cell r="F5776">
            <v>0</v>
          </cell>
          <cell r="G5776">
            <v>0</v>
          </cell>
          <cell r="H5776">
            <v>0</v>
          </cell>
          <cell r="I5776">
            <v>0</v>
          </cell>
          <cell r="J5776">
            <v>0</v>
          </cell>
        </row>
        <row r="5777">
          <cell r="A5777">
            <v>1829700758</v>
          </cell>
          <cell r="B5777" t="str">
            <v>הפעלת המרכז</v>
          </cell>
          <cell r="C5777">
            <v>0</v>
          </cell>
          <cell r="D5777">
            <v>0</v>
          </cell>
          <cell r="E5777">
            <v>0</v>
          </cell>
          <cell r="F5777">
            <v>0</v>
          </cell>
          <cell r="G5777">
            <v>0</v>
          </cell>
          <cell r="H5777">
            <v>0</v>
          </cell>
          <cell r="I5777">
            <v>0</v>
          </cell>
          <cell r="J5777">
            <v>0</v>
          </cell>
        </row>
        <row r="5778">
          <cell r="A5778">
            <v>1829700763</v>
          </cell>
          <cell r="B5778" t="str">
            <v>עובדי חברת מוסדות</v>
          </cell>
          <cell r="C5778">
            <v>0</v>
          </cell>
          <cell r="D5778">
            <v>0</v>
          </cell>
          <cell r="E5778">
            <v>0</v>
          </cell>
          <cell r="F5778">
            <v>0</v>
          </cell>
          <cell r="G5778">
            <v>0</v>
          </cell>
          <cell r="H5778">
            <v>0</v>
          </cell>
          <cell r="I5778">
            <v>0</v>
          </cell>
          <cell r="J5778">
            <v>0</v>
          </cell>
        </row>
        <row r="5779">
          <cell r="A5779">
            <v>1829700780</v>
          </cell>
          <cell r="B5779" t="str">
            <v>ארועים</v>
          </cell>
          <cell r="C5779">
            <v>0</v>
          </cell>
          <cell r="D5779">
            <v>0</v>
          </cell>
          <cell r="E5779">
            <v>0</v>
          </cell>
          <cell r="F5779">
            <v>0</v>
          </cell>
          <cell r="G5779">
            <v>0</v>
          </cell>
          <cell r="H5779">
            <v>0</v>
          </cell>
          <cell r="I5779">
            <v>0</v>
          </cell>
          <cell r="J5779">
            <v>0</v>
          </cell>
        </row>
        <row r="5780">
          <cell r="A5780">
            <v>1829700794</v>
          </cell>
          <cell r="B5780" t="str">
            <v>השתתפות בעזר 094</v>
          </cell>
          <cell r="C5780">
            <v>3040</v>
          </cell>
          <cell r="D5780">
            <v>3817</v>
          </cell>
          <cell r="E5780">
            <v>0</v>
          </cell>
          <cell r="F5780">
            <v>3817</v>
          </cell>
          <cell r="G5780">
            <v>-777</v>
          </cell>
          <cell r="H5780">
            <v>125.55</v>
          </cell>
          <cell r="I5780">
            <v>3200</v>
          </cell>
          <cell r="J5780">
            <v>3817</v>
          </cell>
        </row>
        <row r="5781">
          <cell r="A5781">
            <v>1829700810</v>
          </cell>
          <cell r="B5781" t="str">
            <v>הפעלת ספורט טיפולי</v>
          </cell>
          <cell r="C5781">
            <v>629945</v>
          </cell>
          <cell r="D5781">
            <v>663100</v>
          </cell>
          <cell r="E5781">
            <v>0</v>
          </cell>
          <cell r="F5781">
            <v>663100</v>
          </cell>
          <cell r="G5781">
            <v>-33155</v>
          </cell>
          <cell r="H5781">
            <v>105.26</v>
          </cell>
          <cell r="I5781">
            <v>663100</v>
          </cell>
          <cell r="J5781">
            <v>663100</v>
          </cell>
        </row>
        <row r="5782">
          <cell r="A5782">
            <v>1829700811</v>
          </cell>
          <cell r="B5782" t="str">
            <v>איבחון ספורט טיפולי</v>
          </cell>
          <cell r="C5782">
            <v>246905</v>
          </cell>
          <cell r="D5782">
            <v>259902.68</v>
          </cell>
          <cell r="E5782">
            <v>0</v>
          </cell>
          <cell r="F5782">
            <v>259902.68</v>
          </cell>
          <cell r="G5782">
            <v>-12997.68</v>
          </cell>
          <cell r="H5782">
            <v>105.26</v>
          </cell>
          <cell r="I5782">
            <v>259900</v>
          </cell>
          <cell r="J5782">
            <v>259902.68</v>
          </cell>
        </row>
        <row r="5783">
          <cell r="A5783">
            <v>1829700879</v>
          </cell>
          <cell r="B5783" t="str">
            <v>ביטוח-כנגד הכנסות</v>
          </cell>
          <cell r="C5783">
            <v>0</v>
          </cell>
          <cell r="D5783">
            <v>0</v>
          </cell>
          <cell r="E5783">
            <v>0</v>
          </cell>
          <cell r="F5783">
            <v>0</v>
          </cell>
          <cell r="G5783">
            <v>0</v>
          </cell>
          <cell r="H5783">
            <v>0</v>
          </cell>
          <cell r="I5783">
            <v>0</v>
          </cell>
          <cell r="J5783">
            <v>0</v>
          </cell>
        </row>
        <row r="5784">
          <cell r="A5784">
            <v>1829800110</v>
          </cell>
          <cell r="B5784" t="str">
            <v>השכר הקובע-תקציבית</v>
          </cell>
          <cell r="C5784">
            <v>0</v>
          </cell>
          <cell r="D5784">
            <v>0</v>
          </cell>
          <cell r="E5784">
            <v>0</v>
          </cell>
          <cell r="F5784">
            <v>0</v>
          </cell>
          <cell r="G5784">
            <v>0</v>
          </cell>
          <cell r="H5784">
            <v>0</v>
          </cell>
          <cell r="I5784">
            <v>0</v>
          </cell>
          <cell r="J5784">
            <v>0</v>
          </cell>
        </row>
        <row r="5785">
          <cell r="A5785">
            <v>1829800119</v>
          </cell>
          <cell r="B5785" t="str">
            <v>השכר הקובע-צוברת</v>
          </cell>
          <cell r="C5785">
            <v>0</v>
          </cell>
          <cell r="D5785">
            <v>0</v>
          </cell>
          <cell r="E5785">
            <v>0</v>
          </cell>
          <cell r="F5785">
            <v>0</v>
          </cell>
          <cell r="G5785">
            <v>0</v>
          </cell>
          <cell r="H5785">
            <v>0</v>
          </cell>
          <cell r="I5785">
            <v>0</v>
          </cell>
          <cell r="J5785">
            <v>0</v>
          </cell>
        </row>
        <row r="5786">
          <cell r="A5786">
            <v>1829800122</v>
          </cell>
          <cell r="B5786" t="str">
            <v>ביגוד</v>
          </cell>
          <cell r="C5786">
            <v>0</v>
          </cell>
          <cell r="D5786">
            <v>0</v>
          </cell>
          <cell r="E5786">
            <v>0</v>
          </cell>
          <cell r="F5786">
            <v>0</v>
          </cell>
          <cell r="G5786">
            <v>0</v>
          </cell>
          <cell r="H5786">
            <v>0</v>
          </cell>
          <cell r="I5786">
            <v>0</v>
          </cell>
          <cell r="J5786">
            <v>0</v>
          </cell>
        </row>
        <row r="5787">
          <cell r="A5787">
            <v>1829800126</v>
          </cell>
          <cell r="B5787" t="str">
            <v>דמי הבראה</v>
          </cell>
          <cell r="C5787">
            <v>0</v>
          </cell>
          <cell r="D5787">
            <v>0</v>
          </cell>
          <cell r="E5787">
            <v>0</v>
          </cell>
          <cell r="F5787">
            <v>0</v>
          </cell>
          <cell r="G5787">
            <v>0</v>
          </cell>
          <cell r="H5787">
            <v>0</v>
          </cell>
          <cell r="I5787">
            <v>0</v>
          </cell>
          <cell r="J5787">
            <v>0</v>
          </cell>
        </row>
        <row r="5788">
          <cell r="A5788">
            <v>1829800130</v>
          </cell>
          <cell r="B5788" t="str">
            <v>שעות נוספות</v>
          </cell>
          <cell r="C5788">
            <v>0</v>
          </cell>
          <cell r="D5788">
            <v>0</v>
          </cell>
          <cell r="E5788">
            <v>0</v>
          </cell>
          <cell r="F5788">
            <v>0</v>
          </cell>
          <cell r="G5788">
            <v>0</v>
          </cell>
          <cell r="H5788">
            <v>0</v>
          </cell>
          <cell r="I5788">
            <v>0</v>
          </cell>
          <cell r="J5788">
            <v>0</v>
          </cell>
        </row>
        <row r="5789">
          <cell r="A5789">
            <v>1829800140</v>
          </cell>
          <cell r="B5789" t="str">
            <v>השתתפות באחזקת רכב</v>
          </cell>
          <cell r="C5789">
            <v>0</v>
          </cell>
          <cell r="D5789">
            <v>0</v>
          </cell>
          <cell r="E5789">
            <v>0</v>
          </cell>
          <cell r="F5789">
            <v>0</v>
          </cell>
          <cell r="G5789">
            <v>0</v>
          </cell>
          <cell r="H5789">
            <v>0</v>
          </cell>
          <cell r="I5789">
            <v>0</v>
          </cell>
          <cell r="J5789">
            <v>0</v>
          </cell>
        </row>
        <row r="5790">
          <cell r="A5790">
            <v>1829800210</v>
          </cell>
          <cell r="B5790" t="str">
            <v>השכר הקובע</v>
          </cell>
          <cell r="C5790">
            <v>0</v>
          </cell>
          <cell r="D5790">
            <v>0</v>
          </cell>
          <cell r="E5790">
            <v>0</v>
          </cell>
          <cell r="F5790">
            <v>0</v>
          </cell>
          <cell r="G5790">
            <v>0</v>
          </cell>
          <cell r="H5790">
            <v>0</v>
          </cell>
          <cell r="I5790">
            <v>0</v>
          </cell>
          <cell r="J5790">
            <v>0</v>
          </cell>
        </row>
        <row r="5791">
          <cell r="A5791">
            <v>1829800216</v>
          </cell>
          <cell r="B5791" t="str">
            <v>שכר מועדוני ספורט</v>
          </cell>
          <cell r="C5791">
            <v>0</v>
          </cell>
          <cell r="D5791">
            <v>0</v>
          </cell>
          <cell r="E5791">
            <v>0</v>
          </cell>
          <cell r="F5791">
            <v>0</v>
          </cell>
          <cell r="G5791">
            <v>0</v>
          </cell>
          <cell r="H5791">
            <v>0</v>
          </cell>
          <cell r="I5791">
            <v>0</v>
          </cell>
          <cell r="J5791">
            <v>0</v>
          </cell>
        </row>
        <row r="5792">
          <cell r="A5792">
            <v>1829800391</v>
          </cell>
          <cell r="B5792" t="str">
            <v>הפרשה לפנסיה</v>
          </cell>
          <cell r="C5792">
            <v>0</v>
          </cell>
          <cell r="D5792">
            <v>0</v>
          </cell>
          <cell r="E5792">
            <v>0</v>
          </cell>
          <cell r="F5792">
            <v>0</v>
          </cell>
          <cell r="G5792">
            <v>0</v>
          </cell>
          <cell r="H5792">
            <v>0</v>
          </cell>
          <cell r="I5792">
            <v>0</v>
          </cell>
          <cell r="J5792">
            <v>0</v>
          </cell>
        </row>
        <row r="5793">
          <cell r="A5793">
            <v>1829800420</v>
          </cell>
          <cell r="B5793" t="str">
            <v>כיבוי אש</v>
          </cell>
          <cell r="C5793">
            <v>0</v>
          </cell>
          <cell r="D5793">
            <v>0</v>
          </cell>
          <cell r="E5793">
            <v>0</v>
          </cell>
          <cell r="F5793">
            <v>0</v>
          </cell>
          <cell r="G5793">
            <v>0</v>
          </cell>
          <cell r="H5793">
            <v>0</v>
          </cell>
          <cell r="I5793">
            <v>0</v>
          </cell>
          <cell r="J5793">
            <v>0</v>
          </cell>
        </row>
        <row r="5794">
          <cell r="A5794">
            <v>1829800431</v>
          </cell>
          <cell r="B5794" t="str">
            <v>חשמל</v>
          </cell>
          <cell r="C5794">
            <v>0</v>
          </cell>
          <cell r="D5794">
            <v>0</v>
          </cell>
          <cell r="E5794">
            <v>0</v>
          </cell>
          <cell r="F5794">
            <v>0</v>
          </cell>
          <cell r="G5794">
            <v>0</v>
          </cell>
          <cell r="H5794">
            <v>0</v>
          </cell>
          <cell r="I5794">
            <v>0</v>
          </cell>
          <cell r="J5794">
            <v>0</v>
          </cell>
        </row>
        <row r="5795">
          <cell r="A5795">
            <v>1829800432</v>
          </cell>
          <cell r="B5795" t="str">
            <v>מים</v>
          </cell>
          <cell r="C5795">
            <v>0</v>
          </cell>
          <cell r="D5795">
            <v>0</v>
          </cell>
          <cell r="E5795">
            <v>0</v>
          </cell>
          <cell r="F5795">
            <v>0</v>
          </cell>
          <cell r="G5795">
            <v>0</v>
          </cell>
          <cell r="H5795">
            <v>0</v>
          </cell>
          <cell r="I5795">
            <v>0</v>
          </cell>
          <cell r="J5795">
            <v>0</v>
          </cell>
        </row>
        <row r="5796">
          <cell r="A5796">
            <v>1829800433</v>
          </cell>
          <cell r="B5796" t="str">
            <v>חומרי נקיון</v>
          </cell>
          <cell r="C5796">
            <v>0</v>
          </cell>
          <cell r="D5796">
            <v>0</v>
          </cell>
          <cell r="E5796">
            <v>0</v>
          </cell>
          <cell r="F5796">
            <v>0</v>
          </cell>
          <cell r="G5796">
            <v>0</v>
          </cell>
          <cell r="H5796">
            <v>0</v>
          </cell>
          <cell r="I5796">
            <v>0</v>
          </cell>
          <cell r="J5796">
            <v>0</v>
          </cell>
        </row>
        <row r="5797">
          <cell r="A5797">
            <v>1829800436</v>
          </cell>
          <cell r="B5797" t="str">
            <v>אחזקת מזגנים</v>
          </cell>
          <cell r="C5797">
            <v>0</v>
          </cell>
          <cell r="D5797">
            <v>0</v>
          </cell>
          <cell r="E5797">
            <v>0</v>
          </cell>
          <cell r="F5797">
            <v>0</v>
          </cell>
          <cell r="G5797">
            <v>0</v>
          </cell>
          <cell r="H5797">
            <v>0</v>
          </cell>
          <cell r="I5797">
            <v>0</v>
          </cell>
          <cell r="J5797">
            <v>0</v>
          </cell>
        </row>
        <row r="5798">
          <cell r="A5798">
            <v>1829800437</v>
          </cell>
          <cell r="B5798" t="str">
            <v>אחזקת אזעקה</v>
          </cell>
          <cell r="C5798">
            <v>0</v>
          </cell>
          <cell r="D5798">
            <v>0</v>
          </cell>
          <cell r="E5798">
            <v>0</v>
          </cell>
          <cell r="F5798">
            <v>0</v>
          </cell>
          <cell r="G5798">
            <v>0</v>
          </cell>
          <cell r="H5798">
            <v>0</v>
          </cell>
          <cell r="I5798">
            <v>0</v>
          </cell>
          <cell r="J5798">
            <v>0</v>
          </cell>
        </row>
        <row r="5799">
          <cell r="A5799">
            <v>1829800441</v>
          </cell>
          <cell r="B5799" t="str">
            <v>ביטוח</v>
          </cell>
          <cell r="C5799">
            <v>0</v>
          </cell>
          <cell r="D5799">
            <v>0</v>
          </cell>
          <cell r="E5799">
            <v>0</v>
          </cell>
          <cell r="F5799">
            <v>0</v>
          </cell>
          <cell r="G5799">
            <v>0</v>
          </cell>
          <cell r="H5799">
            <v>0</v>
          </cell>
          <cell r="I5799">
            <v>0</v>
          </cell>
          <cell r="J5799">
            <v>0</v>
          </cell>
        </row>
        <row r="5800">
          <cell r="A5800">
            <v>1829800450</v>
          </cell>
          <cell r="B5800" t="str">
            <v>ריהוט ואחזקתו</v>
          </cell>
          <cell r="C5800">
            <v>0</v>
          </cell>
          <cell r="D5800">
            <v>0</v>
          </cell>
          <cell r="E5800">
            <v>0</v>
          </cell>
          <cell r="F5800">
            <v>0</v>
          </cell>
          <cell r="G5800">
            <v>0</v>
          </cell>
          <cell r="H5800">
            <v>0</v>
          </cell>
          <cell r="I5800">
            <v>0</v>
          </cell>
          <cell r="J5800">
            <v>0</v>
          </cell>
        </row>
        <row r="5801">
          <cell r="A5801">
            <v>1829800471</v>
          </cell>
          <cell r="B5801" t="str">
            <v>מכשירי כתיבה</v>
          </cell>
          <cell r="C5801">
            <v>0</v>
          </cell>
          <cell r="D5801">
            <v>0</v>
          </cell>
          <cell r="E5801">
            <v>0</v>
          </cell>
          <cell r="F5801">
            <v>0</v>
          </cell>
          <cell r="G5801">
            <v>0</v>
          </cell>
          <cell r="H5801">
            <v>0</v>
          </cell>
          <cell r="I5801">
            <v>0</v>
          </cell>
          <cell r="J5801">
            <v>0</v>
          </cell>
        </row>
        <row r="5802">
          <cell r="A5802">
            <v>1829800511</v>
          </cell>
          <cell r="B5802" t="str">
            <v>אירוח וכיבוד</v>
          </cell>
          <cell r="C5802">
            <v>0</v>
          </cell>
          <cell r="D5802">
            <v>0</v>
          </cell>
          <cell r="E5802">
            <v>0</v>
          </cell>
          <cell r="F5802">
            <v>0</v>
          </cell>
          <cell r="G5802">
            <v>0</v>
          </cell>
          <cell r="H5802">
            <v>0</v>
          </cell>
          <cell r="I5802">
            <v>0</v>
          </cell>
          <cell r="J5802">
            <v>0</v>
          </cell>
        </row>
        <row r="5803">
          <cell r="A5803">
            <v>1829800540</v>
          </cell>
          <cell r="B5803" t="str">
            <v>הוצאות טלפון</v>
          </cell>
          <cell r="C5803">
            <v>0</v>
          </cell>
          <cell r="D5803">
            <v>0</v>
          </cell>
          <cell r="E5803">
            <v>0</v>
          </cell>
          <cell r="F5803">
            <v>0</v>
          </cell>
          <cell r="G5803">
            <v>0</v>
          </cell>
          <cell r="H5803">
            <v>0</v>
          </cell>
          <cell r="I5803">
            <v>0</v>
          </cell>
          <cell r="J5803">
            <v>0</v>
          </cell>
        </row>
        <row r="5804">
          <cell r="A5804">
            <v>1829800544</v>
          </cell>
          <cell r="B5804" t="str">
            <v>הוצאות דאר</v>
          </cell>
          <cell r="C5804">
            <v>0</v>
          </cell>
          <cell r="D5804">
            <v>0</v>
          </cell>
          <cell r="E5804">
            <v>0</v>
          </cell>
          <cell r="F5804">
            <v>0</v>
          </cell>
          <cell r="G5804">
            <v>0</v>
          </cell>
          <cell r="H5804">
            <v>0</v>
          </cell>
          <cell r="I5804">
            <v>0</v>
          </cell>
          <cell r="J5804">
            <v>0</v>
          </cell>
        </row>
        <row r="5805">
          <cell r="A5805">
            <v>1829800562</v>
          </cell>
          <cell r="B5805" t="str">
            <v>הדפסות</v>
          </cell>
          <cell r="C5805">
            <v>0</v>
          </cell>
          <cell r="D5805">
            <v>0</v>
          </cell>
          <cell r="E5805">
            <v>0</v>
          </cell>
          <cell r="F5805">
            <v>0</v>
          </cell>
          <cell r="G5805">
            <v>0</v>
          </cell>
          <cell r="H5805">
            <v>0</v>
          </cell>
          <cell r="I5805">
            <v>0</v>
          </cell>
          <cell r="J5805">
            <v>0</v>
          </cell>
        </row>
        <row r="5806">
          <cell r="A5806">
            <v>1829800710</v>
          </cell>
          <cell r="B5806" t="str">
            <v>הובלות והסעות</v>
          </cell>
          <cell r="C5806">
            <v>0</v>
          </cell>
          <cell r="D5806">
            <v>0</v>
          </cell>
          <cell r="E5806">
            <v>0</v>
          </cell>
          <cell r="F5806">
            <v>0</v>
          </cell>
          <cell r="G5806">
            <v>0</v>
          </cell>
          <cell r="H5806">
            <v>0</v>
          </cell>
          <cell r="I5806">
            <v>0</v>
          </cell>
          <cell r="J5806">
            <v>0</v>
          </cell>
        </row>
        <row r="5807">
          <cell r="A5807">
            <v>1829800721</v>
          </cell>
          <cell r="B5807" t="str">
            <v>חמרים-תחזוקת מבנים</v>
          </cell>
          <cell r="C5807">
            <v>0</v>
          </cell>
          <cell r="D5807">
            <v>0</v>
          </cell>
          <cell r="E5807">
            <v>0</v>
          </cell>
          <cell r="F5807">
            <v>0</v>
          </cell>
          <cell r="G5807">
            <v>0</v>
          </cell>
          <cell r="H5807">
            <v>0</v>
          </cell>
          <cell r="I5807">
            <v>0</v>
          </cell>
          <cell r="J5807">
            <v>0</v>
          </cell>
        </row>
        <row r="5808">
          <cell r="A5808">
            <v>1829800722</v>
          </cell>
          <cell r="B5808" t="str">
            <v>חמרים-תחזוקה עצמית</v>
          </cell>
          <cell r="C5808">
            <v>0</v>
          </cell>
          <cell r="D5808">
            <v>0</v>
          </cell>
          <cell r="E5808">
            <v>0</v>
          </cell>
          <cell r="F5808">
            <v>0</v>
          </cell>
          <cell r="G5808">
            <v>0</v>
          </cell>
          <cell r="H5808">
            <v>0</v>
          </cell>
          <cell r="I5808">
            <v>0</v>
          </cell>
          <cell r="J5808">
            <v>0</v>
          </cell>
        </row>
        <row r="5809">
          <cell r="A5809">
            <v>1829800723</v>
          </cell>
          <cell r="B5809" t="str">
            <v>חומרים לחוגים</v>
          </cell>
          <cell r="C5809">
            <v>0</v>
          </cell>
          <cell r="D5809">
            <v>0</v>
          </cell>
          <cell r="E5809">
            <v>0</v>
          </cell>
          <cell r="F5809">
            <v>0</v>
          </cell>
          <cell r="G5809">
            <v>0</v>
          </cell>
          <cell r="H5809">
            <v>0</v>
          </cell>
          <cell r="I5809">
            <v>0</v>
          </cell>
          <cell r="J5809">
            <v>0</v>
          </cell>
        </row>
        <row r="5810">
          <cell r="A5810">
            <v>1829800742</v>
          </cell>
          <cell r="B5810" t="str">
            <v>כלים וציוד</v>
          </cell>
          <cell r="C5810">
            <v>0</v>
          </cell>
          <cell r="D5810">
            <v>0</v>
          </cell>
          <cell r="E5810">
            <v>0</v>
          </cell>
          <cell r="F5810">
            <v>0</v>
          </cell>
          <cell r="G5810">
            <v>0</v>
          </cell>
          <cell r="H5810">
            <v>0</v>
          </cell>
          <cell r="I5810">
            <v>0</v>
          </cell>
          <cell r="J5810">
            <v>0</v>
          </cell>
        </row>
        <row r="5811">
          <cell r="A5811">
            <v>1829800745</v>
          </cell>
          <cell r="B5811" t="str">
            <v>דמי פריצה - תכולה</v>
          </cell>
          <cell r="C5811">
            <v>0</v>
          </cell>
          <cell r="D5811">
            <v>0</v>
          </cell>
          <cell r="E5811">
            <v>0</v>
          </cell>
          <cell r="F5811">
            <v>0</v>
          </cell>
          <cell r="G5811">
            <v>0</v>
          </cell>
          <cell r="H5811">
            <v>0</v>
          </cell>
          <cell r="I5811">
            <v>0</v>
          </cell>
          <cell r="J5811">
            <v>0</v>
          </cell>
        </row>
        <row r="5812">
          <cell r="A5812">
            <v>1829800751</v>
          </cell>
          <cell r="B5812" t="str">
            <v>עבודות קבלניות</v>
          </cell>
          <cell r="C5812">
            <v>0</v>
          </cell>
          <cell r="D5812">
            <v>0</v>
          </cell>
          <cell r="E5812">
            <v>0</v>
          </cell>
          <cell r="F5812">
            <v>0</v>
          </cell>
          <cell r="G5812">
            <v>0</v>
          </cell>
          <cell r="H5812">
            <v>0</v>
          </cell>
          <cell r="I5812">
            <v>0</v>
          </cell>
          <cell r="J5812">
            <v>0</v>
          </cell>
        </row>
        <row r="5813">
          <cell r="A5813">
            <v>1829800752</v>
          </cell>
          <cell r="B5813" t="str">
            <v>נקיון בקבלנות</v>
          </cell>
          <cell r="C5813">
            <v>0</v>
          </cell>
          <cell r="D5813">
            <v>0</v>
          </cell>
          <cell r="E5813">
            <v>0</v>
          </cell>
          <cell r="F5813">
            <v>0</v>
          </cell>
          <cell r="G5813">
            <v>0</v>
          </cell>
          <cell r="H5813">
            <v>0</v>
          </cell>
          <cell r="I5813">
            <v>0</v>
          </cell>
          <cell r="J5813">
            <v>0</v>
          </cell>
        </row>
        <row r="5814">
          <cell r="A5814">
            <v>1829800753</v>
          </cell>
          <cell r="B5814" t="str">
            <v>עובדי חב' כ"א</v>
          </cell>
          <cell r="C5814">
            <v>0</v>
          </cell>
          <cell r="D5814">
            <v>0</v>
          </cell>
          <cell r="E5814">
            <v>0</v>
          </cell>
          <cell r="F5814">
            <v>0</v>
          </cell>
          <cell r="G5814">
            <v>0</v>
          </cell>
          <cell r="H5814">
            <v>0</v>
          </cell>
          <cell r="I5814">
            <v>0</v>
          </cell>
          <cell r="J5814">
            <v>0</v>
          </cell>
        </row>
        <row r="5815">
          <cell r="A5815">
            <v>1829800757</v>
          </cell>
          <cell r="B5815" t="str">
            <v>חוגים בקבלנות</v>
          </cell>
          <cell r="C5815">
            <v>0</v>
          </cell>
          <cell r="D5815">
            <v>0</v>
          </cell>
          <cell r="E5815">
            <v>0</v>
          </cell>
          <cell r="F5815">
            <v>0</v>
          </cell>
          <cell r="G5815">
            <v>0</v>
          </cell>
          <cell r="H5815">
            <v>0</v>
          </cell>
          <cell r="I5815">
            <v>0</v>
          </cell>
          <cell r="J5815">
            <v>0</v>
          </cell>
        </row>
        <row r="5816">
          <cell r="A5816">
            <v>1829800758</v>
          </cell>
          <cell r="B5816" t="str">
            <v>הפעלת המרכז</v>
          </cell>
          <cell r="C5816">
            <v>0</v>
          </cell>
          <cell r="D5816">
            <v>0</v>
          </cell>
          <cell r="E5816">
            <v>0</v>
          </cell>
          <cell r="F5816">
            <v>0</v>
          </cell>
          <cell r="G5816">
            <v>0</v>
          </cell>
          <cell r="H5816">
            <v>0</v>
          </cell>
          <cell r="I5816">
            <v>0</v>
          </cell>
          <cell r="J5816">
            <v>0</v>
          </cell>
        </row>
        <row r="5817">
          <cell r="A5817">
            <v>1829800763</v>
          </cell>
          <cell r="B5817" t="str">
            <v>עובדי חברת מוסדות</v>
          </cell>
          <cell r="C5817">
            <v>0</v>
          </cell>
          <cell r="D5817">
            <v>0</v>
          </cell>
          <cell r="E5817">
            <v>0</v>
          </cell>
          <cell r="F5817">
            <v>0</v>
          </cell>
          <cell r="G5817">
            <v>0</v>
          </cell>
          <cell r="H5817">
            <v>0</v>
          </cell>
          <cell r="I5817">
            <v>0</v>
          </cell>
          <cell r="J5817">
            <v>0</v>
          </cell>
        </row>
        <row r="5818">
          <cell r="A5818">
            <v>1829800780</v>
          </cell>
          <cell r="B5818" t="str">
            <v>שכר מרקידים</v>
          </cell>
          <cell r="C5818">
            <v>0</v>
          </cell>
          <cell r="D5818">
            <v>0</v>
          </cell>
          <cell r="E5818">
            <v>0</v>
          </cell>
          <cell r="F5818">
            <v>0</v>
          </cell>
          <cell r="G5818">
            <v>0</v>
          </cell>
          <cell r="H5818">
            <v>0</v>
          </cell>
          <cell r="I5818">
            <v>0</v>
          </cell>
          <cell r="J5818">
            <v>0</v>
          </cell>
        </row>
        <row r="5819">
          <cell r="A5819">
            <v>1829800781</v>
          </cell>
          <cell r="B5819" t="str">
            <v>ארועים</v>
          </cell>
          <cell r="C5819">
            <v>0</v>
          </cell>
          <cell r="D5819">
            <v>0</v>
          </cell>
          <cell r="E5819">
            <v>0</v>
          </cell>
          <cell r="F5819">
            <v>0</v>
          </cell>
          <cell r="G5819">
            <v>0</v>
          </cell>
          <cell r="H5819">
            <v>0</v>
          </cell>
          <cell r="I5819">
            <v>0</v>
          </cell>
          <cell r="J5819">
            <v>0</v>
          </cell>
        </row>
        <row r="5820">
          <cell r="A5820">
            <v>1829800786</v>
          </cell>
          <cell r="B5820" t="str">
            <v>פע' מועדוני ספורט</v>
          </cell>
          <cell r="C5820">
            <v>0</v>
          </cell>
          <cell r="D5820">
            <v>0</v>
          </cell>
          <cell r="E5820">
            <v>0</v>
          </cell>
          <cell r="F5820">
            <v>0</v>
          </cell>
          <cell r="G5820">
            <v>0</v>
          </cell>
          <cell r="H5820">
            <v>0</v>
          </cell>
          <cell r="I5820">
            <v>0</v>
          </cell>
          <cell r="J5820">
            <v>0</v>
          </cell>
        </row>
        <row r="5821">
          <cell r="A5821">
            <v>1829800789</v>
          </cell>
          <cell r="B5821" t="str">
            <v>קייטנת קיץ</v>
          </cell>
          <cell r="C5821">
            <v>0</v>
          </cell>
          <cell r="D5821">
            <v>0</v>
          </cell>
          <cell r="E5821">
            <v>0</v>
          </cell>
          <cell r="F5821">
            <v>0</v>
          </cell>
          <cell r="G5821">
            <v>0</v>
          </cell>
          <cell r="H5821">
            <v>0</v>
          </cell>
          <cell r="I5821">
            <v>0</v>
          </cell>
          <cell r="J5821">
            <v>0</v>
          </cell>
        </row>
        <row r="5822">
          <cell r="A5822">
            <v>1829800810</v>
          </cell>
          <cell r="B5822" t="str">
            <v>השת' בתק' הפעלה</v>
          </cell>
          <cell r="C5822">
            <v>137750</v>
          </cell>
          <cell r="D5822">
            <v>145000</v>
          </cell>
          <cell r="E5822">
            <v>0</v>
          </cell>
          <cell r="F5822">
            <v>145000</v>
          </cell>
          <cell r="G5822">
            <v>-7250</v>
          </cell>
          <cell r="H5822">
            <v>105.26</v>
          </cell>
          <cell r="I5822">
            <v>145000</v>
          </cell>
          <cell r="J5822">
            <v>145000</v>
          </cell>
        </row>
        <row r="5823">
          <cell r="A5823">
            <v>1829800879</v>
          </cell>
          <cell r="B5823" t="str">
            <v>ביטוח-כנגד הכנסות</v>
          </cell>
          <cell r="C5823">
            <v>0</v>
          </cell>
          <cell r="D5823">
            <v>0</v>
          </cell>
          <cell r="E5823">
            <v>0</v>
          </cell>
          <cell r="F5823">
            <v>0</v>
          </cell>
          <cell r="G5823">
            <v>0</v>
          </cell>
          <cell r="H5823">
            <v>0</v>
          </cell>
          <cell r="I5823">
            <v>0</v>
          </cell>
          <cell r="J5823">
            <v>0</v>
          </cell>
        </row>
        <row r="5824">
          <cell r="A5824">
            <v>1829900431</v>
          </cell>
          <cell r="B5824" t="str">
            <v>חשמל-לזרוס</v>
          </cell>
          <cell r="C5824">
            <v>0</v>
          </cell>
          <cell r="D5824">
            <v>0</v>
          </cell>
          <cell r="E5824">
            <v>0</v>
          </cell>
          <cell r="F5824">
            <v>0</v>
          </cell>
          <cell r="G5824">
            <v>0</v>
          </cell>
          <cell r="H5824">
            <v>0</v>
          </cell>
          <cell r="I5824">
            <v>0</v>
          </cell>
          <cell r="J5824">
            <v>0</v>
          </cell>
        </row>
        <row r="5825">
          <cell r="A5825">
            <v>1829900580</v>
          </cell>
          <cell r="B5825" t="str">
            <v>בקרה תקציבית</v>
          </cell>
          <cell r="C5825">
            <v>87020</v>
          </cell>
          <cell r="D5825">
            <v>78975.5</v>
          </cell>
          <cell r="E5825">
            <v>0</v>
          </cell>
          <cell r="F5825">
            <v>78975.5</v>
          </cell>
          <cell r="G5825">
            <v>8044.5</v>
          </cell>
          <cell r="H5825">
            <v>90.75</v>
          </cell>
          <cell r="I5825">
            <v>91600</v>
          </cell>
          <cell r="J5825">
            <v>78975.5</v>
          </cell>
        </row>
        <row r="5826">
          <cell r="A5826">
            <v>1829900690</v>
          </cell>
          <cell r="B5826" t="str">
            <v>פרעון הלוואות</v>
          </cell>
          <cell r="C5826">
            <v>0</v>
          </cell>
          <cell r="D5826">
            <v>0</v>
          </cell>
          <cell r="E5826">
            <v>0</v>
          </cell>
          <cell r="F5826">
            <v>0</v>
          </cell>
          <cell r="G5826">
            <v>0</v>
          </cell>
          <cell r="H5826">
            <v>0</v>
          </cell>
          <cell r="I5826">
            <v>0</v>
          </cell>
          <cell r="J5826">
            <v>0</v>
          </cell>
        </row>
        <row r="5827">
          <cell r="A5827">
            <v>1829900810</v>
          </cell>
          <cell r="B5827" t="str">
            <v>פרוייקטים</v>
          </cell>
          <cell r="C5827">
            <v>0</v>
          </cell>
          <cell r="D5827">
            <v>0</v>
          </cell>
          <cell r="E5827">
            <v>0</v>
          </cell>
          <cell r="F5827">
            <v>0</v>
          </cell>
          <cell r="G5827">
            <v>0</v>
          </cell>
          <cell r="H5827">
            <v>0</v>
          </cell>
          <cell r="I5827">
            <v>0</v>
          </cell>
          <cell r="J5827">
            <v>0</v>
          </cell>
        </row>
        <row r="5828">
          <cell r="A5828">
            <v>1829900811</v>
          </cell>
          <cell r="B5828" t="str">
            <v>מרכזי מצוינות</v>
          </cell>
          <cell r="C5828">
            <v>0</v>
          </cell>
          <cell r="D5828">
            <v>0</v>
          </cell>
          <cell r="E5828">
            <v>0</v>
          </cell>
          <cell r="F5828">
            <v>0</v>
          </cell>
          <cell r="G5828">
            <v>0</v>
          </cell>
          <cell r="H5828">
            <v>0</v>
          </cell>
          <cell r="I5828">
            <v>0</v>
          </cell>
          <cell r="J5828">
            <v>0</v>
          </cell>
        </row>
        <row r="5829">
          <cell r="A5829">
            <v>1829900820</v>
          </cell>
          <cell r="B5829" t="str">
            <v>קמפוס קציר כ"י נער</v>
          </cell>
          <cell r="C5829">
            <v>0</v>
          </cell>
          <cell r="D5829">
            <v>0</v>
          </cell>
          <cell r="E5829">
            <v>0</v>
          </cell>
          <cell r="F5829">
            <v>0</v>
          </cell>
          <cell r="G5829">
            <v>0</v>
          </cell>
          <cell r="H5829">
            <v>0</v>
          </cell>
          <cell r="I5829">
            <v>0</v>
          </cell>
          <cell r="J5829">
            <v>0</v>
          </cell>
        </row>
        <row r="5830">
          <cell r="A5830">
            <v>1829900821</v>
          </cell>
          <cell r="B5830" t="str">
            <v>עמותת ספורט בגין חולון</v>
          </cell>
          <cell r="C5830">
            <v>0</v>
          </cell>
          <cell r="D5830">
            <v>161050</v>
          </cell>
          <cell r="E5830">
            <v>0</v>
          </cell>
          <cell r="F5830">
            <v>161050</v>
          </cell>
          <cell r="G5830">
            <v>-161050</v>
          </cell>
          <cell r="H5830">
            <v>0</v>
          </cell>
          <cell r="I5830">
            <v>0</v>
          </cell>
          <cell r="J5830">
            <v>161050</v>
          </cell>
        </row>
        <row r="5831">
          <cell r="A5831">
            <v>1829900822</v>
          </cell>
          <cell r="B5831" t="str">
            <v>תמיכות ספורט</v>
          </cell>
          <cell r="C5831">
            <v>6156000</v>
          </cell>
          <cell r="D5831">
            <v>0</v>
          </cell>
          <cell r="E5831">
            <v>0</v>
          </cell>
          <cell r="F5831">
            <v>0</v>
          </cell>
          <cell r="G5831">
            <v>6156000</v>
          </cell>
          <cell r="H5831">
            <v>0</v>
          </cell>
          <cell r="I5831">
            <v>6480000</v>
          </cell>
          <cell r="J5831">
            <v>0</v>
          </cell>
        </row>
        <row r="5832">
          <cell r="A5832">
            <v>1829900823</v>
          </cell>
          <cell r="B5832" t="str">
            <v>השגיות</v>
          </cell>
          <cell r="C5832">
            <v>1824000</v>
          </cell>
          <cell r="D5832">
            <v>1920001</v>
          </cell>
          <cell r="E5832">
            <v>0</v>
          </cell>
          <cell r="F5832">
            <v>1920001</v>
          </cell>
          <cell r="G5832">
            <v>-96001</v>
          </cell>
          <cell r="H5832">
            <v>105.26</v>
          </cell>
          <cell r="I5832">
            <v>1920000</v>
          </cell>
          <cell r="J5832">
            <v>1920001</v>
          </cell>
        </row>
        <row r="5833">
          <cell r="A5833">
            <v>1829900824</v>
          </cell>
          <cell r="B5833" t="str">
            <v>דמי שימוש</v>
          </cell>
          <cell r="C5833">
            <v>0</v>
          </cell>
          <cell r="D5833">
            <v>0</v>
          </cell>
          <cell r="E5833">
            <v>0</v>
          </cell>
          <cell r="F5833">
            <v>0</v>
          </cell>
          <cell r="G5833">
            <v>0</v>
          </cell>
          <cell r="H5833">
            <v>0</v>
          </cell>
          <cell r="I5833">
            <v>0</v>
          </cell>
          <cell r="J5833">
            <v>0</v>
          </cell>
        </row>
        <row r="5834">
          <cell r="A5834">
            <v>1829900825</v>
          </cell>
          <cell r="B5834" t="str">
            <v>יתרות משנה קודמת</v>
          </cell>
          <cell r="C5834">
            <v>0</v>
          </cell>
          <cell r="D5834">
            <v>0</v>
          </cell>
          <cell r="E5834">
            <v>0</v>
          </cell>
          <cell r="F5834">
            <v>0</v>
          </cell>
          <cell r="G5834">
            <v>0</v>
          </cell>
          <cell r="H5834">
            <v>0</v>
          </cell>
          <cell r="I5834">
            <v>0</v>
          </cell>
          <cell r="J5834">
            <v>0</v>
          </cell>
        </row>
        <row r="5835">
          <cell r="A5835">
            <v>1829900826</v>
          </cell>
          <cell r="B5835" t="str">
            <v>כוכב עולה נוער</v>
          </cell>
          <cell r="C5835">
            <v>0</v>
          </cell>
          <cell r="D5835">
            <v>426799</v>
          </cell>
          <cell r="E5835">
            <v>0</v>
          </cell>
          <cell r="F5835">
            <v>426799</v>
          </cell>
          <cell r="G5835">
            <v>-426799</v>
          </cell>
          <cell r="H5835">
            <v>0</v>
          </cell>
          <cell r="I5835">
            <v>0</v>
          </cell>
          <cell r="J5835">
            <v>426799</v>
          </cell>
        </row>
        <row r="5836">
          <cell r="A5836">
            <v>1829900827</v>
          </cell>
          <cell r="B5836" t="str">
            <v>צפרירים נוער</v>
          </cell>
          <cell r="C5836">
            <v>0</v>
          </cell>
          <cell r="D5836">
            <v>112416</v>
          </cell>
          <cell r="E5836">
            <v>0</v>
          </cell>
          <cell r="F5836">
            <v>112416</v>
          </cell>
          <cell r="G5836">
            <v>-112416</v>
          </cell>
          <cell r="H5836">
            <v>0</v>
          </cell>
          <cell r="I5836">
            <v>0</v>
          </cell>
          <cell r="J5836">
            <v>112416</v>
          </cell>
        </row>
        <row r="5837">
          <cell r="A5837">
            <v>1829900828</v>
          </cell>
          <cell r="B5837" t="str">
            <v>ריקודים סלוניים</v>
          </cell>
          <cell r="C5837">
            <v>0</v>
          </cell>
          <cell r="D5837">
            <v>8947</v>
          </cell>
          <cell r="E5837">
            <v>0</v>
          </cell>
          <cell r="F5837">
            <v>8947</v>
          </cell>
          <cell r="G5837">
            <v>-8947</v>
          </cell>
          <cell r="H5837">
            <v>0</v>
          </cell>
          <cell r="I5837">
            <v>0</v>
          </cell>
          <cell r="J5837">
            <v>8947</v>
          </cell>
        </row>
        <row r="5838">
          <cell r="A5838">
            <v>1829900880</v>
          </cell>
          <cell r="B5838" t="str">
            <v>צפרירים</v>
          </cell>
          <cell r="C5838">
            <v>0</v>
          </cell>
          <cell r="D5838">
            <v>0</v>
          </cell>
          <cell r="E5838">
            <v>0</v>
          </cell>
          <cell r="F5838">
            <v>0</v>
          </cell>
          <cell r="G5838">
            <v>0</v>
          </cell>
          <cell r="H5838">
            <v>0</v>
          </cell>
          <cell r="I5838">
            <v>0</v>
          </cell>
          <cell r="J5838">
            <v>0</v>
          </cell>
        </row>
        <row r="5839">
          <cell r="A5839">
            <v>1829900881</v>
          </cell>
          <cell r="B5839" t="str">
            <v>פיסגה - אומנויות לחימה</v>
          </cell>
          <cell r="C5839">
            <v>0</v>
          </cell>
          <cell r="D5839">
            <v>152103</v>
          </cell>
          <cell r="E5839">
            <v>0</v>
          </cell>
          <cell r="F5839">
            <v>152103</v>
          </cell>
          <cell r="G5839">
            <v>-152103</v>
          </cell>
          <cell r="H5839">
            <v>0</v>
          </cell>
          <cell r="I5839">
            <v>0</v>
          </cell>
          <cell r="J5839">
            <v>152103</v>
          </cell>
        </row>
        <row r="5840">
          <cell r="A5840">
            <v>1829900882</v>
          </cell>
          <cell r="B5840" t="str">
            <v>כדוריד חולון בוגרים</v>
          </cell>
          <cell r="C5840">
            <v>0</v>
          </cell>
          <cell r="D5840">
            <v>558903</v>
          </cell>
          <cell r="E5840">
            <v>0</v>
          </cell>
          <cell r="F5840">
            <v>558903</v>
          </cell>
          <cell r="G5840">
            <v>-558903</v>
          </cell>
          <cell r="H5840">
            <v>0</v>
          </cell>
          <cell r="I5840">
            <v>0</v>
          </cell>
          <cell r="J5840">
            <v>558903</v>
          </cell>
        </row>
        <row r="5841">
          <cell r="A5841">
            <v>1829900883</v>
          </cell>
          <cell r="B5841" t="str">
            <v>אליצור כדורסל</v>
          </cell>
          <cell r="C5841">
            <v>0</v>
          </cell>
          <cell r="D5841">
            <v>805252.5</v>
          </cell>
          <cell r="E5841">
            <v>0</v>
          </cell>
          <cell r="F5841">
            <v>805252.5</v>
          </cell>
          <cell r="G5841">
            <v>-805252.5</v>
          </cell>
          <cell r="H5841">
            <v>0</v>
          </cell>
          <cell r="I5841">
            <v>0</v>
          </cell>
          <cell r="J5841">
            <v>805252.5</v>
          </cell>
        </row>
        <row r="5842">
          <cell r="A5842">
            <v>1829900884</v>
          </cell>
          <cell r="B5842" t="str">
            <v>סלעים איתנים-כדורסל בוגרים</v>
          </cell>
          <cell r="C5842">
            <v>0</v>
          </cell>
          <cell r="D5842">
            <v>1842088</v>
          </cell>
          <cell r="E5842">
            <v>0</v>
          </cell>
          <cell r="F5842">
            <v>1842088</v>
          </cell>
          <cell r="G5842">
            <v>-1842088</v>
          </cell>
          <cell r="H5842">
            <v>0</v>
          </cell>
          <cell r="I5842">
            <v>0</v>
          </cell>
          <cell r="J5842">
            <v>1842088</v>
          </cell>
        </row>
        <row r="5843">
          <cell r="A5843">
            <v>1829900885</v>
          </cell>
          <cell r="B5843" t="str">
            <v>מועדון הנוער בכדורגל ירמיהו</v>
          </cell>
          <cell r="C5843">
            <v>0</v>
          </cell>
          <cell r="D5843">
            <v>64527</v>
          </cell>
          <cell r="E5843">
            <v>0</v>
          </cell>
          <cell r="F5843">
            <v>64527</v>
          </cell>
          <cell r="G5843">
            <v>-64527</v>
          </cell>
          <cell r="H5843">
            <v>0</v>
          </cell>
          <cell r="I5843">
            <v>0</v>
          </cell>
          <cell r="J5843">
            <v>64527</v>
          </cell>
        </row>
        <row r="5844">
          <cell r="A5844">
            <v>1829900886</v>
          </cell>
          <cell r="B5844" t="str">
            <v>מכבי התע' אומנותית</v>
          </cell>
          <cell r="C5844">
            <v>0</v>
          </cell>
          <cell r="D5844">
            <v>456310</v>
          </cell>
          <cell r="E5844">
            <v>0</v>
          </cell>
          <cell r="F5844">
            <v>456310</v>
          </cell>
          <cell r="G5844">
            <v>-456310</v>
          </cell>
          <cell r="H5844">
            <v>0</v>
          </cell>
          <cell r="I5844">
            <v>0</v>
          </cell>
          <cell r="J5844">
            <v>456310</v>
          </cell>
        </row>
        <row r="5845">
          <cell r="A5845">
            <v>1829900887</v>
          </cell>
          <cell r="B5845" t="str">
            <v>כוכב עולה-כדורסל בוגרים</v>
          </cell>
          <cell r="C5845">
            <v>0</v>
          </cell>
          <cell r="D5845">
            <v>0</v>
          </cell>
          <cell r="E5845">
            <v>0</v>
          </cell>
          <cell r="F5845">
            <v>0</v>
          </cell>
          <cell r="G5845">
            <v>0</v>
          </cell>
          <cell r="H5845">
            <v>0</v>
          </cell>
          <cell r="I5845">
            <v>0</v>
          </cell>
          <cell r="J5845">
            <v>0</v>
          </cell>
        </row>
        <row r="5846">
          <cell r="A5846">
            <v>1829900888</v>
          </cell>
          <cell r="B5846" t="str">
            <v>מכבי חולון-כדורגל</v>
          </cell>
          <cell r="C5846">
            <v>0</v>
          </cell>
          <cell r="D5846">
            <v>0</v>
          </cell>
          <cell r="E5846">
            <v>0</v>
          </cell>
          <cell r="F5846">
            <v>0</v>
          </cell>
          <cell r="G5846">
            <v>0</v>
          </cell>
          <cell r="H5846">
            <v>0</v>
          </cell>
          <cell r="I5846">
            <v>0</v>
          </cell>
          <cell r="J5846">
            <v>0</v>
          </cell>
        </row>
        <row r="5847">
          <cell r="A5847">
            <v>1829900889</v>
          </cell>
          <cell r="B5847" t="str">
            <v>כדוריד חולון נוער</v>
          </cell>
          <cell r="C5847">
            <v>0</v>
          </cell>
          <cell r="D5847">
            <v>400124</v>
          </cell>
          <cell r="E5847">
            <v>0</v>
          </cell>
          <cell r="F5847">
            <v>400124</v>
          </cell>
          <cell r="G5847">
            <v>-400124</v>
          </cell>
          <cell r="H5847">
            <v>0</v>
          </cell>
          <cell r="I5847">
            <v>0</v>
          </cell>
          <cell r="J5847">
            <v>400124</v>
          </cell>
        </row>
        <row r="5848">
          <cell r="A5848">
            <v>1829900890</v>
          </cell>
          <cell r="B5848" t="str">
            <v>אלצור-נער כוכבי על</v>
          </cell>
          <cell r="C5848">
            <v>0</v>
          </cell>
          <cell r="D5848">
            <v>269925</v>
          </cell>
          <cell r="E5848">
            <v>0</v>
          </cell>
          <cell r="F5848">
            <v>269925</v>
          </cell>
          <cell r="G5848">
            <v>-269925</v>
          </cell>
          <cell r="H5848">
            <v>0</v>
          </cell>
          <cell r="I5848">
            <v>0</v>
          </cell>
          <cell r="J5848">
            <v>269925</v>
          </cell>
        </row>
        <row r="5849">
          <cell r="A5849">
            <v>1829900891</v>
          </cell>
          <cell r="B5849" t="str">
            <v>הפועל חולון-ענפים</v>
          </cell>
          <cell r="C5849">
            <v>0</v>
          </cell>
          <cell r="D5849">
            <v>196839</v>
          </cell>
          <cell r="E5849">
            <v>0</v>
          </cell>
          <cell r="F5849">
            <v>196839</v>
          </cell>
          <cell r="G5849">
            <v>-196839</v>
          </cell>
          <cell r="H5849">
            <v>0</v>
          </cell>
          <cell r="I5849">
            <v>0</v>
          </cell>
          <cell r="J5849">
            <v>196839</v>
          </cell>
        </row>
        <row r="5850">
          <cell r="A5850">
            <v>1829900892</v>
          </cell>
          <cell r="B5850" t="str">
            <v>א.ס.מור-עמותה לנוער בכדורגל</v>
          </cell>
          <cell r="C5850">
            <v>0</v>
          </cell>
          <cell r="D5850">
            <v>0</v>
          </cell>
          <cell r="E5850">
            <v>0</v>
          </cell>
          <cell r="F5850">
            <v>0</v>
          </cell>
          <cell r="G5850">
            <v>0</v>
          </cell>
          <cell r="H5850">
            <v>0</v>
          </cell>
          <cell r="I5850">
            <v>0</v>
          </cell>
          <cell r="J5850">
            <v>0</v>
          </cell>
        </row>
        <row r="5851">
          <cell r="A5851">
            <v>1829900893</v>
          </cell>
          <cell r="B5851" t="str">
            <v>אייס חולון ע"ר</v>
          </cell>
          <cell r="C5851">
            <v>0</v>
          </cell>
          <cell r="D5851">
            <v>152103</v>
          </cell>
          <cell r="E5851">
            <v>0</v>
          </cell>
          <cell r="F5851">
            <v>152103</v>
          </cell>
          <cell r="G5851">
            <v>-152103</v>
          </cell>
          <cell r="H5851">
            <v>0</v>
          </cell>
          <cell r="I5851">
            <v>0</v>
          </cell>
          <cell r="J5851">
            <v>152103</v>
          </cell>
        </row>
        <row r="5852">
          <cell r="A5852">
            <v>1829900894</v>
          </cell>
          <cell r="B5852" t="str">
            <v>באול 300 חולון</v>
          </cell>
          <cell r="C5852">
            <v>0</v>
          </cell>
          <cell r="D5852">
            <v>8947</v>
          </cell>
          <cell r="E5852">
            <v>0</v>
          </cell>
          <cell r="F5852">
            <v>8947</v>
          </cell>
          <cell r="G5852">
            <v>-8947</v>
          </cell>
          <cell r="H5852">
            <v>0</v>
          </cell>
          <cell r="I5852">
            <v>0</v>
          </cell>
          <cell r="J5852">
            <v>8947</v>
          </cell>
        </row>
        <row r="5853">
          <cell r="A5853">
            <v>1829900895</v>
          </cell>
          <cell r="B5853" t="str">
            <v>עמותת הוקי חולון</v>
          </cell>
          <cell r="C5853">
            <v>0</v>
          </cell>
          <cell r="D5853">
            <v>0</v>
          </cell>
          <cell r="E5853">
            <v>0</v>
          </cell>
          <cell r="F5853">
            <v>0</v>
          </cell>
          <cell r="G5853">
            <v>0</v>
          </cell>
          <cell r="H5853">
            <v>0</v>
          </cell>
          <cell r="I5853">
            <v>0</v>
          </cell>
          <cell r="J5853">
            <v>0</v>
          </cell>
        </row>
        <row r="5854">
          <cell r="A5854">
            <v>1829900896</v>
          </cell>
          <cell r="B5854" t="str">
            <v>"ירמיהו-העמותה לקידום כדורגל"</v>
          </cell>
          <cell r="C5854">
            <v>0</v>
          </cell>
          <cell r="D5854">
            <v>435850</v>
          </cell>
          <cell r="E5854">
            <v>0</v>
          </cell>
          <cell r="F5854">
            <v>435850</v>
          </cell>
          <cell r="G5854">
            <v>-435850</v>
          </cell>
          <cell r="H5854">
            <v>0</v>
          </cell>
          <cell r="I5854">
            <v>0</v>
          </cell>
          <cell r="J5854">
            <v>435850</v>
          </cell>
        </row>
        <row r="5855">
          <cell r="A5855">
            <v>1829900897</v>
          </cell>
          <cell r="B5855" t="str">
            <v>עמותת גלגיליות</v>
          </cell>
          <cell r="C5855">
            <v>0</v>
          </cell>
          <cell r="D5855">
            <v>152103</v>
          </cell>
          <cell r="E5855">
            <v>0</v>
          </cell>
          <cell r="F5855">
            <v>152103</v>
          </cell>
          <cell r="G5855">
            <v>-152103</v>
          </cell>
          <cell r="H5855">
            <v>0</v>
          </cell>
          <cell r="I5855">
            <v>0</v>
          </cell>
          <cell r="J5855">
            <v>152103</v>
          </cell>
        </row>
        <row r="5856">
          <cell r="A5856">
            <v>1829900898</v>
          </cell>
          <cell r="B5856" t="str">
            <v>עוצמה ( ארזים ) כדורגל</v>
          </cell>
          <cell r="C5856">
            <v>0</v>
          </cell>
          <cell r="D5856">
            <v>53465</v>
          </cell>
          <cell r="E5856">
            <v>0</v>
          </cell>
          <cell r="F5856">
            <v>53465</v>
          </cell>
          <cell r="G5856">
            <v>-53465</v>
          </cell>
          <cell r="H5856">
            <v>0</v>
          </cell>
          <cell r="I5856">
            <v>0</v>
          </cell>
          <cell r="J5856">
            <v>53465</v>
          </cell>
        </row>
        <row r="5857">
          <cell r="A5857">
            <v>1829900899</v>
          </cell>
          <cell r="B5857" t="str">
            <v>א.ס.מור-מועדון נווה דוד</v>
          </cell>
          <cell r="C5857">
            <v>0</v>
          </cell>
          <cell r="D5857">
            <v>25405</v>
          </cell>
          <cell r="E5857">
            <v>0</v>
          </cell>
          <cell r="F5857">
            <v>25405</v>
          </cell>
          <cell r="G5857">
            <v>-25405</v>
          </cell>
          <cell r="H5857">
            <v>0</v>
          </cell>
          <cell r="I5857">
            <v>0</v>
          </cell>
          <cell r="J5857">
            <v>25405</v>
          </cell>
        </row>
        <row r="5858">
          <cell r="A5858">
            <v>1829900931</v>
          </cell>
          <cell r="B5858" t="str">
            <v>צפרירים-מענק+שכ"ד</v>
          </cell>
          <cell r="C5858">
            <v>0</v>
          </cell>
          <cell r="D5858">
            <v>0</v>
          </cell>
          <cell r="E5858">
            <v>0</v>
          </cell>
          <cell r="F5858">
            <v>0</v>
          </cell>
          <cell r="G5858">
            <v>0</v>
          </cell>
          <cell r="H5858">
            <v>0</v>
          </cell>
          <cell r="I5858">
            <v>0</v>
          </cell>
          <cell r="J5858">
            <v>0</v>
          </cell>
        </row>
        <row r="5859">
          <cell r="A5859">
            <v>1832300757</v>
          </cell>
          <cell r="B5859" t="str">
            <v>הדבקת מודעות - קבלן</v>
          </cell>
          <cell r="C5859">
            <v>0</v>
          </cell>
          <cell r="D5859">
            <v>0</v>
          </cell>
          <cell r="E5859">
            <v>0</v>
          </cell>
          <cell r="F5859">
            <v>0</v>
          </cell>
          <cell r="G5859">
            <v>0</v>
          </cell>
          <cell r="H5859">
            <v>0</v>
          </cell>
          <cell r="I5859">
            <v>0</v>
          </cell>
          <cell r="J5859">
            <v>0</v>
          </cell>
        </row>
        <row r="5860">
          <cell r="A5860">
            <v>1832400110</v>
          </cell>
          <cell r="B5860" t="str">
            <v>השכר הקובע-תקציבית</v>
          </cell>
          <cell r="C5860">
            <v>0</v>
          </cell>
          <cell r="D5860">
            <v>0</v>
          </cell>
          <cell r="E5860">
            <v>0</v>
          </cell>
          <cell r="F5860">
            <v>0</v>
          </cell>
          <cell r="G5860">
            <v>0</v>
          </cell>
          <cell r="H5860">
            <v>0</v>
          </cell>
          <cell r="I5860">
            <v>0</v>
          </cell>
          <cell r="J5860">
            <v>0</v>
          </cell>
        </row>
        <row r="5861">
          <cell r="A5861">
            <v>1832400122</v>
          </cell>
          <cell r="B5861" t="str">
            <v>ביגוד</v>
          </cell>
          <cell r="C5861">
            <v>0</v>
          </cell>
          <cell r="D5861">
            <v>0</v>
          </cell>
          <cell r="E5861">
            <v>0</v>
          </cell>
          <cell r="F5861">
            <v>0</v>
          </cell>
          <cell r="G5861">
            <v>0</v>
          </cell>
          <cell r="H5861">
            <v>0</v>
          </cell>
          <cell r="I5861">
            <v>0</v>
          </cell>
          <cell r="J5861">
            <v>0</v>
          </cell>
        </row>
        <row r="5862">
          <cell r="A5862">
            <v>1832400126</v>
          </cell>
          <cell r="B5862" t="str">
            <v>דמי הבראה</v>
          </cell>
          <cell r="C5862">
            <v>0</v>
          </cell>
          <cell r="D5862">
            <v>0</v>
          </cell>
          <cell r="E5862">
            <v>0</v>
          </cell>
          <cell r="F5862">
            <v>0</v>
          </cell>
          <cell r="G5862">
            <v>0</v>
          </cell>
          <cell r="H5862">
            <v>0</v>
          </cell>
          <cell r="I5862">
            <v>0</v>
          </cell>
          <cell r="J5862">
            <v>0</v>
          </cell>
        </row>
        <row r="5863">
          <cell r="A5863">
            <v>1832400391</v>
          </cell>
          <cell r="B5863" t="str">
            <v>הפרשה לפנסיה</v>
          </cell>
          <cell r="C5863">
            <v>0</v>
          </cell>
          <cell r="D5863">
            <v>0</v>
          </cell>
          <cell r="E5863">
            <v>0</v>
          </cell>
          <cell r="F5863">
            <v>0</v>
          </cell>
          <cell r="G5863">
            <v>0</v>
          </cell>
          <cell r="H5863">
            <v>0</v>
          </cell>
          <cell r="I5863">
            <v>0</v>
          </cell>
          <cell r="J5863">
            <v>0</v>
          </cell>
        </row>
        <row r="5864">
          <cell r="A5864">
            <v>1832400412</v>
          </cell>
          <cell r="B5864" t="str">
            <v>ארנונה</v>
          </cell>
          <cell r="C5864">
            <v>0</v>
          </cell>
          <cell r="D5864">
            <v>0</v>
          </cell>
          <cell r="E5864">
            <v>0</v>
          </cell>
          <cell r="F5864">
            <v>0</v>
          </cell>
          <cell r="G5864">
            <v>0</v>
          </cell>
          <cell r="H5864">
            <v>0</v>
          </cell>
          <cell r="I5864">
            <v>0</v>
          </cell>
          <cell r="J5864">
            <v>0</v>
          </cell>
        </row>
        <row r="5865">
          <cell r="A5865">
            <v>1832400420</v>
          </cell>
          <cell r="B5865" t="str">
            <v>כיבוי אש</v>
          </cell>
          <cell r="C5865">
            <v>0</v>
          </cell>
          <cell r="D5865">
            <v>0</v>
          </cell>
          <cell r="E5865">
            <v>0</v>
          </cell>
          <cell r="F5865">
            <v>0</v>
          </cell>
          <cell r="G5865">
            <v>0</v>
          </cell>
          <cell r="H5865">
            <v>0</v>
          </cell>
          <cell r="I5865">
            <v>0</v>
          </cell>
          <cell r="J5865">
            <v>0</v>
          </cell>
        </row>
        <row r="5866">
          <cell r="A5866">
            <v>1832400423</v>
          </cell>
          <cell r="B5866" t="str">
            <v>תחזוקת מבנה</v>
          </cell>
          <cell r="C5866">
            <v>63365</v>
          </cell>
          <cell r="D5866">
            <v>66700</v>
          </cell>
          <cell r="E5866">
            <v>0</v>
          </cell>
          <cell r="F5866">
            <v>66700</v>
          </cell>
          <cell r="G5866">
            <v>-3335</v>
          </cell>
          <cell r="H5866">
            <v>105.26</v>
          </cell>
          <cell r="I5866">
            <v>66700</v>
          </cell>
          <cell r="J5866">
            <v>66700</v>
          </cell>
        </row>
        <row r="5867">
          <cell r="A5867">
            <v>1832400431</v>
          </cell>
          <cell r="B5867" t="str">
            <v>חשמל</v>
          </cell>
          <cell r="C5867">
            <v>109725</v>
          </cell>
          <cell r="D5867">
            <v>80025.84</v>
          </cell>
          <cell r="E5867">
            <v>0</v>
          </cell>
          <cell r="F5867">
            <v>80025.84</v>
          </cell>
          <cell r="G5867">
            <v>29699.16</v>
          </cell>
          <cell r="H5867">
            <v>72.930000000000007</v>
          </cell>
          <cell r="I5867">
            <v>115500</v>
          </cell>
          <cell r="J5867">
            <v>80025.84</v>
          </cell>
        </row>
        <row r="5868">
          <cell r="A5868">
            <v>1832400432</v>
          </cell>
          <cell r="B5868" t="str">
            <v>מים</v>
          </cell>
          <cell r="C5868">
            <v>0</v>
          </cell>
          <cell r="D5868">
            <v>0</v>
          </cell>
          <cell r="E5868">
            <v>0</v>
          </cell>
          <cell r="F5868">
            <v>0</v>
          </cell>
          <cell r="G5868">
            <v>0</v>
          </cell>
          <cell r="H5868">
            <v>0</v>
          </cell>
          <cell r="I5868">
            <v>0</v>
          </cell>
          <cell r="J5868">
            <v>0</v>
          </cell>
        </row>
        <row r="5869">
          <cell r="A5869">
            <v>1832400433</v>
          </cell>
          <cell r="B5869" t="str">
            <v>חומרי נקיון</v>
          </cell>
          <cell r="C5869">
            <v>0</v>
          </cell>
          <cell r="D5869">
            <v>0</v>
          </cell>
          <cell r="E5869">
            <v>0</v>
          </cell>
          <cell r="F5869">
            <v>0</v>
          </cell>
          <cell r="G5869">
            <v>0</v>
          </cell>
          <cell r="H5869">
            <v>0</v>
          </cell>
          <cell r="I5869">
            <v>0</v>
          </cell>
          <cell r="J5869">
            <v>0</v>
          </cell>
        </row>
        <row r="5870">
          <cell r="A5870">
            <v>1832400436</v>
          </cell>
          <cell r="B5870" t="str">
            <v>אחזקת מזגנים</v>
          </cell>
          <cell r="C5870">
            <v>0</v>
          </cell>
          <cell r="D5870">
            <v>0</v>
          </cell>
          <cell r="E5870">
            <v>0</v>
          </cell>
          <cell r="F5870">
            <v>0</v>
          </cell>
          <cell r="G5870">
            <v>0</v>
          </cell>
          <cell r="H5870">
            <v>0</v>
          </cell>
          <cell r="I5870">
            <v>0</v>
          </cell>
          <cell r="J5870">
            <v>0</v>
          </cell>
        </row>
        <row r="5871">
          <cell r="A5871">
            <v>1832400437</v>
          </cell>
          <cell r="B5871" t="str">
            <v>אחזקת אזעקה</v>
          </cell>
          <cell r="C5871">
            <v>2375</v>
          </cell>
          <cell r="D5871">
            <v>1221.48</v>
          </cell>
          <cell r="E5871">
            <v>0</v>
          </cell>
          <cell r="F5871">
            <v>1221.48</v>
          </cell>
          <cell r="G5871">
            <v>1153.52</v>
          </cell>
          <cell r="H5871">
            <v>51.43</v>
          </cell>
          <cell r="I5871">
            <v>2500</v>
          </cell>
          <cell r="J5871">
            <v>1221.48</v>
          </cell>
        </row>
        <row r="5872">
          <cell r="A5872">
            <v>1832400441</v>
          </cell>
          <cell r="B5872" t="str">
            <v>ביטוח</v>
          </cell>
          <cell r="C5872">
            <v>0</v>
          </cell>
          <cell r="D5872">
            <v>0</v>
          </cell>
          <cell r="E5872">
            <v>0</v>
          </cell>
          <cell r="F5872">
            <v>0</v>
          </cell>
          <cell r="G5872">
            <v>0</v>
          </cell>
          <cell r="H5872">
            <v>0</v>
          </cell>
          <cell r="I5872">
            <v>0</v>
          </cell>
          <cell r="J5872">
            <v>0</v>
          </cell>
        </row>
        <row r="5873">
          <cell r="A5873">
            <v>1832400470</v>
          </cell>
          <cell r="B5873" t="str">
            <v>אחזקת מכונות משרד</v>
          </cell>
          <cell r="C5873">
            <v>0</v>
          </cell>
          <cell r="D5873">
            <v>0</v>
          </cell>
          <cell r="E5873">
            <v>0</v>
          </cell>
          <cell r="F5873">
            <v>0</v>
          </cell>
          <cell r="G5873">
            <v>0</v>
          </cell>
          <cell r="H5873">
            <v>0</v>
          </cell>
          <cell r="I5873">
            <v>0</v>
          </cell>
          <cell r="J5873">
            <v>0</v>
          </cell>
        </row>
        <row r="5874">
          <cell r="A5874">
            <v>1832400540</v>
          </cell>
          <cell r="B5874" t="str">
            <v>הוצאות טלפון</v>
          </cell>
          <cell r="C5874">
            <v>2850</v>
          </cell>
          <cell r="D5874">
            <v>0</v>
          </cell>
          <cell r="E5874">
            <v>0</v>
          </cell>
          <cell r="F5874">
            <v>0</v>
          </cell>
          <cell r="G5874">
            <v>2850</v>
          </cell>
          <cell r="H5874">
            <v>0</v>
          </cell>
          <cell r="I5874">
            <v>3000</v>
          </cell>
          <cell r="J5874">
            <v>0</v>
          </cell>
        </row>
        <row r="5875">
          <cell r="A5875">
            <v>1832400550</v>
          </cell>
          <cell r="B5875" t="str">
            <v>פירסומים</v>
          </cell>
          <cell r="C5875">
            <v>0</v>
          </cell>
          <cell r="D5875">
            <v>0</v>
          </cell>
          <cell r="E5875">
            <v>0</v>
          </cell>
          <cell r="F5875">
            <v>0</v>
          </cell>
          <cell r="G5875">
            <v>0</v>
          </cell>
          <cell r="H5875">
            <v>0</v>
          </cell>
          <cell r="I5875">
            <v>0</v>
          </cell>
          <cell r="J5875">
            <v>0</v>
          </cell>
        </row>
        <row r="5876">
          <cell r="A5876">
            <v>1832400561</v>
          </cell>
          <cell r="B5876" t="str">
            <v>שיכפולים</v>
          </cell>
          <cell r="C5876">
            <v>0</v>
          </cell>
          <cell r="D5876">
            <v>0</v>
          </cell>
          <cell r="E5876">
            <v>0</v>
          </cell>
          <cell r="F5876">
            <v>0</v>
          </cell>
          <cell r="G5876">
            <v>0</v>
          </cell>
          <cell r="H5876">
            <v>0</v>
          </cell>
          <cell r="I5876">
            <v>0</v>
          </cell>
          <cell r="J5876">
            <v>0</v>
          </cell>
        </row>
        <row r="5877">
          <cell r="A5877">
            <v>1832400562</v>
          </cell>
          <cell r="B5877" t="str">
            <v>הדפסות</v>
          </cell>
          <cell r="C5877">
            <v>0</v>
          </cell>
          <cell r="D5877">
            <v>0</v>
          </cell>
          <cell r="E5877">
            <v>0</v>
          </cell>
          <cell r="F5877">
            <v>0</v>
          </cell>
          <cell r="G5877">
            <v>0</v>
          </cell>
          <cell r="H5877">
            <v>0</v>
          </cell>
          <cell r="I5877">
            <v>0</v>
          </cell>
          <cell r="J5877">
            <v>0</v>
          </cell>
        </row>
        <row r="5878">
          <cell r="A5878">
            <v>1832400710</v>
          </cell>
          <cell r="B5878" t="str">
            <v>הובלות</v>
          </cell>
          <cell r="C5878">
            <v>0</v>
          </cell>
          <cell r="D5878">
            <v>0</v>
          </cell>
          <cell r="E5878">
            <v>0</v>
          </cell>
          <cell r="F5878">
            <v>0</v>
          </cell>
          <cell r="G5878">
            <v>0</v>
          </cell>
          <cell r="H5878">
            <v>0</v>
          </cell>
          <cell r="I5878">
            <v>0</v>
          </cell>
          <cell r="J5878">
            <v>0</v>
          </cell>
        </row>
        <row r="5879">
          <cell r="A5879">
            <v>1832400721</v>
          </cell>
          <cell r="B5879" t="str">
            <v>חמרים-תחזוקת מבנים</v>
          </cell>
          <cell r="C5879">
            <v>3420</v>
          </cell>
          <cell r="D5879">
            <v>0</v>
          </cell>
          <cell r="E5879">
            <v>0</v>
          </cell>
          <cell r="F5879">
            <v>0</v>
          </cell>
          <cell r="G5879">
            <v>3420</v>
          </cell>
          <cell r="H5879">
            <v>0</v>
          </cell>
          <cell r="I5879">
            <v>3600</v>
          </cell>
          <cell r="J5879">
            <v>0</v>
          </cell>
        </row>
        <row r="5880">
          <cell r="A5880">
            <v>1832400742</v>
          </cell>
          <cell r="B5880" t="str">
            <v>כלים וציוד</v>
          </cell>
          <cell r="C5880">
            <v>0</v>
          </cell>
          <cell r="D5880">
            <v>0</v>
          </cell>
          <cell r="E5880">
            <v>0</v>
          </cell>
          <cell r="F5880">
            <v>0</v>
          </cell>
          <cell r="G5880">
            <v>0</v>
          </cell>
          <cell r="H5880">
            <v>0</v>
          </cell>
          <cell r="I5880">
            <v>0</v>
          </cell>
          <cell r="J5880">
            <v>0</v>
          </cell>
        </row>
        <row r="5881">
          <cell r="A5881">
            <v>1832400745</v>
          </cell>
          <cell r="B5881" t="str">
            <v>דמי פריצה - תכולה</v>
          </cell>
          <cell r="C5881">
            <v>0</v>
          </cell>
          <cell r="D5881">
            <v>0</v>
          </cell>
          <cell r="E5881">
            <v>0</v>
          </cell>
          <cell r="F5881">
            <v>0</v>
          </cell>
          <cell r="G5881">
            <v>0</v>
          </cell>
          <cell r="H5881">
            <v>0</v>
          </cell>
          <cell r="I5881">
            <v>0</v>
          </cell>
          <cell r="J5881">
            <v>0</v>
          </cell>
        </row>
        <row r="5882">
          <cell r="A5882">
            <v>1832400746</v>
          </cell>
          <cell r="B5882" t="str">
            <v>דמי פריצה - מבנה</v>
          </cell>
          <cell r="C5882">
            <v>0</v>
          </cell>
          <cell r="D5882">
            <v>0</v>
          </cell>
          <cell r="E5882">
            <v>0</v>
          </cell>
          <cell r="F5882">
            <v>0</v>
          </cell>
          <cell r="G5882">
            <v>0</v>
          </cell>
          <cell r="H5882">
            <v>0</v>
          </cell>
          <cell r="I5882">
            <v>0</v>
          </cell>
          <cell r="J5882">
            <v>0</v>
          </cell>
        </row>
        <row r="5883">
          <cell r="A5883">
            <v>1832400751</v>
          </cell>
          <cell r="B5883" t="str">
            <v>עבודות קבלניות</v>
          </cell>
          <cell r="C5883">
            <v>46000</v>
          </cell>
          <cell r="D5883">
            <v>45906</v>
          </cell>
          <cell r="E5883">
            <v>0</v>
          </cell>
          <cell r="F5883">
            <v>45906</v>
          </cell>
          <cell r="G5883">
            <v>94</v>
          </cell>
          <cell r="H5883">
            <v>99.79</v>
          </cell>
          <cell r="I5883">
            <v>46000</v>
          </cell>
          <cell r="J5883">
            <v>45906</v>
          </cell>
        </row>
        <row r="5884">
          <cell r="A5884">
            <v>1832400752</v>
          </cell>
          <cell r="B5884" t="str">
            <v>נקיון בקבלנות</v>
          </cell>
          <cell r="C5884">
            <v>152000</v>
          </cell>
          <cell r="D5884">
            <v>153088.06</v>
          </cell>
          <cell r="E5884">
            <v>0</v>
          </cell>
          <cell r="F5884">
            <v>153088.06</v>
          </cell>
          <cell r="G5884">
            <v>-1088.06</v>
          </cell>
          <cell r="H5884">
            <v>100.71</v>
          </cell>
          <cell r="I5884">
            <v>160000</v>
          </cell>
          <cell r="J5884">
            <v>153088.06</v>
          </cell>
        </row>
        <row r="5885">
          <cell r="A5885">
            <v>1832400758</v>
          </cell>
          <cell r="B5885" t="str">
            <v>גינון טיפות חלב</v>
          </cell>
          <cell r="C5885">
            <v>0</v>
          </cell>
          <cell r="D5885">
            <v>0</v>
          </cell>
          <cell r="E5885">
            <v>0</v>
          </cell>
          <cell r="F5885">
            <v>0</v>
          </cell>
          <cell r="G5885">
            <v>0</v>
          </cell>
          <cell r="H5885">
            <v>0</v>
          </cell>
          <cell r="I5885">
            <v>0</v>
          </cell>
          <cell r="J5885">
            <v>0</v>
          </cell>
        </row>
        <row r="5886">
          <cell r="A5886">
            <v>1832400789</v>
          </cell>
          <cell r="B5886" t="str">
            <v>כביסה</v>
          </cell>
          <cell r="C5886">
            <v>0</v>
          </cell>
          <cell r="D5886">
            <v>0</v>
          </cell>
          <cell r="E5886">
            <v>0</v>
          </cell>
          <cell r="F5886">
            <v>0</v>
          </cell>
          <cell r="G5886">
            <v>0</v>
          </cell>
          <cell r="H5886">
            <v>0</v>
          </cell>
          <cell r="I5886">
            <v>0</v>
          </cell>
          <cell r="J5886">
            <v>0</v>
          </cell>
        </row>
        <row r="5887">
          <cell r="A5887">
            <v>1832400794</v>
          </cell>
          <cell r="B5887" t="str">
            <v>השתתפות בעזר 094</v>
          </cell>
          <cell r="C5887">
            <v>0</v>
          </cell>
          <cell r="D5887">
            <v>0</v>
          </cell>
          <cell r="E5887">
            <v>0</v>
          </cell>
          <cell r="F5887">
            <v>0</v>
          </cell>
          <cell r="G5887">
            <v>0</v>
          </cell>
          <cell r="H5887">
            <v>0</v>
          </cell>
          <cell r="I5887">
            <v>0</v>
          </cell>
          <cell r="J5887">
            <v>0</v>
          </cell>
        </row>
        <row r="5888">
          <cell r="A5888">
            <v>1832400810</v>
          </cell>
          <cell r="B5888" t="str">
            <v>תשלום למשרד הבר</v>
          </cell>
          <cell r="C5888">
            <v>0</v>
          </cell>
          <cell r="D5888">
            <v>0</v>
          </cell>
          <cell r="E5888">
            <v>0</v>
          </cell>
          <cell r="F5888">
            <v>0</v>
          </cell>
          <cell r="G5888">
            <v>0</v>
          </cell>
          <cell r="H5888">
            <v>0</v>
          </cell>
          <cell r="I5888">
            <v>0</v>
          </cell>
          <cell r="J5888">
            <v>0</v>
          </cell>
        </row>
        <row r="5889">
          <cell r="A5889">
            <v>1832400932</v>
          </cell>
          <cell r="B5889" t="str">
            <v>רכישות חד פעמיות</v>
          </cell>
          <cell r="C5889">
            <v>0</v>
          </cell>
          <cell r="D5889">
            <v>0</v>
          </cell>
          <cell r="E5889">
            <v>0</v>
          </cell>
          <cell r="F5889">
            <v>0</v>
          </cell>
          <cell r="G5889">
            <v>0</v>
          </cell>
          <cell r="H5889">
            <v>0</v>
          </cell>
          <cell r="I5889">
            <v>0</v>
          </cell>
          <cell r="J5889">
            <v>0</v>
          </cell>
        </row>
        <row r="5890">
          <cell r="A5890">
            <v>1835100110</v>
          </cell>
          <cell r="B5890" t="str">
            <v>השכר הקובע-תקציבית</v>
          </cell>
          <cell r="C5890">
            <v>0</v>
          </cell>
          <cell r="D5890">
            <v>0</v>
          </cell>
          <cell r="E5890">
            <v>0</v>
          </cell>
          <cell r="F5890">
            <v>0</v>
          </cell>
          <cell r="G5890">
            <v>0</v>
          </cell>
          <cell r="H5890">
            <v>0</v>
          </cell>
          <cell r="I5890">
            <v>0</v>
          </cell>
          <cell r="J5890">
            <v>0</v>
          </cell>
        </row>
        <row r="5891">
          <cell r="A5891">
            <v>1835100122</v>
          </cell>
          <cell r="B5891" t="str">
            <v>ביגוד</v>
          </cell>
          <cell r="C5891">
            <v>0</v>
          </cell>
          <cell r="D5891">
            <v>0</v>
          </cell>
          <cell r="E5891">
            <v>0</v>
          </cell>
          <cell r="F5891">
            <v>0</v>
          </cell>
          <cell r="G5891">
            <v>0</v>
          </cell>
          <cell r="H5891">
            <v>0</v>
          </cell>
          <cell r="I5891">
            <v>0</v>
          </cell>
          <cell r="J5891">
            <v>0</v>
          </cell>
        </row>
        <row r="5892">
          <cell r="A5892">
            <v>1835100126</v>
          </cell>
          <cell r="B5892" t="str">
            <v>דמי הבראה</v>
          </cell>
          <cell r="C5892">
            <v>0</v>
          </cell>
          <cell r="D5892">
            <v>0</v>
          </cell>
          <cell r="E5892">
            <v>0</v>
          </cell>
          <cell r="F5892">
            <v>0</v>
          </cell>
          <cell r="G5892">
            <v>0</v>
          </cell>
          <cell r="H5892">
            <v>0</v>
          </cell>
          <cell r="I5892">
            <v>0</v>
          </cell>
          <cell r="J5892">
            <v>0</v>
          </cell>
        </row>
        <row r="5893">
          <cell r="A5893">
            <v>1835100140</v>
          </cell>
          <cell r="B5893" t="str">
            <v>השתתפות באחזקת רכב</v>
          </cell>
          <cell r="C5893">
            <v>0</v>
          </cell>
          <cell r="D5893">
            <v>0</v>
          </cell>
          <cell r="E5893">
            <v>0</v>
          </cell>
          <cell r="F5893">
            <v>0</v>
          </cell>
          <cell r="G5893">
            <v>0</v>
          </cell>
          <cell r="H5893">
            <v>0</v>
          </cell>
          <cell r="I5893">
            <v>0</v>
          </cell>
          <cell r="J5893">
            <v>0</v>
          </cell>
        </row>
        <row r="5894">
          <cell r="A5894">
            <v>1835100391</v>
          </cell>
          <cell r="B5894" t="str">
            <v>הפרשה לפנסיה</v>
          </cell>
          <cell r="C5894">
            <v>0</v>
          </cell>
          <cell r="D5894">
            <v>0</v>
          </cell>
          <cell r="E5894">
            <v>0</v>
          </cell>
          <cell r="F5894">
            <v>0</v>
          </cell>
          <cell r="G5894">
            <v>0</v>
          </cell>
          <cell r="H5894">
            <v>0</v>
          </cell>
          <cell r="I5894">
            <v>0</v>
          </cell>
          <cell r="J5894">
            <v>0</v>
          </cell>
        </row>
        <row r="5895">
          <cell r="A5895">
            <v>1835100412</v>
          </cell>
          <cell r="B5895" t="str">
            <v>ארנונה</v>
          </cell>
          <cell r="C5895">
            <v>0</v>
          </cell>
          <cell r="D5895">
            <v>0</v>
          </cell>
          <cell r="E5895">
            <v>0</v>
          </cell>
          <cell r="F5895">
            <v>0</v>
          </cell>
          <cell r="G5895">
            <v>0</v>
          </cell>
          <cell r="H5895">
            <v>0</v>
          </cell>
          <cell r="I5895">
            <v>0</v>
          </cell>
          <cell r="J5895">
            <v>0</v>
          </cell>
        </row>
        <row r="5896">
          <cell r="A5896">
            <v>1835100423</v>
          </cell>
          <cell r="B5896" t="str">
            <v>תחזוקת מבנה</v>
          </cell>
          <cell r="C5896">
            <v>0</v>
          </cell>
          <cell r="D5896">
            <v>0</v>
          </cell>
          <cell r="E5896">
            <v>0</v>
          </cell>
          <cell r="F5896">
            <v>0</v>
          </cell>
          <cell r="G5896">
            <v>0</v>
          </cell>
          <cell r="H5896">
            <v>0</v>
          </cell>
          <cell r="I5896">
            <v>0</v>
          </cell>
          <cell r="J5896">
            <v>0</v>
          </cell>
        </row>
        <row r="5897">
          <cell r="A5897">
            <v>1835100431</v>
          </cell>
          <cell r="B5897" t="str">
            <v>חשמל</v>
          </cell>
          <cell r="C5897">
            <v>0</v>
          </cell>
          <cell r="D5897">
            <v>0</v>
          </cell>
          <cell r="E5897">
            <v>0</v>
          </cell>
          <cell r="F5897">
            <v>0</v>
          </cell>
          <cell r="G5897">
            <v>0</v>
          </cell>
          <cell r="H5897">
            <v>0</v>
          </cell>
          <cell r="I5897">
            <v>0</v>
          </cell>
          <cell r="J5897">
            <v>0</v>
          </cell>
        </row>
        <row r="5898">
          <cell r="A5898">
            <v>1835100432</v>
          </cell>
          <cell r="B5898" t="str">
            <v>מים</v>
          </cell>
          <cell r="C5898">
            <v>0</v>
          </cell>
          <cell r="D5898">
            <v>0</v>
          </cell>
          <cell r="E5898">
            <v>0</v>
          </cell>
          <cell r="F5898">
            <v>0</v>
          </cell>
          <cell r="G5898">
            <v>0</v>
          </cell>
          <cell r="H5898">
            <v>0</v>
          </cell>
          <cell r="I5898">
            <v>0</v>
          </cell>
          <cell r="J5898">
            <v>0</v>
          </cell>
        </row>
        <row r="5899">
          <cell r="A5899">
            <v>1835100433</v>
          </cell>
          <cell r="B5899" t="str">
            <v>חומרי נקיון</v>
          </cell>
          <cell r="C5899">
            <v>0</v>
          </cell>
          <cell r="D5899">
            <v>0</v>
          </cell>
          <cell r="E5899">
            <v>0</v>
          </cell>
          <cell r="F5899">
            <v>0</v>
          </cell>
          <cell r="G5899">
            <v>0</v>
          </cell>
          <cell r="H5899">
            <v>0</v>
          </cell>
          <cell r="I5899">
            <v>0</v>
          </cell>
          <cell r="J5899">
            <v>0</v>
          </cell>
        </row>
        <row r="5900">
          <cell r="A5900">
            <v>1835100441</v>
          </cell>
          <cell r="B5900" t="str">
            <v>ביטוח</v>
          </cell>
          <cell r="C5900">
            <v>0</v>
          </cell>
          <cell r="D5900">
            <v>0</v>
          </cell>
          <cell r="E5900">
            <v>0</v>
          </cell>
          <cell r="F5900">
            <v>0</v>
          </cell>
          <cell r="G5900">
            <v>0</v>
          </cell>
          <cell r="H5900">
            <v>0</v>
          </cell>
          <cell r="I5900">
            <v>0</v>
          </cell>
          <cell r="J5900">
            <v>0</v>
          </cell>
        </row>
        <row r="5901">
          <cell r="A5901">
            <v>1835100450</v>
          </cell>
          <cell r="B5901" t="str">
            <v>ריהוט ואחזקתו</v>
          </cell>
          <cell r="C5901">
            <v>0</v>
          </cell>
          <cell r="D5901">
            <v>0</v>
          </cell>
          <cell r="E5901">
            <v>0</v>
          </cell>
          <cell r="F5901">
            <v>0</v>
          </cell>
          <cell r="G5901">
            <v>0</v>
          </cell>
          <cell r="H5901">
            <v>0</v>
          </cell>
          <cell r="I5901">
            <v>0</v>
          </cell>
          <cell r="J5901">
            <v>0</v>
          </cell>
        </row>
        <row r="5902">
          <cell r="A5902">
            <v>1835100470</v>
          </cell>
          <cell r="B5902" t="str">
            <v>אחזקת מכונות משרד</v>
          </cell>
          <cell r="C5902">
            <v>0</v>
          </cell>
          <cell r="D5902">
            <v>0</v>
          </cell>
          <cell r="E5902">
            <v>0</v>
          </cell>
          <cell r="F5902">
            <v>0</v>
          </cell>
          <cell r="G5902">
            <v>0</v>
          </cell>
          <cell r="H5902">
            <v>0</v>
          </cell>
          <cell r="I5902">
            <v>0</v>
          </cell>
          <cell r="J5902">
            <v>0</v>
          </cell>
        </row>
        <row r="5903">
          <cell r="A5903">
            <v>1835100471</v>
          </cell>
          <cell r="B5903" t="str">
            <v>מכשירי כתיבה</v>
          </cell>
          <cell r="C5903">
            <v>0</v>
          </cell>
          <cell r="D5903">
            <v>0</v>
          </cell>
          <cell r="E5903">
            <v>0</v>
          </cell>
          <cell r="F5903">
            <v>0</v>
          </cell>
          <cell r="G5903">
            <v>0</v>
          </cell>
          <cell r="H5903">
            <v>0</v>
          </cell>
          <cell r="I5903">
            <v>0</v>
          </cell>
          <cell r="J5903">
            <v>0</v>
          </cell>
        </row>
        <row r="5904">
          <cell r="A5904">
            <v>1835100476</v>
          </cell>
          <cell r="B5904" t="str">
            <v>אחזקת מזגנים</v>
          </cell>
          <cell r="C5904">
            <v>0</v>
          </cell>
          <cell r="D5904">
            <v>0</v>
          </cell>
          <cell r="E5904">
            <v>0</v>
          </cell>
          <cell r="F5904">
            <v>0</v>
          </cell>
          <cell r="G5904">
            <v>0</v>
          </cell>
          <cell r="H5904">
            <v>0</v>
          </cell>
          <cell r="I5904">
            <v>0</v>
          </cell>
          <cell r="J5904">
            <v>0</v>
          </cell>
        </row>
        <row r="5905">
          <cell r="A5905">
            <v>1835100511</v>
          </cell>
          <cell r="B5905" t="str">
            <v>אירוח וכיבוד</v>
          </cell>
          <cell r="C5905">
            <v>0</v>
          </cell>
          <cell r="D5905">
            <v>0</v>
          </cell>
          <cell r="E5905">
            <v>0</v>
          </cell>
          <cell r="F5905">
            <v>0</v>
          </cell>
          <cell r="G5905">
            <v>0</v>
          </cell>
          <cell r="H5905">
            <v>0</v>
          </cell>
          <cell r="I5905">
            <v>0</v>
          </cell>
          <cell r="J5905">
            <v>0</v>
          </cell>
        </row>
        <row r="5906">
          <cell r="A5906">
            <v>1835100512</v>
          </cell>
          <cell r="B5906" t="str">
            <v>נסיעות ואש"ל</v>
          </cell>
          <cell r="C5906">
            <v>0</v>
          </cell>
          <cell r="D5906">
            <v>0</v>
          </cell>
          <cell r="E5906">
            <v>0</v>
          </cell>
          <cell r="F5906">
            <v>0</v>
          </cell>
          <cell r="G5906">
            <v>0</v>
          </cell>
          <cell r="H5906">
            <v>0</v>
          </cell>
          <cell r="I5906">
            <v>0</v>
          </cell>
          <cell r="J5906">
            <v>0</v>
          </cell>
        </row>
        <row r="5907">
          <cell r="A5907">
            <v>1835100521</v>
          </cell>
          <cell r="B5907" t="str">
            <v>השתלמויות והרצאות</v>
          </cell>
          <cell r="C5907">
            <v>0</v>
          </cell>
          <cell r="D5907">
            <v>0</v>
          </cell>
          <cell r="E5907">
            <v>0</v>
          </cell>
          <cell r="F5907">
            <v>0</v>
          </cell>
          <cell r="G5907">
            <v>0</v>
          </cell>
          <cell r="H5907">
            <v>0</v>
          </cell>
          <cell r="I5907">
            <v>0</v>
          </cell>
          <cell r="J5907">
            <v>0</v>
          </cell>
        </row>
        <row r="5908">
          <cell r="A5908">
            <v>1835100522</v>
          </cell>
          <cell r="B5908" t="str">
            <v>ספרים</v>
          </cell>
          <cell r="C5908">
            <v>0</v>
          </cell>
          <cell r="D5908">
            <v>0</v>
          </cell>
          <cell r="E5908">
            <v>0</v>
          </cell>
          <cell r="F5908">
            <v>0</v>
          </cell>
          <cell r="G5908">
            <v>0</v>
          </cell>
          <cell r="H5908">
            <v>0</v>
          </cell>
          <cell r="I5908">
            <v>0</v>
          </cell>
          <cell r="J5908">
            <v>0</v>
          </cell>
        </row>
        <row r="5909">
          <cell r="A5909">
            <v>1835100540</v>
          </cell>
          <cell r="B5909" t="str">
            <v>הוצאות טלפון</v>
          </cell>
          <cell r="C5909">
            <v>0</v>
          </cell>
          <cell r="D5909">
            <v>0</v>
          </cell>
          <cell r="E5909">
            <v>0</v>
          </cell>
          <cell r="F5909">
            <v>0</v>
          </cell>
          <cell r="G5909">
            <v>0</v>
          </cell>
          <cell r="H5909">
            <v>0</v>
          </cell>
          <cell r="I5909">
            <v>0</v>
          </cell>
          <cell r="J5909">
            <v>0</v>
          </cell>
        </row>
        <row r="5910">
          <cell r="A5910">
            <v>1835100544</v>
          </cell>
          <cell r="B5910" t="str">
            <v>הוצאות דאר</v>
          </cell>
          <cell r="C5910">
            <v>0</v>
          </cell>
          <cell r="D5910">
            <v>0</v>
          </cell>
          <cell r="E5910">
            <v>0</v>
          </cell>
          <cell r="F5910">
            <v>0</v>
          </cell>
          <cell r="G5910">
            <v>0</v>
          </cell>
          <cell r="H5910">
            <v>0</v>
          </cell>
          <cell r="I5910">
            <v>0</v>
          </cell>
          <cell r="J5910">
            <v>0</v>
          </cell>
        </row>
        <row r="5911">
          <cell r="A5911">
            <v>1835100561</v>
          </cell>
          <cell r="B5911" t="str">
            <v>שיכפולים</v>
          </cell>
          <cell r="C5911">
            <v>0</v>
          </cell>
          <cell r="D5911">
            <v>0</v>
          </cell>
          <cell r="E5911">
            <v>0</v>
          </cell>
          <cell r="F5911">
            <v>0</v>
          </cell>
          <cell r="G5911">
            <v>0</v>
          </cell>
          <cell r="H5911">
            <v>0</v>
          </cell>
          <cell r="I5911">
            <v>0</v>
          </cell>
          <cell r="J5911">
            <v>0</v>
          </cell>
        </row>
        <row r="5912">
          <cell r="A5912">
            <v>1835100571</v>
          </cell>
          <cell r="B5912" t="str">
            <v>מיכון וענ"א</v>
          </cell>
          <cell r="C5912">
            <v>0</v>
          </cell>
          <cell r="D5912">
            <v>0</v>
          </cell>
          <cell r="E5912">
            <v>0</v>
          </cell>
          <cell r="F5912">
            <v>0</v>
          </cell>
          <cell r="G5912">
            <v>0</v>
          </cell>
          <cell r="H5912">
            <v>0</v>
          </cell>
          <cell r="I5912">
            <v>0</v>
          </cell>
          <cell r="J5912">
            <v>0</v>
          </cell>
        </row>
        <row r="5913">
          <cell r="A5913">
            <v>1835100721</v>
          </cell>
          <cell r="B5913" t="str">
            <v>חמרים-תחזוקת מבנים</v>
          </cell>
          <cell r="C5913">
            <v>0</v>
          </cell>
          <cell r="D5913">
            <v>0</v>
          </cell>
          <cell r="E5913">
            <v>0</v>
          </cell>
          <cell r="F5913">
            <v>0</v>
          </cell>
          <cell r="G5913">
            <v>0</v>
          </cell>
          <cell r="H5913">
            <v>0</v>
          </cell>
          <cell r="I5913">
            <v>0</v>
          </cell>
          <cell r="J5913">
            <v>0</v>
          </cell>
        </row>
        <row r="5914">
          <cell r="A5914">
            <v>1835100722</v>
          </cell>
          <cell r="B5914" t="str">
            <v>חמרים-תחזוקה עצמית</v>
          </cell>
          <cell r="C5914">
            <v>0</v>
          </cell>
          <cell r="D5914">
            <v>0</v>
          </cell>
          <cell r="E5914">
            <v>0</v>
          </cell>
          <cell r="F5914">
            <v>0</v>
          </cell>
          <cell r="G5914">
            <v>0</v>
          </cell>
          <cell r="H5914">
            <v>0</v>
          </cell>
          <cell r="I5914">
            <v>0</v>
          </cell>
          <cell r="J5914">
            <v>0</v>
          </cell>
        </row>
        <row r="5915">
          <cell r="A5915">
            <v>1835100723</v>
          </cell>
          <cell r="B5915" t="str">
            <v>חומרים לילדים</v>
          </cell>
          <cell r="C5915">
            <v>0</v>
          </cell>
          <cell r="D5915">
            <v>0</v>
          </cell>
          <cell r="E5915">
            <v>0</v>
          </cell>
          <cell r="F5915">
            <v>0</v>
          </cell>
          <cell r="G5915">
            <v>0</v>
          </cell>
          <cell r="H5915">
            <v>0</v>
          </cell>
          <cell r="I5915">
            <v>0</v>
          </cell>
          <cell r="J5915">
            <v>0</v>
          </cell>
        </row>
        <row r="5916">
          <cell r="A5916">
            <v>1835100745</v>
          </cell>
          <cell r="B5916" t="str">
            <v>דמי פריצה - תכולה</v>
          </cell>
          <cell r="C5916">
            <v>0</v>
          </cell>
          <cell r="D5916">
            <v>0</v>
          </cell>
          <cell r="E5916">
            <v>0</v>
          </cell>
          <cell r="F5916">
            <v>0</v>
          </cell>
          <cell r="G5916">
            <v>0</v>
          </cell>
          <cell r="H5916">
            <v>0</v>
          </cell>
          <cell r="I5916">
            <v>0</v>
          </cell>
          <cell r="J5916">
            <v>0</v>
          </cell>
        </row>
        <row r="5917">
          <cell r="A5917">
            <v>1835100751</v>
          </cell>
          <cell r="B5917" t="str">
            <v>עבודות קבלניות</v>
          </cell>
          <cell r="C5917">
            <v>0</v>
          </cell>
          <cell r="D5917">
            <v>0</v>
          </cell>
          <cell r="E5917">
            <v>0</v>
          </cell>
          <cell r="F5917">
            <v>0</v>
          </cell>
          <cell r="G5917">
            <v>0</v>
          </cell>
          <cell r="H5917">
            <v>0</v>
          </cell>
          <cell r="I5917">
            <v>0</v>
          </cell>
          <cell r="J5917">
            <v>0</v>
          </cell>
        </row>
        <row r="5918">
          <cell r="A5918">
            <v>1835100752</v>
          </cell>
          <cell r="B5918" t="str">
            <v>נקיון בקבלנות</v>
          </cell>
          <cell r="C5918">
            <v>0</v>
          </cell>
          <cell r="D5918">
            <v>0</v>
          </cell>
          <cell r="E5918">
            <v>0</v>
          </cell>
          <cell r="F5918">
            <v>0</v>
          </cell>
          <cell r="G5918">
            <v>0</v>
          </cell>
          <cell r="H5918">
            <v>0</v>
          </cell>
          <cell r="I5918">
            <v>0</v>
          </cell>
          <cell r="J5918">
            <v>0</v>
          </cell>
        </row>
        <row r="5919">
          <cell r="A5919">
            <v>1835100753</v>
          </cell>
          <cell r="B5919" t="str">
            <v>עובדת חיצונית</v>
          </cell>
          <cell r="C5919">
            <v>0</v>
          </cell>
          <cell r="D5919">
            <v>0</v>
          </cell>
          <cell r="E5919">
            <v>0</v>
          </cell>
          <cell r="F5919">
            <v>0</v>
          </cell>
          <cell r="G5919">
            <v>0</v>
          </cell>
          <cell r="H5919">
            <v>0</v>
          </cell>
          <cell r="I5919">
            <v>0</v>
          </cell>
          <cell r="J5919">
            <v>0</v>
          </cell>
        </row>
        <row r="5920">
          <cell r="A5920">
            <v>1835100758</v>
          </cell>
          <cell r="B5920" t="str">
            <v>גינון במרכז</v>
          </cell>
          <cell r="C5920">
            <v>0</v>
          </cell>
          <cell r="D5920">
            <v>0</v>
          </cell>
          <cell r="E5920">
            <v>0</v>
          </cell>
          <cell r="F5920">
            <v>0</v>
          </cell>
          <cell r="G5920">
            <v>0</v>
          </cell>
          <cell r="H5920">
            <v>0</v>
          </cell>
          <cell r="I5920">
            <v>0</v>
          </cell>
          <cell r="J5920">
            <v>0</v>
          </cell>
        </row>
        <row r="5921">
          <cell r="A5921">
            <v>1835100789</v>
          </cell>
          <cell r="B5921" t="str">
            <v>כביסה</v>
          </cell>
          <cell r="C5921">
            <v>0</v>
          </cell>
          <cell r="D5921">
            <v>0</v>
          </cell>
          <cell r="E5921">
            <v>0</v>
          </cell>
          <cell r="F5921">
            <v>0</v>
          </cell>
          <cell r="G5921">
            <v>0</v>
          </cell>
          <cell r="H5921">
            <v>0</v>
          </cell>
          <cell r="I5921">
            <v>0</v>
          </cell>
          <cell r="J5921">
            <v>0</v>
          </cell>
        </row>
        <row r="5922">
          <cell r="A5922">
            <v>1835100794</v>
          </cell>
          <cell r="B5922" t="str">
            <v>השתתפות בעזר 094</v>
          </cell>
          <cell r="C5922">
            <v>0</v>
          </cell>
          <cell r="D5922">
            <v>0</v>
          </cell>
          <cell r="E5922">
            <v>0</v>
          </cell>
          <cell r="F5922">
            <v>0</v>
          </cell>
          <cell r="G5922">
            <v>0</v>
          </cell>
          <cell r="H5922">
            <v>0</v>
          </cell>
          <cell r="I5922">
            <v>0</v>
          </cell>
          <cell r="J5922">
            <v>0</v>
          </cell>
        </row>
        <row r="5923">
          <cell r="A5923">
            <v>1835100810</v>
          </cell>
          <cell r="B5923" t="str">
            <v>השתתפות בשכר פקידה</v>
          </cell>
          <cell r="C5923">
            <v>0</v>
          </cell>
          <cell r="D5923">
            <v>0</v>
          </cell>
          <cell r="E5923">
            <v>0</v>
          </cell>
          <cell r="F5923">
            <v>0</v>
          </cell>
          <cell r="G5923">
            <v>0</v>
          </cell>
          <cell r="H5923">
            <v>0</v>
          </cell>
          <cell r="I5923">
            <v>0</v>
          </cell>
          <cell r="J5923">
            <v>0</v>
          </cell>
        </row>
        <row r="5924">
          <cell r="A5924">
            <v>1835100980</v>
          </cell>
          <cell r="B5924" t="str">
            <v>בדיקת ראדון-בטל"א</v>
          </cell>
          <cell r="C5924">
            <v>0</v>
          </cell>
          <cell r="D5924">
            <v>0</v>
          </cell>
          <cell r="E5924">
            <v>0</v>
          </cell>
          <cell r="F5924">
            <v>0</v>
          </cell>
          <cell r="G5924">
            <v>0</v>
          </cell>
          <cell r="H5924">
            <v>0</v>
          </cell>
          <cell r="I5924">
            <v>0</v>
          </cell>
          <cell r="J5924">
            <v>0</v>
          </cell>
        </row>
        <row r="5925">
          <cell r="A5925">
            <v>1835200110</v>
          </cell>
          <cell r="B5925" t="str">
            <v>השכר הקובע-תקציבית</v>
          </cell>
          <cell r="C5925">
            <v>0</v>
          </cell>
          <cell r="D5925">
            <v>0</v>
          </cell>
          <cell r="E5925">
            <v>0</v>
          </cell>
          <cell r="F5925">
            <v>0</v>
          </cell>
          <cell r="G5925">
            <v>0</v>
          </cell>
          <cell r="H5925">
            <v>0</v>
          </cell>
          <cell r="I5925">
            <v>0</v>
          </cell>
          <cell r="J5925">
            <v>0</v>
          </cell>
        </row>
        <row r="5926">
          <cell r="A5926">
            <v>1835200122</v>
          </cell>
          <cell r="B5926" t="str">
            <v>ביגוד</v>
          </cell>
          <cell r="C5926">
            <v>0</v>
          </cell>
          <cell r="D5926">
            <v>0</v>
          </cell>
          <cell r="E5926">
            <v>0</v>
          </cell>
          <cell r="F5926">
            <v>0</v>
          </cell>
          <cell r="G5926">
            <v>0</v>
          </cell>
          <cell r="H5926">
            <v>0</v>
          </cell>
          <cell r="I5926">
            <v>0</v>
          </cell>
          <cell r="J5926">
            <v>0</v>
          </cell>
        </row>
        <row r="5927">
          <cell r="A5927">
            <v>1835200126</v>
          </cell>
          <cell r="B5927" t="str">
            <v>דמי הבראה</v>
          </cell>
          <cell r="C5927">
            <v>0</v>
          </cell>
          <cell r="D5927">
            <v>0</v>
          </cell>
          <cell r="E5927">
            <v>0</v>
          </cell>
          <cell r="F5927">
            <v>0</v>
          </cell>
          <cell r="G5927">
            <v>0</v>
          </cell>
          <cell r="H5927">
            <v>0</v>
          </cell>
          <cell r="I5927">
            <v>0</v>
          </cell>
          <cell r="J5927">
            <v>0</v>
          </cell>
        </row>
        <row r="5928">
          <cell r="A5928">
            <v>1835200140</v>
          </cell>
          <cell r="B5928" t="str">
            <v>השתתפות באחזקת רכב</v>
          </cell>
          <cell r="C5928">
            <v>0</v>
          </cell>
          <cell r="D5928">
            <v>0</v>
          </cell>
          <cell r="E5928">
            <v>0</v>
          </cell>
          <cell r="F5928">
            <v>0</v>
          </cell>
          <cell r="G5928">
            <v>0</v>
          </cell>
          <cell r="H5928">
            <v>0</v>
          </cell>
          <cell r="I5928">
            <v>0</v>
          </cell>
          <cell r="J5928">
            <v>0</v>
          </cell>
        </row>
        <row r="5929">
          <cell r="A5929">
            <v>1835200210</v>
          </cell>
          <cell r="B5929" t="str">
            <v>השכר הקובע</v>
          </cell>
          <cell r="C5929">
            <v>0</v>
          </cell>
          <cell r="D5929">
            <v>0</v>
          </cell>
          <cell r="E5929">
            <v>0</v>
          </cell>
          <cell r="F5929">
            <v>0</v>
          </cell>
          <cell r="G5929">
            <v>0</v>
          </cell>
          <cell r="H5929">
            <v>0</v>
          </cell>
          <cell r="I5929">
            <v>0</v>
          </cell>
          <cell r="J5929">
            <v>0</v>
          </cell>
        </row>
        <row r="5930">
          <cell r="A5930">
            <v>1835200391</v>
          </cell>
          <cell r="B5930" t="str">
            <v>הפרשה לפנסיה</v>
          </cell>
          <cell r="C5930">
            <v>0</v>
          </cell>
          <cell r="D5930">
            <v>0</v>
          </cell>
          <cell r="E5930">
            <v>0</v>
          </cell>
          <cell r="F5930">
            <v>0</v>
          </cell>
          <cell r="G5930">
            <v>0</v>
          </cell>
          <cell r="H5930">
            <v>0</v>
          </cell>
          <cell r="I5930">
            <v>0</v>
          </cell>
          <cell r="J5930">
            <v>0</v>
          </cell>
        </row>
        <row r="5931">
          <cell r="A5931">
            <v>1835200412</v>
          </cell>
          <cell r="B5931" t="str">
            <v>ארנונה</v>
          </cell>
          <cell r="C5931">
            <v>0</v>
          </cell>
          <cell r="D5931">
            <v>0</v>
          </cell>
          <cell r="E5931">
            <v>0</v>
          </cell>
          <cell r="F5931">
            <v>0</v>
          </cell>
          <cell r="G5931">
            <v>0</v>
          </cell>
          <cell r="H5931">
            <v>0</v>
          </cell>
          <cell r="I5931">
            <v>0</v>
          </cell>
          <cell r="J5931">
            <v>0</v>
          </cell>
        </row>
        <row r="5932">
          <cell r="A5932">
            <v>1835200423</v>
          </cell>
          <cell r="B5932" t="str">
            <v>תחזוקת מבנה</v>
          </cell>
          <cell r="C5932">
            <v>0</v>
          </cell>
          <cell r="D5932">
            <v>0</v>
          </cell>
          <cell r="E5932">
            <v>0</v>
          </cell>
          <cell r="F5932">
            <v>0</v>
          </cell>
          <cell r="G5932">
            <v>0</v>
          </cell>
          <cell r="H5932">
            <v>0</v>
          </cell>
          <cell r="I5932">
            <v>0</v>
          </cell>
          <cell r="J5932">
            <v>0</v>
          </cell>
        </row>
        <row r="5933">
          <cell r="A5933">
            <v>1835200431</v>
          </cell>
          <cell r="B5933" t="str">
            <v>חשמל</v>
          </cell>
          <cell r="C5933">
            <v>0</v>
          </cell>
          <cell r="D5933">
            <v>0</v>
          </cell>
          <cell r="E5933">
            <v>0</v>
          </cell>
          <cell r="F5933">
            <v>0</v>
          </cell>
          <cell r="G5933">
            <v>0</v>
          </cell>
          <cell r="H5933">
            <v>0</v>
          </cell>
          <cell r="I5933">
            <v>0</v>
          </cell>
          <cell r="J5933">
            <v>0</v>
          </cell>
        </row>
        <row r="5934">
          <cell r="A5934">
            <v>1835200432</v>
          </cell>
          <cell r="B5934" t="str">
            <v>מים</v>
          </cell>
          <cell r="C5934">
            <v>0</v>
          </cell>
          <cell r="D5934">
            <v>0</v>
          </cell>
          <cell r="E5934">
            <v>0</v>
          </cell>
          <cell r="F5934">
            <v>0</v>
          </cell>
          <cell r="G5934">
            <v>0</v>
          </cell>
          <cell r="H5934">
            <v>0</v>
          </cell>
          <cell r="I5934">
            <v>0</v>
          </cell>
          <cell r="J5934">
            <v>0</v>
          </cell>
        </row>
        <row r="5935">
          <cell r="A5935">
            <v>1835200433</v>
          </cell>
          <cell r="B5935" t="str">
            <v>חומרי נקיון</v>
          </cell>
          <cell r="C5935">
            <v>0</v>
          </cell>
          <cell r="D5935">
            <v>0</v>
          </cell>
          <cell r="E5935">
            <v>0</v>
          </cell>
          <cell r="F5935">
            <v>0</v>
          </cell>
          <cell r="G5935">
            <v>0</v>
          </cell>
          <cell r="H5935">
            <v>0</v>
          </cell>
          <cell r="I5935">
            <v>0</v>
          </cell>
          <cell r="J5935">
            <v>0</v>
          </cell>
        </row>
        <row r="5936">
          <cell r="A5936">
            <v>1835200436</v>
          </cell>
          <cell r="B5936" t="str">
            <v>אחזקת מזגנים</v>
          </cell>
          <cell r="C5936">
            <v>0</v>
          </cell>
          <cell r="D5936">
            <v>0</v>
          </cell>
          <cell r="E5936">
            <v>0</v>
          </cell>
          <cell r="F5936">
            <v>0</v>
          </cell>
          <cell r="G5936">
            <v>0</v>
          </cell>
          <cell r="H5936">
            <v>0</v>
          </cell>
          <cell r="I5936">
            <v>0</v>
          </cell>
          <cell r="J5936">
            <v>0</v>
          </cell>
        </row>
        <row r="5937">
          <cell r="A5937">
            <v>1835200441</v>
          </cell>
          <cell r="B5937" t="str">
            <v>ביטוח</v>
          </cell>
          <cell r="C5937">
            <v>0</v>
          </cell>
          <cell r="D5937">
            <v>0</v>
          </cell>
          <cell r="E5937">
            <v>0</v>
          </cell>
          <cell r="F5937">
            <v>0</v>
          </cell>
          <cell r="G5937">
            <v>0</v>
          </cell>
          <cell r="H5937">
            <v>0</v>
          </cell>
          <cell r="I5937">
            <v>0</v>
          </cell>
          <cell r="J5937">
            <v>0</v>
          </cell>
        </row>
        <row r="5938">
          <cell r="A5938">
            <v>1835200450</v>
          </cell>
          <cell r="B5938" t="str">
            <v>ריהוט ואחזקתו</v>
          </cell>
          <cell r="C5938">
            <v>0</v>
          </cell>
          <cell r="D5938">
            <v>0</v>
          </cell>
          <cell r="E5938">
            <v>0</v>
          </cell>
          <cell r="F5938">
            <v>0</v>
          </cell>
          <cell r="G5938">
            <v>0</v>
          </cell>
          <cell r="H5938">
            <v>0</v>
          </cell>
          <cell r="I5938">
            <v>0</v>
          </cell>
          <cell r="J5938">
            <v>0</v>
          </cell>
        </row>
        <row r="5939">
          <cell r="A5939">
            <v>1835200470</v>
          </cell>
          <cell r="B5939" t="str">
            <v>אחזקת מכונות משרד</v>
          </cell>
          <cell r="C5939">
            <v>0</v>
          </cell>
          <cell r="D5939">
            <v>0</v>
          </cell>
          <cell r="E5939">
            <v>0</v>
          </cell>
          <cell r="F5939">
            <v>0</v>
          </cell>
          <cell r="G5939">
            <v>0</v>
          </cell>
          <cell r="H5939">
            <v>0</v>
          </cell>
          <cell r="I5939">
            <v>0</v>
          </cell>
          <cell r="J5939">
            <v>0</v>
          </cell>
        </row>
        <row r="5940">
          <cell r="A5940">
            <v>1835200471</v>
          </cell>
          <cell r="B5940" t="str">
            <v>מכשירי כתיבה</v>
          </cell>
          <cell r="C5940">
            <v>0</v>
          </cell>
          <cell r="D5940">
            <v>0</v>
          </cell>
          <cell r="E5940">
            <v>0</v>
          </cell>
          <cell r="F5940">
            <v>0</v>
          </cell>
          <cell r="G5940">
            <v>0</v>
          </cell>
          <cell r="H5940">
            <v>0</v>
          </cell>
          <cell r="I5940">
            <v>0</v>
          </cell>
          <cell r="J5940">
            <v>0</v>
          </cell>
        </row>
        <row r="5941">
          <cell r="A5941">
            <v>1835200511</v>
          </cell>
          <cell r="B5941" t="str">
            <v>אירוח וכיבוד</v>
          </cell>
          <cell r="C5941">
            <v>0</v>
          </cell>
          <cell r="D5941">
            <v>0</v>
          </cell>
          <cell r="E5941">
            <v>0</v>
          </cell>
          <cell r="F5941">
            <v>0</v>
          </cell>
          <cell r="G5941">
            <v>0</v>
          </cell>
          <cell r="H5941">
            <v>0</v>
          </cell>
          <cell r="I5941">
            <v>0</v>
          </cell>
          <cell r="J5941">
            <v>0</v>
          </cell>
        </row>
        <row r="5942">
          <cell r="A5942">
            <v>1835200540</v>
          </cell>
          <cell r="B5942" t="str">
            <v>הוצאות טלפון</v>
          </cell>
          <cell r="C5942">
            <v>0</v>
          </cell>
          <cell r="D5942">
            <v>0</v>
          </cell>
          <cell r="E5942">
            <v>0</v>
          </cell>
          <cell r="F5942">
            <v>0</v>
          </cell>
          <cell r="G5942">
            <v>0</v>
          </cell>
          <cell r="H5942">
            <v>0</v>
          </cell>
          <cell r="I5942">
            <v>0</v>
          </cell>
          <cell r="J5942">
            <v>0</v>
          </cell>
        </row>
        <row r="5943">
          <cell r="A5943">
            <v>1835200544</v>
          </cell>
          <cell r="B5943" t="str">
            <v>הוצאות דאר</v>
          </cell>
          <cell r="C5943">
            <v>0</v>
          </cell>
          <cell r="D5943">
            <v>0</v>
          </cell>
          <cell r="E5943">
            <v>0</v>
          </cell>
          <cell r="F5943">
            <v>0</v>
          </cell>
          <cell r="G5943">
            <v>0</v>
          </cell>
          <cell r="H5943">
            <v>0</v>
          </cell>
          <cell r="I5943">
            <v>0</v>
          </cell>
          <cell r="J5943">
            <v>0</v>
          </cell>
        </row>
        <row r="5944">
          <cell r="A5944">
            <v>1835200561</v>
          </cell>
          <cell r="B5944" t="str">
            <v>שיכפולים</v>
          </cell>
          <cell r="C5944">
            <v>0</v>
          </cell>
          <cell r="D5944">
            <v>0</v>
          </cell>
          <cell r="E5944">
            <v>0</v>
          </cell>
          <cell r="F5944">
            <v>0</v>
          </cell>
          <cell r="G5944">
            <v>0</v>
          </cell>
          <cell r="H5944">
            <v>0</v>
          </cell>
          <cell r="I5944">
            <v>0</v>
          </cell>
          <cell r="J5944">
            <v>0</v>
          </cell>
        </row>
        <row r="5945">
          <cell r="A5945">
            <v>1835200571</v>
          </cell>
          <cell r="B5945" t="str">
            <v>מיכון וענ"א</v>
          </cell>
          <cell r="C5945">
            <v>0</v>
          </cell>
          <cell r="D5945">
            <v>0</v>
          </cell>
          <cell r="E5945">
            <v>0</v>
          </cell>
          <cell r="F5945">
            <v>0</v>
          </cell>
          <cell r="G5945">
            <v>0</v>
          </cell>
          <cell r="H5945">
            <v>0</v>
          </cell>
          <cell r="I5945">
            <v>0</v>
          </cell>
          <cell r="J5945">
            <v>0</v>
          </cell>
        </row>
        <row r="5946">
          <cell r="A5946">
            <v>1835200721</v>
          </cell>
          <cell r="B5946" t="str">
            <v>חמרים-תחזוקת מבנים</v>
          </cell>
          <cell r="C5946">
            <v>0</v>
          </cell>
          <cell r="D5946">
            <v>0</v>
          </cell>
          <cell r="E5946">
            <v>0</v>
          </cell>
          <cell r="F5946">
            <v>0</v>
          </cell>
          <cell r="G5946">
            <v>0</v>
          </cell>
          <cell r="H5946">
            <v>0</v>
          </cell>
          <cell r="I5946">
            <v>0</v>
          </cell>
          <cell r="J5946">
            <v>0</v>
          </cell>
        </row>
        <row r="5947">
          <cell r="A5947">
            <v>1835200722</v>
          </cell>
          <cell r="B5947" t="str">
            <v>חמרים-תחזוקה עצמית</v>
          </cell>
          <cell r="C5947">
            <v>0</v>
          </cell>
          <cell r="D5947">
            <v>0</v>
          </cell>
          <cell r="E5947">
            <v>0</v>
          </cell>
          <cell r="F5947">
            <v>0</v>
          </cell>
          <cell r="G5947">
            <v>0</v>
          </cell>
          <cell r="H5947">
            <v>0</v>
          </cell>
          <cell r="I5947">
            <v>0</v>
          </cell>
          <cell r="J5947">
            <v>0</v>
          </cell>
        </row>
        <row r="5948">
          <cell r="A5948">
            <v>1835200742</v>
          </cell>
          <cell r="B5948" t="str">
            <v>ציוד טיפולי</v>
          </cell>
          <cell r="C5948">
            <v>0</v>
          </cell>
          <cell r="D5948">
            <v>0</v>
          </cell>
          <cell r="E5948">
            <v>0</v>
          </cell>
          <cell r="F5948">
            <v>0</v>
          </cell>
          <cell r="G5948">
            <v>0</v>
          </cell>
          <cell r="H5948">
            <v>0</v>
          </cell>
          <cell r="I5948">
            <v>0</v>
          </cell>
          <cell r="J5948">
            <v>0</v>
          </cell>
        </row>
        <row r="5949">
          <cell r="A5949">
            <v>1835200745</v>
          </cell>
          <cell r="B5949" t="str">
            <v>דמי פריצה - תכולה</v>
          </cell>
          <cell r="C5949">
            <v>0</v>
          </cell>
          <cell r="D5949">
            <v>0</v>
          </cell>
          <cell r="E5949">
            <v>0</v>
          </cell>
          <cell r="F5949">
            <v>0</v>
          </cell>
          <cell r="G5949">
            <v>0</v>
          </cell>
          <cell r="H5949">
            <v>0</v>
          </cell>
          <cell r="I5949">
            <v>0</v>
          </cell>
          <cell r="J5949">
            <v>0</v>
          </cell>
        </row>
        <row r="5950">
          <cell r="A5950">
            <v>1835200751</v>
          </cell>
          <cell r="B5950" t="str">
            <v>עבודות קבלניות</v>
          </cell>
          <cell r="C5950">
            <v>0</v>
          </cell>
          <cell r="D5950">
            <v>0</v>
          </cell>
          <cell r="E5950">
            <v>0</v>
          </cell>
          <cell r="F5950">
            <v>0</v>
          </cell>
          <cell r="G5950">
            <v>0</v>
          </cell>
          <cell r="H5950">
            <v>0</v>
          </cell>
          <cell r="I5950">
            <v>0</v>
          </cell>
          <cell r="J5950">
            <v>0</v>
          </cell>
        </row>
        <row r="5951">
          <cell r="A5951">
            <v>1835200752</v>
          </cell>
          <cell r="B5951" t="str">
            <v>נקיון בקבלנות</v>
          </cell>
          <cell r="C5951">
            <v>0</v>
          </cell>
          <cell r="D5951">
            <v>0</v>
          </cell>
          <cell r="E5951">
            <v>0</v>
          </cell>
          <cell r="F5951">
            <v>0</v>
          </cell>
          <cell r="G5951">
            <v>0</v>
          </cell>
          <cell r="H5951">
            <v>0</v>
          </cell>
          <cell r="I5951">
            <v>0</v>
          </cell>
          <cell r="J5951">
            <v>0</v>
          </cell>
        </row>
        <row r="5952">
          <cell r="A5952">
            <v>1835200758</v>
          </cell>
          <cell r="B5952" t="str">
            <v>גינון התחנה</v>
          </cell>
          <cell r="C5952">
            <v>0</v>
          </cell>
          <cell r="D5952">
            <v>0</v>
          </cell>
          <cell r="E5952">
            <v>0</v>
          </cell>
          <cell r="F5952">
            <v>0</v>
          </cell>
          <cell r="G5952">
            <v>0</v>
          </cell>
          <cell r="H5952">
            <v>0</v>
          </cell>
          <cell r="I5952">
            <v>0</v>
          </cell>
          <cell r="J5952">
            <v>0</v>
          </cell>
        </row>
        <row r="5953">
          <cell r="A5953">
            <v>1835200763</v>
          </cell>
          <cell r="B5953" t="str">
            <v>עובדי חברת מוסדות</v>
          </cell>
          <cell r="C5953">
            <v>0</v>
          </cell>
          <cell r="D5953">
            <v>0</v>
          </cell>
          <cell r="E5953">
            <v>0</v>
          </cell>
          <cell r="F5953">
            <v>0</v>
          </cell>
          <cell r="G5953">
            <v>0</v>
          </cell>
          <cell r="H5953">
            <v>0</v>
          </cell>
          <cell r="I5953">
            <v>0</v>
          </cell>
          <cell r="J5953">
            <v>0</v>
          </cell>
        </row>
        <row r="5954">
          <cell r="A5954">
            <v>1835200789</v>
          </cell>
          <cell r="B5954" t="str">
            <v>כביסה</v>
          </cell>
          <cell r="C5954">
            <v>0</v>
          </cell>
          <cell r="D5954">
            <v>0</v>
          </cell>
          <cell r="E5954">
            <v>0</v>
          </cell>
          <cell r="F5954">
            <v>0</v>
          </cell>
          <cell r="G5954">
            <v>0</v>
          </cell>
          <cell r="H5954">
            <v>0</v>
          </cell>
          <cell r="I5954">
            <v>0</v>
          </cell>
          <cell r="J5954">
            <v>0</v>
          </cell>
        </row>
        <row r="5955">
          <cell r="A5955">
            <v>1835200794</v>
          </cell>
          <cell r="B5955" t="str">
            <v>השתתפות בעזר 094</v>
          </cell>
          <cell r="C5955">
            <v>0</v>
          </cell>
          <cell r="D5955">
            <v>0</v>
          </cell>
          <cell r="E5955">
            <v>0</v>
          </cell>
          <cell r="F5955">
            <v>0</v>
          </cell>
          <cell r="G5955">
            <v>0</v>
          </cell>
          <cell r="H5955">
            <v>0</v>
          </cell>
          <cell r="I5955">
            <v>0</v>
          </cell>
          <cell r="J5955">
            <v>0</v>
          </cell>
        </row>
        <row r="5956">
          <cell r="A5956">
            <v>1835200810</v>
          </cell>
          <cell r="B5956" t="str">
            <v>השתתפות בשכר פקידה</v>
          </cell>
          <cell r="C5956">
            <v>0</v>
          </cell>
          <cell r="D5956">
            <v>0</v>
          </cell>
          <cell r="E5956">
            <v>0</v>
          </cell>
          <cell r="F5956">
            <v>0</v>
          </cell>
          <cell r="G5956">
            <v>0</v>
          </cell>
          <cell r="H5956">
            <v>0</v>
          </cell>
          <cell r="I5956">
            <v>0</v>
          </cell>
          <cell r="J5956">
            <v>0</v>
          </cell>
        </row>
        <row r="5957">
          <cell r="A5957">
            <v>1835200811</v>
          </cell>
          <cell r="B5957" t="str">
            <v>השתתפות במרפאה</v>
          </cell>
          <cell r="C5957">
            <v>0</v>
          </cell>
          <cell r="D5957">
            <v>0</v>
          </cell>
          <cell r="E5957">
            <v>0</v>
          </cell>
          <cell r="F5957">
            <v>0</v>
          </cell>
          <cell r="G5957">
            <v>0</v>
          </cell>
          <cell r="H5957">
            <v>0</v>
          </cell>
          <cell r="I5957">
            <v>0</v>
          </cell>
          <cell r="J5957">
            <v>0</v>
          </cell>
        </row>
        <row r="5958">
          <cell r="A5958">
            <v>1835200931</v>
          </cell>
          <cell r="B5958" t="str">
            <v>רכישות</v>
          </cell>
          <cell r="C5958">
            <v>0</v>
          </cell>
          <cell r="D5958">
            <v>0</v>
          </cell>
          <cell r="E5958">
            <v>0</v>
          </cell>
          <cell r="F5958">
            <v>0</v>
          </cell>
          <cell r="G5958">
            <v>0</v>
          </cell>
          <cell r="H5958">
            <v>0</v>
          </cell>
          <cell r="I5958">
            <v>0</v>
          </cell>
          <cell r="J5958">
            <v>0</v>
          </cell>
        </row>
        <row r="5959">
          <cell r="A5959">
            <v>1836100441</v>
          </cell>
          <cell r="B5959" t="str">
            <v>בטוח תאונות אישיות</v>
          </cell>
          <cell r="C5959">
            <v>0</v>
          </cell>
          <cell r="D5959">
            <v>0</v>
          </cell>
          <cell r="E5959">
            <v>0</v>
          </cell>
          <cell r="F5959">
            <v>0</v>
          </cell>
          <cell r="G5959">
            <v>0</v>
          </cell>
          <cell r="H5959">
            <v>0</v>
          </cell>
          <cell r="I5959">
            <v>0</v>
          </cell>
          <cell r="J5959">
            <v>0</v>
          </cell>
        </row>
        <row r="5960">
          <cell r="A5960">
            <v>1836100753</v>
          </cell>
          <cell r="B5960" t="str">
            <v>עובדים חיצוניים</v>
          </cell>
          <cell r="C5960">
            <v>0</v>
          </cell>
          <cell r="D5960">
            <v>0</v>
          </cell>
          <cell r="E5960">
            <v>0</v>
          </cell>
          <cell r="F5960">
            <v>0</v>
          </cell>
          <cell r="G5960">
            <v>0</v>
          </cell>
          <cell r="H5960">
            <v>0</v>
          </cell>
          <cell r="I5960">
            <v>0</v>
          </cell>
          <cell r="J5960">
            <v>0</v>
          </cell>
        </row>
        <row r="5961">
          <cell r="A5961">
            <v>1836100811</v>
          </cell>
          <cell r="B5961" t="str">
            <v>השת'-בתורנות לילה</v>
          </cell>
          <cell r="C5961">
            <v>0</v>
          </cell>
          <cell r="D5961">
            <v>0</v>
          </cell>
          <cell r="E5961">
            <v>0</v>
          </cell>
          <cell r="F5961">
            <v>0</v>
          </cell>
          <cell r="G5961">
            <v>0</v>
          </cell>
          <cell r="H5961">
            <v>0</v>
          </cell>
          <cell r="I5961">
            <v>0</v>
          </cell>
          <cell r="J5961">
            <v>0</v>
          </cell>
        </row>
        <row r="5962">
          <cell r="A5962">
            <v>1836100812</v>
          </cell>
          <cell r="B5962" t="str">
            <v>ניידת נט"נ</v>
          </cell>
          <cell r="C5962">
            <v>0</v>
          </cell>
          <cell r="D5962">
            <v>0</v>
          </cell>
          <cell r="E5962">
            <v>0</v>
          </cell>
          <cell r="F5962">
            <v>0</v>
          </cell>
          <cell r="G5962">
            <v>0</v>
          </cell>
          <cell r="H5962">
            <v>0</v>
          </cell>
          <cell r="I5962">
            <v>0</v>
          </cell>
          <cell r="J5962">
            <v>0</v>
          </cell>
        </row>
        <row r="5963">
          <cell r="A5963">
            <v>1841000110</v>
          </cell>
          <cell r="B5963" t="str">
            <v>השכר הקובע-תקציבית</v>
          </cell>
          <cell r="C5963">
            <v>297350</v>
          </cell>
          <cell r="D5963">
            <v>344275.4</v>
          </cell>
          <cell r="E5963">
            <v>0</v>
          </cell>
          <cell r="F5963">
            <v>344275.4</v>
          </cell>
          <cell r="G5963">
            <v>-46925.4</v>
          </cell>
          <cell r="H5963">
            <v>115.78</v>
          </cell>
          <cell r="I5963">
            <v>313000</v>
          </cell>
          <cell r="J5963">
            <v>344275.4</v>
          </cell>
        </row>
        <row r="5964">
          <cell r="A5964">
            <v>1841000119</v>
          </cell>
          <cell r="B5964" t="str">
            <v>השכר הקובע-צוברת</v>
          </cell>
          <cell r="C5964">
            <v>6145835</v>
          </cell>
          <cell r="D5964">
            <v>5173879.62</v>
          </cell>
          <cell r="E5964">
            <v>0</v>
          </cell>
          <cell r="F5964">
            <v>5173879.62</v>
          </cell>
          <cell r="G5964">
            <v>971955.38</v>
          </cell>
          <cell r="H5964">
            <v>84.18</v>
          </cell>
          <cell r="I5964">
            <v>6469300</v>
          </cell>
          <cell r="J5964">
            <v>5173879.62</v>
          </cell>
        </row>
        <row r="5965">
          <cell r="A5965">
            <v>1841000122</v>
          </cell>
          <cell r="B5965" t="str">
            <v>ביגוד</v>
          </cell>
          <cell r="C5965">
            <v>61275</v>
          </cell>
          <cell r="D5965">
            <v>71257.94</v>
          </cell>
          <cell r="E5965">
            <v>0</v>
          </cell>
          <cell r="F5965">
            <v>71257.94</v>
          </cell>
          <cell r="G5965">
            <v>-9982.94</v>
          </cell>
          <cell r="H5965">
            <v>116.29</v>
          </cell>
          <cell r="I5965">
            <v>64500</v>
          </cell>
          <cell r="J5965">
            <v>71257.94</v>
          </cell>
        </row>
        <row r="5966">
          <cell r="A5966">
            <v>1841000126</v>
          </cell>
          <cell r="B5966" t="str">
            <v>דמי הבראה</v>
          </cell>
          <cell r="C5966">
            <v>140600</v>
          </cell>
          <cell r="D5966">
            <v>166968.94</v>
          </cell>
          <cell r="E5966">
            <v>0</v>
          </cell>
          <cell r="F5966">
            <v>166968.94</v>
          </cell>
          <cell r="G5966">
            <v>-26368.94</v>
          </cell>
          <cell r="H5966">
            <v>118.75</v>
          </cell>
          <cell r="I5966">
            <v>148000</v>
          </cell>
          <cell r="J5966">
            <v>166968.94</v>
          </cell>
        </row>
        <row r="5967">
          <cell r="A5967">
            <v>1841000130</v>
          </cell>
          <cell r="B5967" t="str">
            <v>שעות נוספות</v>
          </cell>
          <cell r="C5967">
            <v>52250</v>
          </cell>
          <cell r="D5967">
            <v>57097.74</v>
          </cell>
          <cell r="E5967">
            <v>0</v>
          </cell>
          <cell r="F5967">
            <v>57097.74</v>
          </cell>
          <cell r="G5967">
            <v>-4847.74</v>
          </cell>
          <cell r="H5967">
            <v>109.27</v>
          </cell>
          <cell r="I5967">
            <v>55000</v>
          </cell>
          <cell r="J5967">
            <v>57097.74</v>
          </cell>
        </row>
        <row r="5968">
          <cell r="A5968">
            <v>1841000140</v>
          </cell>
          <cell r="B5968" t="str">
            <v>השתתפות באחזקת רכב</v>
          </cell>
          <cell r="C5968">
            <v>381900</v>
          </cell>
          <cell r="D5968">
            <v>566330.98</v>
          </cell>
          <cell r="E5968">
            <v>0</v>
          </cell>
          <cell r="F5968">
            <v>566330.98</v>
          </cell>
          <cell r="G5968">
            <v>-184430.98</v>
          </cell>
          <cell r="H5968">
            <v>148.29</v>
          </cell>
          <cell r="I5968">
            <v>402000</v>
          </cell>
          <cell r="J5968">
            <v>566330.98</v>
          </cell>
        </row>
        <row r="5969">
          <cell r="A5969">
            <v>1841000210</v>
          </cell>
          <cell r="B5969" t="str">
            <v>השכר הקובע</v>
          </cell>
          <cell r="C5969">
            <v>0</v>
          </cell>
          <cell r="D5969">
            <v>0</v>
          </cell>
          <cell r="E5969">
            <v>0</v>
          </cell>
          <cell r="F5969">
            <v>0</v>
          </cell>
          <cell r="G5969">
            <v>0</v>
          </cell>
          <cell r="H5969">
            <v>0</v>
          </cell>
          <cell r="I5969">
            <v>0</v>
          </cell>
          <cell r="J5969">
            <v>0</v>
          </cell>
        </row>
        <row r="5970">
          <cell r="A5970">
            <v>1841000253</v>
          </cell>
          <cell r="B5970" t="str">
            <v>עובד חיצוני</v>
          </cell>
          <cell r="C5970">
            <v>132145</v>
          </cell>
          <cell r="D5970">
            <v>122322.07</v>
          </cell>
          <cell r="E5970">
            <v>0</v>
          </cell>
          <cell r="F5970">
            <v>122322.07</v>
          </cell>
          <cell r="G5970">
            <v>9822.93</v>
          </cell>
          <cell r="H5970">
            <v>92.56</v>
          </cell>
          <cell r="I5970">
            <v>139100</v>
          </cell>
          <cell r="J5970">
            <v>122322.07</v>
          </cell>
        </row>
        <row r="5971">
          <cell r="A5971">
            <v>1841000350</v>
          </cell>
          <cell r="B5971" t="str">
            <v>ליסינג - 516-13-301</v>
          </cell>
          <cell r="C5971">
            <v>0</v>
          </cell>
          <cell r="D5971">
            <v>0</v>
          </cell>
          <cell r="E5971">
            <v>0</v>
          </cell>
          <cell r="F5971">
            <v>0</v>
          </cell>
          <cell r="G5971">
            <v>0</v>
          </cell>
          <cell r="H5971">
            <v>0</v>
          </cell>
          <cell r="I5971">
            <v>0</v>
          </cell>
          <cell r="J5971">
            <v>0</v>
          </cell>
        </row>
        <row r="5972">
          <cell r="A5972">
            <v>1841000351</v>
          </cell>
          <cell r="B5972" t="str">
            <v>הוצאות - 516-13-301</v>
          </cell>
          <cell r="C5972">
            <v>0</v>
          </cell>
          <cell r="D5972">
            <v>0</v>
          </cell>
          <cell r="E5972">
            <v>0</v>
          </cell>
          <cell r="F5972">
            <v>0</v>
          </cell>
          <cell r="G5972">
            <v>0</v>
          </cell>
          <cell r="H5972">
            <v>0</v>
          </cell>
          <cell r="I5972">
            <v>0</v>
          </cell>
          <cell r="J5972">
            <v>0</v>
          </cell>
        </row>
        <row r="5973">
          <cell r="A5973">
            <v>1841000391</v>
          </cell>
          <cell r="B5973" t="str">
            <v>הפרשה לפנסיה</v>
          </cell>
          <cell r="C5973">
            <v>0</v>
          </cell>
          <cell r="D5973">
            <v>0</v>
          </cell>
          <cell r="E5973">
            <v>0</v>
          </cell>
          <cell r="F5973">
            <v>0</v>
          </cell>
          <cell r="G5973">
            <v>0</v>
          </cell>
          <cell r="H5973">
            <v>0</v>
          </cell>
          <cell r="I5973">
            <v>0</v>
          </cell>
          <cell r="J5973">
            <v>0</v>
          </cell>
        </row>
        <row r="5974">
          <cell r="A5974">
            <v>1841000410</v>
          </cell>
          <cell r="B5974" t="str">
            <v>שכירות רווחה</v>
          </cell>
          <cell r="C5974">
            <v>973655</v>
          </cell>
          <cell r="D5974">
            <v>493581</v>
          </cell>
          <cell r="E5974">
            <v>0</v>
          </cell>
          <cell r="F5974">
            <v>493581</v>
          </cell>
          <cell r="G5974">
            <v>480074</v>
          </cell>
          <cell r="H5974">
            <v>50.69</v>
          </cell>
          <cell r="I5974">
            <v>1024900</v>
          </cell>
          <cell r="J5974">
            <v>493581</v>
          </cell>
        </row>
        <row r="5975">
          <cell r="A5975">
            <v>1841000420</v>
          </cell>
          <cell r="B5975" t="str">
            <v>כיבוי אש</v>
          </cell>
          <cell r="C5975">
            <v>1900</v>
          </cell>
          <cell r="D5975">
            <v>0</v>
          </cell>
          <cell r="E5975">
            <v>0</v>
          </cell>
          <cell r="F5975">
            <v>0</v>
          </cell>
          <cell r="G5975">
            <v>1900</v>
          </cell>
          <cell r="H5975">
            <v>0</v>
          </cell>
          <cell r="I5975">
            <v>2000</v>
          </cell>
          <cell r="J5975">
            <v>0</v>
          </cell>
        </row>
        <row r="5976">
          <cell r="A5976">
            <v>1841000423</v>
          </cell>
          <cell r="B5976" t="str">
            <v>תחזוקת מבנה</v>
          </cell>
          <cell r="C5976">
            <v>4655</v>
          </cell>
          <cell r="D5976">
            <v>4900</v>
          </cell>
          <cell r="E5976">
            <v>0</v>
          </cell>
          <cell r="F5976">
            <v>4900</v>
          </cell>
          <cell r="G5976">
            <v>-245</v>
          </cell>
          <cell r="H5976">
            <v>105.26</v>
          </cell>
          <cell r="I5976">
            <v>4900</v>
          </cell>
          <cell r="J5976">
            <v>4900</v>
          </cell>
        </row>
        <row r="5977">
          <cell r="A5977">
            <v>1841000431</v>
          </cell>
          <cell r="B5977" t="str">
            <v>חשמל</v>
          </cell>
          <cell r="C5977">
            <v>313500</v>
          </cell>
          <cell r="D5977">
            <v>430034.18</v>
          </cell>
          <cell r="E5977">
            <v>0</v>
          </cell>
          <cell r="F5977">
            <v>430034.18</v>
          </cell>
          <cell r="G5977">
            <v>-116534.18</v>
          </cell>
          <cell r="H5977">
            <v>137.16999999999999</v>
          </cell>
          <cell r="I5977">
            <v>330000</v>
          </cell>
          <cell r="J5977">
            <v>430034.18</v>
          </cell>
        </row>
        <row r="5978">
          <cell r="A5978">
            <v>1841000432</v>
          </cell>
          <cell r="B5978" t="str">
            <v>מים</v>
          </cell>
          <cell r="C5978">
            <v>20900</v>
          </cell>
          <cell r="D5978">
            <v>7399.86</v>
          </cell>
          <cell r="E5978">
            <v>0</v>
          </cell>
          <cell r="F5978">
            <v>7399.86</v>
          </cell>
          <cell r="G5978">
            <v>13500.14</v>
          </cell>
          <cell r="H5978">
            <v>35.4</v>
          </cell>
          <cell r="I5978">
            <v>22000</v>
          </cell>
          <cell r="J5978">
            <v>7399.86</v>
          </cell>
        </row>
        <row r="5979">
          <cell r="A5979">
            <v>1841000437</v>
          </cell>
          <cell r="B5979" t="str">
            <v>אחזקת אזעקה</v>
          </cell>
          <cell r="C5979">
            <v>4750</v>
          </cell>
          <cell r="D5979">
            <v>2442.96</v>
          </cell>
          <cell r="E5979">
            <v>0</v>
          </cell>
          <cell r="F5979">
            <v>2442.96</v>
          </cell>
          <cell r="G5979">
            <v>2307.04</v>
          </cell>
          <cell r="H5979">
            <v>51.43</v>
          </cell>
          <cell r="I5979">
            <v>5000</v>
          </cell>
          <cell r="J5979">
            <v>2442.96</v>
          </cell>
        </row>
        <row r="5980">
          <cell r="A5980">
            <v>1841000438</v>
          </cell>
          <cell r="B5980" t="str">
            <v>לחצני מצוקה ניידים</v>
          </cell>
          <cell r="C5980">
            <v>24795</v>
          </cell>
          <cell r="D5980">
            <v>22982.03</v>
          </cell>
          <cell r="E5980">
            <v>1484.77</v>
          </cell>
          <cell r="F5980">
            <v>24466.799999999999</v>
          </cell>
          <cell r="G5980">
            <v>328.2</v>
          </cell>
          <cell r="H5980">
            <v>98.67</v>
          </cell>
          <cell r="I5980">
            <v>26100</v>
          </cell>
          <cell r="J5980">
            <v>22982.03</v>
          </cell>
        </row>
        <row r="5981">
          <cell r="A5981">
            <v>1841000450</v>
          </cell>
          <cell r="B5981" t="str">
            <v>אחזקת תמי 4</v>
          </cell>
          <cell r="C5981">
            <v>6460</v>
          </cell>
          <cell r="D5981">
            <v>1907</v>
          </cell>
          <cell r="E5981">
            <v>0</v>
          </cell>
          <cell r="F5981">
            <v>1907</v>
          </cell>
          <cell r="G5981">
            <v>4553</v>
          </cell>
          <cell r="H5981">
            <v>29.52</v>
          </cell>
          <cell r="I5981">
            <v>6800</v>
          </cell>
          <cell r="J5981">
            <v>1907</v>
          </cell>
        </row>
        <row r="5982">
          <cell r="A5982">
            <v>1841000451</v>
          </cell>
          <cell r="B5982" t="str">
            <v>אחזקת דפיברילטור</v>
          </cell>
          <cell r="C5982">
            <v>2850</v>
          </cell>
          <cell r="D5982">
            <v>990.22</v>
          </cell>
          <cell r="E5982">
            <v>916.88</v>
          </cell>
          <cell r="F5982">
            <v>1907.1</v>
          </cell>
          <cell r="G5982">
            <v>942.9</v>
          </cell>
          <cell r="H5982">
            <v>66.91</v>
          </cell>
          <cell r="I5982">
            <v>3000</v>
          </cell>
          <cell r="J5982">
            <v>990.22</v>
          </cell>
        </row>
        <row r="5983">
          <cell r="A5983">
            <v>1841000470</v>
          </cell>
          <cell r="B5983" t="str">
            <v>אחזקת מכונות משרד</v>
          </cell>
          <cell r="C5983">
            <v>5510</v>
          </cell>
          <cell r="D5983">
            <v>2994.44</v>
          </cell>
          <cell r="E5983">
            <v>0</v>
          </cell>
          <cell r="F5983">
            <v>2994.44</v>
          </cell>
          <cell r="G5983">
            <v>2515.56</v>
          </cell>
          <cell r="H5983">
            <v>54.34</v>
          </cell>
          <cell r="I5983">
            <v>5800</v>
          </cell>
          <cell r="J5983">
            <v>2994.44</v>
          </cell>
        </row>
        <row r="5984">
          <cell r="A5984">
            <v>1841000471</v>
          </cell>
          <cell r="B5984" t="str">
            <v>מכשירי כתיבה</v>
          </cell>
          <cell r="C5984">
            <v>81225</v>
          </cell>
          <cell r="D5984">
            <v>80439.77</v>
          </cell>
          <cell r="E5984">
            <v>1877.45</v>
          </cell>
          <cell r="F5984">
            <v>82317.22</v>
          </cell>
          <cell r="G5984">
            <v>-1092.22</v>
          </cell>
          <cell r="H5984">
            <v>101.34</v>
          </cell>
          <cell r="I5984">
            <v>85500</v>
          </cell>
          <cell r="J5984">
            <v>80439.77</v>
          </cell>
        </row>
        <row r="5985">
          <cell r="A5985">
            <v>1841000474</v>
          </cell>
          <cell r="B5985" t="str">
            <v>אחזקת מעלית</v>
          </cell>
          <cell r="C5985">
            <v>19665</v>
          </cell>
          <cell r="D5985">
            <v>6267</v>
          </cell>
          <cell r="E5985">
            <v>0</v>
          </cell>
          <cell r="F5985">
            <v>6267</v>
          </cell>
          <cell r="G5985">
            <v>13398</v>
          </cell>
          <cell r="H5985">
            <v>31.86</v>
          </cell>
          <cell r="I5985">
            <v>20700</v>
          </cell>
          <cell r="J5985">
            <v>6267</v>
          </cell>
        </row>
        <row r="5986">
          <cell r="A5986">
            <v>1841000492</v>
          </cell>
          <cell r="B5986" t="str">
            <v>השתתפות בעזר 092</v>
          </cell>
          <cell r="C5986">
            <v>597360</v>
          </cell>
          <cell r="D5986">
            <v>688522</v>
          </cell>
          <cell r="E5986">
            <v>0</v>
          </cell>
          <cell r="F5986">
            <v>688522</v>
          </cell>
          <cell r="G5986">
            <v>-91162</v>
          </cell>
          <cell r="H5986">
            <v>115.26</v>
          </cell>
          <cell r="I5986">
            <v>628800</v>
          </cell>
          <cell r="J5986">
            <v>688522</v>
          </cell>
        </row>
        <row r="5987">
          <cell r="A5987">
            <v>1841000511</v>
          </cell>
          <cell r="B5987" t="str">
            <v>אירוח וכיבוד</v>
          </cell>
          <cell r="C5987">
            <v>7600</v>
          </cell>
          <cell r="D5987">
            <v>7286.56</v>
          </cell>
          <cell r="E5987">
            <v>101.37</v>
          </cell>
          <cell r="F5987">
            <v>7387.93</v>
          </cell>
          <cell r="G5987">
            <v>212.07</v>
          </cell>
          <cell r="H5987">
            <v>97.2</v>
          </cell>
          <cell r="I5987">
            <v>7600</v>
          </cell>
          <cell r="J5987">
            <v>7286.56</v>
          </cell>
        </row>
        <row r="5988">
          <cell r="A5988">
            <v>1841000512</v>
          </cell>
          <cell r="B5988" t="str">
            <v>נסיעות ואש"ל</v>
          </cell>
          <cell r="C5988">
            <v>4180</v>
          </cell>
          <cell r="D5988">
            <v>2410</v>
          </cell>
          <cell r="E5988">
            <v>0</v>
          </cell>
          <cell r="F5988">
            <v>2410</v>
          </cell>
          <cell r="G5988">
            <v>1770</v>
          </cell>
          <cell r="H5988">
            <v>57.65</v>
          </cell>
          <cell r="I5988">
            <v>4400</v>
          </cell>
          <cell r="J5988">
            <v>2410</v>
          </cell>
        </row>
        <row r="5989">
          <cell r="A5989">
            <v>1841000521</v>
          </cell>
          <cell r="B5989" t="str">
            <v>השתלמות קבוצתית</v>
          </cell>
          <cell r="C5989">
            <v>0</v>
          </cell>
          <cell r="D5989">
            <v>0</v>
          </cell>
          <cell r="E5989">
            <v>0</v>
          </cell>
          <cell r="F5989">
            <v>0</v>
          </cell>
          <cell r="G5989">
            <v>0</v>
          </cell>
          <cell r="H5989">
            <v>0</v>
          </cell>
          <cell r="I5989">
            <v>0</v>
          </cell>
          <cell r="J5989">
            <v>0</v>
          </cell>
        </row>
        <row r="5990">
          <cell r="A5990">
            <v>1841000522</v>
          </cell>
          <cell r="B5990" t="str">
            <v>ספרים ועיתונים</v>
          </cell>
          <cell r="C5990">
            <v>2470</v>
          </cell>
          <cell r="D5990">
            <v>1696</v>
          </cell>
          <cell r="E5990">
            <v>0</v>
          </cell>
          <cell r="F5990">
            <v>1696</v>
          </cell>
          <cell r="G5990">
            <v>774</v>
          </cell>
          <cell r="H5990">
            <v>68.66</v>
          </cell>
          <cell r="I5990">
            <v>2600</v>
          </cell>
          <cell r="J5990">
            <v>1696</v>
          </cell>
        </row>
        <row r="5991">
          <cell r="A5991">
            <v>1841000524</v>
          </cell>
          <cell r="B5991" t="str">
            <v>השתלמות מרוכזת</v>
          </cell>
          <cell r="C5991">
            <v>0</v>
          </cell>
          <cell r="D5991">
            <v>0</v>
          </cell>
          <cell r="E5991">
            <v>0</v>
          </cell>
          <cell r="F5991">
            <v>0</v>
          </cell>
          <cell r="G5991">
            <v>0</v>
          </cell>
          <cell r="H5991">
            <v>0</v>
          </cell>
          <cell r="I5991">
            <v>0</v>
          </cell>
          <cell r="J5991">
            <v>0</v>
          </cell>
        </row>
        <row r="5992">
          <cell r="A5992">
            <v>1841000540</v>
          </cell>
          <cell r="B5992" t="str">
            <v>הוצאות טלפון</v>
          </cell>
          <cell r="C5992">
            <v>0</v>
          </cell>
          <cell r="D5992">
            <v>0</v>
          </cell>
          <cell r="E5992">
            <v>0</v>
          </cell>
          <cell r="F5992">
            <v>0</v>
          </cell>
          <cell r="G5992">
            <v>0</v>
          </cell>
          <cell r="H5992">
            <v>0</v>
          </cell>
          <cell r="I5992">
            <v>0</v>
          </cell>
          <cell r="J5992">
            <v>0</v>
          </cell>
        </row>
        <row r="5993">
          <cell r="A5993">
            <v>1841000544</v>
          </cell>
          <cell r="B5993" t="str">
            <v>הוצאות דאר</v>
          </cell>
          <cell r="C5993">
            <v>25270</v>
          </cell>
          <cell r="D5993">
            <v>19779.150000000001</v>
          </cell>
          <cell r="E5993">
            <v>0</v>
          </cell>
          <cell r="F5993">
            <v>19779.150000000001</v>
          </cell>
          <cell r="G5993">
            <v>5490.85</v>
          </cell>
          <cell r="H5993">
            <v>78.27</v>
          </cell>
          <cell r="I5993">
            <v>26600</v>
          </cell>
          <cell r="J5993">
            <v>19779.150000000001</v>
          </cell>
        </row>
        <row r="5994">
          <cell r="A5994">
            <v>1841000550</v>
          </cell>
          <cell r="B5994" t="str">
            <v>פירסומים</v>
          </cell>
          <cell r="C5994">
            <v>8100</v>
          </cell>
          <cell r="D5994">
            <v>8100</v>
          </cell>
          <cell r="E5994">
            <v>0</v>
          </cell>
          <cell r="F5994">
            <v>8100</v>
          </cell>
          <cell r="G5994">
            <v>0</v>
          </cell>
          <cell r="H5994">
            <v>100</v>
          </cell>
          <cell r="I5994">
            <v>8100</v>
          </cell>
          <cell r="J5994">
            <v>8100</v>
          </cell>
        </row>
        <row r="5995">
          <cell r="A5995">
            <v>1841000561</v>
          </cell>
          <cell r="B5995" t="str">
            <v>שיכפולים</v>
          </cell>
          <cell r="C5995">
            <v>0</v>
          </cell>
          <cell r="D5995">
            <v>0</v>
          </cell>
          <cell r="E5995">
            <v>0</v>
          </cell>
          <cell r="F5995">
            <v>0</v>
          </cell>
          <cell r="G5995">
            <v>0</v>
          </cell>
          <cell r="H5995">
            <v>0</v>
          </cell>
          <cell r="I5995">
            <v>0</v>
          </cell>
          <cell r="J5995">
            <v>0</v>
          </cell>
        </row>
        <row r="5996">
          <cell r="A5996">
            <v>1841000562</v>
          </cell>
          <cell r="B5996" t="str">
            <v>הדפסות</v>
          </cell>
          <cell r="C5996">
            <v>4845</v>
          </cell>
          <cell r="D5996">
            <v>1215.2</v>
          </cell>
          <cell r="E5996">
            <v>20</v>
          </cell>
          <cell r="F5996">
            <v>1235.2</v>
          </cell>
          <cell r="G5996">
            <v>3609.8</v>
          </cell>
          <cell r="H5996">
            <v>25.49</v>
          </cell>
          <cell r="I5996">
            <v>5100</v>
          </cell>
          <cell r="J5996">
            <v>1215.2</v>
          </cell>
        </row>
        <row r="5997">
          <cell r="A5997">
            <v>1841000570</v>
          </cell>
          <cell r="B5997" t="str">
            <v>תשלום לאוטומציה</v>
          </cell>
          <cell r="C5997">
            <v>20283</v>
          </cell>
          <cell r="D5997">
            <v>21687.13</v>
          </cell>
          <cell r="E5997">
            <v>0</v>
          </cell>
          <cell r="F5997">
            <v>21687.13</v>
          </cell>
          <cell r="G5997">
            <v>-1404.13</v>
          </cell>
          <cell r="H5997">
            <v>106.92</v>
          </cell>
          <cell r="I5997">
            <v>21350</v>
          </cell>
          <cell r="J5997">
            <v>21687.13</v>
          </cell>
        </row>
        <row r="5998">
          <cell r="A5998">
            <v>1841000571</v>
          </cell>
          <cell r="B5998" t="str">
            <v>מיכון וענ"א</v>
          </cell>
          <cell r="C5998">
            <v>403845</v>
          </cell>
          <cell r="D5998">
            <v>425100</v>
          </cell>
          <cell r="E5998">
            <v>0</v>
          </cell>
          <cell r="F5998">
            <v>425100</v>
          </cell>
          <cell r="G5998">
            <v>-21255</v>
          </cell>
          <cell r="H5998">
            <v>105.26</v>
          </cell>
          <cell r="I5998">
            <v>425100</v>
          </cell>
          <cell r="J5998">
            <v>425100</v>
          </cell>
        </row>
        <row r="5999">
          <cell r="A5999">
            <v>1841000572</v>
          </cell>
          <cell r="B5999" t="str">
            <v>מיחשוב אי . פי . אר .</v>
          </cell>
          <cell r="C5999">
            <v>257783</v>
          </cell>
          <cell r="D5999">
            <v>231660</v>
          </cell>
          <cell r="E5999">
            <v>0</v>
          </cell>
          <cell r="F5999">
            <v>231660</v>
          </cell>
          <cell r="G5999">
            <v>26123</v>
          </cell>
          <cell r="H5999">
            <v>89.86</v>
          </cell>
          <cell r="I5999">
            <v>271350</v>
          </cell>
          <cell r="J5999">
            <v>231660</v>
          </cell>
        </row>
        <row r="6000">
          <cell r="A6000">
            <v>1841000580</v>
          </cell>
          <cell r="B6000" t="str">
            <v>יעוץ משפטי</v>
          </cell>
          <cell r="C6000">
            <v>760</v>
          </cell>
          <cell r="D6000">
            <v>0</v>
          </cell>
          <cell r="E6000">
            <v>0</v>
          </cell>
          <cell r="F6000">
            <v>0</v>
          </cell>
          <cell r="G6000">
            <v>760</v>
          </cell>
          <cell r="H6000">
            <v>0</v>
          </cell>
          <cell r="I6000">
            <v>800</v>
          </cell>
          <cell r="J6000">
            <v>0</v>
          </cell>
        </row>
        <row r="6001">
          <cell r="A6001">
            <v>1841000721</v>
          </cell>
          <cell r="B6001" t="str">
            <v>חמרים-תחזוקת מבנים</v>
          </cell>
          <cell r="C6001">
            <v>5985</v>
          </cell>
          <cell r="D6001">
            <v>4877</v>
          </cell>
          <cell r="E6001">
            <v>0</v>
          </cell>
          <cell r="F6001">
            <v>4877</v>
          </cell>
          <cell r="G6001">
            <v>1108</v>
          </cell>
          <cell r="H6001">
            <v>81.48</v>
          </cell>
          <cell r="I6001">
            <v>6300</v>
          </cell>
          <cell r="J6001">
            <v>4877</v>
          </cell>
        </row>
        <row r="6002">
          <cell r="A6002">
            <v>1841000745</v>
          </cell>
          <cell r="B6002" t="str">
            <v>דמי פריצה - תכולה</v>
          </cell>
          <cell r="C6002">
            <v>0</v>
          </cell>
          <cell r="D6002">
            <v>0</v>
          </cell>
          <cell r="E6002">
            <v>0</v>
          </cell>
          <cell r="F6002">
            <v>0</v>
          </cell>
          <cell r="G6002">
            <v>0</v>
          </cell>
          <cell r="H6002">
            <v>0</v>
          </cell>
          <cell r="I6002">
            <v>0</v>
          </cell>
          <cell r="J6002">
            <v>0</v>
          </cell>
        </row>
        <row r="6003">
          <cell r="A6003">
            <v>1841000746</v>
          </cell>
          <cell r="B6003" t="str">
            <v>דמי פריצה - מבנה</v>
          </cell>
          <cell r="C6003">
            <v>0</v>
          </cell>
          <cell r="D6003">
            <v>0</v>
          </cell>
          <cell r="E6003">
            <v>0</v>
          </cell>
          <cell r="F6003">
            <v>0</v>
          </cell>
          <cell r="G6003">
            <v>0</v>
          </cell>
          <cell r="H6003">
            <v>0</v>
          </cell>
          <cell r="I6003">
            <v>0</v>
          </cell>
          <cell r="J6003">
            <v>0</v>
          </cell>
        </row>
        <row r="6004">
          <cell r="A6004">
            <v>1841000750</v>
          </cell>
          <cell r="B6004" t="str">
            <v>אחזקת מוסדות</v>
          </cell>
          <cell r="C6004">
            <v>427500</v>
          </cell>
          <cell r="D6004">
            <v>399902</v>
          </cell>
          <cell r="E6004">
            <v>15239</v>
          </cell>
          <cell r="F6004">
            <v>415141</v>
          </cell>
          <cell r="G6004">
            <v>12359</v>
          </cell>
          <cell r="H6004">
            <v>97.1</v>
          </cell>
          <cell r="I6004">
            <v>450000</v>
          </cell>
          <cell r="J6004">
            <v>399902</v>
          </cell>
        </row>
        <row r="6005">
          <cell r="A6005">
            <v>1841000751</v>
          </cell>
          <cell r="B6005" t="str">
            <v>עבודות קבלניות</v>
          </cell>
          <cell r="C6005">
            <v>126000</v>
          </cell>
          <cell r="D6005">
            <v>101417</v>
          </cell>
          <cell r="E6005">
            <v>4095.28</v>
          </cell>
          <cell r="F6005">
            <v>105512.28</v>
          </cell>
          <cell r="G6005">
            <v>20487.72</v>
          </cell>
          <cell r="H6005">
            <v>83.73</v>
          </cell>
          <cell r="I6005">
            <v>126000</v>
          </cell>
          <cell r="J6005">
            <v>101417</v>
          </cell>
        </row>
        <row r="6006">
          <cell r="A6006">
            <v>1841000752</v>
          </cell>
          <cell r="B6006" t="str">
            <v>נקיון בקבלנות</v>
          </cell>
          <cell r="C6006">
            <v>583400</v>
          </cell>
          <cell r="D6006">
            <v>609059.98</v>
          </cell>
          <cell r="E6006">
            <v>0</v>
          </cell>
          <cell r="F6006">
            <v>609059.98</v>
          </cell>
          <cell r="G6006">
            <v>-25659.98</v>
          </cell>
          <cell r="H6006">
            <v>104.39</v>
          </cell>
          <cell r="I6006">
            <v>583400</v>
          </cell>
          <cell r="J6006">
            <v>609059.98</v>
          </cell>
        </row>
        <row r="6007">
          <cell r="A6007">
            <v>1841000753</v>
          </cell>
          <cell r="B6007" t="str">
            <v>עובד חיצוני</v>
          </cell>
          <cell r="C6007">
            <v>0</v>
          </cell>
          <cell r="D6007">
            <v>0</v>
          </cell>
          <cell r="E6007">
            <v>0</v>
          </cell>
          <cell r="F6007">
            <v>0</v>
          </cell>
          <cell r="G6007">
            <v>0</v>
          </cell>
          <cell r="H6007">
            <v>0</v>
          </cell>
          <cell r="I6007">
            <v>0</v>
          </cell>
          <cell r="J6007">
            <v>0</v>
          </cell>
        </row>
        <row r="6008">
          <cell r="A6008">
            <v>1841000754</v>
          </cell>
          <cell r="B6008" t="str">
            <v>אחזקת תמ"י בר</v>
          </cell>
          <cell r="C6008">
            <v>0</v>
          </cell>
          <cell r="D6008">
            <v>0</v>
          </cell>
          <cell r="E6008">
            <v>0</v>
          </cell>
          <cell r="F6008">
            <v>0</v>
          </cell>
          <cell r="G6008">
            <v>0</v>
          </cell>
          <cell r="H6008">
            <v>0</v>
          </cell>
          <cell r="I6008">
            <v>0</v>
          </cell>
          <cell r="J6008">
            <v>0</v>
          </cell>
        </row>
        <row r="6009">
          <cell r="A6009">
            <v>1841000756</v>
          </cell>
          <cell r="B6009" t="str">
            <v>שמירה</v>
          </cell>
          <cell r="C6009">
            <v>693500</v>
          </cell>
          <cell r="D6009">
            <v>741879.71</v>
          </cell>
          <cell r="E6009">
            <v>0</v>
          </cell>
          <cell r="F6009">
            <v>741879.71</v>
          </cell>
          <cell r="G6009">
            <v>-48379.71</v>
          </cell>
          <cell r="H6009">
            <v>106.97</v>
          </cell>
          <cell r="I6009">
            <v>730000</v>
          </cell>
          <cell r="J6009">
            <v>741879.71</v>
          </cell>
        </row>
        <row r="6010">
          <cell r="A6010">
            <v>1841000758</v>
          </cell>
          <cell r="B6010" t="str">
            <v>גינון מוסדות רווחה</v>
          </cell>
          <cell r="C6010">
            <v>0</v>
          </cell>
          <cell r="D6010">
            <v>0</v>
          </cell>
          <cell r="E6010">
            <v>0</v>
          </cell>
          <cell r="F6010">
            <v>0</v>
          </cell>
          <cell r="G6010">
            <v>0</v>
          </cell>
          <cell r="H6010">
            <v>0</v>
          </cell>
          <cell r="I6010">
            <v>0</v>
          </cell>
          <cell r="J6010">
            <v>0</v>
          </cell>
        </row>
        <row r="6011">
          <cell r="A6011">
            <v>1841000780</v>
          </cell>
          <cell r="B6011" t="str">
            <v>ארועים</v>
          </cell>
          <cell r="C6011">
            <v>81035</v>
          </cell>
          <cell r="D6011">
            <v>72678.34</v>
          </cell>
          <cell r="E6011">
            <v>13024</v>
          </cell>
          <cell r="F6011">
            <v>85702.34</v>
          </cell>
          <cell r="G6011">
            <v>-4667.34</v>
          </cell>
          <cell r="H6011">
            <v>105.75</v>
          </cell>
          <cell r="I6011">
            <v>85300</v>
          </cell>
          <cell r="J6011">
            <v>72678.34</v>
          </cell>
        </row>
        <row r="6012">
          <cell r="A6012">
            <v>1841000781</v>
          </cell>
          <cell r="B6012" t="str">
            <v>פעולות סמנכ"ל</v>
          </cell>
          <cell r="C6012">
            <v>40000</v>
          </cell>
          <cell r="D6012">
            <v>39767.74</v>
          </cell>
          <cell r="E6012">
            <v>0</v>
          </cell>
          <cell r="F6012">
            <v>39767.74</v>
          </cell>
          <cell r="G6012">
            <v>232.26</v>
          </cell>
          <cell r="H6012">
            <v>99.41</v>
          </cell>
          <cell r="I6012">
            <v>40000</v>
          </cell>
          <cell r="J6012">
            <v>39767.74</v>
          </cell>
        </row>
        <row r="6013">
          <cell r="A6013">
            <v>1841000782</v>
          </cell>
          <cell r="B6013" t="str">
            <v>ארוע מועדון קשיש</v>
          </cell>
          <cell r="C6013">
            <v>79610</v>
          </cell>
          <cell r="D6013">
            <v>58132.82</v>
          </cell>
          <cell r="E6013">
            <v>1867.5</v>
          </cell>
          <cell r="F6013">
            <v>60000.32</v>
          </cell>
          <cell r="G6013">
            <v>19609.68</v>
          </cell>
          <cell r="H6013">
            <v>75.36</v>
          </cell>
          <cell r="I6013">
            <v>83800</v>
          </cell>
          <cell r="J6013">
            <v>58132.82</v>
          </cell>
        </row>
        <row r="6014">
          <cell r="A6014">
            <v>1841000783</v>
          </cell>
          <cell r="B6014" t="str">
            <v>עיתון"כיוון חדש"</v>
          </cell>
          <cell r="C6014">
            <v>54150</v>
          </cell>
          <cell r="D6014">
            <v>41831.629999999997</v>
          </cell>
          <cell r="E6014">
            <v>0</v>
          </cell>
          <cell r="F6014">
            <v>41831.629999999997</v>
          </cell>
          <cell r="G6014">
            <v>12318.37</v>
          </cell>
          <cell r="H6014">
            <v>77.25</v>
          </cell>
          <cell r="I6014">
            <v>57000</v>
          </cell>
          <cell r="J6014">
            <v>41831.629999999997</v>
          </cell>
        </row>
        <row r="6015">
          <cell r="A6015">
            <v>1841000784</v>
          </cell>
          <cell r="B6015" t="str">
            <v>הרצאות</v>
          </cell>
          <cell r="C6015">
            <v>1520</v>
          </cell>
          <cell r="D6015">
            <v>0</v>
          </cell>
          <cell r="E6015">
            <v>1600</v>
          </cell>
          <cell r="F6015">
            <v>1600</v>
          </cell>
          <cell r="G6015">
            <v>-80</v>
          </cell>
          <cell r="H6015">
            <v>105.26</v>
          </cell>
          <cell r="I6015">
            <v>1600</v>
          </cell>
          <cell r="J6015">
            <v>0</v>
          </cell>
        </row>
        <row r="6016">
          <cell r="A6016">
            <v>1841000785</v>
          </cell>
          <cell r="B6016" t="str">
            <v>הוצאות אירגוניות</v>
          </cell>
          <cell r="C6016">
            <v>4275</v>
          </cell>
          <cell r="D6016">
            <v>0</v>
          </cell>
          <cell r="E6016">
            <v>0</v>
          </cell>
          <cell r="F6016">
            <v>0</v>
          </cell>
          <cell r="G6016">
            <v>4275</v>
          </cell>
          <cell r="H6016">
            <v>0</v>
          </cell>
          <cell r="I6016">
            <v>4500</v>
          </cell>
          <cell r="J6016">
            <v>0</v>
          </cell>
        </row>
        <row r="6017">
          <cell r="A6017">
            <v>1841000786</v>
          </cell>
          <cell r="B6017" t="str">
            <v>קופה קטנה מטופלים</v>
          </cell>
          <cell r="C6017">
            <v>4750</v>
          </cell>
          <cell r="D6017">
            <v>0</v>
          </cell>
          <cell r="E6017">
            <v>0</v>
          </cell>
          <cell r="F6017">
            <v>0</v>
          </cell>
          <cell r="G6017">
            <v>4750</v>
          </cell>
          <cell r="H6017">
            <v>0</v>
          </cell>
          <cell r="I6017">
            <v>5000</v>
          </cell>
          <cell r="J6017">
            <v>0</v>
          </cell>
        </row>
        <row r="6018">
          <cell r="A6018">
            <v>1841000794</v>
          </cell>
          <cell r="B6018" t="str">
            <v>השתתפות בעזר 094</v>
          </cell>
          <cell r="C6018">
            <v>45600</v>
          </cell>
          <cell r="D6018">
            <v>57251</v>
          </cell>
          <cell r="E6018">
            <v>0</v>
          </cell>
          <cell r="F6018">
            <v>57251</v>
          </cell>
          <cell r="G6018">
            <v>-11651</v>
          </cell>
          <cell r="H6018">
            <v>125.55</v>
          </cell>
          <cell r="I6018">
            <v>48000</v>
          </cell>
          <cell r="J6018">
            <v>57251</v>
          </cell>
        </row>
        <row r="6019">
          <cell r="A6019">
            <v>1841000815</v>
          </cell>
          <cell r="B6019" t="str">
            <v>מאבטחים-רווחה</v>
          </cell>
          <cell r="C6019">
            <v>461700</v>
          </cell>
          <cell r="D6019">
            <v>528175.02</v>
          </cell>
          <cell r="E6019">
            <v>0</v>
          </cell>
          <cell r="F6019">
            <v>528175.02</v>
          </cell>
          <cell r="G6019">
            <v>-66475.02</v>
          </cell>
          <cell r="H6019">
            <v>114.39</v>
          </cell>
          <cell r="I6019">
            <v>486000</v>
          </cell>
          <cell r="J6019">
            <v>528175.02</v>
          </cell>
        </row>
        <row r="6020">
          <cell r="A6020">
            <v>1841000817</v>
          </cell>
          <cell r="B6020" t="str">
            <v>הערכות לחירום</v>
          </cell>
          <cell r="C6020">
            <v>72200</v>
          </cell>
          <cell r="D6020">
            <v>0</v>
          </cell>
          <cell r="E6020">
            <v>4795</v>
          </cell>
          <cell r="F6020">
            <v>4795</v>
          </cell>
          <cell r="G6020">
            <v>67405</v>
          </cell>
          <cell r="H6020">
            <v>6.64</v>
          </cell>
          <cell r="I6020">
            <v>76000</v>
          </cell>
          <cell r="J6020">
            <v>0</v>
          </cell>
        </row>
        <row r="6021">
          <cell r="A6021">
            <v>1841000930</v>
          </cell>
          <cell r="B6021" t="str">
            <v>פעולות ארגוניות</v>
          </cell>
          <cell r="C6021">
            <v>125400</v>
          </cell>
          <cell r="D6021">
            <v>119837.45</v>
          </cell>
          <cell r="E6021">
            <v>0</v>
          </cell>
          <cell r="F6021">
            <v>119837.45</v>
          </cell>
          <cell r="G6021">
            <v>5562.55</v>
          </cell>
          <cell r="H6021">
            <v>95.56</v>
          </cell>
          <cell r="I6021">
            <v>132000</v>
          </cell>
          <cell r="J6021">
            <v>119837.45</v>
          </cell>
        </row>
        <row r="6022">
          <cell r="A6022">
            <v>1841000931</v>
          </cell>
          <cell r="B6022" t="str">
            <v>רכישות חד-פעמיות</v>
          </cell>
          <cell r="C6022">
            <v>38500</v>
          </cell>
          <cell r="D6022">
            <v>37314.44</v>
          </cell>
          <cell r="E6022">
            <v>590.96</v>
          </cell>
          <cell r="F6022">
            <v>37905.4</v>
          </cell>
          <cell r="G6022">
            <v>594.6</v>
          </cell>
          <cell r="H6022">
            <v>98.45</v>
          </cell>
          <cell r="I6022">
            <v>38500</v>
          </cell>
          <cell r="J6022">
            <v>37314.44</v>
          </cell>
        </row>
        <row r="6023">
          <cell r="A6023">
            <v>1841000932</v>
          </cell>
          <cell r="B6023" t="str">
            <v>הצטיידות מועדוניות</v>
          </cell>
          <cell r="C6023">
            <v>0</v>
          </cell>
          <cell r="D6023">
            <v>0</v>
          </cell>
          <cell r="E6023">
            <v>0</v>
          </cell>
          <cell r="F6023">
            <v>0</v>
          </cell>
          <cell r="G6023">
            <v>0</v>
          </cell>
          <cell r="H6023">
            <v>0</v>
          </cell>
          <cell r="I6023">
            <v>0</v>
          </cell>
          <cell r="J6023">
            <v>0</v>
          </cell>
        </row>
        <row r="6024">
          <cell r="A6024">
            <v>1841000933</v>
          </cell>
          <cell r="B6024" t="str">
            <v>תכנית תמ"ר</v>
          </cell>
          <cell r="C6024">
            <v>0</v>
          </cell>
          <cell r="D6024">
            <v>0</v>
          </cell>
          <cell r="E6024">
            <v>0</v>
          </cell>
          <cell r="F6024">
            <v>0</v>
          </cell>
          <cell r="G6024">
            <v>0</v>
          </cell>
          <cell r="H6024">
            <v>0</v>
          </cell>
          <cell r="I6024">
            <v>0</v>
          </cell>
          <cell r="J6024">
            <v>0</v>
          </cell>
        </row>
        <row r="6025">
          <cell r="A6025">
            <v>1841000960</v>
          </cell>
          <cell r="B6025" t="str">
            <v>רזרבה משנה קודמת</v>
          </cell>
          <cell r="C6025">
            <v>0</v>
          </cell>
          <cell r="D6025">
            <v>0</v>
          </cell>
          <cell r="E6025">
            <v>0</v>
          </cell>
          <cell r="F6025">
            <v>0</v>
          </cell>
          <cell r="G6025">
            <v>0</v>
          </cell>
          <cell r="H6025">
            <v>0</v>
          </cell>
          <cell r="I6025">
            <v>0</v>
          </cell>
          <cell r="J6025">
            <v>0</v>
          </cell>
        </row>
        <row r="6026">
          <cell r="A6026">
            <v>1841000961</v>
          </cell>
          <cell r="B6026" t="str">
            <v>רזרבות פעולות ורכישות</v>
          </cell>
          <cell r="C6026">
            <v>18525</v>
          </cell>
          <cell r="D6026">
            <v>12535.91</v>
          </cell>
          <cell r="E6026">
            <v>0</v>
          </cell>
          <cell r="F6026">
            <v>12535.91</v>
          </cell>
          <cell r="G6026">
            <v>5989.09</v>
          </cell>
          <cell r="H6026">
            <v>67.67</v>
          </cell>
          <cell r="I6026">
            <v>19500</v>
          </cell>
          <cell r="J6026">
            <v>12535.91</v>
          </cell>
        </row>
        <row r="6027">
          <cell r="A6027">
            <v>1841000980</v>
          </cell>
          <cell r="B6027" t="str">
            <v>חליפת מיגון</v>
          </cell>
          <cell r="C6027">
            <v>76000</v>
          </cell>
          <cell r="D6027">
            <v>74903.58</v>
          </cell>
          <cell r="E6027">
            <v>0</v>
          </cell>
          <cell r="F6027">
            <v>74903.58</v>
          </cell>
          <cell r="G6027">
            <v>1096.42</v>
          </cell>
          <cell r="H6027">
            <v>98.55</v>
          </cell>
          <cell r="I6027">
            <v>80000</v>
          </cell>
          <cell r="J6027">
            <v>74903.58</v>
          </cell>
        </row>
        <row r="6028">
          <cell r="A6028">
            <v>1842500110</v>
          </cell>
          <cell r="B6028" t="str">
            <v>השכר הקובע-תקציבית</v>
          </cell>
          <cell r="C6028">
            <v>3847500</v>
          </cell>
          <cell r="D6028">
            <v>3879511.22</v>
          </cell>
          <cell r="E6028">
            <v>0</v>
          </cell>
          <cell r="F6028">
            <v>3879511.22</v>
          </cell>
          <cell r="G6028">
            <v>-32011.22</v>
          </cell>
          <cell r="H6028">
            <v>100.83</v>
          </cell>
          <cell r="I6028">
            <v>4050000</v>
          </cell>
          <cell r="J6028">
            <v>3879511.22</v>
          </cell>
        </row>
        <row r="6029">
          <cell r="A6029">
            <v>1842500119</v>
          </cell>
          <cell r="B6029" t="str">
            <v>השכר הקובע-צוברת</v>
          </cell>
          <cell r="C6029">
            <v>24508287</v>
          </cell>
          <cell r="D6029">
            <v>22059086.030000001</v>
          </cell>
          <cell r="E6029">
            <v>0</v>
          </cell>
          <cell r="F6029">
            <v>22059086.030000001</v>
          </cell>
          <cell r="G6029">
            <v>2449200.9700000002</v>
          </cell>
          <cell r="H6029">
            <v>90</v>
          </cell>
          <cell r="I6029">
            <v>25798197</v>
          </cell>
          <cell r="J6029">
            <v>22059086.030000001</v>
          </cell>
        </row>
        <row r="6030">
          <cell r="A6030">
            <v>1842500122</v>
          </cell>
          <cell r="B6030" t="str">
            <v>ביגוד</v>
          </cell>
          <cell r="C6030">
            <v>210425</v>
          </cell>
          <cell r="D6030">
            <v>238073.84</v>
          </cell>
          <cell r="E6030">
            <v>0</v>
          </cell>
          <cell r="F6030">
            <v>238073.84</v>
          </cell>
          <cell r="G6030">
            <v>-27648.84</v>
          </cell>
          <cell r="H6030">
            <v>113.13</v>
          </cell>
          <cell r="I6030">
            <v>221500</v>
          </cell>
          <cell r="J6030">
            <v>238073.84</v>
          </cell>
        </row>
        <row r="6031">
          <cell r="A6031">
            <v>1842500126</v>
          </cell>
          <cell r="B6031" t="str">
            <v>דמי הבראה</v>
          </cell>
          <cell r="C6031">
            <v>593750</v>
          </cell>
          <cell r="D6031">
            <v>605656.03</v>
          </cell>
          <cell r="E6031">
            <v>0</v>
          </cell>
          <cell r="F6031">
            <v>605656.03</v>
          </cell>
          <cell r="G6031">
            <v>-11906.03</v>
          </cell>
          <cell r="H6031">
            <v>102</v>
          </cell>
          <cell r="I6031">
            <v>625000</v>
          </cell>
          <cell r="J6031">
            <v>605656.03</v>
          </cell>
        </row>
        <row r="6032">
          <cell r="A6032">
            <v>1842500130</v>
          </cell>
          <cell r="B6032" t="str">
            <v>שעות נוספות</v>
          </cell>
          <cell r="C6032">
            <v>1188640</v>
          </cell>
          <cell r="D6032">
            <v>1590729.13</v>
          </cell>
          <cell r="E6032">
            <v>0</v>
          </cell>
          <cell r="F6032">
            <v>1590729.13</v>
          </cell>
          <cell r="G6032">
            <v>-402089.13</v>
          </cell>
          <cell r="H6032">
            <v>133.82</v>
          </cell>
          <cell r="I6032">
            <v>1251200</v>
          </cell>
          <cell r="J6032">
            <v>1590729.13</v>
          </cell>
        </row>
        <row r="6033">
          <cell r="A6033">
            <v>1842500140</v>
          </cell>
          <cell r="B6033" t="str">
            <v>השתתפות באחזקת רכב</v>
          </cell>
          <cell r="C6033">
            <v>2277435</v>
          </cell>
          <cell r="D6033">
            <v>2266237.91</v>
          </cell>
          <cell r="E6033">
            <v>0</v>
          </cell>
          <cell r="F6033">
            <v>2266237.91</v>
          </cell>
          <cell r="G6033">
            <v>11197.09</v>
          </cell>
          <cell r="H6033">
            <v>99.5</v>
          </cell>
          <cell r="I6033">
            <v>2397300</v>
          </cell>
          <cell r="J6033">
            <v>2266237.91</v>
          </cell>
        </row>
        <row r="6034">
          <cell r="A6034">
            <v>1842500253</v>
          </cell>
          <cell r="B6034" t="str">
            <v>עובדים חיצוניים</v>
          </cell>
          <cell r="C6034">
            <v>0</v>
          </cell>
          <cell r="D6034">
            <v>0</v>
          </cell>
          <cell r="E6034">
            <v>0</v>
          </cell>
          <cell r="F6034">
            <v>0</v>
          </cell>
          <cell r="G6034">
            <v>0</v>
          </cell>
          <cell r="H6034">
            <v>0</v>
          </cell>
          <cell r="I6034">
            <v>0</v>
          </cell>
          <cell r="J6034">
            <v>0</v>
          </cell>
        </row>
        <row r="6035">
          <cell r="A6035">
            <v>1842500263</v>
          </cell>
          <cell r="B6035" t="str">
            <v>מ"מ עו"ס</v>
          </cell>
          <cell r="C6035">
            <v>0</v>
          </cell>
          <cell r="D6035">
            <v>0</v>
          </cell>
          <cell r="E6035">
            <v>0</v>
          </cell>
          <cell r="F6035">
            <v>0</v>
          </cell>
          <cell r="G6035">
            <v>0</v>
          </cell>
          <cell r="H6035">
            <v>0</v>
          </cell>
          <cell r="I6035">
            <v>0</v>
          </cell>
          <cell r="J6035">
            <v>0</v>
          </cell>
        </row>
        <row r="6036">
          <cell r="A6036">
            <v>1842500391</v>
          </cell>
          <cell r="B6036" t="str">
            <v>הפרשה לפנסיה</v>
          </cell>
          <cell r="C6036">
            <v>0</v>
          </cell>
          <cell r="D6036">
            <v>0</v>
          </cell>
          <cell r="E6036">
            <v>0</v>
          </cell>
          <cell r="F6036">
            <v>0</v>
          </cell>
          <cell r="G6036">
            <v>0</v>
          </cell>
          <cell r="H6036">
            <v>0</v>
          </cell>
          <cell r="I6036">
            <v>0</v>
          </cell>
          <cell r="J6036">
            <v>0</v>
          </cell>
        </row>
        <row r="6037">
          <cell r="A6037">
            <v>1842500512</v>
          </cell>
          <cell r="B6037" t="str">
            <v>הסעות למטופלים</v>
          </cell>
          <cell r="C6037">
            <v>90250</v>
          </cell>
          <cell r="D6037">
            <v>49496.7</v>
          </cell>
          <cell r="E6037">
            <v>17419</v>
          </cell>
          <cell r="F6037">
            <v>66915.7</v>
          </cell>
          <cell r="G6037">
            <v>23334.3</v>
          </cell>
          <cell r="H6037">
            <v>74.14</v>
          </cell>
          <cell r="I6037">
            <v>95000</v>
          </cell>
          <cell r="J6037">
            <v>49496.7</v>
          </cell>
        </row>
        <row r="6038">
          <cell r="A6038">
            <v>1842500571</v>
          </cell>
          <cell r="B6038" t="str">
            <v>מיכון וענ"א</v>
          </cell>
          <cell r="C6038">
            <v>1109125</v>
          </cell>
          <cell r="D6038">
            <v>1167500</v>
          </cell>
          <cell r="E6038">
            <v>0</v>
          </cell>
          <cell r="F6038">
            <v>1167500</v>
          </cell>
          <cell r="G6038">
            <v>-58375</v>
          </cell>
          <cell r="H6038">
            <v>105.26</v>
          </cell>
          <cell r="I6038">
            <v>1167500</v>
          </cell>
          <cell r="J6038">
            <v>1167500</v>
          </cell>
        </row>
        <row r="6039">
          <cell r="A6039">
            <v>1842500725</v>
          </cell>
          <cell r="B6039" t="str">
            <v>מזון למטופלים</v>
          </cell>
          <cell r="C6039">
            <v>0</v>
          </cell>
          <cell r="D6039">
            <v>0</v>
          </cell>
          <cell r="E6039">
            <v>0</v>
          </cell>
          <cell r="F6039">
            <v>0</v>
          </cell>
          <cell r="G6039">
            <v>0</v>
          </cell>
          <cell r="H6039">
            <v>0</v>
          </cell>
          <cell r="I6039">
            <v>0</v>
          </cell>
          <cell r="J6039">
            <v>0</v>
          </cell>
        </row>
        <row r="6040">
          <cell r="A6040">
            <v>1842500753</v>
          </cell>
          <cell r="B6040" t="str">
            <v>עובדים חיצוניים</v>
          </cell>
          <cell r="C6040">
            <v>0</v>
          </cell>
          <cell r="D6040">
            <v>0</v>
          </cell>
          <cell r="E6040">
            <v>0</v>
          </cell>
          <cell r="F6040">
            <v>0</v>
          </cell>
          <cell r="G6040">
            <v>0</v>
          </cell>
          <cell r="H6040">
            <v>0</v>
          </cell>
          <cell r="I6040">
            <v>0</v>
          </cell>
          <cell r="J6040">
            <v>0</v>
          </cell>
        </row>
        <row r="6041">
          <cell r="A6041">
            <v>1842500757</v>
          </cell>
          <cell r="B6041" t="str">
            <v>מרפאת שיניים קהילתית</v>
          </cell>
          <cell r="C6041">
            <v>0</v>
          </cell>
          <cell r="D6041">
            <v>0</v>
          </cell>
          <cell r="E6041">
            <v>0</v>
          </cell>
          <cell r="F6041">
            <v>0</v>
          </cell>
          <cell r="G6041">
            <v>0</v>
          </cell>
          <cell r="H6041">
            <v>0</v>
          </cell>
          <cell r="I6041">
            <v>0</v>
          </cell>
          <cell r="J6041">
            <v>0</v>
          </cell>
        </row>
        <row r="6042">
          <cell r="A6042">
            <v>1842500781</v>
          </cell>
          <cell r="B6042" t="str">
            <v>פעילות במרכז למשפחה</v>
          </cell>
          <cell r="C6042">
            <v>80000</v>
          </cell>
          <cell r="D6042">
            <v>66393.69</v>
          </cell>
          <cell r="E6042">
            <v>10333</v>
          </cell>
          <cell r="F6042">
            <v>76726.69</v>
          </cell>
          <cell r="G6042">
            <v>3273.31</v>
          </cell>
          <cell r="H6042">
            <v>95.9</v>
          </cell>
          <cell r="I6042">
            <v>80000</v>
          </cell>
          <cell r="J6042">
            <v>66393.69</v>
          </cell>
        </row>
        <row r="6043">
          <cell r="A6043">
            <v>1842500782</v>
          </cell>
          <cell r="B6043" t="str">
            <v>תאום הורי</v>
          </cell>
          <cell r="C6043">
            <v>0</v>
          </cell>
          <cell r="D6043">
            <v>0</v>
          </cell>
          <cell r="E6043">
            <v>0</v>
          </cell>
          <cell r="F6043">
            <v>0</v>
          </cell>
          <cell r="G6043">
            <v>0</v>
          </cell>
          <cell r="H6043">
            <v>0</v>
          </cell>
          <cell r="I6043">
            <v>0</v>
          </cell>
          <cell r="J6043">
            <v>0</v>
          </cell>
        </row>
        <row r="6044">
          <cell r="A6044">
            <v>1842500783</v>
          </cell>
          <cell r="B6044" t="str">
            <v>פע' - טיפול באלימות</v>
          </cell>
          <cell r="C6044">
            <v>149150</v>
          </cell>
          <cell r="D6044">
            <v>11550</v>
          </cell>
          <cell r="E6044">
            <v>5450</v>
          </cell>
          <cell r="F6044">
            <v>17000</v>
          </cell>
          <cell r="G6044">
            <v>132150</v>
          </cell>
          <cell r="H6044">
            <v>11.39</v>
          </cell>
          <cell r="I6044">
            <v>157000</v>
          </cell>
          <cell r="J6044">
            <v>11550</v>
          </cell>
        </row>
        <row r="6045">
          <cell r="A6045">
            <v>1842500784</v>
          </cell>
          <cell r="B6045" t="str">
            <v>פינוי בתים</v>
          </cell>
          <cell r="C6045">
            <v>1900</v>
          </cell>
          <cell r="D6045">
            <v>0</v>
          </cell>
          <cell r="E6045">
            <v>0</v>
          </cell>
          <cell r="F6045">
            <v>0</v>
          </cell>
          <cell r="G6045">
            <v>1900</v>
          </cell>
          <cell r="H6045">
            <v>0</v>
          </cell>
          <cell r="I6045">
            <v>2000</v>
          </cell>
          <cell r="J6045">
            <v>0</v>
          </cell>
        </row>
        <row r="6046">
          <cell r="A6046">
            <v>1842500785</v>
          </cell>
          <cell r="B6046" t="str">
            <v>קס"ם חברתי</v>
          </cell>
          <cell r="C6046">
            <v>0</v>
          </cell>
          <cell r="D6046">
            <v>0</v>
          </cell>
          <cell r="E6046">
            <v>0</v>
          </cell>
          <cell r="F6046">
            <v>0</v>
          </cell>
          <cell r="G6046">
            <v>0</v>
          </cell>
          <cell r="H6046">
            <v>0</v>
          </cell>
          <cell r="I6046">
            <v>0</v>
          </cell>
          <cell r="J6046">
            <v>0</v>
          </cell>
        </row>
        <row r="6047">
          <cell r="A6047">
            <v>1842500786</v>
          </cell>
          <cell r="B6047" t="str">
            <v>מטופלי גרושין</v>
          </cell>
          <cell r="C6047">
            <v>247000</v>
          </cell>
          <cell r="D6047">
            <v>260000</v>
          </cell>
          <cell r="E6047">
            <v>0</v>
          </cell>
          <cell r="F6047">
            <v>260000</v>
          </cell>
          <cell r="G6047">
            <v>-13000</v>
          </cell>
          <cell r="H6047">
            <v>105.26</v>
          </cell>
          <cell r="I6047">
            <v>260000</v>
          </cell>
          <cell r="J6047">
            <v>260000</v>
          </cell>
        </row>
        <row r="6048">
          <cell r="A6048">
            <v>1842500787</v>
          </cell>
          <cell r="B6048" t="str">
            <v>מרפאת שיניים קהילתית</v>
          </cell>
          <cell r="C6048">
            <v>57000</v>
          </cell>
          <cell r="D6048">
            <v>60000</v>
          </cell>
          <cell r="E6048">
            <v>0</v>
          </cell>
          <cell r="F6048">
            <v>60000</v>
          </cell>
          <cell r="G6048">
            <v>-3000</v>
          </cell>
          <cell r="H6048">
            <v>105.26</v>
          </cell>
          <cell r="I6048">
            <v>60000</v>
          </cell>
          <cell r="J6048">
            <v>60000</v>
          </cell>
        </row>
        <row r="6049">
          <cell r="A6049">
            <v>1842500811</v>
          </cell>
          <cell r="B6049" t="str">
            <v>משפחות במצוקה</v>
          </cell>
          <cell r="C6049">
            <v>562970</v>
          </cell>
          <cell r="D6049">
            <v>317610</v>
          </cell>
          <cell r="E6049">
            <v>0</v>
          </cell>
          <cell r="F6049">
            <v>317610</v>
          </cell>
          <cell r="G6049">
            <v>245360</v>
          </cell>
          <cell r="H6049">
            <v>56.41</v>
          </cell>
          <cell r="I6049">
            <v>592600</v>
          </cell>
          <cell r="J6049">
            <v>317610</v>
          </cell>
        </row>
        <row r="6050">
          <cell r="A6050">
            <v>1842500812</v>
          </cell>
          <cell r="B6050" t="str">
            <v>עולים במצוקה</v>
          </cell>
          <cell r="C6050">
            <v>76000</v>
          </cell>
          <cell r="D6050">
            <v>43760</v>
          </cell>
          <cell r="E6050">
            <v>0</v>
          </cell>
          <cell r="F6050">
            <v>43760</v>
          </cell>
          <cell r="G6050">
            <v>32240</v>
          </cell>
          <cell r="H6050">
            <v>57.57</v>
          </cell>
          <cell r="I6050">
            <v>80000</v>
          </cell>
          <cell r="J6050">
            <v>43760</v>
          </cell>
        </row>
        <row r="6051">
          <cell r="A6051">
            <v>1842500813</v>
          </cell>
          <cell r="B6051" t="str">
            <v>פגיעות מיניות</v>
          </cell>
          <cell r="C6051">
            <v>295925</v>
          </cell>
          <cell r="D6051">
            <v>101676.32</v>
          </cell>
          <cell r="E6051">
            <v>13511.5</v>
          </cell>
          <cell r="F6051">
            <v>115187.82</v>
          </cell>
          <cell r="G6051">
            <v>180737.18</v>
          </cell>
          <cell r="H6051">
            <v>38.92</v>
          </cell>
          <cell r="I6051">
            <v>311500</v>
          </cell>
          <cell r="J6051">
            <v>101676.32</v>
          </cell>
        </row>
        <row r="6052">
          <cell r="A6052">
            <v>1842500814</v>
          </cell>
          <cell r="B6052" t="str">
            <v>מרכז קשר</v>
          </cell>
          <cell r="C6052">
            <v>244245</v>
          </cell>
          <cell r="D6052">
            <v>71731</v>
          </cell>
          <cell r="E6052">
            <v>0</v>
          </cell>
          <cell r="F6052">
            <v>71731</v>
          </cell>
          <cell r="G6052">
            <v>172514</v>
          </cell>
          <cell r="H6052">
            <v>29.36</v>
          </cell>
          <cell r="I6052">
            <v>257100</v>
          </cell>
          <cell r="J6052">
            <v>71731</v>
          </cell>
        </row>
        <row r="6053">
          <cell r="A6053">
            <v>1842500815</v>
          </cell>
          <cell r="B6053" t="str">
            <v>תרגום שפה -פגישות חוק נוער</v>
          </cell>
          <cell r="C6053">
            <v>47500</v>
          </cell>
          <cell r="D6053">
            <v>585</v>
          </cell>
          <cell r="E6053">
            <v>14.04</v>
          </cell>
          <cell r="F6053">
            <v>599.04</v>
          </cell>
          <cell r="G6053">
            <v>46900.959999999999</v>
          </cell>
          <cell r="H6053">
            <v>1.26</v>
          </cell>
          <cell r="I6053">
            <v>50000</v>
          </cell>
          <cell r="J6053">
            <v>585</v>
          </cell>
        </row>
        <row r="6054">
          <cell r="A6054">
            <v>1842500816</v>
          </cell>
          <cell r="B6054" t="str">
            <v>חומש אתיופים-פעולות</v>
          </cell>
          <cell r="C6054">
            <v>174800</v>
          </cell>
          <cell r="D6054">
            <v>147871.79999999999</v>
          </cell>
          <cell r="E6054">
            <v>0</v>
          </cell>
          <cell r="F6054">
            <v>147871.79999999999</v>
          </cell>
          <cell r="G6054">
            <v>26928.2</v>
          </cell>
          <cell r="H6054">
            <v>84.59</v>
          </cell>
          <cell r="I6054">
            <v>184000</v>
          </cell>
          <cell r="J6054">
            <v>147871.79999999999</v>
          </cell>
        </row>
        <row r="6055">
          <cell r="A6055">
            <v>1842500817</v>
          </cell>
          <cell r="B6055" t="str">
            <v>טיפול בשורדות זנות</v>
          </cell>
          <cell r="C6055">
            <v>180500</v>
          </cell>
          <cell r="D6055">
            <v>143897</v>
          </cell>
          <cell r="E6055">
            <v>0</v>
          </cell>
          <cell r="F6055">
            <v>143897</v>
          </cell>
          <cell r="G6055">
            <v>36603</v>
          </cell>
          <cell r="H6055">
            <v>79.72</v>
          </cell>
          <cell r="I6055">
            <v>190000</v>
          </cell>
          <cell r="J6055">
            <v>143897</v>
          </cell>
        </row>
        <row r="6056">
          <cell r="A6056">
            <v>1842500818</v>
          </cell>
          <cell r="B6056" t="str">
            <v>מקלט לנשים מוכות</v>
          </cell>
          <cell r="C6056">
            <v>950000</v>
          </cell>
          <cell r="D6056">
            <v>710674</v>
          </cell>
          <cell r="E6056">
            <v>0</v>
          </cell>
          <cell r="F6056">
            <v>710674</v>
          </cell>
          <cell r="G6056">
            <v>239326</v>
          </cell>
          <cell r="H6056">
            <v>74.8</v>
          </cell>
          <cell r="I6056">
            <v>1000000</v>
          </cell>
          <cell r="J6056">
            <v>710674</v>
          </cell>
        </row>
        <row r="6057">
          <cell r="A6057">
            <v>1842500819</v>
          </cell>
          <cell r="B6057" t="str">
            <v>טיפול באובדן ושכול</v>
          </cell>
          <cell r="C6057">
            <v>67450</v>
          </cell>
          <cell r="D6057">
            <v>7826.65</v>
          </cell>
          <cell r="E6057">
            <v>3900</v>
          </cell>
          <cell r="F6057">
            <v>11726.65</v>
          </cell>
          <cell r="G6057">
            <v>55723.35</v>
          </cell>
          <cell r="H6057">
            <v>17.38</v>
          </cell>
          <cell r="I6057">
            <v>71000</v>
          </cell>
          <cell r="J6057">
            <v>7826.65</v>
          </cell>
        </row>
        <row r="6058">
          <cell r="A6058">
            <v>1842500820</v>
          </cell>
          <cell r="B6058" t="str">
            <v>מרכז טיפול באלימות</v>
          </cell>
          <cell r="C6058">
            <v>0</v>
          </cell>
          <cell r="D6058">
            <v>0</v>
          </cell>
          <cell r="E6058">
            <v>0</v>
          </cell>
          <cell r="F6058">
            <v>0</v>
          </cell>
          <cell r="G6058">
            <v>0</v>
          </cell>
          <cell r="H6058">
            <v>0</v>
          </cell>
          <cell r="I6058">
            <v>0</v>
          </cell>
          <cell r="J6058">
            <v>0</v>
          </cell>
        </row>
        <row r="6059">
          <cell r="A6059">
            <v>1842500841</v>
          </cell>
          <cell r="B6059" t="str">
            <v>שירותים בקהילה</v>
          </cell>
          <cell r="C6059">
            <v>549765</v>
          </cell>
          <cell r="D6059">
            <v>215851</v>
          </cell>
          <cell r="E6059">
            <v>0</v>
          </cell>
          <cell r="F6059">
            <v>215851</v>
          </cell>
          <cell r="G6059">
            <v>333914</v>
          </cell>
          <cell r="H6059">
            <v>39.26</v>
          </cell>
          <cell r="I6059">
            <v>578700</v>
          </cell>
          <cell r="J6059">
            <v>215851</v>
          </cell>
        </row>
        <row r="6060">
          <cell r="A6060">
            <v>1842500842</v>
          </cell>
          <cell r="B6060" t="str">
            <v>ביטחון תזונתי</v>
          </cell>
          <cell r="C6060">
            <v>175940</v>
          </cell>
          <cell r="D6060">
            <v>171319.2</v>
          </cell>
          <cell r="E6060">
            <v>0</v>
          </cell>
          <cell r="F6060">
            <v>171319.2</v>
          </cell>
          <cell r="G6060">
            <v>4620.8</v>
          </cell>
          <cell r="H6060">
            <v>97.37</v>
          </cell>
          <cell r="I6060">
            <v>185200</v>
          </cell>
          <cell r="J6060">
            <v>171319.2</v>
          </cell>
        </row>
        <row r="6061">
          <cell r="A6061">
            <v>1842500843</v>
          </cell>
          <cell r="B6061" t="str">
            <v>בית הויס</v>
          </cell>
          <cell r="C6061">
            <v>0</v>
          </cell>
          <cell r="D6061">
            <v>0</v>
          </cell>
          <cell r="E6061">
            <v>0</v>
          </cell>
          <cell r="F6061">
            <v>0</v>
          </cell>
          <cell r="G6061">
            <v>0</v>
          </cell>
          <cell r="H6061">
            <v>0</v>
          </cell>
          <cell r="I6061">
            <v>0</v>
          </cell>
          <cell r="J6061">
            <v>0</v>
          </cell>
        </row>
        <row r="6062">
          <cell r="A6062">
            <v>1842500844</v>
          </cell>
          <cell r="B6062" t="str">
            <v>דרי רחוב</v>
          </cell>
          <cell r="C6062">
            <v>475000</v>
          </cell>
          <cell r="D6062">
            <v>479864.43</v>
          </cell>
          <cell r="E6062">
            <v>20036.990000000002</v>
          </cell>
          <cell r="F6062">
            <v>499901.42</v>
          </cell>
          <cell r="G6062">
            <v>-24901.42</v>
          </cell>
          <cell r="H6062">
            <v>105.24</v>
          </cell>
          <cell r="I6062">
            <v>500000</v>
          </cell>
          <cell r="J6062">
            <v>479864.43</v>
          </cell>
        </row>
        <row r="6063">
          <cell r="A6063">
            <v>1842500845</v>
          </cell>
          <cell r="B6063" t="str">
            <v>סיוע למשפחות+ילדים</v>
          </cell>
          <cell r="C6063">
            <v>0</v>
          </cell>
          <cell r="D6063">
            <v>0</v>
          </cell>
          <cell r="E6063">
            <v>0</v>
          </cell>
          <cell r="F6063">
            <v>0</v>
          </cell>
          <cell r="G6063">
            <v>0</v>
          </cell>
          <cell r="H6063">
            <v>0</v>
          </cell>
          <cell r="I6063">
            <v>0</v>
          </cell>
          <cell r="J6063">
            <v>0</v>
          </cell>
        </row>
        <row r="6064">
          <cell r="A6064">
            <v>1842600110</v>
          </cell>
          <cell r="B6064" t="str">
            <v>השכר הקובע-תקציבית</v>
          </cell>
          <cell r="C6064">
            <v>0</v>
          </cell>
          <cell r="D6064">
            <v>0</v>
          </cell>
          <cell r="E6064">
            <v>0</v>
          </cell>
          <cell r="F6064">
            <v>0</v>
          </cell>
          <cell r="G6064">
            <v>0</v>
          </cell>
          <cell r="H6064">
            <v>0</v>
          </cell>
          <cell r="I6064">
            <v>0</v>
          </cell>
          <cell r="J6064">
            <v>0</v>
          </cell>
        </row>
        <row r="6065">
          <cell r="A6065">
            <v>1842600119</v>
          </cell>
          <cell r="B6065" t="str">
            <v>השכר הקובע-צוברת</v>
          </cell>
          <cell r="C6065">
            <v>0</v>
          </cell>
          <cell r="D6065">
            <v>0</v>
          </cell>
          <cell r="E6065">
            <v>0</v>
          </cell>
          <cell r="F6065">
            <v>0</v>
          </cell>
          <cell r="G6065">
            <v>0</v>
          </cell>
          <cell r="H6065">
            <v>0</v>
          </cell>
          <cell r="I6065">
            <v>0</v>
          </cell>
          <cell r="J6065">
            <v>0</v>
          </cell>
        </row>
        <row r="6066">
          <cell r="A6066">
            <v>1842600122</v>
          </cell>
          <cell r="B6066" t="str">
            <v>ביגוד</v>
          </cell>
          <cell r="C6066">
            <v>0</v>
          </cell>
          <cell r="D6066">
            <v>0</v>
          </cell>
          <cell r="E6066">
            <v>0</v>
          </cell>
          <cell r="F6066">
            <v>0</v>
          </cell>
          <cell r="G6066">
            <v>0</v>
          </cell>
          <cell r="H6066">
            <v>0</v>
          </cell>
          <cell r="I6066">
            <v>0</v>
          </cell>
          <cell r="J6066">
            <v>0</v>
          </cell>
        </row>
        <row r="6067">
          <cell r="A6067">
            <v>1842600126</v>
          </cell>
          <cell r="B6067" t="str">
            <v>דמי הבראה</v>
          </cell>
          <cell r="C6067">
            <v>0</v>
          </cell>
          <cell r="D6067">
            <v>0</v>
          </cell>
          <cell r="E6067">
            <v>0</v>
          </cell>
          <cell r="F6067">
            <v>0</v>
          </cell>
          <cell r="G6067">
            <v>0</v>
          </cell>
          <cell r="H6067">
            <v>0</v>
          </cell>
          <cell r="I6067">
            <v>0</v>
          </cell>
          <cell r="J6067">
            <v>0</v>
          </cell>
        </row>
        <row r="6068">
          <cell r="A6068">
            <v>1842600130</v>
          </cell>
          <cell r="B6068" t="str">
            <v>שעות נוספות</v>
          </cell>
          <cell r="C6068">
            <v>0</v>
          </cell>
          <cell r="D6068">
            <v>0</v>
          </cell>
          <cell r="E6068">
            <v>0</v>
          </cell>
          <cell r="F6068">
            <v>0</v>
          </cell>
          <cell r="G6068">
            <v>0</v>
          </cell>
          <cell r="H6068">
            <v>0</v>
          </cell>
          <cell r="I6068">
            <v>0</v>
          </cell>
          <cell r="J6068">
            <v>0</v>
          </cell>
        </row>
        <row r="6069">
          <cell r="A6069">
            <v>1842600140</v>
          </cell>
          <cell r="B6069" t="str">
            <v>השתתפות באחזקת רכב</v>
          </cell>
          <cell r="C6069">
            <v>0</v>
          </cell>
          <cell r="D6069">
            <v>0</v>
          </cell>
          <cell r="E6069">
            <v>0</v>
          </cell>
          <cell r="F6069">
            <v>0</v>
          </cell>
          <cell r="G6069">
            <v>0</v>
          </cell>
          <cell r="H6069">
            <v>0</v>
          </cell>
          <cell r="I6069">
            <v>0</v>
          </cell>
          <cell r="J6069">
            <v>0</v>
          </cell>
        </row>
        <row r="6070">
          <cell r="A6070">
            <v>1842600253</v>
          </cell>
          <cell r="B6070" t="str">
            <v>עובדים חיצוניים</v>
          </cell>
          <cell r="C6070">
            <v>0</v>
          </cell>
          <cell r="D6070">
            <v>0</v>
          </cell>
          <cell r="E6070">
            <v>0</v>
          </cell>
          <cell r="F6070">
            <v>0</v>
          </cell>
          <cell r="G6070">
            <v>0</v>
          </cell>
          <cell r="H6070">
            <v>0</v>
          </cell>
          <cell r="I6070">
            <v>0</v>
          </cell>
          <cell r="J6070">
            <v>0</v>
          </cell>
        </row>
        <row r="6071">
          <cell r="A6071">
            <v>1842600391</v>
          </cell>
          <cell r="B6071" t="str">
            <v>הפרשה לפנסיה</v>
          </cell>
          <cell r="C6071">
            <v>0</v>
          </cell>
          <cell r="D6071">
            <v>0</v>
          </cell>
          <cell r="E6071">
            <v>0</v>
          </cell>
          <cell r="F6071">
            <v>0</v>
          </cell>
          <cell r="G6071">
            <v>0</v>
          </cell>
          <cell r="H6071">
            <v>0</v>
          </cell>
          <cell r="I6071">
            <v>0</v>
          </cell>
          <cell r="J6071">
            <v>0</v>
          </cell>
        </row>
        <row r="6072">
          <cell r="A6072">
            <v>1842600423</v>
          </cell>
          <cell r="B6072" t="str">
            <v>תחזוקת מבנה</v>
          </cell>
          <cell r="C6072">
            <v>0</v>
          </cell>
          <cell r="D6072">
            <v>0</v>
          </cell>
          <cell r="E6072">
            <v>0</v>
          </cell>
          <cell r="F6072">
            <v>0</v>
          </cell>
          <cell r="G6072">
            <v>0</v>
          </cell>
          <cell r="H6072">
            <v>0</v>
          </cell>
          <cell r="I6072">
            <v>0</v>
          </cell>
          <cell r="J6072">
            <v>0</v>
          </cell>
        </row>
        <row r="6073">
          <cell r="A6073">
            <v>1842600431</v>
          </cell>
          <cell r="B6073" t="str">
            <v>חשמל</v>
          </cell>
          <cell r="C6073">
            <v>0</v>
          </cell>
          <cell r="D6073">
            <v>0</v>
          </cell>
          <cell r="E6073">
            <v>0</v>
          </cell>
          <cell r="F6073">
            <v>0</v>
          </cell>
          <cell r="G6073">
            <v>0</v>
          </cell>
          <cell r="H6073">
            <v>0</v>
          </cell>
          <cell r="I6073">
            <v>0</v>
          </cell>
          <cell r="J6073">
            <v>0</v>
          </cell>
        </row>
        <row r="6074">
          <cell r="A6074">
            <v>1842600433</v>
          </cell>
          <cell r="B6074" t="str">
            <v>חומרי נקיון</v>
          </cell>
          <cell r="C6074">
            <v>0</v>
          </cell>
          <cell r="D6074">
            <v>0</v>
          </cell>
          <cell r="E6074">
            <v>0</v>
          </cell>
          <cell r="F6074">
            <v>0</v>
          </cell>
          <cell r="G6074">
            <v>0</v>
          </cell>
          <cell r="H6074">
            <v>0</v>
          </cell>
          <cell r="I6074">
            <v>0</v>
          </cell>
          <cell r="J6074">
            <v>0</v>
          </cell>
        </row>
        <row r="6075">
          <cell r="A6075">
            <v>1842600437</v>
          </cell>
          <cell r="B6075" t="str">
            <v>אחזקת אזעקה</v>
          </cell>
          <cell r="C6075">
            <v>0</v>
          </cell>
          <cell r="D6075">
            <v>0</v>
          </cell>
          <cell r="E6075">
            <v>0</v>
          </cell>
          <cell r="F6075">
            <v>0</v>
          </cell>
          <cell r="G6075">
            <v>0</v>
          </cell>
          <cell r="H6075">
            <v>0</v>
          </cell>
          <cell r="I6075">
            <v>0</v>
          </cell>
          <cell r="J6075">
            <v>0</v>
          </cell>
        </row>
        <row r="6076">
          <cell r="A6076">
            <v>1842600450</v>
          </cell>
          <cell r="B6076" t="str">
            <v>ריהוט ואחזקתו</v>
          </cell>
          <cell r="C6076">
            <v>0</v>
          </cell>
          <cell r="D6076">
            <v>0</v>
          </cell>
          <cell r="E6076">
            <v>0</v>
          </cell>
          <cell r="F6076">
            <v>0</v>
          </cell>
          <cell r="G6076">
            <v>0</v>
          </cell>
          <cell r="H6076">
            <v>0</v>
          </cell>
          <cell r="I6076">
            <v>0</v>
          </cell>
          <cell r="J6076">
            <v>0</v>
          </cell>
        </row>
        <row r="6077">
          <cell r="A6077">
            <v>1842600470</v>
          </cell>
          <cell r="B6077" t="str">
            <v>אחזקת מכונות משרד</v>
          </cell>
          <cell r="C6077">
            <v>0</v>
          </cell>
          <cell r="D6077">
            <v>0</v>
          </cell>
          <cell r="E6077">
            <v>0</v>
          </cell>
          <cell r="F6077">
            <v>0</v>
          </cell>
          <cell r="G6077">
            <v>0</v>
          </cell>
          <cell r="H6077">
            <v>0</v>
          </cell>
          <cell r="I6077">
            <v>0</v>
          </cell>
          <cell r="J6077">
            <v>0</v>
          </cell>
        </row>
        <row r="6078">
          <cell r="A6078">
            <v>1842600471</v>
          </cell>
          <cell r="B6078" t="str">
            <v>מכשירי כתיבה</v>
          </cell>
          <cell r="C6078">
            <v>0</v>
          </cell>
          <cell r="D6078">
            <v>0</v>
          </cell>
          <cell r="E6078">
            <v>0</v>
          </cell>
          <cell r="F6078">
            <v>0</v>
          </cell>
          <cell r="G6078">
            <v>0</v>
          </cell>
          <cell r="H6078">
            <v>0</v>
          </cell>
          <cell r="I6078">
            <v>0</v>
          </cell>
          <cell r="J6078">
            <v>0</v>
          </cell>
        </row>
        <row r="6079">
          <cell r="A6079">
            <v>1842600511</v>
          </cell>
          <cell r="B6079" t="str">
            <v>אירוח וכיבוד</v>
          </cell>
          <cell r="C6079">
            <v>0</v>
          </cell>
          <cell r="D6079">
            <v>0</v>
          </cell>
          <cell r="E6079">
            <v>0</v>
          </cell>
          <cell r="F6079">
            <v>0</v>
          </cell>
          <cell r="G6079">
            <v>0</v>
          </cell>
          <cell r="H6079">
            <v>0</v>
          </cell>
          <cell r="I6079">
            <v>0</v>
          </cell>
          <cell r="J6079">
            <v>0</v>
          </cell>
        </row>
        <row r="6080">
          <cell r="A6080">
            <v>1842600521</v>
          </cell>
          <cell r="B6080" t="str">
            <v>הרצאות</v>
          </cell>
          <cell r="C6080">
            <v>0</v>
          </cell>
          <cell r="D6080">
            <v>0</v>
          </cell>
          <cell r="E6080">
            <v>0</v>
          </cell>
          <cell r="F6080">
            <v>0</v>
          </cell>
          <cell r="G6080">
            <v>0</v>
          </cell>
          <cell r="H6080">
            <v>0</v>
          </cell>
          <cell r="I6080">
            <v>0</v>
          </cell>
          <cell r="J6080">
            <v>0</v>
          </cell>
        </row>
        <row r="6081">
          <cell r="A6081">
            <v>1842600540</v>
          </cell>
          <cell r="B6081" t="str">
            <v>הוצאות טלפון</v>
          </cell>
          <cell r="C6081">
            <v>0</v>
          </cell>
          <cell r="D6081">
            <v>0</v>
          </cell>
          <cell r="E6081">
            <v>0</v>
          </cell>
          <cell r="F6081">
            <v>0</v>
          </cell>
          <cell r="G6081">
            <v>0</v>
          </cell>
          <cell r="H6081">
            <v>0</v>
          </cell>
          <cell r="I6081">
            <v>0</v>
          </cell>
          <cell r="J6081">
            <v>0</v>
          </cell>
        </row>
        <row r="6082">
          <cell r="A6082">
            <v>1842600544</v>
          </cell>
          <cell r="B6082" t="str">
            <v>הוצאות דאר</v>
          </cell>
          <cell r="C6082">
            <v>0</v>
          </cell>
          <cell r="D6082">
            <v>0</v>
          </cell>
          <cell r="E6082">
            <v>0</v>
          </cell>
          <cell r="F6082">
            <v>0</v>
          </cell>
          <cell r="G6082">
            <v>0</v>
          </cell>
          <cell r="H6082">
            <v>0</v>
          </cell>
          <cell r="I6082">
            <v>0</v>
          </cell>
          <cell r="J6082">
            <v>0</v>
          </cell>
        </row>
        <row r="6083">
          <cell r="A6083">
            <v>1842600561</v>
          </cell>
          <cell r="B6083" t="str">
            <v>שיכפולים</v>
          </cell>
          <cell r="C6083">
            <v>0</v>
          </cell>
          <cell r="D6083">
            <v>0</v>
          </cell>
          <cell r="E6083">
            <v>0</v>
          </cell>
          <cell r="F6083">
            <v>0</v>
          </cell>
          <cell r="G6083">
            <v>0</v>
          </cell>
          <cell r="H6083">
            <v>0</v>
          </cell>
          <cell r="I6083">
            <v>0</v>
          </cell>
          <cell r="J6083">
            <v>0</v>
          </cell>
        </row>
        <row r="6084">
          <cell r="A6084">
            <v>1842600721</v>
          </cell>
          <cell r="B6084" t="str">
            <v>חמרים-תחזוקת מבנים</v>
          </cell>
          <cell r="C6084">
            <v>0</v>
          </cell>
          <cell r="D6084">
            <v>0</v>
          </cell>
          <cell r="E6084">
            <v>0</v>
          </cell>
          <cell r="F6084">
            <v>0</v>
          </cell>
          <cell r="G6084">
            <v>0</v>
          </cell>
          <cell r="H6084">
            <v>0</v>
          </cell>
          <cell r="I6084">
            <v>0</v>
          </cell>
          <cell r="J6084">
            <v>0</v>
          </cell>
        </row>
        <row r="6085">
          <cell r="A6085">
            <v>1842600745</v>
          </cell>
          <cell r="B6085" t="str">
            <v>דמי פריצה - תכולה</v>
          </cell>
          <cell r="C6085">
            <v>0</v>
          </cell>
          <cell r="D6085">
            <v>0</v>
          </cell>
          <cell r="E6085">
            <v>0</v>
          </cell>
          <cell r="F6085">
            <v>0</v>
          </cell>
          <cell r="G6085">
            <v>0</v>
          </cell>
          <cell r="H6085">
            <v>0</v>
          </cell>
          <cell r="I6085">
            <v>0</v>
          </cell>
          <cell r="J6085">
            <v>0</v>
          </cell>
        </row>
        <row r="6086">
          <cell r="A6086">
            <v>1842600751</v>
          </cell>
          <cell r="B6086" t="str">
            <v>עבודות קבלניות</v>
          </cell>
          <cell r="C6086">
            <v>0</v>
          </cell>
          <cell r="D6086">
            <v>0</v>
          </cell>
          <cell r="E6086">
            <v>0</v>
          </cell>
          <cell r="F6086">
            <v>0</v>
          </cell>
          <cell r="G6086">
            <v>0</v>
          </cell>
          <cell r="H6086">
            <v>0</v>
          </cell>
          <cell r="I6086">
            <v>0</v>
          </cell>
          <cell r="J6086">
            <v>0</v>
          </cell>
        </row>
        <row r="6087">
          <cell r="A6087">
            <v>1842600752</v>
          </cell>
          <cell r="B6087" t="str">
            <v>נקיון בקבלנות</v>
          </cell>
          <cell r="C6087">
            <v>0</v>
          </cell>
          <cell r="D6087">
            <v>0</v>
          </cell>
          <cell r="E6087">
            <v>0</v>
          </cell>
          <cell r="F6087">
            <v>0</v>
          </cell>
          <cell r="G6087">
            <v>0</v>
          </cell>
          <cell r="H6087">
            <v>0</v>
          </cell>
          <cell r="I6087">
            <v>0</v>
          </cell>
          <cell r="J6087">
            <v>0</v>
          </cell>
        </row>
        <row r="6088">
          <cell r="A6088">
            <v>1842600753</v>
          </cell>
          <cell r="B6088" t="str">
            <v>עובדים חיצוניים</v>
          </cell>
          <cell r="C6088">
            <v>0</v>
          </cell>
          <cell r="D6088">
            <v>0</v>
          </cell>
          <cell r="E6088">
            <v>0</v>
          </cell>
          <cell r="F6088">
            <v>0</v>
          </cell>
          <cell r="G6088">
            <v>0</v>
          </cell>
          <cell r="H6088">
            <v>0</v>
          </cell>
          <cell r="I6088">
            <v>0</v>
          </cell>
          <cell r="J6088">
            <v>0</v>
          </cell>
        </row>
        <row r="6089">
          <cell r="A6089">
            <v>1842600811</v>
          </cell>
          <cell r="B6089" t="str">
            <v>מר' אלימות 1026090</v>
          </cell>
          <cell r="C6089">
            <v>0</v>
          </cell>
          <cell r="D6089">
            <v>0</v>
          </cell>
          <cell r="E6089">
            <v>0</v>
          </cell>
          <cell r="F6089">
            <v>0</v>
          </cell>
          <cell r="G6089">
            <v>0</v>
          </cell>
          <cell r="H6089">
            <v>0</v>
          </cell>
          <cell r="I6089">
            <v>0</v>
          </cell>
          <cell r="J6089">
            <v>0</v>
          </cell>
        </row>
        <row r="6090">
          <cell r="A6090">
            <v>1842600812</v>
          </cell>
          <cell r="B6090" t="str">
            <v>מקלט לנשים מוכות</v>
          </cell>
          <cell r="C6090">
            <v>0</v>
          </cell>
          <cell r="D6090">
            <v>0</v>
          </cell>
          <cell r="E6090">
            <v>0</v>
          </cell>
          <cell r="F6090">
            <v>0</v>
          </cell>
          <cell r="G6090">
            <v>0</v>
          </cell>
          <cell r="H6090">
            <v>0</v>
          </cell>
          <cell r="I6090">
            <v>0</v>
          </cell>
          <cell r="J6090">
            <v>0</v>
          </cell>
        </row>
        <row r="6091">
          <cell r="A6091">
            <v>1842600930</v>
          </cell>
          <cell r="B6091" t="str">
            <v>רכישות</v>
          </cell>
          <cell r="C6091">
            <v>0</v>
          </cell>
          <cell r="D6091">
            <v>0</v>
          </cell>
          <cell r="E6091">
            <v>0</v>
          </cell>
          <cell r="F6091">
            <v>0</v>
          </cell>
          <cell r="G6091">
            <v>0</v>
          </cell>
          <cell r="H6091">
            <v>0</v>
          </cell>
          <cell r="I6091">
            <v>0</v>
          </cell>
          <cell r="J6091">
            <v>0</v>
          </cell>
        </row>
        <row r="6092">
          <cell r="A6092">
            <v>1843800110</v>
          </cell>
          <cell r="B6092" t="str">
            <v>השכר הקובע-תקציבית</v>
          </cell>
          <cell r="C6092">
            <v>0</v>
          </cell>
          <cell r="D6092">
            <v>0</v>
          </cell>
          <cell r="E6092">
            <v>0</v>
          </cell>
          <cell r="F6092">
            <v>0</v>
          </cell>
          <cell r="G6092">
            <v>0</v>
          </cell>
          <cell r="H6092">
            <v>0</v>
          </cell>
          <cell r="I6092">
            <v>0</v>
          </cell>
          <cell r="J6092">
            <v>0</v>
          </cell>
        </row>
        <row r="6093">
          <cell r="A6093">
            <v>1843800122</v>
          </cell>
          <cell r="B6093" t="str">
            <v>ביגוד</v>
          </cell>
          <cell r="C6093">
            <v>0</v>
          </cell>
          <cell r="D6093">
            <v>0</v>
          </cell>
          <cell r="E6093">
            <v>0</v>
          </cell>
          <cell r="F6093">
            <v>0</v>
          </cell>
          <cell r="G6093">
            <v>0</v>
          </cell>
          <cell r="H6093">
            <v>0</v>
          </cell>
          <cell r="I6093">
            <v>0</v>
          </cell>
          <cell r="J6093">
            <v>0</v>
          </cell>
        </row>
        <row r="6094">
          <cell r="A6094">
            <v>1843800126</v>
          </cell>
          <cell r="B6094" t="str">
            <v>דמי הבראה</v>
          </cell>
          <cell r="C6094">
            <v>0</v>
          </cell>
          <cell r="D6094">
            <v>0</v>
          </cell>
          <cell r="E6094">
            <v>0</v>
          </cell>
          <cell r="F6094">
            <v>0</v>
          </cell>
          <cell r="G6094">
            <v>0</v>
          </cell>
          <cell r="H6094">
            <v>0</v>
          </cell>
          <cell r="I6094">
            <v>0</v>
          </cell>
          <cell r="J6094">
            <v>0</v>
          </cell>
        </row>
        <row r="6095">
          <cell r="A6095">
            <v>1843800130</v>
          </cell>
          <cell r="B6095" t="str">
            <v>שעות נוספות</v>
          </cell>
          <cell r="C6095">
            <v>0</v>
          </cell>
          <cell r="D6095">
            <v>0</v>
          </cell>
          <cell r="E6095">
            <v>0</v>
          </cell>
          <cell r="F6095">
            <v>0</v>
          </cell>
          <cell r="G6095">
            <v>0</v>
          </cell>
          <cell r="H6095">
            <v>0</v>
          </cell>
          <cell r="I6095">
            <v>0</v>
          </cell>
          <cell r="J6095">
            <v>0</v>
          </cell>
        </row>
        <row r="6096">
          <cell r="A6096">
            <v>1843800140</v>
          </cell>
          <cell r="B6096" t="str">
            <v>השתתפות באחזקת רכב</v>
          </cell>
          <cell r="C6096">
            <v>0</v>
          </cell>
          <cell r="D6096">
            <v>0</v>
          </cell>
          <cell r="E6096">
            <v>0</v>
          </cell>
          <cell r="F6096">
            <v>0</v>
          </cell>
          <cell r="G6096">
            <v>0</v>
          </cell>
          <cell r="H6096">
            <v>0</v>
          </cell>
          <cell r="I6096">
            <v>0</v>
          </cell>
          <cell r="J6096">
            <v>0</v>
          </cell>
        </row>
        <row r="6097">
          <cell r="A6097">
            <v>1843800391</v>
          </cell>
          <cell r="B6097" t="str">
            <v>הפרשה לפנסיה</v>
          </cell>
          <cell r="C6097">
            <v>0</v>
          </cell>
          <cell r="D6097">
            <v>0</v>
          </cell>
          <cell r="E6097">
            <v>0</v>
          </cell>
          <cell r="F6097">
            <v>0</v>
          </cell>
          <cell r="G6097">
            <v>0</v>
          </cell>
          <cell r="H6097">
            <v>0</v>
          </cell>
          <cell r="I6097">
            <v>0</v>
          </cell>
          <cell r="J6097">
            <v>0</v>
          </cell>
        </row>
        <row r="6098">
          <cell r="A6098">
            <v>1843800420</v>
          </cell>
          <cell r="B6098" t="str">
            <v>כיבוי אש</v>
          </cell>
          <cell r="C6098">
            <v>9500</v>
          </cell>
          <cell r="D6098">
            <v>9469</v>
          </cell>
          <cell r="E6098">
            <v>0</v>
          </cell>
          <cell r="F6098">
            <v>9469</v>
          </cell>
          <cell r="G6098">
            <v>31</v>
          </cell>
          <cell r="H6098">
            <v>99.67</v>
          </cell>
          <cell r="I6098">
            <v>10000</v>
          </cell>
          <cell r="J6098">
            <v>9469</v>
          </cell>
        </row>
        <row r="6099">
          <cell r="A6099">
            <v>1843800421</v>
          </cell>
          <cell r="B6099" t="str">
            <v>שכר דירה חכ"ם</v>
          </cell>
          <cell r="C6099">
            <v>0</v>
          </cell>
          <cell r="D6099">
            <v>0</v>
          </cell>
          <cell r="E6099">
            <v>0</v>
          </cell>
          <cell r="F6099">
            <v>0</v>
          </cell>
          <cell r="G6099">
            <v>0</v>
          </cell>
          <cell r="H6099">
            <v>0</v>
          </cell>
          <cell r="I6099">
            <v>0</v>
          </cell>
          <cell r="J6099">
            <v>0</v>
          </cell>
        </row>
        <row r="6100">
          <cell r="A6100">
            <v>1843800431</v>
          </cell>
          <cell r="B6100" t="str">
            <v>חשמל</v>
          </cell>
          <cell r="C6100">
            <v>55955</v>
          </cell>
          <cell r="D6100">
            <v>5038.41</v>
          </cell>
          <cell r="E6100">
            <v>0</v>
          </cell>
          <cell r="F6100">
            <v>5038.41</v>
          </cell>
          <cell r="G6100">
            <v>50916.59</v>
          </cell>
          <cell r="H6100">
            <v>9</v>
          </cell>
          <cell r="I6100">
            <v>58900</v>
          </cell>
          <cell r="J6100">
            <v>5038.41</v>
          </cell>
        </row>
        <row r="6101">
          <cell r="A6101">
            <v>1843800432</v>
          </cell>
          <cell r="B6101" t="str">
            <v>מים</v>
          </cell>
          <cell r="C6101">
            <v>5320</v>
          </cell>
          <cell r="D6101">
            <v>0</v>
          </cell>
          <cell r="E6101">
            <v>0</v>
          </cell>
          <cell r="F6101">
            <v>0</v>
          </cell>
          <cell r="G6101">
            <v>5320</v>
          </cell>
          <cell r="H6101">
            <v>0</v>
          </cell>
          <cell r="I6101">
            <v>5600</v>
          </cell>
          <cell r="J6101">
            <v>0</v>
          </cell>
        </row>
        <row r="6102">
          <cell r="A6102">
            <v>1843800437</v>
          </cell>
          <cell r="B6102" t="str">
            <v>אחזקת אזעקה</v>
          </cell>
          <cell r="C6102">
            <v>7220</v>
          </cell>
          <cell r="D6102">
            <v>2966.14</v>
          </cell>
          <cell r="E6102">
            <v>0</v>
          </cell>
          <cell r="F6102">
            <v>2966.14</v>
          </cell>
          <cell r="G6102">
            <v>4253.8599999999997</v>
          </cell>
          <cell r="H6102">
            <v>41.08</v>
          </cell>
          <cell r="I6102">
            <v>7600</v>
          </cell>
          <cell r="J6102">
            <v>2966.14</v>
          </cell>
        </row>
        <row r="6103">
          <cell r="A6103">
            <v>1843800540</v>
          </cell>
          <cell r="B6103" t="str">
            <v>הוצאות טלפון</v>
          </cell>
          <cell r="C6103">
            <v>0</v>
          </cell>
          <cell r="D6103">
            <v>0</v>
          </cell>
          <cell r="E6103">
            <v>0</v>
          </cell>
          <cell r="F6103">
            <v>0</v>
          </cell>
          <cell r="G6103">
            <v>0</v>
          </cell>
          <cell r="H6103">
            <v>0</v>
          </cell>
          <cell r="I6103">
            <v>0</v>
          </cell>
          <cell r="J6103">
            <v>0</v>
          </cell>
        </row>
        <row r="6104">
          <cell r="A6104">
            <v>1843800723</v>
          </cell>
          <cell r="B6104" t="str">
            <v>חומרים לילד ולנוער</v>
          </cell>
          <cell r="C6104">
            <v>0</v>
          </cell>
          <cell r="D6104">
            <v>0</v>
          </cell>
          <cell r="E6104">
            <v>0</v>
          </cell>
          <cell r="F6104">
            <v>0</v>
          </cell>
          <cell r="G6104">
            <v>0</v>
          </cell>
          <cell r="H6104">
            <v>0</v>
          </cell>
          <cell r="I6104">
            <v>0</v>
          </cell>
          <cell r="J6104">
            <v>0</v>
          </cell>
        </row>
        <row r="6105">
          <cell r="A6105">
            <v>1843800745</v>
          </cell>
          <cell r="B6105" t="str">
            <v>דמי פריצה - תכולה</v>
          </cell>
          <cell r="C6105">
            <v>0</v>
          </cell>
          <cell r="D6105">
            <v>0</v>
          </cell>
          <cell r="E6105">
            <v>0</v>
          </cell>
          <cell r="F6105">
            <v>0</v>
          </cell>
          <cell r="G6105">
            <v>0</v>
          </cell>
          <cell r="H6105">
            <v>0</v>
          </cell>
          <cell r="I6105">
            <v>0</v>
          </cell>
          <cell r="J6105">
            <v>0</v>
          </cell>
        </row>
        <row r="6106">
          <cell r="A6106">
            <v>1843800750</v>
          </cell>
          <cell r="B6106" t="str">
            <v>תחזוקת מועדוניות</v>
          </cell>
          <cell r="C6106">
            <v>178315</v>
          </cell>
          <cell r="D6106">
            <v>122758.3</v>
          </cell>
          <cell r="E6106">
            <v>0</v>
          </cell>
          <cell r="F6106">
            <v>122758.3</v>
          </cell>
          <cell r="G6106">
            <v>55556.7</v>
          </cell>
          <cell r="H6106">
            <v>68.84</v>
          </cell>
          <cell r="I6106">
            <v>187700</v>
          </cell>
          <cell r="J6106">
            <v>122758.3</v>
          </cell>
        </row>
        <row r="6107">
          <cell r="A6107">
            <v>1843800752</v>
          </cell>
          <cell r="B6107" t="str">
            <v>נקיון בקבלנות</v>
          </cell>
          <cell r="C6107">
            <v>19000</v>
          </cell>
          <cell r="D6107">
            <v>7370.64</v>
          </cell>
          <cell r="E6107">
            <v>0</v>
          </cell>
          <cell r="F6107">
            <v>7370.64</v>
          </cell>
          <cell r="G6107">
            <v>11629.36</v>
          </cell>
          <cell r="H6107">
            <v>38.79</v>
          </cell>
          <cell r="I6107">
            <v>20000</v>
          </cell>
          <cell r="J6107">
            <v>7370.64</v>
          </cell>
        </row>
        <row r="6108">
          <cell r="A6108">
            <v>1843800754</v>
          </cell>
          <cell r="B6108" t="str">
            <v>שיפוץ מרכז חכ"ם</v>
          </cell>
          <cell r="C6108">
            <v>0</v>
          </cell>
          <cell r="D6108">
            <v>0</v>
          </cell>
          <cell r="E6108">
            <v>0</v>
          </cell>
          <cell r="F6108">
            <v>0</v>
          </cell>
          <cell r="G6108">
            <v>0</v>
          </cell>
          <cell r="H6108">
            <v>0</v>
          </cell>
          <cell r="I6108">
            <v>0</v>
          </cell>
          <cell r="J6108">
            <v>0</v>
          </cell>
        </row>
        <row r="6109">
          <cell r="A6109">
            <v>1843800781</v>
          </cell>
          <cell r="B6109" t="str">
            <v>איבחון חיצוני</v>
          </cell>
          <cell r="C6109">
            <v>6935</v>
          </cell>
          <cell r="D6109">
            <v>380</v>
          </cell>
          <cell r="E6109">
            <v>0</v>
          </cell>
          <cell r="F6109">
            <v>380</v>
          </cell>
          <cell r="G6109">
            <v>6555</v>
          </cell>
          <cell r="H6109">
            <v>5.47</v>
          </cell>
          <cell r="I6109">
            <v>7300</v>
          </cell>
          <cell r="J6109">
            <v>380</v>
          </cell>
        </row>
        <row r="6110">
          <cell r="A6110">
            <v>1843800785</v>
          </cell>
          <cell r="B6110" t="str">
            <v>תמיכה לילדי רווחה</v>
          </cell>
          <cell r="C6110">
            <v>0</v>
          </cell>
          <cell r="D6110">
            <v>0</v>
          </cell>
          <cell r="E6110">
            <v>0</v>
          </cell>
          <cell r="F6110">
            <v>0</v>
          </cell>
          <cell r="G6110">
            <v>0</v>
          </cell>
          <cell r="H6110">
            <v>0</v>
          </cell>
          <cell r="I6110">
            <v>0</v>
          </cell>
          <cell r="J6110">
            <v>0</v>
          </cell>
        </row>
        <row r="6111">
          <cell r="A6111">
            <v>1843800786</v>
          </cell>
          <cell r="B6111" t="str">
            <v>תסקירים לחוק נוער</v>
          </cell>
          <cell r="C6111">
            <v>0</v>
          </cell>
          <cell r="D6111">
            <v>0</v>
          </cell>
          <cell r="E6111">
            <v>0</v>
          </cell>
          <cell r="F6111">
            <v>0</v>
          </cell>
          <cell r="G6111">
            <v>0</v>
          </cell>
          <cell r="H6111">
            <v>0</v>
          </cell>
          <cell r="I6111">
            <v>0</v>
          </cell>
          <cell r="J6111">
            <v>0</v>
          </cell>
        </row>
        <row r="6112">
          <cell r="A6112">
            <v>1843800811</v>
          </cell>
          <cell r="B6112" t="str">
            <v>ילד בפנימיות</v>
          </cell>
          <cell r="C6112">
            <v>17855250</v>
          </cell>
          <cell r="D6112">
            <v>18828630</v>
          </cell>
          <cell r="E6112">
            <v>0</v>
          </cell>
          <cell r="F6112">
            <v>18828630</v>
          </cell>
          <cell r="G6112">
            <v>-973380</v>
          </cell>
          <cell r="H6112">
            <v>105.45</v>
          </cell>
          <cell r="I6112">
            <v>18795000</v>
          </cell>
          <cell r="J6112">
            <v>18828630</v>
          </cell>
        </row>
        <row r="6113">
          <cell r="A6113">
            <v>1843800812</v>
          </cell>
          <cell r="B6113" t="str">
            <v>ילד' פנימיות עולים</v>
          </cell>
          <cell r="C6113">
            <v>2280000</v>
          </cell>
          <cell r="D6113">
            <v>487010</v>
          </cell>
          <cell r="E6113">
            <v>0</v>
          </cell>
          <cell r="F6113">
            <v>487010</v>
          </cell>
          <cell r="G6113">
            <v>1792990</v>
          </cell>
          <cell r="H6113">
            <v>21.36</v>
          </cell>
          <cell r="I6113">
            <v>2400000</v>
          </cell>
          <cell r="J6113">
            <v>487010</v>
          </cell>
        </row>
        <row r="6114">
          <cell r="A6114">
            <v>1843800813</v>
          </cell>
          <cell r="B6114" t="str">
            <v>מעונות יום</v>
          </cell>
          <cell r="C6114">
            <v>0</v>
          </cell>
          <cell r="D6114">
            <v>0</v>
          </cell>
          <cell r="E6114">
            <v>0</v>
          </cell>
          <cell r="F6114">
            <v>0</v>
          </cell>
          <cell r="G6114">
            <v>0</v>
          </cell>
          <cell r="H6114">
            <v>0</v>
          </cell>
          <cell r="I6114">
            <v>0</v>
          </cell>
          <cell r="J6114">
            <v>0</v>
          </cell>
        </row>
        <row r="6115">
          <cell r="A6115">
            <v>1843800815</v>
          </cell>
          <cell r="B6115" t="str">
            <v>ילד במעונות</v>
          </cell>
          <cell r="C6115">
            <v>6132060</v>
          </cell>
          <cell r="D6115">
            <v>5519074</v>
          </cell>
          <cell r="E6115">
            <v>0</v>
          </cell>
          <cell r="F6115">
            <v>5519074</v>
          </cell>
          <cell r="G6115">
            <v>612986</v>
          </cell>
          <cell r="H6115">
            <v>90</v>
          </cell>
          <cell r="I6115">
            <v>6454800</v>
          </cell>
          <cell r="J6115">
            <v>5519074</v>
          </cell>
        </row>
        <row r="6116">
          <cell r="A6116">
            <v>1843800817</v>
          </cell>
          <cell r="B6116" t="str">
            <v>משפחות וילדים בקהילה</v>
          </cell>
          <cell r="C6116">
            <v>3692840</v>
          </cell>
          <cell r="D6116">
            <v>3493915.62</v>
          </cell>
          <cell r="E6116">
            <v>27579</v>
          </cell>
          <cell r="F6116">
            <v>3521494.62</v>
          </cell>
          <cell r="G6116">
            <v>171345.38</v>
          </cell>
          <cell r="H6116">
            <v>95.36</v>
          </cell>
          <cell r="I6116">
            <v>3887200</v>
          </cell>
          <cell r="J6116">
            <v>3493915.62</v>
          </cell>
        </row>
        <row r="6117">
          <cell r="A6117">
            <v>1843800818</v>
          </cell>
          <cell r="B6117" t="str">
            <v>מפתן ממשלתי</v>
          </cell>
          <cell r="C6117">
            <v>0</v>
          </cell>
          <cell r="D6117">
            <v>0</v>
          </cell>
          <cell r="E6117">
            <v>0</v>
          </cell>
          <cell r="F6117">
            <v>0</v>
          </cell>
          <cell r="G6117">
            <v>0</v>
          </cell>
          <cell r="H6117">
            <v>0</v>
          </cell>
          <cell r="I6117">
            <v>0</v>
          </cell>
          <cell r="J6117">
            <v>0</v>
          </cell>
        </row>
        <row r="6118">
          <cell r="A6118">
            <v>1843800819</v>
          </cell>
          <cell r="B6118" t="str">
            <v>מפתן מקומי</v>
          </cell>
          <cell r="C6118">
            <v>266000</v>
          </cell>
          <cell r="D6118">
            <v>185881</v>
          </cell>
          <cell r="E6118">
            <v>0</v>
          </cell>
          <cell r="F6118">
            <v>185881</v>
          </cell>
          <cell r="G6118">
            <v>80119</v>
          </cell>
          <cell r="H6118">
            <v>69.88</v>
          </cell>
          <cell r="I6118">
            <v>280000</v>
          </cell>
          <cell r="J6118">
            <v>185881</v>
          </cell>
        </row>
        <row r="6119">
          <cell r="A6119">
            <v>1843800820</v>
          </cell>
          <cell r="B6119" t="str">
            <v>נוער חרדי</v>
          </cell>
          <cell r="C6119">
            <v>595365</v>
          </cell>
          <cell r="D6119">
            <v>538405</v>
          </cell>
          <cell r="E6119">
            <v>0</v>
          </cell>
          <cell r="F6119">
            <v>538405</v>
          </cell>
          <cell r="G6119">
            <v>56960</v>
          </cell>
          <cell r="H6119">
            <v>90.43</v>
          </cell>
          <cell r="I6119">
            <v>626700</v>
          </cell>
          <cell r="J6119">
            <v>538405</v>
          </cell>
        </row>
        <row r="6120">
          <cell r="A6120">
            <v>1843800841</v>
          </cell>
          <cell r="B6120" t="str">
            <v>תכנית לאומית לילדים בסיכון</v>
          </cell>
          <cell r="C6120">
            <v>5635400</v>
          </cell>
          <cell r="D6120">
            <v>4946191.88</v>
          </cell>
          <cell r="E6120">
            <v>17252</v>
          </cell>
          <cell r="F6120">
            <v>4963443.88</v>
          </cell>
          <cell r="G6120">
            <v>671956.12</v>
          </cell>
          <cell r="H6120">
            <v>88.07</v>
          </cell>
          <cell r="I6120">
            <v>5932000</v>
          </cell>
          <cell r="J6120">
            <v>4946191.88</v>
          </cell>
        </row>
        <row r="6121">
          <cell r="A6121">
            <v>1843800842</v>
          </cell>
          <cell r="B6121" t="str">
            <v>מרכז חכ"ם</v>
          </cell>
          <cell r="C6121">
            <v>855000</v>
          </cell>
          <cell r="D6121">
            <v>47834</v>
          </cell>
          <cell r="E6121">
            <v>0</v>
          </cell>
          <cell r="F6121">
            <v>47834</v>
          </cell>
          <cell r="G6121">
            <v>807166</v>
          </cell>
          <cell r="H6121">
            <v>5.59</v>
          </cell>
          <cell r="I6121">
            <v>900000</v>
          </cell>
          <cell r="J6121">
            <v>47834</v>
          </cell>
        </row>
        <row r="6122">
          <cell r="A6122">
            <v>1843800843</v>
          </cell>
          <cell r="B6122" t="str">
            <v>מרכז אורים עירייה</v>
          </cell>
          <cell r="C6122">
            <v>0</v>
          </cell>
          <cell r="D6122">
            <v>0</v>
          </cell>
          <cell r="E6122">
            <v>0</v>
          </cell>
          <cell r="F6122">
            <v>0</v>
          </cell>
          <cell r="G6122">
            <v>0</v>
          </cell>
          <cell r="H6122">
            <v>0</v>
          </cell>
          <cell r="I6122">
            <v>0</v>
          </cell>
          <cell r="J6122">
            <v>0</v>
          </cell>
        </row>
        <row r="6123">
          <cell r="A6123">
            <v>1843800846</v>
          </cell>
          <cell r="B6123" t="str">
            <v>מועדוניות משותפות</v>
          </cell>
          <cell r="C6123">
            <v>1235000</v>
          </cell>
          <cell r="D6123">
            <v>1192544</v>
          </cell>
          <cell r="E6123">
            <v>0</v>
          </cell>
          <cell r="F6123">
            <v>1192544</v>
          </cell>
          <cell r="G6123">
            <v>42456</v>
          </cell>
          <cell r="H6123">
            <v>96.56</v>
          </cell>
          <cell r="I6123">
            <v>1300000</v>
          </cell>
          <cell r="J6123">
            <v>1192544</v>
          </cell>
        </row>
        <row r="6124">
          <cell r="A6124">
            <v>1843800880</v>
          </cell>
          <cell r="B6124" t="str">
            <v>חסות ארצי</v>
          </cell>
          <cell r="C6124">
            <v>0</v>
          </cell>
          <cell r="D6124">
            <v>0</v>
          </cell>
          <cell r="E6124">
            <v>0</v>
          </cell>
          <cell r="F6124">
            <v>0</v>
          </cell>
          <cell r="G6124">
            <v>0</v>
          </cell>
          <cell r="H6124">
            <v>0</v>
          </cell>
          <cell r="I6124">
            <v>0</v>
          </cell>
          <cell r="J6124">
            <v>0</v>
          </cell>
        </row>
        <row r="6125">
          <cell r="A6125">
            <v>1843800881</v>
          </cell>
          <cell r="B6125" t="str">
            <v>שכר משפחת'</v>
          </cell>
          <cell r="C6125">
            <v>0</v>
          </cell>
          <cell r="D6125">
            <v>0</v>
          </cell>
          <cell r="E6125">
            <v>0</v>
          </cell>
          <cell r="F6125">
            <v>0</v>
          </cell>
          <cell r="G6125">
            <v>0</v>
          </cell>
          <cell r="H6125">
            <v>0</v>
          </cell>
          <cell r="I6125">
            <v>0</v>
          </cell>
          <cell r="J6125">
            <v>0</v>
          </cell>
        </row>
        <row r="6126">
          <cell r="A6126">
            <v>1843800882</v>
          </cell>
          <cell r="B6126" t="str">
            <v>ילדים סיכון</v>
          </cell>
          <cell r="C6126">
            <v>0</v>
          </cell>
          <cell r="D6126">
            <v>0</v>
          </cell>
          <cell r="E6126">
            <v>0</v>
          </cell>
          <cell r="F6126">
            <v>0</v>
          </cell>
          <cell r="G6126">
            <v>0</v>
          </cell>
          <cell r="H6126">
            <v>0</v>
          </cell>
          <cell r="I6126">
            <v>0</v>
          </cell>
          <cell r="J6126">
            <v>0</v>
          </cell>
        </row>
        <row r="6127">
          <cell r="A6127">
            <v>1843800883</v>
          </cell>
          <cell r="B6127" t="str">
            <v>ילד במצוקה</v>
          </cell>
          <cell r="C6127">
            <v>0</v>
          </cell>
          <cell r="D6127">
            <v>0</v>
          </cell>
          <cell r="E6127">
            <v>0</v>
          </cell>
          <cell r="F6127">
            <v>0</v>
          </cell>
          <cell r="G6127">
            <v>0</v>
          </cell>
          <cell r="H6127">
            <v>0</v>
          </cell>
          <cell r="I6127">
            <v>0</v>
          </cell>
          <cell r="J6127">
            <v>0</v>
          </cell>
        </row>
        <row r="6128">
          <cell r="A6128">
            <v>1843800885</v>
          </cell>
          <cell r="B6128" t="str">
            <v>הפנים לקהילה</v>
          </cell>
          <cell r="C6128">
            <v>1914535</v>
          </cell>
          <cell r="D6128">
            <v>1422876</v>
          </cell>
          <cell r="E6128">
            <v>6532</v>
          </cell>
          <cell r="F6128">
            <v>1429408</v>
          </cell>
          <cell r="G6128">
            <v>485127</v>
          </cell>
          <cell r="H6128">
            <v>74.66</v>
          </cell>
          <cell r="I6128">
            <v>2015300</v>
          </cell>
          <cell r="J6128">
            <v>1422876</v>
          </cell>
        </row>
        <row r="6129">
          <cell r="A6129">
            <v>1843800886</v>
          </cell>
          <cell r="B6129" t="str">
            <v>טיפול במשפחות אומנה</v>
          </cell>
          <cell r="C6129">
            <v>1675800</v>
          </cell>
          <cell r="D6129">
            <v>1709318</v>
          </cell>
          <cell r="E6129">
            <v>0</v>
          </cell>
          <cell r="F6129">
            <v>1709318</v>
          </cell>
          <cell r="G6129">
            <v>-33518</v>
          </cell>
          <cell r="H6129">
            <v>102</v>
          </cell>
          <cell r="I6129">
            <v>1764000</v>
          </cell>
          <cell r="J6129">
            <v>1709318</v>
          </cell>
        </row>
        <row r="6130">
          <cell r="A6130">
            <v>1843800887</v>
          </cell>
          <cell r="B6130" t="str">
            <v>מרכז אורים</v>
          </cell>
          <cell r="C6130">
            <v>0</v>
          </cell>
          <cell r="D6130">
            <v>0</v>
          </cell>
          <cell r="E6130">
            <v>0</v>
          </cell>
          <cell r="F6130">
            <v>0</v>
          </cell>
          <cell r="G6130">
            <v>0</v>
          </cell>
          <cell r="H6130">
            <v>0</v>
          </cell>
          <cell r="I6130">
            <v>0</v>
          </cell>
          <cell r="J6130">
            <v>0</v>
          </cell>
        </row>
        <row r="6131">
          <cell r="A6131">
            <v>1843800888</v>
          </cell>
          <cell r="B6131" t="str">
            <v>פגיעות מיניות</v>
          </cell>
          <cell r="C6131">
            <v>1035500</v>
          </cell>
          <cell r="D6131">
            <v>1070535</v>
          </cell>
          <cell r="E6131">
            <v>0</v>
          </cell>
          <cell r="F6131">
            <v>1070535</v>
          </cell>
          <cell r="G6131">
            <v>-35035</v>
          </cell>
          <cell r="H6131">
            <v>103.38</v>
          </cell>
          <cell r="I6131">
            <v>1090000</v>
          </cell>
          <cell r="J6131">
            <v>1070535</v>
          </cell>
        </row>
        <row r="6132">
          <cell r="A6132">
            <v>1843800891</v>
          </cell>
          <cell r="B6132" t="str">
            <v>עמותת עליון</v>
          </cell>
          <cell r="C6132">
            <v>0</v>
          </cell>
          <cell r="D6132">
            <v>0</v>
          </cell>
          <cell r="E6132">
            <v>0</v>
          </cell>
          <cell r="F6132">
            <v>0</v>
          </cell>
          <cell r="G6132">
            <v>0</v>
          </cell>
          <cell r="H6132">
            <v>0</v>
          </cell>
          <cell r="I6132">
            <v>0</v>
          </cell>
          <cell r="J6132">
            <v>0</v>
          </cell>
        </row>
        <row r="6133">
          <cell r="A6133">
            <v>1843800892</v>
          </cell>
          <cell r="B6133" t="str">
            <v>הזנה לנחשונים ובתי דרור</v>
          </cell>
          <cell r="C6133">
            <v>95000</v>
          </cell>
          <cell r="D6133">
            <v>85624.7</v>
          </cell>
          <cell r="E6133">
            <v>0</v>
          </cell>
          <cell r="F6133">
            <v>85624.7</v>
          </cell>
          <cell r="G6133">
            <v>9375.2999999999993</v>
          </cell>
          <cell r="H6133">
            <v>90.13</v>
          </cell>
          <cell r="I6133">
            <v>95000</v>
          </cell>
          <cell r="J6133">
            <v>85624.7</v>
          </cell>
        </row>
        <row r="6134">
          <cell r="A6134">
            <v>1843800893</v>
          </cell>
          <cell r="B6134" t="str">
            <v>מרכז אורים</v>
          </cell>
          <cell r="C6134">
            <v>4700</v>
          </cell>
          <cell r="D6134">
            <v>0</v>
          </cell>
          <cell r="E6134">
            <v>4700</v>
          </cell>
          <cell r="F6134">
            <v>4700</v>
          </cell>
          <cell r="G6134">
            <v>0</v>
          </cell>
          <cell r="H6134">
            <v>100</v>
          </cell>
          <cell r="I6134">
            <v>4700</v>
          </cell>
          <cell r="J6134">
            <v>0</v>
          </cell>
        </row>
        <row r="6135">
          <cell r="A6135">
            <v>1843800980</v>
          </cell>
          <cell r="B6135" t="str">
            <v>פרוייקט "אח בוגר"</v>
          </cell>
          <cell r="C6135">
            <v>0</v>
          </cell>
          <cell r="D6135">
            <v>0</v>
          </cell>
          <cell r="E6135">
            <v>0</v>
          </cell>
          <cell r="F6135">
            <v>0</v>
          </cell>
          <cell r="G6135">
            <v>0</v>
          </cell>
          <cell r="H6135">
            <v>0</v>
          </cell>
          <cell r="I6135">
            <v>0</v>
          </cell>
          <cell r="J6135">
            <v>0</v>
          </cell>
        </row>
        <row r="6136">
          <cell r="A6136">
            <v>1843800981</v>
          </cell>
          <cell r="B6136" t="str">
            <v>מועדונית חוסן</v>
          </cell>
          <cell r="C6136">
            <v>0</v>
          </cell>
          <cell r="D6136">
            <v>0</v>
          </cell>
          <cell r="E6136">
            <v>0</v>
          </cell>
          <cell r="F6136">
            <v>0</v>
          </cell>
          <cell r="G6136">
            <v>0</v>
          </cell>
          <cell r="H6136">
            <v>0</v>
          </cell>
          <cell r="I6136">
            <v>0</v>
          </cell>
          <cell r="J6136">
            <v>0</v>
          </cell>
        </row>
        <row r="6137">
          <cell r="A6137">
            <v>1843800982</v>
          </cell>
          <cell r="B6137" t="str">
            <v>מרכז להתפתחות הילד</v>
          </cell>
          <cell r="C6137">
            <v>412000</v>
          </cell>
          <cell r="D6137">
            <v>421951.12</v>
          </cell>
          <cell r="E6137">
            <v>9326.14</v>
          </cell>
          <cell r="F6137">
            <v>431277.26</v>
          </cell>
          <cell r="G6137">
            <v>-19277.259999999998</v>
          </cell>
          <cell r="H6137">
            <v>104.67</v>
          </cell>
          <cell r="I6137">
            <v>412000</v>
          </cell>
          <cell r="J6137">
            <v>421951.12</v>
          </cell>
        </row>
        <row r="6138">
          <cell r="A6138">
            <v>1843800983</v>
          </cell>
          <cell r="B6138" t="str">
            <v>מועדונית מקווה ישראל</v>
          </cell>
          <cell r="C6138">
            <v>167200</v>
          </cell>
          <cell r="D6138">
            <v>88000</v>
          </cell>
          <cell r="E6138">
            <v>0</v>
          </cell>
          <cell r="F6138">
            <v>88000</v>
          </cell>
          <cell r="G6138">
            <v>79200</v>
          </cell>
          <cell r="H6138">
            <v>52.63</v>
          </cell>
          <cell r="I6138">
            <v>176000</v>
          </cell>
          <cell r="J6138">
            <v>88000</v>
          </cell>
        </row>
        <row r="6139">
          <cell r="A6139">
            <v>1843800984</v>
          </cell>
          <cell r="B6139" t="str">
            <v>צהרוני רווחה</v>
          </cell>
          <cell r="C6139">
            <v>145255</v>
          </cell>
          <cell r="D6139">
            <v>144218.18</v>
          </cell>
          <cell r="E6139">
            <v>0</v>
          </cell>
          <cell r="F6139">
            <v>144218.18</v>
          </cell>
          <cell r="G6139">
            <v>1036.82</v>
          </cell>
          <cell r="H6139">
            <v>99.28</v>
          </cell>
          <cell r="I6139">
            <v>152900</v>
          </cell>
          <cell r="J6139">
            <v>144218.18</v>
          </cell>
        </row>
        <row r="6140">
          <cell r="A6140">
            <v>1843800985</v>
          </cell>
          <cell r="B6140" t="str">
            <v>העשרה שפתית</v>
          </cell>
          <cell r="C6140">
            <v>113050</v>
          </cell>
          <cell r="D6140">
            <v>30000</v>
          </cell>
          <cell r="E6140">
            <v>0</v>
          </cell>
          <cell r="F6140">
            <v>30000</v>
          </cell>
          <cell r="G6140">
            <v>83050</v>
          </cell>
          <cell r="H6140">
            <v>26.53</v>
          </cell>
          <cell r="I6140">
            <v>119000</v>
          </cell>
          <cell r="J6140">
            <v>30000</v>
          </cell>
        </row>
        <row r="6141">
          <cell r="A6141">
            <v>1843800986</v>
          </cell>
          <cell r="B6141" t="str">
            <v>עמותת חמניות</v>
          </cell>
          <cell r="C6141">
            <v>66500</v>
          </cell>
          <cell r="D6141">
            <v>55000</v>
          </cell>
          <cell r="E6141">
            <v>15000</v>
          </cell>
          <cell r="F6141">
            <v>70000</v>
          </cell>
          <cell r="G6141">
            <v>-3500</v>
          </cell>
          <cell r="H6141">
            <v>105.26</v>
          </cell>
          <cell r="I6141">
            <v>70000</v>
          </cell>
          <cell r="J6141">
            <v>55000</v>
          </cell>
        </row>
        <row r="6142">
          <cell r="A6142">
            <v>1843800987</v>
          </cell>
          <cell r="B6142" t="str">
            <v>מועדוניות במתנסים</v>
          </cell>
          <cell r="C6142">
            <v>76000</v>
          </cell>
          <cell r="D6142">
            <v>60000</v>
          </cell>
          <cell r="E6142">
            <v>0</v>
          </cell>
          <cell r="F6142">
            <v>60000</v>
          </cell>
          <cell r="G6142">
            <v>16000</v>
          </cell>
          <cell r="H6142">
            <v>78.94</v>
          </cell>
          <cell r="I6142">
            <v>80000</v>
          </cell>
          <cell r="J6142">
            <v>60000</v>
          </cell>
        </row>
        <row r="6143">
          <cell r="A6143">
            <v>1843800988</v>
          </cell>
          <cell r="B6143" t="str">
            <v>תוכניות טיפול בעולים</v>
          </cell>
          <cell r="C6143">
            <v>223725</v>
          </cell>
          <cell r="D6143">
            <v>115.63</v>
          </cell>
          <cell r="E6143">
            <v>0</v>
          </cell>
          <cell r="F6143">
            <v>115.63</v>
          </cell>
          <cell r="G6143">
            <v>223609.37</v>
          </cell>
          <cell r="H6143">
            <v>0.05</v>
          </cell>
          <cell r="I6143">
            <v>235500</v>
          </cell>
          <cell r="J6143">
            <v>115.63</v>
          </cell>
        </row>
        <row r="6144">
          <cell r="A6144">
            <v>1844300110</v>
          </cell>
          <cell r="B6144" t="str">
            <v>השכר הקובע-תקציבית</v>
          </cell>
          <cell r="C6144">
            <v>0</v>
          </cell>
          <cell r="D6144">
            <v>0</v>
          </cell>
          <cell r="E6144">
            <v>0</v>
          </cell>
          <cell r="F6144">
            <v>0</v>
          </cell>
          <cell r="G6144">
            <v>0</v>
          </cell>
          <cell r="H6144">
            <v>0</v>
          </cell>
          <cell r="I6144">
            <v>0</v>
          </cell>
          <cell r="J6144">
            <v>0</v>
          </cell>
        </row>
        <row r="6145">
          <cell r="A6145">
            <v>1844300122</v>
          </cell>
          <cell r="B6145" t="str">
            <v>ביגוד</v>
          </cell>
          <cell r="C6145">
            <v>0</v>
          </cell>
          <cell r="D6145">
            <v>0</v>
          </cell>
          <cell r="E6145">
            <v>0</v>
          </cell>
          <cell r="F6145">
            <v>0</v>
          </cell>
          <cell r="G6145">
            <v>0</v>
          </cell>
          <cell r="H6145">
            <v>0</v>
          </cell>
          <cell r="I6145">
            <v>0</v>
          </cell>
          <cell r="J6145">
            <v>0</v>
          </cell>
        </row>
        <row r="6146">
          <cell r="A6146">
            <v>1844300126</v>
          </cell>
          <cell r="B6146" t="str">
            <v>דמי הבראה</v>
          </cell>
          <cell r="C6146">
            <v>0</v>
          </cell>
          <cell r="D6146">
            <v>0</v>
          </cell>
          <cell r="E6146">
            <v>0</v>
          </cell>
          <cell r="F6146">
            <v>0</v>
          </cell>
          <cell r="G6146">
            <v>0</v>
          </cell>
          <cell r="H6146">
            <v>0</v>
          </cell>
          <cell r="I6146">
            <v>0</v>
          </cell>
          <cell r="J6146">
            <v>0</v>
          </cell>
        </row>
        <row r="6147">
          <cell r="A6147">
            <v>1844300130</v>
          </cell>
          <cell r="B6147" t="str">
            <v>שעות נוספות</v>
          </cell>
          <cell r="C6147">
            <v>0</v>
          </cell>
          <cell r="D6147">
            <v>0</v>
          </cell>
          <cell r="E6147">
            <v>0</v>
          </cell>
          <cell r="F6147">
            <v>0</v>
          </cell>
          <cell r="G6147">
            <v>0</v>
          </cell>
          <cell r="H6147">
            <v>0</v>
          </cell>
          <cell r="I6147">
            <v>0</v>
          </cell>
          <cell r="J6147">
            <v>0</v>
          </cell>
        </row>
        <row r="6148">
          <cell r="A6148">
            <v>1844300140</v>
          </cell>
          <cell r="B6148" t="str">
            <v>השתתפות באחזקת רכב</v>
          </cell>
          <cell r="C6148">
            <v>0</v>
          </cell>
          <cell r="D6148">
            <v>0</v>
          </cell>
          <cell r="E6148">
            <v>0</v>
          </cell>
          <cell r="F6148">
            <v>0</v>
          </cell>
          <cell r="G6148">
            <v>0</v>
          </cell>
          <cell r="H6148">
            <v>0</v>
          </cell>
          <cell r="I6148">
            <v>0</v>
          </cell>
          <cell r="J6148">
            <v>0</v>
          </cell>
        </row>
        <row r="6149">
          <cell r="A6149">
            <v>1844300216</v>
          </cell>
          <cell r="B6149" t="str">
            <v>פרוייקט קשישים ק"ש</v>
          </cell>
          <cell r="C6149">
            <v>0</v>
          </cell>
          <cell r="D6149">
            <v>0</v>
          </cell>
          <cell r="E6149">
            <v>0</v>
          </cell>
          <cell r="F6149">
            <v>0</v>
          </cell>
          <cell r="G6149">
            <v>0</v>
          </cell>
          <cell r="H6149">
            <v>0</v>
          </cell>
          <cell r="I6149">
            <v>0</v>
          </cell>
          <cell r="J6149">
            <v>0</v>
          </cell>
        </row>
        <row r="6150">
          <cell r="A6150">
            <v>1844300217</v>
          </cell>
          <cell r="B6150" t="str">
            <v>פרוייקט קוגל</v>
          </cell>
          <cell r="C6150">
            <v>0</v>
          </cell>
          <cell r="D6150">
            <v>0</v>
          </cell>
          <cell r="E6150">
            <v>0</v>
          </cell>
          <cell r="F6150">
            <v>0</v>
          </cell>
          <cell r="G6150">
            <v>0</v>
          </cell>
          <cell r="H6150">
            <v>0</v>
          </cell>
          <cell r="I6150">
            <v>0</v>
          </cell>
          <cell r="J6150">
            <v>0</v>
          </cell>
        </row>
        <row r="6151">
          <cell r="A6151">
            <v>1844300253</v>
          </cell>
          <cell r="B6151" t="str">
            <v>עובדי חברה</v>
          </cell>
          <cell r="C6151">
            <v>0</v>
          </cell>
          <cell r="D6151">
            <v>0</v>
          </cell>
          <cell r="E6151">
            <v>0</v>
          </cell>
          <cell r="F6151">
            <v>0</v>
          </cell>
          <cell r="G6151">
            <v>0</v>
          </cell>
          <cell r="H6151">
            <v>0</v>
          </cell>
          <cell r="I6151">
            <v>0</v>
          </cell>
          <cell r="J6151">
            <v>0</v>
          </cell>
        </row>
        <row r="6152">
          <cell r="A6152">
            <v>1844300391</v>
          </cell>
          <cell r="B6152" t="str">
            <v>הפרשה לפנסיה</v>
          </cell>
          <cell r="C6152">
            <v>0</v>
          </cell>
          <cell r="D6152">
            <v>0</v>
          </cell>
          <cell r="E6152">
            <v>0</v>
          </cell>
          <cell r="F6152">
            <v>0</v>
          </cell>
          <cell r="G6152">
            <v>0</v>
          </cell>
          <cell r="H6152">
            <v>0</v>
          </cell>
          <cell r="I6152">
            <v>0</v>
          </cell>
          <cell r="J6152">
            <v>0</v>
          </cell>
        </row>
        <row r="6153">
          <cell r="A6153">
            <v>1844300511</v>
          </cell>
          <cell r="B6153" t="str">
            <v>אירוח וכיבוד</v>
          </cell>
          <cell r="C6153">
            <v>2280</v>
          </cell>
          <cell r="D6153">
            <v>2218.91</v>
          </cell>
          <cell r="E6153">
            <v>0</v>
          </cell>
          <cell r="F6153">
            <v>2218.91</v>
          </cell>
          <cell r="G6153">
            <v>61.09</v>
          </cell>
          <cell r="H6153">
            <v>97.32</v>
          </cell>
          <cell r="I6153">
            <v>2400</v>
          </cell>
          <cell r="J6153">
            <v>2218.91</v>
          </cell>
        </row>
        <row r="6154">
          <cell r="A6154">
            <v>1844300763</v>
          </cell>
          <cell r="B6154" t="str">
            <v>עובדי חברת מוסדות</v>
          </cell>
          <cell r="C6154">
            <v>0</v>
          </cell>
          <cell r="D6154">
            <v>0</v>
          </cell>
          <cell r="E6154">
            <v>0</v>
          </cell>
          <cell r="F6154">
            <v>0</v>
          </cell>
          <cell r="G6154">
            <v>0</v>
          </cell>
          <cell r="H6154">
            <v>0</v>
          </cell>
          <cell r="I6154">
            <v>0</v>
          </cell>
          <cell r="J6154">
            <v>0</v>
          </cell>
        </row>
        <row r="6155">
          <cell r="A6155">
            <v>1844300810</v>
          </cell>
          <cell r="B6155" t="str">
            <v>עמותה לקשיש לעולים</v>
          </cell>
          <cell r="C6155">
            <v>0</v>
          </cell>
          <cell r="D6155">
            <v>0</v>
          </cell>
          <cell r="E6155">
            <v>0</v>
          </cell>
          <cell r="F6155">
            <v>0</v>
          </cell>
          <cell r="G6155">
            <v>0</v>
          </cell>
          <cell r="H6155">
            <v>0</v>
          </cell>
          <cell r="I6155">
            <v>0</v>
          </cell>
          <cell r="J6155">
            <v>0</v>
          </cell>
        </row>
        <row r="6156">
          <cell r="A6156">
            <v>1844300811</v>
          </cell>
          <cell r="B6156" t="str">
            <v>עמ'מרפאת שינים 25%</v>
          </cell>
          <cell r="C6156">
            <v>0</v>
          </cell>
          <cell r="D6156">
            <v>0</v>
          </cell>
          <cell r="E6156">
            <v>0</v>
          </cell>
          <cell r="F6156">
            <v>0</v>
          </cell>
          <cell r="G6156">
            <v>0</v>
          </cell>
          <cell r="H6156">
            <v>0</v>
          </cell>
          <cell r="I6156">
            <v>0</v>
          </cell>
          <cell r="J6156">
            <v>0</v>
          </cell>
        </row>
        <row r="6157">
          <cell r="A6157">
            <v>1844300812</v>
          </cell>
          <cell r="B6157" t="str">
            <v>החזר שכר לעמותה</v>
          </cell>
          <cell r="C6157">
            <v>0</v>
          </cell>
          <cell r="D6157">
            <v>0</v>
          </cell>
          <cell r="E6157">
            <v>0</v>
          </cell>
          <cell r="F6157">
            <v>0</v>
          </cell>
          <cell r="G6157">
            <v>0</v>
          </cell>
          <cell r="H6157">
            <v>0</v>
          </cell>
          <cell r="I6157">
            <v>0</v>
          </cell>
          <cell r="J6157">
            <v>0</v>
          </cell>
        </row>
        <row r="6158">
          <cell r="A6158">
            <v>1844300813</v>
          </cell>
          <cell r="B6158" t="str">
            <v>טיפולי שיניים</v>
          </cell>
          <cell r="C6158">
            <v>0</v>
          </cell>
          <cell r="D6158">
            <v>0</v>
          </cell>
          <cell r="E6158">
            <v>0</v>
          </cell>
          <cell r="F6158">
            <v>0</v>
          </cell>
          <cell r="G6158">
            <v>0</v>
          </cell>
          <cell r="H6158">
            <v>0</v>
          </cell>
          <cell r="I6158">
            <v>0</v>
          </cell>
          <cell r="J6158">
            <v>0</v>
          </cell>
        </row>
        <row r="6159">
          <cell r="A6159">
            <v>1844300814</v>
          </cell>
          <cell r="B6159" t="str">
            <v>מועדונים משודרגים</v>
          </cell>
          <cell r="C6159">
            <v>0</v>
          </cell>
          <cell r="D6159">
            <v>0</v>
          </cell>
          <cell r="E6159">
            <v>0</v>
          </cell>
          <cell r="F6159">
            <v>0</v>
          </cell>
          <cell r="G6159">
            <v>0</v>
          </cell>
          <cell r="H6159">
            <v>0</v>
          </cell>
          <cell r="I6159">
            <v>0</v>
          </cell>
          <cell r="J6159">
            <v>0</v>
          </cell>
        </row>
        <row r="6160">
          <cell r="A6160">
            <v>1844300815</v>
          </cell>
          <cell r="B6160" t="str">
            <v>סיוע לאזרחים ותיקים</v>
          </cell>
          <cell r="C6160">
            <v>285000</v>
          </cell>
          <cell r="D6160">
            <v>95258.22</v>
          </cell>
          <cell r="E6160">
            <v>0</v>
          </cell>
          <cell r="F6160">
            <v>95258.22</v>
          </cell>
          <cell r="G6160">
            <v>189741.78</v>
          </cell>
          <cell r="H6160">
            <v>33.42</v>
          </cell>
          <cell r="I6160">
            <v>300000</v>
          </cell>
          <cell r="J6160">
            <v>95258.22</v>
          </cell>
        </row>
        <row r="6161">
          <cell r="A6161">
            <v>1844300817</v>
          </cell>
          <cell r="B6161" t="str">
            <v>אחזקה במעונות</v>
          </cell>
          <cell r="C6161">
            <v>9025000</v>
          </cell>
          <cell r="D6161">
            <v>9643211.3000000007</v>
          </cell>
          <cell r="E6161">
            <v>0</v>
          </cell>
          <cell r="F6161">
            <v>9643211.3000000007</v>
          </cell>
          <cell r="G6161">
            <v>-618211.30000000005</v>
          </cell>
          <cell r="H6161">
            <v>106.84</v>
          </cell>
          <cell r="I6161">
            <v>9500000</v>
          </cell>
          <cell r="J6161">
            <v>9643211.3000000007</v>
          </cell>
        </row>
        <row r="6162">
          <cell r="A6162">
            <v>1844300818</v>
          </cell>
          <cell r="B6162" t="str">
            <v>הזדקנות מיטבית קהילה</v>
          </cell>
          <cell r="C6162">
            <v>1710000</v>
          </cell>
          <cell r="D6162">
            <v>699903.86</v>
          </cell>
          <cell r="E6162">
            <v>41137.56</v>
          </cell>
          <cell r="F6162">
            <v>741041.42</v>
          </cell>
          <cell r="G6162">
            <v>968958.58</v>
          </cell>
          <cell r="H6162">
            <v>43.33</v>
          </cell>
          <cell r="I6162">
            <v>1800000</v>
          </cell>
          <cell r="J6162">
            <v>699903.86</v>
          </cell>
        </row>
        <row r="6163">
          <cell r="A6163">
            <v>1844300819</v>
          </cell>
          <cell r="B6163" t="str">
            <v>טפול בזקנים</v>
          </cell>
          <cell r="C6163">
            <v>0</v>
          </cell>
          <cell r="D6163">
            <v>0</v>
          </cell>
          <cell r="E6163">
            <v>0</v>
          </cell>
          <cell r="F6163">
            <v>0</v>
          </cell>
          <cell r="G6163">
            <v>0</v>
          </cell>
          <cell r="H6163">
            <v>0</v>
          </cell>
          <cell r="I6163">
            <v>0</v>
          </cell>
          <cell r="J6163">
            <v>0</v>
          </cell>
        </row>
        <row r="6164">
          <cell r="A6164">
            <v>1844300820</v>
          </cell>
          <cell r="B6164" t="str">
            <v>שכונה תומכת</v>
          </cell>
          <cell r="C6164">
            <v>0</v>
          </cell>
          <cell r="D6164">
            <v>0</v>
          </cell>
          <cell r="E6164">
            <v>0</v>
          </cell>
          <cell r="F6164">
            <v>0</v>
          </cell>
          <cell r="G6164">
            <v>0</v>
          </cell>
          <cell r="H6164">
            <v>0</v>
          </cell>
          <cell r="I6164">
            <v>0</v>
          </cell>
          <cell r="J6164">
            <v>0</v>
          </cell>
        </row>
        <row r="6165">
          <cell r="A6165">
            <v>1844300840</v>
          </cell>
          <cell r="B6165" t="str">
            <v>שרותים לניצולי שואה</v>
          </cell>
          <cell r="C6165">
            <v>1173000</v>
          </cell>
          <cell r="D6165">
            <v>1130787.6399999999</v>
          </cell>
          <cell r="E6165">
            <v>36700</v>
          </cell>
          <cell r="F6165">
            <v>1167487.6399999999</v>
          </cell>
          <cell r="G6165">
            <v>5512.36</v>
          </cell>
          <cell r="H6165">
            <v>99.53</v>
          </cell>
          <cell r="I6165">
            <v>1173000</v>
          </cell>
          <cell r="J6165">
            <v>1130787.6399999999</v>
          </cell>
        </row>
        <row r="6166">
          <cell r="A6166">
            <v>1844300845</v>
          </cell>
          <cell r="B6166" t="str">
            <v>מניעת התעללות בזקן</v>
          </cell>
          <cell r="C6166">
            <v>0</v>
          </cell>
          <cell r="D6166">
            <v>0</v>
          </cell>
          <cell r="E6166">
            <v>0</v>
          </cell>
          <cell r="F6166">
            <v>0</v>
          </cell>
          <cell r="G6166">
            <v>0</v>
          </cell>
          <cell r="H6166">
            <v>0</v>
          </cell>
          <cell r="I6166">
            <v>0</v>
          </cell>
          <cell r="J6166">
            <v>0</v>
          </cell>
        </row>
        <row r="6167">
          <cell r="A6167">
            <v>1844300891</v>
          </cell>
          <cell r="B6167" t="str">
            <v>שכונה תומכת</v>
          </cell>
          <cell r="C6167">
            <v>0</v>
          </cell>
          <cell r="D6167">
            <v>0</v>
          </cell>
          <cell r="E6167">
            <v>0</v>
          </cell>
          <cell r="F6167">
            <v>0</v>
          </cell>
          <cell r="G6167">
            <v>0</v>
          </cell>
          <cell r="H6167">
            <v>0</v>
          </cell>
          <cell r="I6167">
            <v>0</v>
          </cell>
          <cell r="J6167">
            <v>0</v>
          </cell>
        </row>
        <row r="6168">
          <cell r="A6168">
            <v>1844300931</v>
          </cell>
          <cell r="B6168" t="str">
            <v>פרויקט שכונה תומכת</v>
          </cell>
          <cell r="C6168">
            <v>0</v>
          </cell>
          <cell r="D6168">
            <v>0</v>
          </cell>
          <cell r="E6168">
            <v>0</v>
          </cell>
          <cell r="F6168">
            <v>0</v>
          </cell>
          <cell r="G6168">
            <v>0</v>
          </cell>
          <cell r="H6168">
            <v>0</v>
          </cell>
          <cell r="I6168">
            <v>0</v>
          </cell>
          <cell r="J6168">
            <v>0</v>
          </cell>
        </row>
        <row r="6169">
          <cell r="A6169">
            <v>1844300980</v>
          </cell>
          <cell r="B6169" t="str">
            <v>תכנית אב לאזרחים ותיקים</v>
          </cell>
          <cell r="C6169">
            <v>755440</v>
          </cell>
          <cell r="D6169">
            <v>702511.22</v>
          </cell>
          <cell r="E6169">
            <v>80158</v>
          </cell>
          <cell r="F6169">
            <v>782669.22</v>
          </cell>
          <cell r="G6169">
            <v>-27229.22</v>
          </cell>
          <cell r="H6169">
            <v>103.6</v>
          </cell>
          <cell r="I6169">
            <v>795200</v>
          </cell>
          <cell r="J6169">
            <v>702511.22</v>
          </cell>
        </row>
        <row r="6170">
          <cell r="A6170">
            <v>1844300981</v>
          </cell>
          <cell r="B6170" t="str">
            <v>muni 100</v>
          </cell>
          <cell r="C6170">
            <v>0</v>
          </cell>
          <cell r="D6170">
            <v>0</v>
          </cell>
          <cell r="E6170">
            <v>0</v>
          </cell>
          <cell r="F6170">
            <v>0</v>
          </cell>
          <cell r="G6170">
            <v>0</v>
          </cell>
          <cell r="H6170">
            <v>0</v>
          </cell>
          <cell r="I6170">
            <v>0</v>
          </cell>
          <cell r="J6170">
            <v>0</v>
          </cell>
        </row>
        <row r="6171">
          <cell r="A6171">
            <v>1844300982</v>
          </cell>
          <cell r="B6171" t="str">
            <v>עמותת עמדא</v>
          </cell>
          <cell r="C6171">
            <v>0</v>
          </cell>
          <cell r="D6171">
            <v>0</v>
          </cell>
          <cell r="E6171">
            <v>0</v>
          </cell>
          <cell r="F6171">
            <v>0</v>
          </cell>
          <cell r="G6171">
            <v>0</v>
          </cell>
          <cell r="H6171">
            <v>0</v>
          </cell>
          <cell r="I6171">
            <v>0</v>
          </cell>
          <cell r="J6171">
            <v>0</v>
          </cell>
        </row>
        <row r="6172">
          <cell r="A6172">
            <v>1844300983</v>
          </cell>
          <cell r="B6172" t="str">
            <v>קול קורא תכנית ש' חברתי</v>
          </cell>
          <cell r="C6172">
            <v>0</v>
          </cell>
          <cell r="D6172">
            <v>0</v>
          </cell>
          <cell r="E6172">
            <v>0</v>
          </cell>
          <cell r="F6172">
            <v>0</v>
          </cell>
          <cell r="G6172">
            <v>0</v>
          </cell>
          <cell r="H6172">
            <v>0</v>
          </cell>
          <cell r="I6172">
            <v>0</v>
          </cell>
          <cell r="J6172">
            <v>0</v>
          </cell>
        </row>
        <row r="6173">
          <cell r="A6173">
            <v>1844500110</v>
          </cell>
          <cell r="B6173" t="str">
            <v>השכר הקובע-תקציבית</v>
          </cell>
          <cell r="C6173">
            <v>0</v>
          </cell>
          <cell r="D6173">
            <v>0</v>
          </cell>
          <cell r="E6173">
            <v>0</v>
          </cell>
          <cell r="F6173">
            <v>0</v>
          </cell>
          <cell r="G6173">
            <v>0</v>
          </cell>
          <cell r="H6173">
            <v>0</v>
          </cell>
          <cell r="I6173">
            <v>0</v>
          </cell>
          <cell r="J6173">
            <v>0</v>
          </cell>
        </row>
        <row r="6174">
          <cell r="A6174">
            <v>1844500119</v>
          </cell>
          <cell r="B6174" t="str">
            <v>השכר הקובע-צוברת</v>
          </cell>
          <cell r="C6174">
            <v>0</v>
          </cell>
          <cell r="D6174">
            <v>0</v>
          </cell>
          <cell r="E6174">
            <v>0</v>
          </cell>
          <cell r="F6174">
            <v>0</v>
          </cell>
          <cell r="G6174">
            <v>0</v>
          </cell>
          <cell r="H6174">
            <v>0</v>
          </cell>
          <cell r="I6174">
            <v>0</v>
          </cell>
          <cell r="J6174">
            <v>0</v>
          </cell>
        </row>
        <row r="6175">
          <cell r="A6175">
            <v>1844500122</v>
          </cell>
          <cell r="B6175" t="str">
            <v>ביגוד</v>
          </cell>
          <cell r="C6175">
            <v>0</v>
          </cell>
          <cell r="D6175">
            <v>0</v>
          </cell>
          <cell r="E6175">
            <v>0</v>
          </cell>
          <cell r="F6175">
            <v>0</v>
          </cell>
          <cell r="G6175">
            <v>0</v>
          </cell>
          <cell r="H6175">
            <v>0</v>
          </cell>
          <cell r="I6175">
            <v>0</v>
          </cell>
          <cell r="J6175">
            <v>0</v>
          </cell>
        </row>
        <row r="6176">
          <cell r="A6176">
            <v>1844500126</v>
          </cell>
          <cell r="B6176" t="str">
            <v>דמי הבראה</v>
          </cell>
          <cell r="C6176">
            <v>0</v>
          </cell>
          <cell r="D6176">
            <v>0</v>
          </cell>
          <cell r="E6176">
            <v>0</v>
          </cell>
          <cell r="F6176">
            <v>0</v>
          </cell>
          <cell r="G6176">
            <v>0</v>
          </cell>
          <cell r="H6176">
            <v>0</v>
          </cell>
          <cell r="I6176">
            <v>0</v>
          </cell>
          <cell r="J6176">
            <v>0</v>
          </cell>
        </row>
        <row r="6177">
          <cell r="A6177">
            <v>1844500130</v>
          </cell>
          <cell r="B6177" t="str">
            <v>שעות נוספות</v>
          </cell>
          <cell r="C6177">
            <v>0</v>
          </cell>
          <cell r="D6177">
            <v>0</v>
          </cell>
          <cell r="E6177">
            <v>0</v>
          </cell>
          <cell r="F6177">
            <v>0</v>
          </cell>
          <cell r="G6177">
            <v>0</v>
          </cell>
          <cell r="H6177">
            <v>0</v>
          </cell>
          <cell r="I6177">
            <v>0</v>
          </cell>
          <cell r="J6177">
            <v>0</v>
          </cell>
        </row>
        <row r="6178">
          <cell r="A6178">
            <v>1844500210</v>
          </cell>
          <cell r="B6178" t="str">
            <v>השכר הקובע</v>
          </cell>
          <cell r="C6178">
            <v>0</v>
          </cell>
          <cell r="D6178">
            <v>0</v>
          </cell>
          <cell r="E6178">
            <v>0</v>
          </cell>
          <cell r="F6178">
            <v>0</v>
          </cell>
          <cell r="G6178">
            <v>0</v>
          </cell>
          <cell r="H6178">
            <v>0</v>
          </cell>
          <cell r="I6178">
            <v>0</v>
          </cell>
          <cell r="J6178">
            <v>0</v>
          </cell>
        </row>
        <row r="6179">
          <cell r="A6179">
            <v>1844500263</v>
          </cell>
          <cell r="B6179" t="str">
            <v>רכזות חב' מוסדות</v>
          </cell>
          <cell r="C6179">
            <v>0</v>
          </cell>
          <cell r="D6179">
            <v>0</v>
          </cell>
          <cell r="E6179">
            <v>0</v>
          </cell>
          <cell r="F6179">
            <v>0</v>
          </cell>
          <cell r="G6179">
            <v>0</v>
          </cell>
          <cell r="H6179">
            <v>0</v>
          </cell>
          <cell r="I6179">
            <v>0</v>
          </cell>
          <cell r="J6179">
            <v>0</v>
          </cell>
        </row>
        <row r="6180">
          <cell r="A6180">
            <v>1844500264</v>
          </cell>
          <cell r="B6180" t="str">
            <v>הדרכת חוגים-מוסדות</v>
          </cell>
          <cell r="C6180">
            <v>0</v>
          </cell>
          <cell r="D6180">
            <v>0</v>
          </cell>
          <cell r="E6180">
            <v>0</v>
          </cell>
          <cell r="F6180">
            <v>0</v>
          </cell>
          <cell r="G6180">
            <v>0</v>
          </cell>
          <cell r="H6180">
            <v>0</v>
          </cell>
          <cell r="I6180">
            <v>0</v>
          </cell>
          <cell r="J6180">
            <v>0</v>
          </cell>
        </row>
        <row r="6181">
          <cell r="A6181">
            <v>1844500391</v>
          </cell>
          <cell r="B6181" t="str">
            <v>הפרשה לפנסיה</v>
          </cell>
          <cell r="C6181">
            <v>0</v>
          </cell>
          <cell r="D6181">
            <v>0</v>
          </cell>
          <cell r="E6181">
            <v>0</v>
          </cell>
          <cell r="F6181">
            <v>0</v>
          </cell>
          <cell r="G6181">
            <v>0</v>
          </cell>
          <cell r="H6181">
            <v>0</v>
          </cell>
          <cell r="I6181">
            <v>0</v>
          </cell>
          <cell r="J6181">
            <v>0</v>
          </cell>
        </row>
        <row r="6182">
          <cell r="A6182">
            <v>1844500410</v>
          </cell>
          <cell r="B6182" t="str">
            <v>השתתפות בועד בית</v>
          </cell>
          <cell r="C6182">
            <v>0</v>
          </cell>
          <cell r="D6182">
            <v>0</v>
          </cell>
          <cell r="E6182">
            <v>0</v>
          </cell>
          <cell r="F6182">
            <v>0</v>
          </cell>
          <cell r="G6182">
            <v>0</v>
          </cell>
          <cell r="H6182">
            <v>0</v>
          </cell>
          <cell r="I6182">
            <v>0</v>
          </cell>
          <cell r="J6182">
            <v>0</v>
          </cell>
        </row>
        <row r="6183">
          <cell r="A6183">
            <v>1844500423</v>
          </cell>
          <cell r="B6183" t="str">
            <v>תחזוקת מבנה</v>
          </cell>
          <cell r="C6183">
            <v>0</v>
          </cell>
          <cell r="D6183">
            <v>0</v>
          </cell>
          <cell r="E6183">
            <v>0</v>
          </cell>
          <cell r="F6183">
            <v>0</v>
          </cell>
          <cell r="G6183">
            <v>0</v>
          </cell>
          <cell r="H6183">
            <v>0</v>
          </cell>
          <cell r="I6183">
            <v>0</v>
          </cell>
          <cell r="J6183">
            <v>0</v>
          </cell>
        </row>
        <row r="6184">
          <cell r="A6184">
            <v>1844500431</v>
          </cell>
          <cell r="B6184" t="str">
            <v>חשמל</v>
          </cell>
          <cell r="C6184">
            <v>0</v>
          </cell>
          <cell r="D6184">
            <v>0</v>
          </cell>
          <cell r="E6184">
            <v>0</v>
          </cell>
          <cell r="F6184">
            <v>0</v>
          </cell>
          <cell r="G6184">
            <v>0</v>
          </cell>
          <cell r="H6184">
            <v>0</v>
          </cell>
          <cell r="I6184">
            <v>0</v>
          </cell>
          <cell r="J6184">
            <v>0</v>
          </cell>
        </row>
        <row r="6185">
          <cell r="A6185">
            <v>1844500432</v>
          </cell>
          <cell r="B6185" t="str">
            <v>מים</v>
          </cell>
          <cell r="C6185">
            <v>0</v>
          </cell>
          <cell r="D6185">
            <v>0</v>
          </cell>
          <cell r="E6185">
            <v>0</v>
          </cell>
          <cell r="F6185">
            <v>0</v>
          </cell>
          <cell r="G6185">
            <v>0</v>
          </cell>
          <cell r="H6185">
            <v>0</v>
          </cell>
          <cell r="I6185">
            <v>0</v>
          </cell>
          <cell r="J6185">
            <v>0</v>
          </cell>
        </row>
        <row r="6186">
          <cell r="A6186">
            <v>1844500433</v>
          </cell>
          <cell r="B6186" t="str">
            <v>חומרי נקיון</v>
          </cell>
          <cell r="C6186">
            <v>0</v>
          </cell>
          <cell r="D6186">
            <v>0</v>
          </cell>
          <cell r="E6186">
            <v>0</v>
          </cell>
          <cell r="F6186">
            <v>0</v>
          </cell>
          <cell r="G6186">
            <v>0</v>
          </cell>
          <cell r="H6186">
            <v>0</v>
          </cell>
          <cell r="I6186">
            <v>0</v>
          </cell>
          <cell r="J6186">
            <v>0</v>
          </cell>
        </row>
        <row r="6187">
          <cell r="A6187">
            <v>1844500434</v>
          </cell>
          <cell r="B6187" t="str">
            <v>חיטוי והדברה</v>
          </cell>
          <cell r="C6187">
            <v>0</v>
          </cell>
          <cell r="D6187">
            <v>0</v>
          </cell>
          <cell r="E6187">
            <v>0</v>
          </cell>
          <cell r="F6187">
            <v>0</v>
          </cell>
          <cell r="G6187">
            <v>0</v>
          </cell>
          <cell r="H6187">
            <v>0</v>
          </cell>
          <cell r="I6187">
            <v>0</v>
          </cell>
          <cell r="J6187">
            <v>0</v>
          </cell>
        </row>
        <row r="6188">
          <cell r="A6188">
            <v>1844500437</v>
          </cell>
          <cell r="B6188" t="str">
            <v>אחזקת אזעקה</v>
          </cell>
          <cell r="C6188">
            <v>0</v>
          </cell>
          <cell r="D6188">
            <v>0</v>
          </cell>
          <cell r="E6188">
            <v>0</v>
          </cell>
          <cell r="F6188">
            <v>0</v>
          </cell>
          <cell r="G6188">
            <v>0</v>
          </cell>
          <cell r="H6188">
            <v>0</v>
          </cell>
          <cell r="I6188">
            <v>0</v>
          </cell>
          <cell r="J6188">
            <v>0</v>
          </cell>
        </row>
        <row r="6189">
          <cell r="A6189">
            <v>1844500471</v>
          </cell>
          <cell r="B6189" t="str">
            <v>מכשירי כתיבה</v>
          </cell>
          <cell r="C6189">
            <v>0</v>
          </cell>
          <cell r="D6189">
            <v>0</v>
          </cell>
          <cell r="E6189">
            <v>0</v>
          </cell>
          <cell r="F6189">
            <v>0</v>
          </cell>
          <cell r="G6189">
            <v>0</v>
          </cell>
          <cell r="H6189">
            <v>0</v>
          </cell>
          <cell r="I6189">
            <v>0</v>
          </cell>
          <cell r="J6189">
            <v>0</v>
          </cell>
        </row>
        <row r="6190">
          <cell r="A6190">
            <v>1844500511</v>
          </cell>
          <cell r="B6190" t="str">
            <v>אירוח וכיבוד</v>
          </cell>
          <cell r="C6190">
            <v>0</v>
          </cell>
          <cell r="D6190">
            <v>0</v>
          </cell>
          <cell r="E6190">
            <v>0</v>
          </cell>
          <cell r="F6190">
            <v>0</v>
          </cell>
          <cell r="G6190">
            <v>0</v>
          </cell>
          <cell r="H6190">
            <v>0</v>
          </cell>
          <cell r="I6190">
            <v>0</v>
          </cell>
          <cell r="J6190">
            <v>0</v>
          </cell>
        </row>
        <row r="6191">
          <cell r="A6191">
            <v>1844500522</v>
          </cell>
          <cell r="B6191" t="str">
            <v>ספרים ועיתונים</v>
          </cell>
          <cell r="C6191">
            <v>0</v>
          </cell>
          <cell r="D6191">
            <v>0</v>
          </cell>
          <cell r="E6191">
            <v>0</v>
          </cell>
          <cell r="F6191">
            <v>0</v>
          </cell>
          <cell r="G6191">
            <v>0</v>
          </cell>
          <cell r="H6191">
            <v>0</v>
          </cell>
          <cell r="I6191">
            <v>0</v>
          </cell>
          <cell r="J6191">
            <v>0</v>
          </cell>
        </row>
        <row r="6192">
          <cell r="A6192">
            <v>1844500540</v>
          </cell>
          <cell r="B6192" t="str">
            <v>הוצאות טלפון</v>
          </cell>
          <cell r="C6192">
            <v>0</v>
          </cell>
          <cell r="D6192">
            <v>0</v>
          </cell>
          <cell r="E6192">
            <v>0</v>
          </cell>
          <cell r="F6192">
            <v>0</v>
          </cell>
          <cell r="G6192">
            <v>0</v>
          </cell>
          <cell r="H6192">
            <v>0</v>
          </cell>
          <cell r="I6192">
            <v>0</v>
          </cell>
          <cell r="J6192">
            <v>0</v>
          </cell>
        </row>
        <row r="6193">
          <cell r="A6193">
            <v>1844500544</v>
          </cell>
          <cell r="B6193" t="str">
            <v>הוצאות דאר</v>
          </cell>
          <cell r="C6193">
            <v>0</v>
          </cell>
          <cell r="D6193">
            <v>0</v>
          </cell>
          <cell r="E6193">
            <v>0</v>
          </cell>
          <cell r="F6193">
            <v>0</v>
          </cell>
          <cell r="G6193">
            <v>0</v>
          </cell>
          <cell r="H6193">
            <v>0</v>
          </cell>
          <cell r="I6193">
            <v>0</v>
          </cell>
          <cell r="J6193">
            <v>0</v>
          </cell>
        </row>
        <row r="6194">
          <cell r="A6194">
            <v>1844500561</v>
          </cell>
          <cell r="B6194" t="str">
            <v>שיכפולים</v>
          </cell>
          <cell r="C6194">
            <v>0</v>
          </cell>
          <cell r="D6194">
            <v>0</v>
          </cell>
          <cell r="E6194">
            <v>0</v>
          </cell>
          <cell r="F6194">
            <v>0</v>
          </cell>
          <cell r="G6194">
            <v>0</v>
          </cell>
          <cell r="H6194">
            <v>0</v>
          </cell>
          <cell r="I6194">
            <v>0</v>
          </cell>
          <cell r="J6194">
            <v>0</v>
          </cell>
        </row>
        <row r="6195">
          <cell r="A6195">
            <v>1844500710</v>
          </cell>
          <cell r="B6195" t="str">
            <v>הובלות והסעות</v>
          </cell>
          <cell r="C6195">
            <v>0</v>
          </cell>
          <cell r="D6195">
            <v>0</v>
          </cell>
          <cell r="E6195">
            <v>0</v>
          </cell>
          <cell r="F6195">
            <v>0</v>
          </cell>
          <cell r="G6195">
            <v>0</v>
          </cell>
          <cell r="H6195">
            <v>0</v>
          </cell>
          <cell r="I6195">
            <v>0</v>
          </cell>
          <cell r="J6195">
            <v>0</v>
          </cell>
        </row>
        <row r="6196">
          <cell r="A6196">
            <v>1844500721</v>
          </cell>
          <cell r="B6196" t="str">
            <v>חמרים-תחזוקת מבנים</v>
          </cell>
          <cell r="C6196">
            <v>0</v>
          </cell>
          <cell r="D6196">
            <v>0</v>
          </cell>
          <cell r="E6196">
            <v>0</v>
          </cell>
          <cell r="F6196">
            <v>0</v>
          </cell>
          <cell r="G6196">
            <v>0</v>
          </cell>
          <cell r="H6196">
            <v>0</v>
          </cell>
          <cell r="I6196">
            <v>0</v>
          </cell>
          <cell r="J6196">
            <v>0</v>
          </cell>
        </row>
        <row r="6197">
          <cell r="A6197">
            <v>1844500723</v>
          </cell>
          <cell r="B6197" t="str">
            <v>חומרים למועדונים</v>
          </cell>
          <cell r="C6197">
            <v>0</v>
          </cell>
          <cell r="D6197">
            <v>0</v>
          </cell>
          <cell r="E6197">
            <v>0</v>
          </cell>
          <cell r="F6197">
            <v>0</v>
          </cell>
          <cell r="G6197">
            <v>0</v>
          </cell>
          <cell r="H6197">
            <v>0</v>
          </cell>
          <cell r="I6197">
            <v>0</v>
          </cell>
          <cell r="J6197">
            <v>0</v>
          </cell>
        </row>
        <row r="6198">
          <cell r="A6198">
            <v>1844500742</v>
          </cell>
          <cell r="B6198" t="str">
            <v>כלים וציוד</v>
          </cell>
          <cell r="C6198">
            <v>0</v>
          </cell>
          <cell r="D6198">
            <v>0</v>
          </cell>
          <cell r="E6198">
            <v>0</v>
          </cell>
          <cell r="F6198">
            <v>0</v>
          </cell>
          <cell r="G6198">
            <v>0</v>
          </cell>
          <cell r="H6198">
            <v>0</v>
          </cell>
          <cell r="I6198">
            <v>0</v>
          </cell>
          <cell r="J6198">
            <v>0</v>
          </cell>
        </row>
        <row r="6199">
          <cell r="A6199">
            <v>1844500745</v>
          </cell>
          <cell r="B6199" t="str">
            <v>דמי פריצה - תכולה</v>
          </cell>
          <cell r="C6199">
            <v>0</v>
          </cell>
          <cell r="D6199">
            <v>0</v>
          </cell>
          <cell r="E6199">
            <v>0</v>
          </cell>
          <cell r="F6199">
            <v>0</v>
          </cell>
          <cell r="G6199">
            <v>0</v>
          </cell>
          <cell r="H6199">
            <v>0</v>
          </cell>
          <cell r="I6199">
            <v>0</v>
          </cell>
          <cell r="J6199">
            <v>0</v>
          </cell>
        </row>
        <row r="6200">
          <cell r="A6200">
            <v>1844500751</v>
          </cell>
          <cell r="B6200" t="str">
            <v>עבודות קבלניות</v>
          </cell>
          <cell r="C6200">
            <v>0</v>
          </cell>
          <cell r="D6200">
            <v>0</v>
          </cell>
          <cell r="E6200">
            <v>0</v>
          </cell>
          <cell r="F6200">
            <v>0</v>
          </cell>
          <cell r="G6200">
            <v>0</v>
          </cell>
          <cell r="H6200">
            <v>0</v>
          </cell>
          <cell r="I6200">
            <v>0</v>
          </cell>
          <cell r="J6200">
            <v>0</v>
          </cell>
        </row>
        <row r="6201">
          <cell r="A6201">
            <v>1844500752</v>
          </cell>
          <cell r="B6201" t="str">
            <v>נקיון בקבלנות</v>
          </cell>
          <cell r="C6201">
            <v>0</v>
          </cell>
          <cell r="D6201">
            <v>0</v>
          </cell>
          <cell r="E6201">
            <v>0</v>
          </cell>
          <cell r="F6201">
            <v>0</v>
          </cell>
          <cell r="G6201">
            <v>0</v>
          </cell>
          <cell r="H6201">
            <v>0</v>
          </cell>
          <cell r="I6201">
            <v>0</v>
          </cell>
          <cell r="J6201">
            <v>0</v>
          </cell>
        </row>
        <row r="6202">
          <cell r="A6202">
            <v>1844500753</v>
          </cell>
          <cell r="B6202" t="str">
            <v>עובד חיצוני</v>
          </cell>
          <cell r="C6202">
            <v>0</v>
          </cell>
          <cell r="D6202">
            <v>0</v>
          </cell>
          <cell r="E6202">
            <v>0</v>
          </cell>
          <cell r="F6202">
            <v>0</v>
          </cell>
          <cell r="G6202">
            <v>0</v>
          </cell>
          <cell r="H6202">
            <v>0</v>
          </cell>
          <cell r="I6202">
            <v>0</v>
          </cell>
          <cell r="J6202">
            <v>0</v>
          </cell>
        </row>
        <row r="6203">
          <cell r="A6203">
            <v>1844500763</v>
          </cell>
          <cell r="B6203" t="str">
            <v>רכזות חב' מוסדות</v>
          </cell>
          <cell r="C6203">
            <v>0</v>
          </cell>
          <cell r="D6203">
            <v>0</v>
          </cell>
          <cell r="E6203">
            <v>0</v>
          </cell>
          <cell r="F6203">
            <v>0</v>
          </cell>
          <cell r="G6203">
            <v>0</v>
          </cell>
          <cell r="H6203">
            <v>0</v>
          </cell>
          <cell r="I6203">
            <v>0</v>
          </cell>
          <cell r="J6203">
            <v>0</v>
          </cell>
        </row>
        <row r="6204">
          <cell r="A6204">
            <v>1844500764</v>
          </cell>
          <cell r="B6204" t="str">
            <v>הדרכת חוגים מוסדות</v>
          </cell>
          <cell r="C6204">
            <v>0</v>
          </cell>
          <cell r="D6204">
            <v>0</v>
          </cell>
          <cell r="E6204">
            <v>0</v>
          </cell>
          <cell r="F6204">
            <v>0</v>
          </cell>
          <cell r="G6204">
            <v>0</v>
          </cell>
          <cell r="H6204">
            <v>0</v>
          </cell>
          <cell r="I6204">
            <v>0</v>
          </cell>
          <cell r="J6204">
            <v>0</v>
          </cell>
        </row>
        <row r="6205">
          <cell r="A6205">
            <v>1844500781</v>
          </cell>
          <cell r="B6205" t="str">
            <v>הפע' מועדון קשישים</v>
          </cell>
          <cell r="C6205">
            <v>1293500</v>
          </cell>
          <cell r="D6205">
            <v>1293500</v>
          </cell>
          <cell r="E6205">
            <v>0</v>
          </cell>
          <cell r="F6205">
            <v>1293500</v>
          </cell>
          <cell r="G6205">
            <v>0</v>
          </cell>
          <cell r="H6205">
            <v>100</v>
          </cell>
          <cell r="I6205">
            <v>1293500</v>
          </cell>
          <cell r="J6205">
            <v>1293500</v>
          </cell>
        </row>
        <row r="6206">
          <cell r="A6206">
            <v>1844500782</v>
          </cell>
          <cell r="B6206" t="str">
            <v>רכזת מועדונים</v>
          </cell>
          <cell r="C6206">
            <v>59850</v>
          </cell>
          <cell r="D6206">
            <v>63000</v>
          </cell>
          <cell r="E6206">
            <v>0</v>
          </cell>
          <cell r="F6206">
            <v>63000</v>
          </cell>
          <cell r="G6206">
            <v>-3150</v>
          </cell>
          <cell r="H6206">
            <v>105.26</v>
          </cell>
          <cell r="I6206">
            <v>63000</v>
          </cell>
          <cell r="J6206">
            <v>63000</v>
          </cell>
        </row>
        <row r="6207">
          <cell r="A6207">
            <v>1844500931</v>
          </cell>
          <cell r="B6207" t="str">
            <v>גינון מועד' קשישים</v>
          </cell>
          <cell r="C6207">
            <v>0</v>
          </cell>
          <cell r="D6207">
            <v>0</v>
          </cell>
          <cell r="E6207">
            <v>0</v>
          </cell>
          <cell r="F6207">
            <v>0</v>
          </cell>
          <cell r="G6207">
            <v>0</v>
          </cell>
          <cell r="H6207">
            <v>0</v>
          </cell>
          <cell r="I6207">
            <v>0</v>
          </cell>
          <cell r="J6207">
            <v>0</v>
          </cell>
        </row>
        <row r="6208">
          <cell r="A6208">
            <v>1844500932</v>
          </cell>
          <cell r="B6208" t="str">
            <v>רכישות</v>
          </cell>
          <cell r="C6208">
            <v>0</v>
          </cell>
          <cell r="D6208">
            <v>0</v>
          </cell>
          <cell r="E6208">
            <v>0</v>
          </cell>
          <cell r="F6208">
            <v>0</v>
          </cell>
          <cell r="G6208">
            <v>0</v>
          </cell>
          <cell r="H6208">
            <v>0</v>
          </cell>
          <cell r="I6208">
            <v>0</v>
          </cell>
          <cell r="J6208">
            <v>0</v>
          </cell>
        </row>
        <row r="6209">
          <cell r="A6209">
            <v>1844500960</v>
          </cell>
          <cell r="B6209" t="str">
            <v>מועדוני עולים</v>
          </cell>
          <cell r="C6209">
            <v>0</v>
          </cell>
          <cell r="D6209">
            <v>0</v>
          </cell>
          <cell r="E6209">
            <v>0</v>
          </cell>
          <cell r="F6209">
            <v>0</v>
          </cell>
          <cell r="G6209">
            <v>0</v>
          </cell>
          <cell r="H6209">
            <v>0</v>
          </cell>
          <cell r="I6209">
            <v>0</v>
          </cell>
          <cell r="J6209">
            <v>0</v>
          </cell>
        </row>
        <row r="6210">
          <cell r="A6210">
            <v>1845200110</v>
          </cell>
          <cell r="B6210" t="str">
            <v>השכר הקובע-תקציבית</v>
          </cell>
          <cell r="C6210">
            <v>0</v>
          </cell>
          <cell r="D6210">
            <v>0</v>
          </cell>
          <cell r="E6210">
            <v>0</v>
          </cell>
          <cell r="F6210">
            <v>0</v>
          </cell>
          <cell r="G6210">
            <v>0</v>
          </cell>
          <cell r="H6210">
            <v>0</v>
          </cell>
          <cell r="I6210">
            <v>0</v>
          </cell>
          <cell r="J6210">
            <v>0</v>
          </cell>
        </row>
        <row r="6211">
          <cell r="A6211">
            <v>1845200119</v>
          </cell>
          <cell r="B6211" t="str">
            <v>השכר הקובע-צוברת</v>
          </cell>
          <cell r="C6211">
            <v>0</v>
          </cell>
          <cell r="D6211">
            <v>0</v>
          </cell>
          <cell r="E6211">
            <v>0</v>
          </cell>
          <cell r="F6211">
            <v>0</v>
          </cell>
          <cell r="G6211">
            <v>0</v>
          </cell>
          <cell r="H6211">
            <v>0</v>
          </cell>
          <cell r="I6211">
            <v>0</v>
          </cell>
          <cell r="J6211">
            <v>0</v>
          </cell>
        </row>
        <row r="6212">
          <cell r="A6212">
            <v>1845200122</v>
          </cell>
          <cell r="B6212" t="str">
            <v>ביגוד</v>
          </cell>
          <cell r="C6212">
            <v>0</v>
          </cell>
          <cell r="D6212">
            <v>0</v>
          </cell>
          <cell r="E6212">
            <v>0</v>
          </cell>
          <cell r="F6212">
            <v>0</v>
          </cell>
          <cell r="G6212">
            <v>0</v>
          </cell>
          <cell r="H6212">
            <v>0</v>
          </cell>
          <cell r="I6212">
            <v>0</v>
          </cell>
          <cell r="J6212">
            <v>0</v>
          </cell>
        </row>
        <row r="6213">
          <cell r="A6213">
            <v>1845200126</v>
          </cell>
          <cell r="B6213" t="str">
            <v>דמי הבראה</v>
          </cell>
          <cell r="C6213">
            <v>0</v>
          </cell>
          <cell r="D6213">
            <v>0</v>
          </cell>
          <cell r="E6213">
            <v>0</v>
          </cell>
          <cell r="F6213">
            <v>0</v>
          </cell>
          <cell r="G6213">
            <v>0</v>
          </cell>
          <cell r="H6213">
            <v>0</v>
          </cell>
          <cell r="I6213">
            <v>0</v>
          </cell>
          <cell r="J6213">
            <v>0</v>
          </cell>
        </row>
        <row r="6214">
          <cell r="A6214">
            <v>1845200391</v>
          </cell>
          <cell r="B6214" t="str">
            <v>הפרשה לפנסיה</v>
          </cell>
          <cell r="C6214">
            <v>0</v>
          </cell>
          <cell r="D6214">
            <v>0</v>
          </cell>
          <cell r="E6214">
            <v>0</v>
          </cell>
          <cell r="F6214">
            <v>0</v>
          </cell>
          <cell r="G6214">
            <v>0</v>
          </cell>
          <cell r="H6214">
            <v>0</v>
          </cell>
          <cell r="I6214">
            <v>0</v>
          </cell>
          <cell r="J6214">
            <v>0</v>
          </cell>
        </row>
        <row r="6215">
          <cell r="A6215">
            <v>1845200410</v>
          </cell>
          <cell r="B6215" t="str">
            <v>שכ"ד - דירה מוגנת</v>
          </cell>
          <cell r="C6215">
            <v>0</v>
          </cell>
          <cell r="D6215">
            <v>0</v>
          </cell>
          <cell r="E6215">
            <v>0</v>
          </cell>
          <cell r="F6215">
            <v>0</v>
          </cell>
          <cell r="G6215">
            <v>0</v>
          </cell>
          <cell r="H6215">
            <v>0</v>
          </cell>
          <cell r="I6215">
            <v>0</v>
          </cell>
          <cell r="J6215">
            <v>0</v>
          </cell>
        </row>
        <row r="6216">
          <cell r="A6216">
            <v>1845200511</v>
          </cell>
          <cell r="B6216" t="str">
            <v>מזון</v>
          </cell>
          <cell r="C6216">
            <v>0</v>
          </cell>
          <cell r="D6216">
            <v>0</v>
          </cell>
          <cell r="E6216">
            <v>0</v>
          </cell>
          <cell r="F6216">
            <v>0</v>
          </cell>
          <cell r="G6216">
            <v>0</v>
          </cell>
          <cell r="H6216">
            <v>0</v>
          </cell>
          <cell r="I6216">
            <v>0</v>
          </cell>
          <cell r="J6216">
            <v>0</v>
          </cell>
        </row>
        <row r="6217">
          <cell r="A6217">
            <v>1845200540</v>
          </cell>
          <cell r="B6217" t="str">
            <v>הוצאות טלפון</v>
          </cell>
          <cell r="C6217">
            <v>0</v>
          </cell>
          <cell r="D6217">
            <v>0</v>
          </cell>
          <cell r="E6217">
            <v>0</v>
          </cell>
          <cell r="F6217">
            <v>0</v>
          </cell>
          <cell r="G6217">
            <v>0</v>
          </cell>
          <cell r="H6217">
            <v>0</v>
          </cell>
          <cell r="I6217">
            <v>0</v>
          </cell>
          <cell r="J6217">
            <v>0</v>
          </cell>
        </row>
        <row r="6218">
          <cell r="A6218">
            <v>1845200544</v>
          </cell>
          <cell r="B6218" t="str">
            <v>הוצאות דאר</v>
          </cell>
          <cell r="C6218">
            <v>0</v>
          </cell>
          <cell r="D6218">
            <v>0</v>
          </cell>
          <cell r="E6218">
            <v>0</v>
          </cell>
          <cell r="F6218">
            <v>0</v>
          </cell>
          <cell r="G6218">
            <v>0</v>
          </cell>
          <cell r="H6218">
            <v>0</v>
          </cell>
          <cell r="I6218">
            <v>0</v>
          </cell>
          <cell r="J6218">
            <v>0</v>
          </cell>
        </row>
        <row r="6219">
          <cell r="A6219">
            <v>1845200722</v>
          </cell>
          <cell r="B6219" t="str">
            <v>חמרים-תחזוקה עצמית</v>
          </cell>
          <cell r="C6219">
            <v>0</v>
          </cell>
          <cell r="D6219">
            <v>0</v>
          </cell>
          <cell r="E6219">
            <v>0</v>
          </cell>
          <cell r="F6219">
            <v>0</v>
          </cell>
          <cell r="G6219">
            <v>0</v>
          </cell>
          <cell r="H6219">
            <v>0</v>
          </cell>
          <cell r="I6219">
            <v>0</v>
          </cell>
          <cell r="J6219">
            <v>0</v>
          </cell>
        </row>
        <row r="6220">
          <cell r="A6220">
            <v>1845200745</v>
          </cell>
          <cell r="B6220" t="str">
            <v>ד"פ - תכולה עופרים</v>
          </cell>
          <cell r="C6220">
            <v>0</v>
          </cell>
          <cell r="D6220">
            <v>0</v>
          </cell>
          <cell r="E6220">
            <v>0</v>
          </cell>
          <cell r="F6220">
            <v>0</v>
          </cell>
          <cell r="G6220">
            <v>0</v>
          </cell>
          <cell r="H6220">
            <v>0</v>
          </cell>
          <cell r="I6220">
            <v>0</v>
          </cell>
          <cell r="J6220">
            <v>0</v>
          </cell>
        </row>
        <row r="6221">
          <cell r="A6221">
            <v>1845200751</v>
          </cell>
          <cell r="B6221" t="str">
            <v>עבודות קבלניות</v>
          </cell>
          <cell r="C6221">
            <v>0</v>
          </cell>
          <cell r="D6221">
            <v>0</v>
          </cell>
          <cell r="E6221">
            <v>0</v>
          </cell>
          <cell r="F6221">
            <v>0</v>
          </cell>
          <cell r="G6221">
            <v>0</v>
          </cell>
          <cell r="H6221">
            <v>0</v>
          </cell>
          <cell r="I6221">
            <v>0</v>
          </cell>
          <cell r="J6221">
            <v>0</v>
          </cell>
        </row>
        <row r="6222">
          <cell r="A6222">
            <v>1845200753</v>
          </cell>
          <cell r="B6222" t="str">
            <v>עובדת חברה להזנה</v>
          </cell>
          <cell r="C6222">
            <v>0</v>
          </cell>
          <cell r="D6222">
            <v>0</v>
          </cell>
          <cell r="E6222">
            <v>0</v>
          </cell>
          <cell r="F6222">
            <v>0</v>
          </cell>
          <cell r="G6222">
            <v>0</v>
          </cell>
          <cell r="H6222">
            <v>0</v>
          </cell>
          <cell r="I6222">
            <v>0</v>
          </cell>
          <cell r="J6222">
            <v>0</v>
          </cell>
        </row>
        <row r="6223">
          <cell r="A6223">
            <v>1845200763</v>
          </cell>
          <cell r="B6223" t="str">
            <v>עובדי חברת מוסדות</v>
          </cell>
          <cell r="C6223">
            <v>0</v>
          </cell>
          <cell r="D6223">
            <v>0</v>
          </cell>
          <cell r="E6223">
            <v>0</v>
          </cell>
          <cell r="F6223">
            <v>0</v>
          </cell>
          <cell r="G6223">
            <v>0</v>
          </cell>
          <cell r="H6223">
            <v>0</v>
          </cell>
          <cell r="I6223">
            <v>0</v>
          </cell>
          <cell r="J6223">
            <v>0</v>
          </cell>
        </row>
        <row r="6224">
          <cell r="A6224">
            <v>1845200811</v>
          </cell>
          <cell r="B6224" t="str">
            <v>שפוץ+ציוד:מוגנת-הכ</v>
          </cell>
          <cell r="C6224">
            <v>0</v>
          </cell>
          <cell r="D6224">
            <v>0</v>
          </cell>
          <cell r="E6224">
            <v>0</v>
          </cell>
          <cell r="F6224">
            <v>0</v>
          </cell>
          <cell r="G6224">
            <v>0</v>
          </cell>
          <cell r="H6224">
            <v>0</v>
          </cell>
          <cell r="I6224">
            <v>0</v>
          </cell>
          <cell r="J6224">
            <v>0</v>
          </cell>
        </row>
        <row r="6225">
          <cell r="A6225">
            <v>1845200812</v>
          </cell>
          <cell r="B6225" t="str">
            <v>שעות פרארפואי</v>
          </cell>
          <cell r="C6225">
            <v>0</v>
          </cell>
          <cell r="D6225">
            <v>0</v>
          </cell>
          <cell r="E6225">
            <v>0</v>
          </cell>
          <cell r="F6225">
            <v>0</v>
          </cell>
          <cell r="G6225">
            <v>0</v>
          </cell>
          <cell r="H6225">
            <v>0</v>
          </cell>
          <cell r="I6225">
            <v>0</v>
          </cell>
          <cell r="J6225">
            <v>0</v>
          </cell>
        </row>
        <row r="6226">
          <cell r="A6226">
            <v>1845200931</v>
          </cell>
          <cell r="B6226" t="str">
            <v>רכ'והצטידות-עופרים</v>
          </cell>
          <cell r="C6226">
            <v>0</v>
          </cell>
          <cell r="D6226">
            <v>0</v>
          </cell>
          <cell r="E6226">
            <v>0</v>
          </cell>
          <cell r="F6226">
            <v>0</v>
          </cell>
          <cell r="G6226">
            <v>0</v>
          </cell>
          <cell r="H6226">
            <v>0</v>
          </cell>
          <cell r="I6226">
            <v>0</v>
          </cell>
          <cell r="J6226">
            <v>0</v>
          </cell>
        </row>
        <row r="6227">
          <cell r="A6227">
            <v>1845300710</v>
          </cell>
          <cell r="B6227" t="str">
            <v>שכר מטפלת</v>
          </cell>
          <cell r="C6227">
            <v>0</v>
          </cell>
          <cell r="D6227">
            <v>0</v>
          </cell>
          <cell r="E6227">
            <v>0</v>
          </cell>
          <cell r="F6227">
            <v>0</v>
          </cell>
          <cell r="G6227">
            <v>0</v>
          </cell>
          <cell r="H6227">
            <v>0</v>
          </cell>
          <cell r="I6227">
            <v>0</v>
          </cell>
          <cell r="J6227">
            <v>0</v>
          </cell>
        </row>
        <row r="6228">
          <cell r="A6228">
            <v>1845300753</v>
          </cell>
          <cell r="B6228" t="str">
            <v>מ"מ עוז</v>
          </cell>
          <cell r="C6228">
            <v>0</v>
          </cell>
          <cell r="D6228">
            <v>0</v>
          </cell>
          <cell r="E6228">
            <v>0</v>
          </cell>
          <cell r="F6228">
            <v>0</v>
          </cell>
          <cell r="G6228">
            <v>0</v>
          </cell>
          <cell r="H6228">
            <v>0</v>
          </cell>
          <cell r="I6228">
            <v>0</v>
          </cell>
          <cell r="J6228">
            <v>0</v>
          </cell>
        </row>
        <row r="6229">
          <cell r="A6229">
            <v>1845300811</v>
          </cell>
          <cell r="B6229" t="str">
            <v>מעונות יום</v>
          </cell>
          <cell r="C6229">
            <v>95000</v>
          </cell>
          <cell r="D6229">
            <v>45197</v>
          </cell>
          <cell r="E6229">
            <v>0</v>
          </cell>
          <cell r="F6229">
            <v>45197</v>
          </cell>
          <cell r="G6229">
            <v>49803</v>
          </cell>
          <cell r="H6229">
            <v>47.57</v>
          </cell>
          <cell r="I6229">
            <v>100000</v>
          </cell>
          <cell r="J6229">
            <v>45197</v>
          </cell>
        </row>
        <row r="6230">
          <cell r="A6230">
            <v>1845300812</v>
          </cell>
          <cell r="B6230" t="str">
            <v>מעון יום טיפולי</v>
          </cell>
          <cell r="C6230">
            <v>6850640</v>
          </cell>
          <cell r="D6230">
            <v>8251505</v>
          </cell>
          <cell r="E6230">
            <v>0</v>
          </cell>
          <cell r="F6230">
            <v>8251505</v>
          </cell>
          <cell r="G6230">
            <v>-1400865</v>
          </cell>
          <cell r="H6230">
            <v>120.44</v>
          </cell>
          <cell r="I6230">
            <v>7211200</v>
          </cell>
          <cell r="J6230">
            <v>8251505</v>
          </cell>
        </row>
        <row r="6231">
          <cell r="A6231">
            <v>1845300813</v>
          </cell>
          <cell r="B6231" t="str">
            <v>שר תומכים</v>
          </cell>
          <cell r="C6231">
            <v>0</v>
          </cell>
          <cell r="D6231">
            <v>0</v>
          </cell>
          <cell r="E6231">
            <v>0</v>
          </cell>
          <cell r="F6231">
            <v>0</v>
          </cell>
          <cell r="G6231">
            <v>0</v>
          </cell>
          <cell r="H6231">
            <v>0</v>
          </cell>
          <cell r="I6231">
            <v>0</v>
          </cell>
          <cell r="J6231">
            <v>0</v>
          </cell>
        </row>
        <row r="6232">
          <cell r="A6232">
            <v>1845300814</v>
          </cell>
          <cell r="B6232" t="str">
            <v>סידור במוסדות</v>
          </cell>
          <cell r="C6232">
            <v>45980000</v>
          </cell>
          <cell r="D6232">
            <v>49800721</v>
          </cell>
          <cell r="E6232">
            <v>0</v>
          </cell>
          <cell r="F6232">
            <v>49800721</v>
          </cell>
          <cell r="G6232">
            <v>-3820721</v>
          </cell>
          <cell r="H6232">
            <v>108.3</v>
          </cell>
          <cell r="I6232">
            <v>48400000</v>
          </cell>
          <cell r="J6232">
            <v>49800721</v>
          </cell>
        </row>
        <row r="6233">
          <cell r="A6233">
            <v>1845300815</v>
          </cell>
          <cell r="B6233" t="str">
            <v>מוסדות ממשלתיים</v>
          </cell>
          <cell r="C6233">
            <v>7758365</v>
          </cell>
          <cell r="D6233">
            <v>8236985</v>
          </cell>
          <cell r="E6233">
            <v>0</v>
          </cell>
          <cell r="F6233">
            <v>8236985</v>
          </cell>
          <cell r="G6233">
            <v>-478620</v>
          </cell>
          <cell r="H6233">
            <v>106.16</v>
          </cell>
          <cell r="I6233">
            <v>8166700</v>
          </cell>
          <cell r="J6233">
            <v>8236985</v>
          </cell>
        </row>
        <row r="6234">
          <cell r="A6234">
            <v>1845300816</v>
          </cell>
          <cell r="B6234" t="str">
            <v>הסעות למוגבלים שכה"ת</v>
          </cell>
          <cell r="C6234">
            <v>2486700</v>
          </cell>
          <cell r="D6234">
            <v>2321847.9900000002</v>
          </cell>
          <cell r="E6234">
            <v>104101.49</v>
          </cell>
          <cell r="F6234">
            <v>2425949.48</v>
          </cell>
          <cell r="G6234">
            <v>60750.52</v>
          </cell>
          <cell r="H6234">
            <v>97.55</v>
          </cell>
          <cell r="I6234">
            <v>2486700</v>
          </cell>
          <cell r="J6234">
            <v>2321847.9900000002</v>
          </cell>
        </row>
        <row r="6235">
          <cell r="A6235">
            <v>1845300817</v>
          </cell>
          <cell r="B6235" t="str">
            <v>סביבה תומכת לבוגרים</v>
          </cell>
          <cell r="C6235">
            <v>31445</v>
          </cell>
          <cell r="D6235">
            <v>29885.62</v>
          </cell>
          <cell r="E6235">
            <v>2779.5</v>
          </cell>
          <cell r="F6235">
            <v>32665.119999999999</v>
          </cell>
          <cell r="G6235">
            <v>-1220.1199999999999</v>
          </cell>
          <cell r="H6235">
            <v>103.88</v>
          </cell>
          <cell r="I6235">
            <v>33100</v>
          </cell>
          <cell r="J6235">
            <v>29885.62</v>
          </cell>
        </row>
        <row r="6236">
          <cell r="A6236">
            <v>1845300841</v>
          </cell>
          <cell r="B6236" t="str">
            <v>הקצבה לאחי"ם</v>
          </cell>
          <cell r="C6236">
            <v>0</v>
          </cell>
          <cell r="D6236">
            <v>0</v>
          </cell>
          <cell r="E6236">
            <v>0</v>
          </cell>
          <cell r="F6236">
            <v>0</v>
          </cell>
          <cell r="G6236">
            <v>0</v>
          </cell>
          <cell r="H6236">
            <v>0</v>
          </cell>
          <cell r="I6236">
            <v>0</v>
          </cell>
          <cell r="J6236">
            <v>0</v>
          </cell>
        </row>
        <row r="6237">
          <cell r="A6237">
            <v>1845300842</v>
          </cell>
          <cell r="B6237" t="str">
            <v>נופשון</v>
          </cell>
          <cell r="C6237">
            <v>0</v>
          </cell>
          <cell r="D6237">
            <v>0</v>
          </cell>
          <cell r="E6237">
            <v>0</v>
          </cell>
          <cell r="F6237">
            <v>0</v>
          </cell>
          <cell r="G6237">
            <v>0</v>
          </cell>
          <cell r="H6237">
            <v>0</v>
          </cell>
          <cell r="I6237">
            <v>0</v>
          </cell>
          <cell r="J6237">
            <v>0</v>
          </cell>
        </row>
        <row r="6238">
          <cell r="A6238">
            <v>1845300843</v>
          </cell>
          <cell r="B6238" t="str">
            <v>נופשון</v>
          </cell>
          <cell r="C6238">
            <v>0</v>
          </cell>
          <cell r="D6238">
            <v>0</v>
          </cell>
          <cell r="E6238">
            <v>0</v>
          </cell>
          <cell r="F6238">
            <v>0</v>
          </cell>
          <cell r="G6238">
            <v>0</v>
          </cell>
          <cell r="H6238">
            <v>0</v>
          </cell>
          <cell r="I6238">
            <v>0</v>
          </cell>
          <cell r="J6238">
            <v>0</v>
          </cell>
        </row>
        <row r="6239">
          <cell r="A6239">
            <v>1845300844</v>
          </cell>
          <cell r="B6239" t="str">
            <v>פרוייקט ניסויי</v>
          </cell>
          <cell r="C6239">
            <v>0</v>
          </cell>
          <cell r="D6239">
            <v>0</v>
          </cell>
          <cell r="E6239">
            <v>0</v>
          </cell>
          <cell r="F6239">
            <v>0</v>
          </cell>
          <cell r="G6239">
            <v>0</v>
          </cell>
          <cell r="H6239">
            <v>0</v>
          </cell>
          <cell r="I6239">
            <v>0</v>
          </cell>
          <cell r="J6239">
            <v>0</v>
          </cell>
        </row>
        <row r="6240">
          <cell r="A6240">
            <v>1845300891</v>
          </cell>
          <cell r="B6240" t="str">
            <v>הקצבה לאקים</v>
          </cell>
          <cell r="C6240">
            <v>2565</v>
          </cell>
          <cell r="D6240">
            <v>0</v>
          </cell>
          <cell r="E6240">
            <v>0</v>
          </cell>
          <cell r="F6240">
            <v>0</v>
          </cell>
          <cell r="G6240">
            <v>2565</v>
          </cell>
          <cell r="H6240">
            <v>0</v>
          </cell>
          <cell r="I6240">
            <v>2700</v>
          </cell>
          <cell r="J6240">
            <v>0</v>
          </cell>
        </row>
        <row r="6241">
          <cell r="A6241">
            <v>1845300892</v>
          </cell>
          <cell r="B6241" t="str">
            <v>נופשון</v>
          </cell>
          <cell r="C6241">
            <v>950</v>
          </cell>
          <cell r="D6241">
            <v>0</v>
          </cell>
          <cell r="E6241">
            <v>0</v>
          </cell>
          <cell r="F6241">
            <v>0</v>
          </cell>
          <cell r="G6241">
            <v>950</v>
          </cell>
          <cell r="H6241">
            <v>0</v>
          </cell>
          <cell r="I6241">
            <v>1000</v>
          </cell>
          <cell r="J6241">
            <v>0</v>
          </cell>
        </row>
        <row r="6242">
          <cell r="A6242">
            <v>1845300932</v>
          </cell>
          <cell r="B6242" t="str">
            <v>קרן שלם</v>
          </cell>
          <cell r="C6242">
            <v>0</v>
          </cell>
          <cell r="D6242">
            <v>0</v>
          </cell>
          <cell r="E6242">
            <v>0</v>
          </cell>
          <cell r="F6242">
            <v>0</v>
          </cell>
          <cell r="G6242">
            <v>0</v>
          </cell>
          <cell r="H6242">
            <v>0</v>
          </cell>
          <cell r="I6242">
            <v>0</v>
          </cell>
          <cell r="J6242">
            <v>0</v>
          </cell>
        </row>
        <row r="6243">
          <cell r="A6243">
            <v>1845300933</v>
          </cell>
          <cell r="B6243" t="str">
            <v>"אחים"-קרן שלם</v>
          </cell>
          <cell r="C6243">
            <v>0</v>
          </cell>
          <cell r="D6243">
            <v>0</v>
          </cell>
          <cell r="E6243">
            <v>0</v>
          </cell>
          <cell r="F6243">
            <v>0</v>
          </cell>
          <cell r="G6243">
            <v>0</v>
          </cell>
          <cell r="H6243">
            <v>0</v>
          </cell>
          <cell r="I6243">
            <v>0</v>
          </cell>
          <cell r="J6243">
            <v>0</v>
          </cell>
        </row>
        <row r="6244">
          <cell r="A6244">
            <v>1845400110</v>
          </cell>
          <cell r="B6244" t="str">
            <v>השכר הקובע-תקציבית</v>
          </cell>
          <cell r="C6244">
            <v>0</v>
          </cell>
          <cell r="D6244">
            <v>0</v>
          </cell>
          <cell r="E6244">
            <v>0</v>
          </cell>
          <cell r="F6244">
            <v>0</v>
          </cell>
          <cell r="G6244">
            <v>0</v>
          </cell>
          <cell r="H6244">
            <v>0</v>
          </cell>
          <cell r="I6244">
            <v>0</v>
          </cell>
          <cell r="J6244">
            <v>0</v>
          </cell>
        </row>
        <row r="6245">
          <cell r="A6245">
            <v>1845400119</v>
          </cell>
          <cell r="B6245" t="str">
            <v>השכר הקובע-צוברת</v>
          </cell>
          <cell r="C6245">
            <v>0</v>
          </cell>
          <cell r="D6245">
            <v>0</v>
          </cell>
          <cell r="E6245">
            <v>0</v>
          </cell>
          <cell r="F6245">
            <v>0</v>
          </cell>
          <cell r="G6245">
            <v>0</v>
          </cell>
          <cell r="H6245">
            <v>0</v>
          </cell>
          <cell r="I6245">
            <v>0</v>
          </cell>
          <cell r="J6245">
            <v>0</v>
          </cell>
        </row>
        <row r="6246">
          <cell r="A6246">
            <v>1845400122</v>
          </cell>
          <cell r="B6246" t="str">
            <v>ביגוד</v>
          </cell>
          <cell r="C6246">
            <v>0</v>
          </cell>
          <cell r="D6246">
            <v>0</v>
          </cell>
          <cell r="E6246">
            <v>0</v>
          </cell>
          <cell r="F6246">
            <v>0</v>
          </cell>
          <cell r="G6246">
            <v>0</v>
          </cell>
          <cell r="H6246">
            <v>0</v>
          </cell>
          <cell r="I6246">
            <v>0</v>
          </cell>
          <cell r="J6246">
            <v>0</v>
          </cell>
        </row>
        <row r="6247">
          <cell r="A6247">
            <v>1845400126</v>
          </cell>
          <cell r="B6247" t="str">
            <v>דמי הבראה</v>
          </cell>
          <cell r="C6247">
            <v>0</v>
          </cell>
          <cell r="D6247">
            <v>0</v>
          </cell>
          <cell r="E6247">
            <v>0</v>
          </cell>
          <cell r="F6247">
            <v>0</v>
          </cell>
          <cell r="G6247">
            <v>0</v>
          </cell>
          <cell r="H6247">
            <v>0</v>
          </cell>
          <cell r="I6247">
            <v>0</v>
          </cell>
          <cell r="J6247">
            <v>0</v>
          </cell>
        </row>
        <row r="6248">
          <cell r="A6248">
            <v>1845400130</v>
          </cell>
          <cell r="B6248" t="str">
            <v>שעות נוספות</v>
          </cell>
          <cell r="C6248">
            <v>0</v>
          </cell>
          <cell r="D6248">
            <v>0</v>
          </cell>
          <cell r="E6248">
            <v>0</v>
          </cell>
          <cell r="F6248">
            <v>0</v>
          </cell>
          <cell r="G6248">
            <v>0</v>
          </cell>
          <cell r="H6248">
            <v>0</v>
          </cell>
          <cell r="I6248">
            <v>0</v>
          </cell>
          <cell r="J6248">
            <v>0</v>
          </cell>
        </row>
        <row r="6249">
          <cell r="A6249">
            <v>1845400140</v>
          </cell>
          <cell r="B6249" t="str">
            <v>השתתפות באחזקת רכב</v>
          </cell>
          <cell r="C6249">
            <v>0</v>
          </cell>
          <cell r="D6249">
            <v>0</v>
          </cell>
          <cell r="E6249">
            <v>0</v>
          </cell>
          <cell r="F6249">
            <v>0</v>
          </cell>
          <cell r="G6249">
            <v>0</v>
          </cell>
          <cell r="H6249">
            <v>0</v>
          </cell>
          <cell r="I6249">
            <v>0</v>
          </cell>
          <cell r="J6249">
            <v>0</v>
          </cell>
        </row>
        <row r="6250">
          <cell r="A6250">
            <v>1845400210</v>
          </cell>
          <cell r="B6250" t="str">
            <v>השכר הקובע</v>
          </cell>
          <cell r="C6250">
            <v>0</v>
          </cell>
          <cell r="D6250">
            <v>0</v>
          </cell>
          <cell r="E6250">
            <v>0</v>
          </cell>
          <cell r="F6250">
            <v>0</v>
          </cell>
          <cell r="G6250">
            <v>0</v>
          </cell>
          <cell r="H6250">
            <v>0</v>
          </cell>
          <cell r="I6250">
            <v>0</v>
          </cell>
          <cell r="J6250">
            <v>0</v>
          </cell>
        </row>
        <row r="6251">
          <cell r="A6251">
            <v>1845400253</v>
          </cell>
          <cell r="B6251" t="str">
            <v>עובד חברה + מ"מ</v>
          </cell>
          <cell r="C6251">
            <v>0</v>
          </cell>
          <cell r="D6251">
            <v>0</v>
          </cell>
          <cell r="E6251">
            <v>0</v>
          </cell>
          <cell r="F6251">
            <v>0</v>
          </cell>
          <cell r="G6251">
            <v>0</v>
          </cell>
          <cell r="H6251">
            <v>0</v>
          </cell>
          <cell r="I6251">
            <v>0</v>
          </cell>
          <cell r="J6251">
            <v>0</v>
          </cell>
        </row>
        <row r="6252">
          <cell r="A6252">
            <v>1845400391</v>
          </cell>
          <cell r="B6252" t="str">
            <v>הפרשה לפנסיה</v>
          </cell>
          <cell r="C6252">
            <v>0</v>
          </cell>
          <cell r="D6252">
            <v>0</v>
          </cell>
          <cell r="E6252">
            <v>0</v>
          </cell>
          <cell r="F6252">
            <v>0</v>
          </cell>
          <cell r="G6252">
            <v>0</v>
          </cell>
          <cell r="H6252">
            <v>0</v>
          </cell>
          <cell r="I6252">
            <v>0</v>
          </cell>
          <cell r="J6252">
            <v>0</v>
          </cell>
        </row>
        <row r="6253">
          <cell r="A6253">
            <v>1845400410</v>
          </cell>
          <cell r="B6253" t="str">
            <v>דמי שכירות</v>
          </cell>
          <cell r="C6253">
            <v>0</v>
          </cell>
          <cell r="D6253">
            <v>0</v>
          </cell>
          <cell r="E6253">
            <v>0</v>
          </cell>
          <cell r="F6253">
            <v>0</v>
          </cell>
          <cell r="G6253">
            <v>0</v>
          </cell>
          <cell r="H6253">
            <v>0</v>
          </cell>
          <cell r="I6253">
            <v>0</v>
          </cell>
          <cell r="J6253">
            <v>0</v>
          </cell>
        </row>
        <row r="6254">
          <cell r="A6254">
            <v>1845400420</v>
          </cell>
          <cell r="B6254" t="str">
            <v>כיבוי אש</v>
          </cell>
          <cell r="C6254">
            <v>0</v>
          </cell>
          <cell r="D6254">
            <v>0</v>
          </cell>
          <cell r="E6254">
            <v>0</v>
          </cell>
          <cell r="F6254">
            <v>0</v>
          </cell>
          <cell r="G6254">
            <v>0</v>
          </cell>
          <cell r="H6254">
            <v>0</v>
          </cell>
          <cell r="I6254">
            <v>0</v>
          </cell>
          <cell r="J6254">
            <v>0</v>
          </cell>
        </row>
        <row r="6255">
          <cell r="A6255">
            <v>1845400423</v>
          </cell>
          <cell r="B6255" t="str">
            <v>תחזוקת מבנה</v>
          </cell>
          <cell r="C6255">
            <v>0</v>
          </cell>
          <cell r="D6255">
            <v>0</v>
          </cell>
          <cell r="E6255">
            <v>0</v>
          </cell>
          <cell r="F6255">
            <v>0</v>
          </cell>
          <cell r="G6255">
            <v>0</v>
          </cell>
          <cell r="H6255">
            <v>0</v>
          </cell>
          <cell r="I6255">
            <v>0</v>
          </cell>
          <cell r="J6255">
            <v>0</v>
          </cell>
        </row>
        <row r="6256">
          <cell r="A6256">
            <v>1845400430</v>
          </cell>
          <cell r="B6256" t="str">
            <v>גז</v>
          </cell>
          <cell r="C6256">
            <v>0</v>
          </cell>
          <cell r="D6256">
            <v>0</v>
          </cell>
          <cell r="E6256">
            <v>0</v>
          </cell>
          <cell r="F6256">
            <v>0</v>
          </cell>
          <cell r="G6256">
            <v>0</v>
          </cell>
          <cell r="H6256">
            <v>0</v>
          </cell>
          <cell r="I6256">
            <v>0</v>
          </cell>
          <cell r="J6256">
            <v>0</v>
          </cell>
        </row>
        <row r="6257">
          <cell r="A6257">
            <v>1845400431</v>
          </cell>
          <cell r="B6257" t="str">
            <v>חשמל</v>
          </cell>
          <cell r="C6257">
            <v>0</v>
          </cell>
          <cell r="D6257">
            <v>0</v>
          </cell>
          <cell r="E6257">
            <v>0</v>
          </cell>
          <cell r="F6257">
            <v>0</v>
          </cell>
          <cell r="G6257">
            <v>0</v>
          </cell>
          <cell r="H6257">
            <v>0</v>
          </cell>
          <cell r="I6257">
            <v>0</v>
          </cell>
          <cell r="J6257">
            <v>0</v>
          </cell>
        </row>
        <row r="6258">
          <cell r="A6258">
            <v>1845400432</v>
          </cell>
          <cell r="B6258" t="str">
            <v>מים</v>
          </cell>
          <cell r="C6258">
            <v>0</v>
          </cell>
          <cell r="D6258">
            <v>0</v>
          </cell>
          <cell r="E6258">
            <v>0</v>
          </cell>
          <cell r="F6258">
            <v>0</v>
          </cell>
          <cell r="G6258">
            <v>0</v>
          </cell>
          <cell r="H6258">
            <v>0</v>
          </cell>
          <cell r="I6258">
            <v>0</v>
          </cell>
          <cell r="J6258">
            <v>0</v>
          </cell>
        </row>
        <row r="6259">
          <cell r="A6259">
            <v>1845400433</v>
          </cell>
          <cell r="B6259" t="str">
            <v>חומרי נקיון</v>
          </cell>
          <cell r="C6259">
            <v>0</v>
          </cell>
          <cell r="D6259">
            <v>0</v>
          </cell>
          <cell r="E6259">
            <v>0</v>
          </cell>
          <cell r="F6259">
            <v>0</v>
          </cell>
          <cell r="G6259">
            <v>0</v>
          </cell>
          <cell r="H6259">
            <v>0</v>
          </cell>
          <cell r="I6259">
            <v>0</v>
          </cell>
          <cell r="J6259">
            <v>0</v>
          </cell>
        </row>
        <row r="6260">
          <cell r="A6260">
            <v>1845400437</v>
          </cell>
          <cell r="B6260" t="str">
            <v>אחזקת אזעקה</v>
          </cell>
          <cell r="C6260">
            <v>0</v>
          </cell>
          <cell r="D6260">
            <v>0</v>
          </cell>
          <cell r="E6260">
            <v>0</v>
          </cell>
          <cell r="F6260">
            <v>0</v>
          </cell>
          <cell r="G6260">
            <v>0</v>
          </cell>
          <cell r="H6260">
            <v>0</v>
          </cell>
          <cell r="I6260">
            <v>0</v>
          </cell>
          <cell r="J6260">
            <v>0</v>
          </cell>
        </row>
        <row r="6261">
          <cell r="A6261">
            <v>1845400441</v>
          </cell>
          <cell r="B6261" t="str">
            <v>ביטוח</v>
          </cell>
          <cell r="C6261">
            <v>0</v>
          </cell>
          <cell r="D6261">
            <v>0</v>
          </cell>
          <cell r="E6261">
            <v>0</v>
          </cell>
          <cell r="F6261">
            <v>0</v>
          </cell>
          <cell r="G6261">
            <v>0</v>
          </cell>
          <cell r="H6261">
            <v>0</v>
          </cell>
          <cell r="I6261">
            <v>0</v>
          </cell>
          <cell r="J6261">
            <v>0</v>
          </cell>
        </row>
        <row r="6262">
          <cell r="A6262">
            <v>1845400470</v>
          </cell>
          <cell r="B6262" t="str">
            <v>אחזקת מכונות משרד</v>
          </cell>
          <cell r="C6262">
            <v>0</v>
          </cell>
          <cell r="D6262">
            <v>0</v>
          </cell>
          <cell r="E6262">
            <v>0</v>
          </cell>
          <cell r="F6262">
            <v>0</v>
          </cell>
          <cell r="G6262">
            <v>0</v>
          </cell>
          <cell r="H6262">
            <v>0</v>
          </cell>
          <cell r="I6262">
            <v>0</v>
          </cell>
          <cell r="J6262">
            <v>0</v>
          </cell>
        </row>
        <row r="6263">
          <cell r="A6263">
            <v>1845400471</v>
          </cell>
          <cell r="B6263" t="str">
            <v>מכשירי כתיבה</v>
          </cell>
          <cell r="C6263">
            <v>0</v>
          </cell>
          <cell r="D6263">
            <v>0</v>
          </cell>
          <cell r="E6263">
            <v>0</v>
          </cell>
          <cell r="F6263">
            <v>0</v>
          </cell>
          <cell r="G6263">
            <v>0</v>
          </cell>
          <cell r="H6263">
            <v>0</v>
          </cell>
          <cell r="I6263">
            <v>0</v>
          </cell>
          <cell r="J6263">
            <v>0</v>
          </cell>
        </row>
        <row r="6264">
          <cell r="A6264">
            <v>1845400474</v>
          </cell>
          <cell r="B6264" t="str">
            <v>אחזקת מעלית</v>
          </cell>
          <cell r="C6264">
            <v>0</v>
          </cell>
          <cell r="D6264">
            <v>0</v>
          </cell>
          <cell r="E6264">
            <v>0</v>
          </cell>
          <cell r="F6264">
            <v>0</v>
          </cell>
          <cell r="G6264">
            <v>0</v>
          </cell>
          <cell r="H6264">
            <v>0</v>
          </cell>
          <cell r="I6264">
            <v>0</v>
          </cell>
          <cell r="J6264">
            <v>0</v>
          </cell>
        </row>
        <row r="6265">
          <cell r="A6265">
            <v>1845400512</v>
          </cell>
          <cell r="B6265" t="str">
            <v>נסיעות ואש"ל</v>
          </cell>
          <cell r="C6265">
            <v>0</v>
          </cell>
          <cell r="D6265">
            <v>0</v>
          </cell>
          <cell r="E6265">
            <v>0</v>
          </cell>
          <cell r="F6265">
            <v>0</v>
          </cell>
          <cell r="G6265">
            <v>0</v>
          </cell>
          <cell r="H6265">
            <v>0</v>
          </cell>
          <cell r="I6265">
            <v>0</v>
          </cell>
          <cell r="J6265">
            <v>0</v>
          </cell>
        </row>
        <row r="6266">
          <cell r="A6266">
            <v>1845400540</v>
          </cell>
          <cell r="B6266" t="str">
            <v>הוצאות טלפון</v>
          </cell>
          <cell r="C6266">
            <v>0</v>
          </cell>
          <cell r="D6266">
            <v>0</v>
          </cell>
          <cell r="E6266">
            <v>0</v>
          </cell>
          <cell r="F6266">
            <v>0</v>
          </cell>
          <cell r="G6266">
            <v>0</v>
          </cell>
          <cell r="H6266">
            <v>0</v>
          </cell>
          <cell r="I6266">
            <v>0</v>
          </cell>
          <cell r="J6266">
            <v>0</v>
          </cell>
        </row>
        <row r="6267">
          <cell r="A6267">
            <v>1845400544</v>
          </cell>
          <cell r="B6267" t="str">
            <v>הוצאות דאר</v>
          </cell>
          <cell r="C6267">
            <v>0</v>
          </cell>
          <cell r="D6267">
            <v>0</v>
          </cell>
          <cell r="E6267">
            <v>0</v>
          </cell>
          <cell r="F6267">
            <v>0</v>
          </cell>
          <cell r="G6267">
            <v>0</v>
          </cell>
          <cell r="H6267">
            <v>0</v>
          </cell>
          <cell r="I6267">
            <v>0</v>
          </cell>
          <cell r="J6267">
            <v>0</v>
          </cell>
        </row>
        <row r="6268">
          <cell r="A6268">
            <v>1845400710</v>
          </cell>
          <cell r="B6268" t="str">
            <v>הסעות מע"ש</v>
          </cell>
          <cell r="C6268">
            <v>0</v>
          </cell>
          <cell r="D6268">
            <v>0</v>
          </cell>
          <cell r="E6268">
            <v>0</v>
          </cell>
          <cell r="F6268">
            <v>0</v>
          </cell>
          <cell r="G6268">
            <v>0</v>
          </cell>
          <cell r="H6268">
            <v>0</v>
          </cell>
          <cell r="I6268">
            <v>0</v>
          </cell>
          <cell r="J6268">
            <v>0</v>
          </cell>
        </row>
        <row r="6269">
          <cell r="A6269">
            <v>1845400721</v>
          </cell>
          <cell r="B6269" t="str">
            <v>חמרים-תחזוקת מבנים</v>
          </cell>
          <cell r="C6269">
            <v>0</v>
          </cell>
          <cell r="D6269">
            <v>0</v>
          </cell>
          <cell r="E6269">
            <v>0</v>
          </cell>
          <cell r="F6269">
            <v>0</v>
          </cell>
          <cell r="G6269">
            <v>0</v>
          </cell>
          <cell r="H6269">
            <v>0</v>
          </cell>
          <cell r="I6269">
            <v>0</v>
          </cell>
          <cell r="J6269">
            <v>0</v>
          </cell>
        </row>
        <row r="6270">
          <cell r="A6270">
            <v>1845400722</v>
          </cell>
          <cell r="B6270" t="str">
            <v>חמרים-תחזוקה עצמית</v>
          </cell>
          <cell r="C6270">
            <v>0</v>
          </cell>
          <cell r="D6270">
            <v>0</v>
          </cell>
          <cell r="E6270">
            <v>0</v>
          </cell>
          <cell r="F6270">
            <v>0</v>
          </cell>
          <cell r="G6270">
            <v>0</v>
          </cell>
          <cell r="H6270">
            <v>0</v>
          </cell>
          <cell r="I6270">
            <v>0</v>
          </cell>
          <cell r="J6270">
            <v>0</v>
          </cell>
        </row>
        <row r="6271">
          <cell r="A6271">
            <v>1845400742</v>
          </cell>
          <cell r="B6271" t="str">
            <v>כלים וציוד</v>
          </cell>
          <cell r="C6271">
            <v>0</v>
          </cell>
          <cell r="D6271">
            <v>0</v>
          </cell>
          <cell r="E6271">
            <v>0</v>
          </cell>
          <cell r="F6271">
            <v>0</v>
          </cell>
          <cell r="G6271">
            <v>0</v>
          </cell>
          <cell r="H6271">
            <v>0</v>
          </cell>
          <cell r="I6271">
            <v>0</v>
          </cell>
          <cell r="J6271">
            <v>0</v>
          </cell>
        </row>
        <row r="6272">
          <cell r="A6272">
            <v>1845400745</v>
          </cell>
          <cell r="B6272" t="str">
            <v>דמי פריצה - תכולה</v>
          </cell>
          <cell r="C6272">
            <v>0</v>
          </cell>
          <cell r="D6272">
            <v>0</v>
          </cell>
          <cell r="E6272">
            <v>0</v>
          </cell>
          <cell r="F6272">
            <v>0</v>
          </cell>
          <cell r="G6272">
            <v>0</v>
          </cell>
          <cell r="H6272">
            <v>0</v>
          </cell>
          <cell r="I6272">
            <v>0</v>
          </cell>
          <cell r="J6272">
            <v>0</v>
          </cell>
        </row>
        <row r="6273">
          <cell r="A6273">
            <v>1845400746</v>
          </cell>
          <cell r="B6273" t="str">
            <v>דמי פריצה - מבנה</v>
          </cell>
          <cell r="C6273">
            <v>0</v>
          </cell>
          <cell r="D6273">
            <v>0</v>
          </cell>
          <cell r="E6273">
            <v>0</v>
          </cell>
          <cell r="F6273">
            <v>0</v>
          </cell>
          <cell r="G6273">
            <v>0</v>
          </cell>
          <cell r="H6273">
            <v>0</v>
          </cell>
          <cell r="I6273">
            <v>0</v>
          </cell>
          <cell r="J6273">
            <v>0</v>
          </cell>
        </row>
        <row r="6274">
          <cell r="A6274">
            <v>1845400750</v>
          </cell>
          <cell r="B6274" t="str">
            <v>אחזקת מוסדות</v>
          </cell>
          <cell r="C6274">
            <v>0</v>
          </cell>
          <cell r="D6274">
            <v>0</v>
          </cell>
          <cell r="E6274">
            <v>0</v>
          </cell>
          <cell r="F6274">
            <v>0</v>
          </cell>
          <cell r="G6274">
            <v>0</v>
          </cell>
          <cell r="H6274">
            <v>0</v>
          </cell>
          <cell r="I6274">
            <v>0</v>
          </cell>
          <cell r="J6274">
            <v>0</v>
          </cell>
        </row>
        <row r="6275">
          <cell r="A6275">
            <v>1845400751</v>
          </cell>
          <cell r="B6275" t="str">
            <v>עבודות קבלניות</v>
          </cell>
          <cell r="C6275">
            <v>0</v>
          </cell>
          <cell r="D6275">
            <v>0</v>
          </cell>
          <cell r="E6275">
            <v>0</v>
          </cell>
          <cell r="F6275">
            <v>0</v>
          </cell>
          <cell r="G6275">
            <v>0</v>
          </cell>
          <cell r="H6275">
            <v>0</v>
          </cell>
          <cell r="I6275">
            <v>0</v>
          </cell>
          <cell r="J6275">
            <v>0</v>
          </cell>
        </row>
        <row r="6276">
          <cell r="A6276">
            <v>1845400752</v>
          </cell>
          <cell r="B6276" t="str">
            <v>נקיון בקבלנות</v>
          </cell>
          <cell r="C6276">
            <v>0</v>
          </cell>
          <cell r="D6276">
            <v>0</v>
          </cell>
          <cell r="E6276">
            <v>0</v>
          </cell>
          <cell r="F6276">
            <v>0</v>
          </cell>
          <cell r="G6276">
            <v>0</v>
          </cell>
          <cell r="H6276">
            <v>0</v>
          </cell>
          <cell r="I6276">
            <v>0</v>
          </cell>
          <cell r="J6276">
            <v>0</v>
          </cell>
        </row>
        <row r="6277">
          <cell r="A6277">
            <v>1845400753</v>
          </cell>
          <cell r="B6277" t="str">
            <v>עובד חברה + מ"מ</v>
          </cell>
          <cell r="C6277">
            <v>0</v>
          </cell>
          <cell r="D6277">
            <v>0</v>
          </cell>
          <cell r="E6277">
            <v>0</v>
          </cell>
          <cell r="F6277">
            <v>0</v>
          </cell>
          <cell r="G6277">
            <v>0</v>
          </cell>
          <cell r="H6277">
            <v>0</v>
          </cell>
          <cell r="I6277">
            <v>0</v>
          </cell>
          <cell r="J6277">
            <v>0</v>
          </cell>
        </row>
        <row r="6278">
          <cell r="A6278">
            <v>1845400756</v>
          </cell>
          <cell r="B6278" t="str">
            <v>שמירה במע"ש</v>
          </cell>
          <cell r="C6278">
            <v>0</v>
          </cell>
          <cell r="D6278">
            <v>0</v>
          </cell>
          <cell r="E6278">
            <v>0</v>
          </cell>
          <cell r="F6278">
            <v>0</v>
          </cell>
          <cell r="G6278">
            <v>0</v>
          </cell>
          <cell r="H6278">
            <v>0</v>
          </cell>
          <cell r="I6278">
            <v>0</v>
          </cell>
          <cell r="J6278">
            <v>0</v>
          </cell>
        </row>
        <row r="6279">
          <cell r="A6279">
            <v>1845400759</v>
          </cell>
          <cell r="B6279" t="str">
            <v>מלווים בהסעים</v>
          </cell>
          <cell r="C6279">
            <v>0</v>
          </cell>
          <cell r="D6279">
            <v>0</v>
          </cell>
          <cell r="E6279">
            <v>0</v>
          </cell>
          <cell r="F6279">
            <v>0</v>
          </cell>
          <cell r="G6279">
            <v>0</v>
          </cell>
          <cell r="H6279">
            <v>0</v>
          </cell>
          <cell r="I6279">
            <v>0</v>
          </cell>
          <cell r="J6279">
            <v>0</v>
          </cell>
        </row>
        <row r="6280">
          <cell r="A6280">
            <v>1845400782</v>
          </cell>
          <cell r="B6280" t="str">
            <v>טיולים וארועים</v>
          </cell>
          <cell r="C6280">
            <v>0</v>
          </cell>
          <cell r="D6280">
            <v>0</v>
          </cell>
          <cell r="E6280">
            <v>0</v>
          </cell>
          <cell r="F6280">
            <v>0</v>
          </cell>
          <cell r="G6280">
            <v>0</v>
          </cell>
          <cell r="H6280">
            <v>0</v>
          </cell>
          <cell r="I6280">
            <v>0</v>
          </cell>
          <cell r="J6280">
            <v>0</v>
          </cell>
        </row>
        <row r="6281">
          <cell r="A6281">
            <v>1845400811</v>
          </cell>
          <cell r="B6281" t="str">
            <v>ארוחות לחניכים</v>
          </cell>
          <cell r="C6281">
            <v>0</v>
          </cell>
          <cell r="D6281">
            <v>0</v>
          </cell>
          <cell r="E6281">
            <v>0</v>
          </cell>
          <cell r="F6281">
            <v>0</v>
          </cell>
          <cell r="G6281">
            <v>0</v>
          </cell>
          <cell r="H6281">
            <v>0</v>
          </cell>
          <cell r="I6281">
            <v>0</v>
          </cell>
          <cell r="J6281">
            <v>0</v>
          </cell>
        </row>
        <row r="6282">
          <cell r="A6282">
            <v>1845400812</v>
          </cell>
          <cell r="B6282" t="str">
            <v>מוסדות חוץ</v>
          </cell>
          <cell r="C6282">
            <v>2075750</v>
          </cell>
          <cell r="D6282">
            <v>1898133</v>
          </cell>
          <cell r="E6282">
            <v>0</v>
          </cell>
          <cell r="F6282">
            <v>1898133</v>
          </cell>
          <cell r="G6282">
            <v>177617</v>
          </cell>
          <cell r="H6282">
            <v>91.44</v>
          </cell>
          <cell r="I6282">
            <v>2185000</v>
          </cell>
          <cell r="J6282">
            <v>1898133</v>
          </cell>
        </row>
        <row r="6283">
          <cell r="A6283">
            <v>1845400841</v>
          </cell>
          <cell r="B6283" t="str">
            <v>בטל"א לחניכים</v>
          </cell>
          <cell r="C6283">
            <v>0</v>
          </cell>
          <cell r="D6283">
            <v>0</v>
          </cell>
          <cell r="E6283">
            <v>0</v>
          </cell>
          <cell r="F6283">
            <v>0</v>
          </cell>
          <cell r="G6283">
            <v>0</v>
          </cell>
          <cell r="H6283">
            <v>0</v>
          </cell>
          <cell r="I6283">
            <v>0</v>
          </cell>
          <cell r="J6283">
            <v>0</v>
          </cell>
        </row>
        <row r="6284">
          <cell r="A6284">
            <v>1845400842</v>
          </cell>
          <cell r="B6284" t="str">
            <v>תשלום לחניכים(הכנ)</v>
          </cell>
          <cell r="C6284">
            <v>0</v>
          </cell>
          <cell r="D6284">
            <v>0</v>
          </cell>
          <cell r="E6284">
            <v>0</v>
          </cell>
          <cell r="F6284">
            <v>0</v>
          </cell>
          <cell r="G6284">
            <v>0</v>
          </cell>
          <cell r="H6284">
            <v>0</v>
          </cell>
          <cell r="I6284">
            <v>0</v>
          </cell>
          <cell r="J6284">
            <v>0</v>
          </cell>
        </row>
        <row r="6285">
          <cell r="A6285">
            <v>1845400843</v>
          </cell>
          <cell r="B6285" t="str">
            <v>רווחת החניך</v>
          </cell>
          <cell r="C6285">
            <v>0</v>
          </cell>
          <cell r="D6285">
            <v>0</v>
          </cell>
          <cell r="E6285">
            <v>0</v>
          </cell>
          <cell r="F6285">
            <v>0</v>
          </cell>
          <cell r="G6285">
            <v>0</v>
          </cell>
          <cell r="H6285">
            <v>0</v>
          </cell>
          <cell r="I6285">
            <v>0</v>
          </cell>
          <cell r="J6285">
            <v>0</v>
          </cell>
        </row>
        <row r="6286">
          <cell r="A6286">
            <v>1845400844</v>
          </cell>
          <cell r="B6286" t="str">
            <v>מע"ש - אלווין</v>
          </cell>
          <cell r="C6286">
            <v>0</v>
          </cell>
          <cell r="D6286">
            <v>0</v>
          </cell>
          <cell r="E6286">
            <v>0</v>
          </cell>
          <cell r="F6286">
            <v>0</v>
          </cell>
          <cell r="G6286">
            <v>0</v>
          </cell>
          <cell r="H6286">
            <v>0</v>
          </cell>
          <cell r="I6286">
            <v>0</v>
          </cell>
          <cell r="J6286">
            <v>0</v>
          </cell>
        </row>
        <row r="6287">
          <cell r="A6287">
            <v>1845400891</v>
          </cell>
          <cell r="B6287" t="str">
            <v>בטל"א חניכים</v>
          </cell>
          <cell r="C6287">
            <v>0</v>
          </cell>
          <cell r="D6287">
            <v>0</v>
          </cell>
          <cell r="E6287">
            <v>0</v>
          </cell>
          <cell r="F6287">
            <v>0</v>
          </cell>
          <cell r="G6287">
            <v>0</v>
          </cell>
          <cell r="H6287">
            <v>0</v>
          </cell>
          <cell r="I6287">
            <v>0</v>
          </cell>
          <cell r="J6287">
            <v>0</v>
          </cell>
        </row>
        <row r="6288">
          <cell r="A6288">
            <v>1845400892</v>
          </cell>
          <cell r="B6288" t="str">
            <v>תשלום לחניכים</v>
          </cell>
          <cell r="C6288">
            <v>0</v>
          </cell>
          <cell r="D6288">
            <v>0</v>
          </cell>
          <cell r="E6288">
            <v>0</v>
          </cell>
          <cell r="F6288">
            <v>0</v>
          </cell>
          <cell r="G6288">
            <v>0</v>
          </cell>
          <cell r="H6288">
            <v>0</v>
          </cell>
          <cell r="I6288">
            <v>0</v>
          </cell>
          <cell r="J6288">
            <v>0</v>
          </cell>
        </row>
        <row r="6289">
          <cell r="A6289">
            <v>1845400893</v>
          </cell>
          <cell r="B6289" t="str">
            <v>רווחת החניך</v>
          </cell>
          <cell r="C6289">
            <v>0</v>
          </cell>
          <cell r="D6289">
            <v>0</v>
          </cell>
          <cell r="E6289">
            <v>0</v>
          </cell>
          <cell r="F6289">
            <v>0</v>
          </cell>
          <cell r="G6289">
            <v>0</v>
          </cell>
          <cell r="H6289">
            <v>0</v>
          </cell>
          <cell r="I6289">
            <v>0</v>
          </cell>
          <cell r="J6289">
            <v>0</v>
          </cell>
        </row>
        <row r="6290">
          <cell r="A6290">
            <v>1845400931</v>
          </cell>
          <cell r="B6290" t="str">
            <v>רכישות חד-פעמיות</v>
          </cell>
          <cell r="C6290">
            <v>0</v>
          </cell>
          <cell r="D6290">
            <v>0</v>
          </cell>
          <cell r="E6290">
            <v>0</v>
          </cell>
          <cell r="F6290">
            <v>0</v>
          </cell>
          <cell r="G6290">
            <v>0</v>
          </cell>
          <cell r="H6290">
            <v>0</v>
          </cell>
          <cell r="I6290">
            <v>0</v>
          </cell>
          <cell r="J6290">
            <v>0</v>
          </cell>
        </row>
        <row r="6291">
          <cell r="A6291">
            <v>1845400932</v>
          </cell>
          <cell r="B6291" t="str">
            <v>הצטיידות מהכנסות</v>
          </cell>
          <cell r="C6291">
            <v>0</v>
          </cell>
          <cell r="D6291">
            <v>0</v>
          </cell>
          <cell r="E6291">
            <v>0</v>
          </cell>
          <cell r="F6291">
            <v>0</v>
          </cell>
          <cell r="G6291">
            <v>0</v>
          </cell>
          <cell r="H6291">
            <v>0</v>
          </cell>
          <cell r="I6291">
            <v>0</v>
          </cell>
          <cell r="J6291">
            <v>0</v>
          </cell>
        </row>
        <row r="6292">
          <cell r="A6292">
            <v>1846200710</v>
          </cell>
          <cell r="B6292" t="str">
            <v>הסעות למועדון לכבדי ראייה</v>
          </cell>
          <cell r="C6292">
            <v>42370</v>
          </cell>
          <cell r="D6292">
            <v>0</v>
          </cell>
          <cell r="E6292">
            <v>0</v>
          </cell>
          <cell r="F6292">
            <v>0</v>
          </cell>
          <cell r="G6292">
            <v>42370</v>
          </cell>
          <cell r="H6292">
            <v>0</v>
          </cell>
          <cell r="I6292">
            <v>44600</v>
          </cell>
          <cell r="J6292">
            <v>0</v>
          </cell>
        </row>
        <row r="6293">
          <cell r="A6293">
            <v>1846200811</v>
          </cell>
          <cell r="B6293" t="str">
            <v>מ.שיקום לעיוורים</v>
          </cell>
          <cell r="C6293">
            <v>0</v>
          </cell>
          <cell r="D6293">
            <v>0</v>
          </cell>
          <cell r="E6293">
            <v>0</v>
          </cell>
          <cell r="F6293">
            <v>0</v>
          </cell>
          <cell r="G6293">
            <v>0</v>
          </cell>
          <cell r="H6293">
            <v>0</v>
          </cell>
          <cell r="I6293">
            <v>0</v>
          </cell>
          <cell r="J6293">
            <v>0</v>
          </cell>
        </row>
        <row r="6294">
          <cell r="A6294">
            <v>1846200812</v>
          </cell>
          <cell r="B6294" t="str">
            <v>מועדון חברתי לבוגרים</v>
          </cell>
          <cell r="C6294">
            <v>665000</v>
          </cell>
          <cell r="D6294">
            <v>679269</v>
          </cell>
          <cell r="E6294">
            <v>0</v>
          </cell>
          <cell r="F6294">
            <v>679269</v>
          </cell>
          <cell r="G6294">
            <v>-14269</v>
          </cell>
          <cell r="H6294">
            <v>102.14</v>
          </cell>
          <cell r="I6294">
            <v>700000</v>
          </cell>
          <cell r="J6294">
            <v>679269</v>
          </cell>
        </row>
        <row r="6295">
          <cell r="A6295">
            <v>1846200813</v>
          </cell>
          <cell r="B6295" t="str">
            <v>הכש.מקצוע</v>
          </cell>
          <cell r="C6295">
            <v>0</v>
          </cell>
          <cell r="D6295">
            <v>0</v>
          </cell>
          <cell r="E6295">
            <v>0</v>
          </cell>
          <cell r="F6295">
            <v>0</v>
          </cell>
          <cell r="G6295">
            <v>0</v>
          </cell>
          <cell r="H6295">
            <v>0</v>
          </cell>
          <cell r="I6295">
            <v>0</v>
          </cell>
          <cell r="J6295">
            <v>0</v>
          </cell>
        </row>
        <row r="6296">
          <cell r="A6296">
            <v>1846200814</v>
          </cell>
          <cell r="B6296" t="str">
            <v>דמי לווי</v>
          </cell>
          <cell r="C6296">
            <v>0</v>
          </cell>
          <cell r="D6296">
            <v>0</v>
          </cell>
          <cell r="E6296">
            <v>0</v>
          </cell>
          <cell r="F6296">
            <v>0</v>
          </cell>
          <cell r="G6296">
            <v>0</v>
          </cell>
          <cell r="H6296">
            <v>0</v>
          </cell>
          <cell r="I6296">
            <v>0</v>
          </cell>
          <cell r="J6296">
            <v>0</v>
          </cell>
        </row>
        <row r="6297">
          <cell r="A6297">
            <v>1846200815</v>
          </cell>
          <cell r="B6297" t="str">
            <v>ילדים במוסדות</v>
          </cell>
          <cell r="C6297">
            <v>601350</v>
          </cell>
          <cell r="D6297">
            <v>551835</v>
          </cell>
          <cell r="E6297">
            <v>0</v>
          </cell>
          <cell r="F6297">
            <v>551835</v>
          </cell>
          <cell r="G6297">
            <v>49515</v>
          </cell>
          <cell r="H6297">
            <v>91.76</v>
          </cell>
          <cell r="I6297">
            <v>633000</v>
          </cell>
          <cell r="J6297">
            <v>551835</v>
          </cell>
        </row>
        <row r="6298">
          <cell r="A6298">
            <v>1846200816</v>
          </cell>
          <cell r="B6298" t="str">
            <v>הדרכת עיוורים</v>
          </cell>
          <cell r="C6298">
            <v>266000</v>
          </cell>
          <cell r="D6298">
            <v>222687</v>
          </cell>
          <cell r="E6298">
            <v>0</v>
          </cell>
          <cell r="F6298">
            <v>222687</v>
          </cell>
          <cell r="G6298">
            <v>43313</v>
          </cell>
          <cell r="H6298">
            <v>83.71</v>
          </cell>
          <cell r="I6298">
            <v>280000</v>
          </cell>
          <cell r="J6298">
            <v>222687</v>
          </cell>
        </row>
        <row r="6299">
          <cell r="A6299">
            <v>1846200841</v>
          </cell>
          <cell r="B6299" t="str">
            <v>מ' עיוורים</v>
          </cell>
          <cell r="C6299">
            <v>0</v>
          </cell>
          <cell r="D6299">
            <v>0</v>
          </cell>
          <cell r="E6299">
            <v>0</v>
          </cell>
          <cell r="F6299">
            <v>0</v>
          </cell>
          <cell r="G6299">
            <v>0</v>
          </cell>
          <cell r="H6299">
            <v>0</v>
          </cell>
          <cell r="I6299">
            <v>0</v>
          </cell>
          <cell r="J6299">
            <v>0</v>
          </cell>
        </row>
        <row r="6300">
          <cell r="A6300">
            <v>1846200842</v>
          </cell>
          <cell r="B6300" t="str">
            <v>אגודה למען העיוור</v>
          </cell>
          <cell r="C6300">
            <v>0</v>
          </cell>
          <cell r="D6300">
            <v>0</v>
          </cell>
          <cell r="E6300">
            <v>0</v>
          </cell>
          <cell r="F6300">
            <v>0</v>
          </cell>
          <cell r="G6300">
            <v>0</v>
          </cell>
          <cell r="H6300">
            <v>0</v>
          </cell>
          <cell r="I6300">
            <v>0</v>
          </cell>
          <cell r="J6300">
            <v>0</v>
          </cell>
        </row>
        <row r="6301">
          <cell r="A6301">
            <v>1846200892</v>
          </cell>
          <cell r="B6301" t="str">
            <v>אגודה למען העיוור</v>
          </cell>
          <cell r="C6301">
            <v>0</v>
          </cell>
          <cell r="D6301">
            <v>0</v>
          </cell>
          <cell r="E6301">
            <v>0</v>
          </cell>
          <cell r="F6301">
            <v>0</v>
          </cell>
          <cell r="G6301">
            <v>0</v>
          </cell>
          <cell r="H6301">
            <v>0</v>
          </cell>
          <cell r="I6301">
            <v>0</v>
          </cell>
          <cell r="J6301">
            <v>0</v>
          </cell>
        </row>
        <row r="6302">
          <cell r="A6302">
            <v>1846500431</v>
          </cell>
          <cell r="B6302" t="str">
            <v>חשמל</v>
          </cell>
          <cell r="C6302">
            <v>0</v>
          </cell>
          <cell r="D6302">
            <v>0</v>
          </cell>
          <cell r="E6302">
            <v>0</v>
          </cell>
          <cell r="F6302">
            <v>0</v>
          </cell>
          <cell r="G6302">
            <v>0</v>
          </cell>
          <cell r="H6302">
            <v>0</v>
          </cell>
          <cell r="I6302">
            <v>0</v>
          </cell>
          <cell r="J6302">
            <v>0</v>
          </cell>
        </row>
        <row r="6303">
          <cell r="A6303">
            <v>1846500781</v>
          </cell>
          <cell r="B6303" t="str">
            <v>שיקום מיוחד מקומי</v>
          </cell>
          <cell r="C6303">
            <v>28500</v>
          </cell>
          <cell r="D6303">
            <v>2070.66</v>
          </cell>
          <cell r="E6303">
            <v>0</v>
          </cell>
          <cell r="F6303">
            <v>2070.66</v>
          </cell>
          <cell r="G6303">
            <v>26429.34</v>
          </cell>
          <cell r="H6303">
            <v>7.26</v>
          </cell>
          <cell r="I6303">
            <v>30000</v>
          </cell>
          <cell r="J6303">
            <v>2070.66</v>
          </cell>
        </row>
        <row r="6304">
          <cell r="A6304">
            <v>1846500782</v>
          </cell>
          <cell r="B6304" t="str">
            <v>תרגום לשפת החרשים</v>
          </cell>
          <cell r="C6304">
            <v>16150</v>
          </cell>
          <cell r="D6304">
            <v>5316.7</v>
          </cell>
          <cell r="E6304">
            <v>11678.5</v>
          </cell>
          <cell r="F6304">
            <v>16995.2</v>
          </cell>
          <cell r="G6304">
            <v>-845.2</v>
          </cell>
          <cell r="H6304">
            <v>105.23</v>
          </cell>
          <cell r="I6304">
            <v>17000</v>
          </cell>
          <cell r="J6304">
            <v>5316.7</v>
          </cell>
        </row>
        <row r="6305">
          <cell r="A6305">
            <v>1846500811</v>
          </cell>
          <cell r="B6305" t="str">
            <v>מרכזי איבחון ושיקום</v>
          </cell>
          <cell r="C6305">
            <v>304000</v>
          </cell>
          <cell r="D6305">
            <v>3276</v>
          </cell>
          <cell r="E6305">
            <v>0</v>
          </cell>
          <cell r="F6305">
            <v>3276</v>
          </cell>
          <cell r="G6305">
            <v>300724</v>
          </cell>
          <cell r="H6305">
            <v>1.07</v>
          </cell>
          <cell r="I6305">
            <v>320000</v>
          </cell>
          <cell r="J6305">
            <v>3276</v>
          </cell>
        </row>
        <row r="6306">
          <cell r="A6306">
            <v>1846500812</v>
          </cell>
          <cell r="B6306" t="str">
            <v>הסעות נכים</v>
          </cell>
          <cell r="C6306">
            <v>47500</v>
          </cell>
          <cell r="D6306">
            <v>0</v>
          </cell>
          <cell r="E6306">
            <v>0</v>
          </cell>
          <cell r="F6306">
            <v>0</v>
          </cell>
          <cell r="G6306">
            <v>47500</v>
          </cell>
          <cell r="H6306">
            <v>0</v>
          </cell>
          <cell r="I6306">
            <v>50000</v>
          </cell>
          <cell r="J6306">
            <v>0</v>
          </cell>
        </row>
        <row r="6307">
          <cell r="A6307">
            <v>1846500813</v>
          </cell>
          <cell r="B6307" t="str">
            <v>שיקום מוגבלויות</v>
          </cell>
          <cell r="C6307">
            <v>908200</v>
          </cell>
          <cell r="D6307">
            <v>825418.8</v>
          </cell>
          <cell r="E6307">
            <v>0</v>
          </cell>
          <cell r="F6307">
            <v>825418.8</v>
          </cell>
          <cell r="G6307">
            <v>82781.2</v>
          </cell>
          <cell r="H6307">
            <v>90.88</v>
          </cell>
          <cell r="I6307">
            <v>956000</v>
          </cell>
          <cell r="J6307">
            <v>825418.8</v>
          </cell>
        </row>
        <row r="6308">
          <cell r="A6308">
            <v>1846500814</v>
          </cell>
          <cell r="B6308" t="str">
            <v>משפחה תומכת</v>
          </cell>
          <cell r="C6308">
            <v>106305</v>
          </cell>
          <cell r="D6308">
            <v>105811.59</v>
          </cell>
          <cell r="E6308">
            <v>5935.78</v>
          </cell>
          <cell r="F6308">
            <v>111747.37</v>
          </cell>
          <cell r="G6308">
            <v>-5442.37</v>
          </cell>
          <cell r="H6308">
            <v>105.11</v>
          </cell>
          <cell r="I6308">
            <v>111900</v>
          </cell>
          <cell r="J6308">
            <v>105811.59</v>
          </cell>
        </row>
        <row r="6309">
          <cell r="A6309">
            <v>1846500815</v>
          </cell>
          <cell r="B6309" t="str">
            <v>נכים בפנימיות</v>
          </cell>
          <cell r="C6309">
            <v>16984480</v>
          </cell>
          <cell r="D6309">
            <v>17583782</v>
          </cell>
          <cell r="E6309">
            <v>0</v>
          </cell>
          <cell r="F6309">
            <v>17583782</v>
          </cell>
          <cell r="G6309">
            <v>-599302</v>
          </cell>
          <cell r="H6309">
            <v>103.52</v>
          </cell>
          <cell r="I6309">
            <v>17878400</v>
          </cell>
          <cell r="J6309">
            <v>17583782</v>
          </cell>
        </row>
        <row r="6310">
          <cell r="A6310">
            <v>1846500816</v>
          </cell>
          <cell r="B6310" t="str">
            <v>נכה באומנה</v>
          </cell>
          <cell r="C6310">
            <v>513000</v>
          </cell>
          <cell r="D6310">
            <v>311108</v>
          </cell>
          <cell r="E6310">
            <v>0</v>
          </cell>
          <cell r="F6310">
            <v>311108</v>
          </cell>
          <cell r="G6310">
            <v>201892</v>
          </cell>
          <cell r="H6310">
            <v>60.64</v>
          </cell>
          <cell r="I6310">
            <v>540000</v>
          </cell>
          <cell r="J6310">
            <v>311108</v>
          </cell>
        </row>
        <row r="6311">
          <cell r="A6311">
            <v>1846500817</v>
          </cell>
          <cell r="B6311" t="str">
            <v>נכים קשים בקהילה</v>
          </cell>
          <cell r="C6311">
            <v>209000</v>
          </cell>
          <cell r="D6311">
            <v>170500</v>
          </cell>
          <cell r="E6311">
            <v>0</v>
          </cell>
          <cell r="F6311">
            <v>170500</v>
          </cell>
          <cell r="G6311">
            <v>38500</v>
          </cell>
          <cell r="H6311">
            <v>81.569999999999993</v>
          </cell>
          <cell r="I6311">
            <v>220000</v>
          </cell>
          <cell r="J6311">
            <v>170500</v>
          </cell>
        </row>
        <row r="6312">
          <cell r="A6312">
            <v>1846500818</v>
          </cell>
          <cell r="B6312" t="str">
            <v>תעסוקה מוגנת למוגבל</v>
          </cell>
          <cell r="C6312">
            <v>1622600</v>
          </cell>
          <cell r="D6312">
            <v>1641052</v>
          </cell>
          <cell r="E6312">
            <v>0</v>
          </cell>
          <cell r="F6312">
            <v>1641052</v>
          </cell>
          <cell r="G6312">
            <v>-18452</v>
          </cell>
          <cell r="H6312">
            <v>101.13</v>
          </cell>
          <cell r="I6312">
            <v>1708000</v>
          </cell>
          <cell r="J6312">
            <v>1641052</v>
          </cell>
        </row>
        <row r="6313">
          <cell r="A6313">
            <v>1846500819</v>
          </cell>
          <cell r="B6313" t="str">
            <v>מרכז נוער לשיקום</v>
          </cell>
          <cell r="C6313">
            <v>725000</v>
          </cell>
          <cell r="D6313">
            <v>520077</v>
          </cell>
          <cell r="E6313">
            <v>0</v>
          </cell>
          <cell r="F6313">
            <v>520077</v>
          </cell>
          <cell r="G6313">
            <v>204923</v>
          </cell>
          <cell r="H6313">
            <v>71.73</v>
          </cell>
          <cell r="I6313">
            <v>725000</v>
          </cell>
          <cell r="J6313">
            <v>520077</v>
          </cell>
        </row>
        <row r="6314">
          <cell r="A6314">
            <v>1846500841</v>
          </cell>
          <cell r="B6314" t="str">
            <v>קהילה  תומכת</v>
          </cell>
          <cell r="C6314">
            <v>427500</v>
          </cell>
          <cell r="D6314">
            <v>430055</v>
          </cell>
          <cell r="E6314">
            <v>0</v>
          </cell>
          <cell r="F6314">
            <v>430055</v>
          </cell>
          <cell r="G6314">
            <v>-2555</v>
          </cell>
          <cell r="H6314">
            <v>100.59</v>
          </cell>
          <cell r="I6314">
            <v>450000</v>
          </cell>
          <cell r="J6314">
            <v>430055</v>
          </cell>
        </row>
        <row r="6315">
          <cell r="A6315">
            <v>1846500842</v>
          </cell>
          <cell r="B6315" t="str">
            <v>מ' יום לנפגעי ראש</v>
          </cell>
          <cell r="C6315">
            <v>1330000</v>
          </cell>
          <cell r="D6315">
            <v>1343619</v>
          </cell>
          <cell r="E6315">
            <v>0</v>
          </cell>
          <cell r="F6315">
            <v>1343619</v>
          </cell>
          <cell r="G6315">
            <v>-13619</v>
          </cell>
          <cell r="H6315">
            <v>101.02</v>
          </cell>
          <cell r="I6315">
            <v>1400000</v>
          </cell>
          <cell r="J6315">
            <v>1343619</v>
          </cell>
        </row>
        <row r="6316">
          <cell r="A6316">
            <v>1846500843</v>
          </cell>
          <cell r="B6316" t="str">
            <v>נופשונים מש"ה ושיקום</v>
          </cell>
          <cell r="C6316">
            <v>247000</v>
          </cell>
          <cell r="D6316">
            <v>222453</v>
          </cell>
          <cell r="E6316">
            <v>0</v>
          </cell>
          <cell r="F6316">
            <v>222453</v>
          </cell>
          <cell r="G6316">
            <v>24547</v>
          </cell>
          <cell r="H6316">
            <v>90.06</v>
          </cell>
          <cell r="I6316">
            <v>260000</v>
          </cell>
          <cell r="J6316">
            <v>222453</v>
          </cell>
        </row>
        <row r="6317">
          <cell r="A6317">
            <v>1846500844</v>
          </cell>
          <cell r="B6317" t="str">
            <v>הסעות למעונות יום</v>
          </cell>
          <cell r="C6317">
            <v>2792000</v>
          </cell>
          <cell r="D6317">
            <v>2121062.64</v>
          </cell>
          <cell r="E6317">
            <v>723710.12</v>
          </cell>
          <cell r="F6317">
            <v>2844772.76</v>
          </cell>
          <cell r="G6317">
            <v>-52772.76</v>
          </cell>
          <cell r="H6317">
            <v>101.89</v>
          </cell>
          <cell r="I6317">
            <v>2792000</v>
          </cell>
          <cell r="J6317">
            <v>2121062.64</v>
          </cell>
        </row>
        <row r="6318">
          <cell r="A6318">
            <v>1846500845</v>
          </cell>
          <cell r="B6318" t="str">
            <v>מלווים למעונות יום</v>
          </cell>
          <cell r="C6318">
            <v>2700000</v>
          </cell>
          <cell r="D6318">
            <v>2188521.17</v>
          </cell>
          <cell r="E6318">
            <v>438069.25</v>
          </cell>
          <cell r="F6318">
            <v>2626590.42</v>
          </cell>
          <cell r="G6318">
            <v>73409.58</v>
          </cell>
          <cell r="H6318">
            <v>97.28</v>
          </cell>
          <cell r="I6318">
            <v>2700000</v>
          </cell>
          <cell r="J6318">
            <v>2188521.17</v>
          </cell>
        </row>
        <row r="6319">
          <cell r="A6319">
            <v>1846500846</v>
          </cell>
          <cell r="B6319" t="str">
            <v>מועדונית חינוך מיוחד</v>
          </cell>
          <cell r="C6319">
            <v>0</v>
          </cell>
          <cell r="D6319">
            <v>0</v>
          </cell>
          <cell r="E6319">
            <v>0</v>
          </cell>
          <cell r="F6319">
            <v>0</v>
          </cell>
          <cell r="G6319">
            <v>0</v>
          </cell>
          <cell r="H6319">
            <v>0</v>
          </cell>
          <cell r="I6319">
            <v>0</v>
          </cell>
          <cell r="J6319">
            <v>0</v>
          </cell>
        </row>
        <row r="6320">
          <cell r="A6320">
            <v>1846500847</v>
          </cell>
          <cell r="B6320" t="str">
            <v>תכניות תעסוקה</v>
          </cell>
          <cell r="C6320">
            <v>570000</v>
          </cell>
          <cell r="D6320">
            <v>566553</v>
          </cell>
          <cell r="E6320">
            <v>0</v>
          </cell>
          <cell r="F6320">
            <v>566553</v>
          </cell>
          <cell r="G6320">
            <v>3447</v>
          </cell>
          <cell r="H6320">
            <v>99.39</v>
          </cell>
          <cell r="I6320">
            <v>600000</v>
          </cell>
          <cell r="J6320">
            <v>566553</v>
          </cell>
        </row>
        <row r="6321">
          <cell r="A6321">
            <v>1846500880</v>
          </cell>
          <cell r="B6321" t="str">
            <v>של'ילד חריג</v>
          </cell>
          <cell r="C6321">
            <v>456000</v>
          </cell>
          <cell r="D6321">
            <v>273179</v>
          </cell>
          <cell r="E6321">
            <v>0</v>
          </cell>
          <cell r="F6321">
            <v>273179</v>
          </cell>
          <cell r="G6321">
            <v>182821</v>
          </cell>
          <cell r="H6321">
            <v>59.9</v>
          </cell>
          <cell r="I6321">
            <v>480000</v>
          </cell>
          <cell r="J6321">
            <v>273179</v>
          </cell>
        </row>
        <row r="6322">
          <cell r="A6322">
            <v>1846500881</v>
          </cell>
          <cell r="B6322" t="str">
            <v>מע' ממש'שיק</v>
          </cell>
          <cell r="C6322">
            <v>543020</v>
          </cell>
          <cell r="D6322">
            <v>571650</v>
          </cell>
          <cell r="E6322">
            <v>0</v>
          </cell>
          <cell r="F6322">
            <v>571650</v>
          </cell>
          <cell r="G6322">
            <v>-28630</v>
          </cell>
          <cell r="H6322">
            <v>105.27</v>
          </cell>
          <cell r="I6322">
            <v>571600</v>
          </cell>
          <cell r="J6322">
            <v>571650</v>
          </cell>
        </row>
        <row r="6323">
          <cell r="A6323">
            <v>1846500882</v>
          </cell>
          <cell r="B6323" t="str">
            <v>הסעות לאוטיסטים</v>
          </cell>
          <cell r="C6323">
            <v>285000</v>
          </cell>
          <cell r="D6323">
            <v>317582</v>
          </cell>
          <cell r="E6323">
            <v>0</v>
          </cell>
          <cell r="F6323">
            <v>317582</v>
          </cell>
          <cell r="G6323">
            <v>-32582</v>
          </cell>
          <cell r="H6323">
            <v>111.43</v>
          </cell>
          <cell r="I6323">
            <v>300000</v>
          </cell>
          <cell r="J6323">
            <v>317582</v>
          </cell>
        </row>
        <row r="6324">
          <cell r="A6324">
            <v>1846500883</v>
          </cell>
          <cell r="B6324" t="str">
            <v>מועדוניות שיקום</v>
          </cell>
          <cell r="C6324">
            <v>0</v>
          </cell>
          <cell r="D6324">
            <v>0</v>
          </cell>
          <cell r="E6324">
            <v>0</v>
          </cell>
          <cell r="F6324">
            <v>0</v>
          </cell>
          <cell r="G6324">
            <v>0</v>
          </cell>
          <cell r="H6324">
            <v>0</v>
          </cell>
          <cell r="I6324">
            <v>0</v>
          </cell>
          <cell r="J6324">
            <v>0</v>
          </cell>
        </row>
        <row r="6325">
          <cell r="A6325">
            <v>1846500884</v>
          </cell>
          <cell r="B6325" t="str">
            <v>אוטיסטים</v>
          </cell>
          <cell r="C6325">
            <v>27588000</v>
          </cell>
          <cell r="D6325">
            <v>30555243</v>
          </cell>
          <cell r="E6325">
            <v>0</v>
          </cell>
          <cell r="F6325">
            <v>30555243</v>
          </cell>
          <cell r="G6325">
            <v>-2967243</v>
          </cell>
          <cell r="H6325">
            <v>110.75</v>
          </cell>
          <cell r="I6325">
            <v>29040000</v>
          </cell>
          <cell r="J6325">
            <v>30555243</v>
          </cell>
        </row>
        <row r="6326">
          <cell r="A6326">
            <v>1846500885</v>
          </cell>
          <cell r="B6326" t="str">
            <v>פע' קיץ לאוטיסטים</v>
          </cell>
          <cell r="C6326">
            <v>148200</v>
          </cell>
          <cell r="D6326">
            <v>71737</v>
          </cell>
          <cell r="E6326">
            <v>0</v>
          </cell>
          <cell r="F6326">
            <v>71737</v>
          </cell>
          <cell r="G6326">
            <v>76463</v>
          </cell>
          <cell r="H6326">
            <v>48.4</v>
          </cell>
          <cell r="I6326">
            <v>156000</v>
          </cell>
          <cell r="J6326">
            <v>71737</v>
          </cell>
        </row>
        <row r="6327">
          <cell r="A6327">
            <v>1846500886</v>
          </cell>
          <cell r="B6327" t="str">
            <v>מועדון הדרים</v>
          </cell>
          <cell r="C6327">
            <v>0</v>
          </cell>
          <cell r="D6327">
            <v>0</v>
          </cell>
          <cell r="E6327">
            <v>0</v>
          </cell>
          <cell r="F6327">
            <v>0</v>
          </cell>
          <cell r="G6327">
            <v>0</v>
          </cell>
          <cell r="H6327">
            <v>0</v>
          </cell>
          <cell r="I6327">
            <v>0</v>
          </cell>
          <cell r="J6327">
            <v>0</v>
          </cell>
        </row>
        <row r="6328">
          <cell r="A6328">
            <v>1846500887</v>
          </cell>
          <cell r="B6328" t="str">
            <v>מ.יום שיקומי</v>
          </cell>
          <cell r="C6328">
            <v>8933800</v>
          </cell>
          <cell r="D6328">
            <v>9574301</v>
          </cell>
          <cell r="E6328">
            <v>0</v>
          </cell>
          <cell r="F6328">
            <v>9574301</v>
          </cell>
          <cell r="G6328">
            <v>-640501</v>
          </cell>
          <cell r="H6328">
            <v>107.16</v>
          </cell>
          <cell r="I6328">
            <v>9404000</v>
          </cell>
          <cell r="J6328">
            <v>9574301</v>
          </cell>
        </row>
        <row r="6329">
          <cell r="A6329">
            <v>1846500888</v>
          </cell>
          <cell r="B6329" t="str">
            <v>מעטפת מגורים בקהילה</v>
          </cell>
          <cell r="C6329">
            <v>32680</v>
          </cell>
          <cell r="D6329">
            <v>24422</v>
          </cell>
          <cell r="E6329">
            <v>0</v>
          </cell>
          <cell r="F6329">
            <v>24422</v>
          </cell>
          <cell r="G6329">
            <v>8258</v>
          </cell>
          <cell r="H6329">
            <v>74.73</v>
          </cell>
          <cell r="I6329">
            <v>34400</v>
          </cell>
          <cell r="J6329">
            <v>24422</v>
          </cell>
        </row>
        <row r="6330">
          <cell r="A6330">
            <v>1846500891</v>
          </cell>
          <cell r="B6330" t="str">
            <v>מועדוניות רשת</v>
          </cell>
          <cell r="C6330">
            <v>0</v>
          </cell>
          <cell r="D6330">
            <v>0</v>
          </cell>
          <cell r="E6330">
            <v>0</v>
          </cell>
          <cell r="F6330">
            <v>0</v>
          </cell>
          <cell r="G6330">
            <v>0</v>
          </cell>
          <cell r="H6330">
            <v>0</v>
          </cell>
          <cell r="I6330">
            <v>0</v>
          </cell>
          <cell r="J6330">
            <v>0</v>
          </cell>
        </row>
        <row r="6331">
          <cell r="A6331">
            <v>1846500895</v>
          </cell>
          <cell r="B6331" t="str">
            <v>השתתפות באיל"ן</v>
          </cell>
          <cell r="C6331">
            <v>0</v>
          </cell>
          <cell r="D6331">
            <v>0</v>
          </cell>
          <cell r="E6331">
            <v>0</v>
          </cell>
          <cell r="F6331">
            <v>0</v>
          </cell>
          <cell r="G6331">
            <v>0</v>
          </cell>
          <cell r="H6331">
            <v>0</v>
          </cell>
          <cell r="I6331">
            <v>0</v>
          </cell>
          <cell r="J6331">
            <v>0</v>
          </cell>
        </row>
        <row r="6332">
          <cell r="A6332">
            <v>1847100431</v>
          </cell>
          <cell r="B6332" t="str">
            <v>חשמל</v>
          </cell>
          <cell r="C6332">
            <v>7885</v>
          </cell>
          <cell r="D6332">
            <v>3720.63</v>
          </cell>
          <cell r="E6332">
            <v>0</v>
          </cell>
          <cell r="F6332">
            <v>3720.63</v>
          </cell>
          <cell r="G6332">
            <v>4164.37</v>
          </cell>
          <cell r="H6332">
            <v>47.18</v>
          </cell>
          <cell r="I6332">
            <v>8300</v>
          </cell>
          <cell r="J6332">
            <v>3720.63</v>
          </cell>
        </row>
        <row r="6333">
          <cell r="A6333">
            <v>1847100437</v>
          </cell>
          <cell r="B6333" t="str">
            <v>אחזקת אזעקה</v>
          </cell>
          <cell r="C6333">
            <v>1235</v>
          </cell>
          <cell r="D6333">
            <v>610.74</v>
          </cell>
          <cell r="E6333">
            <v>0</v>
          </cell>
          <cell r="F6333">
            <v>610.74</v>
          </cell>
          <cell r="G6333">
            <v>624.26</v>
          </cell>
          <cell r="H6333">
            <v>49.45</v>
          </cell>
          <cell r="I6333">
            <v>1300</v>
          </cell>
          <cell r="J6333">
            <v>610.74</v>
          </cell>
        </row>
        <row r="6334">
          <cell r="A6334">
            <v>1847100540</v>
          </cell>
          <cell r="B6334" t="str">
            <v>הוצאות טלפון</v>
          </cell>
          <cell r="C6334">
            <v>0</v>
          </cell>
          <cell r="D6334">
            <v>0</v>
          </cell>
          <cell r="E6334">
            <v>0</v>
          </cell>
          <cell r="F6334">
            <v>0</v>
          </cell>
          <cell r="G6334">
            <v>0</v>
          </cell>
          <cell r="H6334">
            <v>0</v>
          </cell>
          <cell r="I6334">
            <v>0</v>
          </cell>
          <cell r="J6334">
            <v>0</v>
          </cell>
        </row>
        <row r="6335">
          <cell r="A6335">
            <v>1847100544</v>
          </cell>
          <cell r="B6335" t="str">
            <v>הוצאות דאר</v>
          </cell>
          <cell r="C6335">
            <v>0</v>
          </cell>
          <cell r="D6335">
            <v>0</v>
          </cell>
          <cell r="E6335">
            <v>0</v>
          </cell>
          <cell r="F6335">
            <v>0</v>
          </cell>
          <cell r="G6335">
            <v>0</v>
          </cell>
          <cell r="H6335">
            <v>0</v>
          </cell>
          <cell r="I6335">
            <v>0</v>
          </cell>
          <cell r="J6335">
            <v>0</v>
          </cell>
        </row>
        <row r="6336">
          <cell r="A6336">
            <v>1847100752</v>
          </cell>
          <cell r="B6336" t="str">
            <v>נקיון מועדון נערות</v>
          </cell>
          <cell r="C6336">
            <v>68400</v>
          </cell>
          <cell r="D6336">
            <v>50987.19</v>
          </cell>
          <cell r="E6336">
            <v>0</v>
          </cell>
          <cell r="F6336">
            <v>50987.19</v>
          </cell>
          <cell r="G6336">
            <v>17412.810000000001</v>
          </cell>
          <cell r="H6336">
            <v>74.540000000000006</v>
          </cell>
          <cell r="I6336">
            <v>72000</v>
          </cell>
          <cell r="J6336">
            <v>50987.19</v>
          </cell>
        </row>
        <row r="6337">
          <cell r="A6337">
            <v>1847100782</v>
          </cell>
          <cell r="B6337" t="str">
            <v>פעילות מועד' נערות</v>
          </cell>
          <cell r="C6337">
            <v>6650</v>
          </cell>
          <cell r="D6337">
            <v>6439.63</v>
          </cell>
          <cell r="E6337">
            <v>105</v>
          </cell>
          <cell r="F6337">
            <v>6544.63</v>
          </cell>
          <cell r="G6337">
            <v>105.37</v>
          </cell>
          <cell r="H6337">
            <v>98.41</v>
          </cell>
          <cell r="I6337">
            <v>7000</v>
          </cell>
          <cell r="J6337">
            <v>6439.63</v>
          </cell>
        </row>
        <row r="6338">
          <cell r="A6338">
            <v>1847100811</v>
          </cell>
          <cell r="B6338" t="str">
            <v>מט"ל</v>
          </cell>
          <cell r="C6338">
            <v>0</v>
          </cell>
          <cell r="D6338">
            <v>0</v>
          </cell>
          <cell r="E6338">
            <v>0</v>
          </cell>
          <cell r="F6338">
            <v>0</v>
          </cell>
          <cell r="G6338">
            <v>0</v>
          </cell>
          <cell r="H6338">
            <v>0</v>
          </cell>
          <cell r="I6338">
            <v>0</v>
          </cell>
          <cell r="J6338">
            <v>0</v>
          </cell>
        </row>
        <row r="6339">
          <cell r="A6339">
            <v>1847100812</v>
          </cell>
          <cell r="B6339" t="str">
            <v>בתים חמים לנערות</v>
          </cell>
          <cell r="C6339">
            <v>0</v>
          </cell>
          <cell r="D6339">
            <v>0</v>
          </cell>
          <cell r="E6339">
            <v>0</v>
          </cell>
          <cell r="F6339">
            <v>0</v>
          </cell>
          <cell r="G6339">
            <v>0</v>
          </cell>
          <cell r="H6339">
            <v>0</v>
          </cell>
          <cell r="I6339">
            <v>0</v>
          </cell>
          <cell r="J6339">
            <v>0</v>
          </cell>
        </row>
        <row r="6340">
          <cell r="A6340">
            <v>1847100813</v>
          </cell>
          <cell r="B6340" t="str">
            <v>מעונות חסות</v>
          </cell>
          <cell r="C6340">
            <v>1844900</v>
          </cell>
          <cell r="D6340">
            <v>2070847</v>
          </cell>
          <cell r="E6340">
            <v>0</v>
          </cell>
          <cell r="F6340">
            <v>2070847</v>
          </cell>
          <cell r="G6340">
            <v>-225947</v>
          </cell>
          <cell r="H6340">
            <v>112.24</v>
          </cell>
          <cell r="I6340">
            <v>1942000</v>
          </cell>
          <cell r="J6340">
            <v>2070847</v>
          </cell>
        </row>
        <row r="6341">
          <cell r="A6341">
            <v>1847100814</v>
          </cell>
          <cell r="B6341" t="str">
            <v>נוצץ שירותים בקהילה</v>
          </cell>
          <cell r="C6341">
            <v>1693850</v>
          </cell>
          <cell r="D6341">
            <v>836644.42</v>
          </cell>
          <cell r="E6341">
            <v>3701</v>
          </cell>
          <cell r="F6341">
            <v>840345.42</v>
          </cell>
          <cell r="G6341">
            <v>853504.58</v>
          </cell>
          <cell r="H6341">
            <v>49.61</v>
          </cell>
          <cell r="I6341">
            <v>1783000</v>
          </cell>
          <cell r="J6341">
            <v>836644.42</v>
          </cell>
        </row>
        <row r="6342">
          <cell r="A6342">
            <v>1847100815</v>
          </cell>
          <cell r="B6342" t="str">
            <v>תכנית צל"ש</v>
          </cell>
          <cell r="C6342">
            <v>0</v>
          </cell>
          <cell r="D6342">
            <v>0</v>
          </cell>
          <cell r="E6342">
            <v>0</v>
          </cell>
          <cell r="F6342">
            <v>0</v>
          </cell>
          <cell r="G6342">
            <v>0</v>
          </cell>
          <cell r="H6342">
            <v>0</v>
          </cell>
          <cell r="I6342">
            <v>0</v>
          </cell>
          <cell r="J6342">
            <v>0</v>
          </cell>
        </row>
        <row r="6343">
          <cell r="A6343">
            <v>1847100816</v>
          </cell>
          <cell r="B6343" t="str">
            <v>נוער וצעירים</v>
          </cell>
          <cell r="C6343">
            <v>0</v>
          </cell>
          <cell r="D6343">
            <v>0</v>
          </cell>
          <cell r="E6343">
            <v>0</v>
          </cell>
          <cell r="F6343">
            <v>0</v>
          </cell>
          <cell r="G6343">
            <v>0</v>
          </cell>
          <cell r="H6343">
            <v>0</v>
          </cell>
          <cell r="I6343">
            <v>0</v>
          </cell>
          <cell r="J6343">
            <v>0</v>
          </cell>
        </row>
        <row r="6344">
          <cell r="A6344">
            <v>1847100817</v>
          </cell>
          <cell r="B6344" t="str">
            <v>תכנית מית"ר</v>
          </cell>
          <cell r="C6344">
            <v>570000</v>
          </cell>
          <cell r="D6344">
            <v>461217.56</v>
          </cell>
          <cell r="E6344">
            <v>29860.44</v>
          </cell>
          <cell r="F6344">
            <v>491078</v>
          </cell>
          <cell r="G6344">
            <v>78922</v>
          </cell>
          <cell r="H6344">
            <v>86.15</v>
          </cell>
          <cell r="I6344">
            <v>600000</v>
          </cell>
          <cell r="J6344">
            <v>461217.56</v>
          </cell>
        </row>
        <row r="6345">
          <cell r="A6345">
            <v>1847100818</v>
          </cell>
          <cell r="B6345" t="str">
            <v>חוץ ביתי נוצץ</v>
          </cell>
          <cell r="C6345">
            <v>237500</v>
          </cell>
          <cell r="D6345">
            <v>0</v>
          </cell>
          <cell r="E6345">
            <v>0</v>
          </cell>
          <cell r="F6345">
            <v>0</v>
          </cell>
          <cell r="G6345">
            <v>237500</v>
          </cell>
          <cell r="H6345">
            <v>0</v>
          </cell>
          <cell r="I6345">
            <v>250000</v>
          </cell>
          <cell r="J6345">
            <v>0</v>
          </cell>
        </row>
        <row r="6346">
          <cell r="A6346">
            <v>1847100841</v>
          </cell>
          <cell r="B6346" t="str">
            <v>תכנית "אפיקים"</v>
          </cell>
          <cell r="C6346">
            <v>0</v>
          </cell>
          <cell r="D6346">
            <v>0</v>
          </cell>
          <cell r="E6346">
            <v>0</v>
          </cell>
          <cell r="F6346">
            <v>0</v>
          </cell>
          <cell r="G6346">
            <v>0</v>
          </cell>
          <cell r="H6346">
            <v>0</v>
          </cell>
          <cell r="I6346">
            <v>0</v>
          </cell>
          <cell r="J6346">
            <v>0</v>
          </cell>
        </row>
        <row r="6347">
          <cell r="A6347">
            <v>1847100842</v>
          </cell>
          <cell r="B6347" t="str">
            <v>תכנית "יתד"</v>
          </cell>
          <cell r="C6347">
            <v>738150</v>
          </cell>
          <cell r="D6347">
            <v>703094.59</v>
          </cell>
          <cell r="E6347">
            <v>681</v>
          </cell>
          <cell r="F6347">
            <v>703775.59</v>
          </cell>
          <cell r="G6347">
            <v>34374.410000000003</v>
          </cell>
          <cell r="H6347">
            <v>95.34</v>
          </cell>
          <cell r="I6347">
            <v>777000</v>
          </cell>
          <cell r="J6347">
            <v>703094.59</v>
          </cell>
        </row>
        <row r="6348">
          <cell r="A6348">
            <v>1847100843</v>
          </cell>
          <cell r="B6348" t="str">
            <v>צעירים חוץ ביתי</v>
          </cell>
          <cell r="C6348">
            <v>380000</v>
          </cell>
          <cell r="D6348">
            <v>0</v>
          </cell>
          <cell r="E6348">
            <v>0</v>
          </cell>
          <cell r="F6348">
            <v>0</v>
          </cell>
          <cell r="G6348">
            <v>380000</v>
          </cell>
          <cell r="H6348">
            <v>0</v>
          </cell>
          <cell r="I6348">
            <v>400000</v>
          </cell>
          <cell r="J6348">
            <v>0</v>
          </cell>
        </row>
        <row r="6349">
          <cell r="A6349">
            <v>1847100891</v>
          </cell>
          <cell r="B6349" t="str">
            <v>מרכז לייעוץ מיני</v>
          </cell>
          <cell r="C6349">
            <v>22800</v>
          </cell>
          <cell r="D6349">
            <v>24000</v>
          </cell>
          <cell r="E6349">
            <v>0</v>
          </cell>
          <cell r="F6349">
            <v>24000</v>
          </cell>
          <cell r="G6349">
            <v>-1200</v>
          </cell>
          <cell r="H6349">
            <v>105.26</v>
          </cell>
          <cell r="I6349">
            <v>24000</v>
          </cell>
          <cell r="J6349">
            <v>24000</v>
          </cell>
        </row>
        <row r="6350">
          <cell r="A6350">
            <v>1847100892</v>
          </cell>
          <cell r="B6350" t="str">
            <v>פרויקט גחליליות</v>
          </cell>
          <cell r="C6350">
            <v>65000</v>
          </cell>
          <cell r="D6350">
            <v>65000</v>
          </cell>
          <cell r="E6350">
            <v>0</v>
          </cell>
          <cell r="F6350">
            <v>65000</v>
          </cell>
          <cell r="G6350">
            <v>0</v>
          </cell>
          <cell r="H6350">
            <v>100</v>
          </cell>
          <cell r="I6350">
            <v>65000</v>
          </cell>
          <cell r="J6350">
            <v>65000</v>
          </cell>
        </row>
        <row r="6351">
          <cell r="A6351">
            <v>1847300110</v>
          </cell>
          <cell r="B6351" t="str">
            <v>השכר הקובע-תקציבית</v>
          </cell>
          <cell r="C6351">
            <v>0</v>
          </cell>
          <cell r="D6351">
            <v>0</v>
          </cell>
          <cell r="E6351">
            <v>0</v>
          </cell>
          <cell r="F6351">
            <v>0</v>
          </cell>
          <cell r="G6351">
            <v>0</v>
          </cell>
          <cell r="H6351">
            <v>0</v>
          </cell>
          <cell r="I6351">
            <v>0</v>
          </cell>
          <cell r="J6351">
            <v>0</v>
          </cell>
        </row>
        <row r="6352">
          <cell r="A6352">
            <v>1847300122</v>
          </cell>
          <cell r="B6352" t="str">
            <v>ביגוד</v>
          </cell>
          <cell r="C6352">
            <v>0</v>
          </cell>
          <cell r="D6352">
            <v>0</v>
          </cell>
          <cell r="E6352">
            <v>0</v>
          </cell>
          <cell r="F6352">
            <v>0</v>
          </cell>
          <cell r="G6352">
            <v>0</v>
          </cell>
          <cell r="H6352">
            <v>0</v>
          </cell>
          <cell r="I6352">
            <v>0</v>
          </cell>
          <cell r="J6352">
            <v>0</v>
          </cell>
        </row>
        <row r="6353">
          <cell r="A6353">
            <v>1847300126</v>
          </cell>
          <cell r="B6353" t="str">
            <v>דמי הבראה</v>
          </cell>
          <cell r="C6353">
            <v>0</v>
          </cell>
          <cell r="D6353">
            <v>0</v>
          </cell>
          <cell r="E6353">
            <v>0</v>
          </cell>
          <cell r="F6353">
            <v>0</v>
          </cell>
          <cell r="G6353">
            <v>0</v>
          </cell>
          <cell r="H6353">
            <v>0</v>
          </cell>
          <cell r="I6353">
            <v>0</v>
          </cell>
          <cell r="J6353">
            <v>0</v>
          </cell>
        </row>
        <row r="6354">
          <cell r="A6354">
            <v>1847300130</v>
          </cell>
          <cell r="B6354" t="str">
            <v>שעות נוספות</v>
          </cell>
          <cell r="C6354">
            <v>0</v>
          </cell>
          <cell r="D6354">
            <v>0</v>
          </cell>
          <cell r="E6354">
            <v>0</v>
          </cell>
          <cell r="F6354">
            <v>0</v>
          </cell>
          <cell r="G6354">
            <v>0</v>
          </cell>
          <cell r="H6354">
            <v>0</v>
          </cell>
          <cell r="I6354">
            <v>0</v>
          </cell>
          <cell r="J6354">
            <v>0</v>
          </cell>
        </row>
        <row r="6355">
          <cell r="A6355">
            <v>1847300140</v>
          </cell>
          <cell r="B6355" t="str">
            <v>השתתפות באחזקת רכב</v>
          </cell>
          <cell r="C6355">
            <v>0</v>
          </cell>
          <cell r="D6355">
            <v>0</v>
          </cell>
          <cell r="E6355">
            <v>0</v>
          </cell>
          <cell r="F6355">
            <v>0</v>
          </cell>
          <cell r="G6355">
            <v>0</v>
          </cell>
          <cell r="H6355">
            <v>0</v>
          </cell>
          <cell r="I6355">
            <v>0</v>
          </cell>
          <cell r="J6355">
            <v>0</v>
          </cell>
        </row>
        <row r="6356">
          <cell r="A6356">
            <v>1847300391</v>
          </cell>
          <cell r="B6356" t="str">
            <v>הפרשה לפנסיה</v>
          </cell>
          <cell r="C6356">
            <v>0</v>
          </cell>
          <cell r="D6356">
            <v>0</v>
          </cell>
          <cell r="E6356">
            <v>0</v>
          </cell>
          <cell r="F6356">
            <v>0</v>
          </cell>
          <cell r="G6356">
            <v>0</v>
          </cell>
          <cell r="H6356">
            <v>0</v>
          </cell>
          <cell r="I6356">
            <v>0</v>
          </cell>
          <cell r="J6356">
            <v>0</v>
          </cell>
        </row>
        <row r="6357">
          <cell r="A6357">
            <v>1847300431</v>
          </cell>
          <cell r="B6357" t="str">
            <v>חשמל</v>
          </cell>
          <cell r="C6357">
            <v>0</v>
          </cell>
          <cell r="D6357">
            <v>0</v>
          </cell>
          <cell r="E6357">
            <v>0</v>
          </cell>
          <cell r="F6357">
            <v>0</v>
          </cell>
          <cell r="G6357">
            <v>0</v>
          </cell>
          <cell r="H6357">
            <v>0</v>
          </cell>
          <cell r="I6357">
            <v>0</v>
          </cell>
          <cell r="J6357">
            <v>0</v>
          </cell>
        </row>
        <row r="6358">
          <cell r="A6358">
            <v>1847300540</v>
          </cell>
          <cell r="B6358" t="str">
            <v>הוצאות טלפון</v>
          </cell>
          <cell r="C6358">
            <v>0</v>
          </cell>
          <cell r="D6358">
            <v>0</v>
          </cell>
          <cell r="E6358">
            <v>0</v>
          </cell>
          <cell r="F6358">
            <v>0</v>
          </cell>
          <cell r="G6358">
            <v>0</v>
          </cell>
          <cell r="H6358">
            <v>0</v>
          </cell>
          <cell r="I6358">
            <v>0</v>
          </cell>
          <cell r="J6358">
            <v>0</v>
          </cell>
        </row>
        <row r="6359">
          <cell r="A6359">
            <v>1847300544</v>
          </cell>
          <cell r="B6359" t="str">
            <v>הוצאות דאר</v>
          </cell>
          <cell r="C6359">
            <v>0</v>
          </cell>
          <cell r="D6359">
            <v>0</v>
          </cell>
          <cell r="E6359">
            <v>0</v>
          </cell>
          <cell r="F6359">
            <v>0</v>
          </cell>
          <cell r="G6359">
            <v>0</v>
          </cell>
          <cell r="H6359">
            <v>0</v>
          </cell>
          <cell r="I6359">
            <v>0</v>
          </cell>
          <cell r="J6359">
            <v>0</v>
          </cell>
        </row>
        <row r="6360">
          <cell r="A6360">
            <v>1847300723</v>
          </cell>
          <cell r="B6360" t="str">
            <v>חומרים</v>
          </cell>
          <cell r="C6360">
            <v>0</v>
          </cell>
          <cell r="D6360">
            <v>0</v>
          </cell>
          <cell r="E6360">
            <v>0</v>
          </cell>
          <cell r="F6360">
            <v>0</v>
          </cell>
          <cell r="G6360">
            <v>0</v>
          </cell>
          <cell r="H6360">
            <v>0</v>
          </cell>
          <cell r="I6360">
            <v>0</v>
          </cell>
          <cell r="J6360">
            <v>0</v>
          </cell>
        </row>
        <row r="6361">
          <cell r="A6361">
            <v>1847300751</v>
          </cell>
          <cell r="B6361" t="str">
            <v>עבודות קבלניות</v>
          </cell>
          <cell r="C6361">
            <v>0</v>
          </cell>
          <cell r="D6361">
            <v>0</v>
          </cell>
          <cell r="E6361">
            <v>0</v>
          </cell>
          <cell r="F6361">
            <v>0</v>
          </cell>
          <cell r="G6361">
            <v>0</v>
          </cell>
          <cell r="H6361">
            <v>0</v>
          </cell>
          <cell r="I6361">
            <v>0</v>
          </cell>
          <cell r="J6361">
            <v>0</v>
          </cell>
        </row>
        <row r="6362">
          <cell r="A6362">
            <v>1847300752</v>
          </cell>
          <cell r="B6362" t="str">
            <v>נקיון בקבלנות</v>
          </cell>
          <cell r="C6362">
            <v>30400</v>
          </cell>
          <cell r="D6362">
            <v>0</v>
          </cell>
          <cell r="E6362">
            <v>0</v>
          </cell>
          <cell r="F6362">
            <v>0</v>
          </cell>
          <cell r="G6362">
            <v>30400</v>
          </cell>
          <cell r="H6362">
            <v>0</v>
          </cell>
          <cell r="I6362">
            <v>32000</v>
          </cell>
          <cell r="J6362">
            <v>0</v>
          </cell>
        </row>
        <row r="6363">
          <cell r="A6363">
            <v>1847300753</v>
          </cell>
          <cell r="B6363" t="str">
            <v>עובד חיצוני</v>
          </cell>
          <cell r="C6363">
            <v>0</v>
          </cell>
          <cell r="D6363">
            <v>0</v>
          </cell>
          <cell r="E6363">
            <v>0</v>
          </cell>
          <cell r="F6363">
            <v>0</v>
          </cell>
          <cell r="G6363">
            <v>0</v>
          </cell>
          <cell r="H6363">
            <v>0</v>
          </cell>
          <cell r="I6363">
            <v>0</v>
          </cell>
          <cell r="J6363">
            <v>0</v>
          </cell>
        </row>
        <row r="6364">
          <cell r="A6364">
            <v>1847300781</v>
          </cell>
          <cell r="B6364" t="str">
            <v>צרכים מיוחדים</v>
          </cell>
          <cell r="C6364">
            <v>104500</v>
          </cell>
          <cell r="D6364">
            <v>94380.02</v>
          </cell>
          <cell r="E6364">
            <v>9931.48</v>
          </cell>
          <cell r="F6364">
            <v>104311.5</v>
          </cell>
          <cell r="G6364">
            <v>188.5</v>
          </cell>
          <cell r="H6364">
            <v>99.81</v>
          </cell>
          <cell r="I6364">
            <v>110000</v>
          </cell>
          <cell r="J6364">
            <v>94380.02</v>
          </cell>
        </row>
        <row r="6365">
          <cell r="A6365">
            <v>1847300782</v>
          </cell>
          <cell r="B6365" t="str">
            <v>טיפול במשפחות מכורים</v>
          </cell>
          <cell r="C6365">
            <v>28500</v>
          </cell>
          <cell r="D6365">
            <v>8765</v>
          </cell>
          <cell r="E6365">
            <v>15000</v>
          </cell>
          <cell r="F6365">
            <v>23765</v>
          </cell>
          <cell r="G6365">
            <v>4735</v>
          </cell>
          <cell r="H6365">
            <v>83.38</v>
          </cell>
          <cell r="I6365">
            <v>30000</v>
          </cell>
          <cell r="J6365">
            <v>8765</v>
          </cell>
        </row>
        <row r="6366">
          <cell r="A6366">
            <v>1847300811</v>
          </cell>
          <cell r="B6366" t="str">
            <v>בדיקות שתן</v>
          </cell>
          <cell r="C6366">
            <v>0</v>
          </cell>
          <cell r="D6366">
            <v>0</v>
          </cell>
          <cell r="E6366">
            <v>0</v>
          </cell>
          <cell r="F6366">
            <v>0</v>
          </cell>
          <cell r="G6366">
            <v>0</v>
          </cell>
          <cell r="H6366">
            <v>0</v>
          </cell>
          <cell r="I6366">
            <v>0</v>
          </cell>
          <cell r="J6366">
            <v>0</v>
          </cell>
        </row>
        <row r="6367">
          <cell r="A6367">
            <v>1847300812</v>
          </cell>
          <cell r="B6367" t="str">
            <v>מרכז יום</v>
          </cell>
          <cell r="C6367">
            <v>0</v>
          </cell>
          <cell r="D6367">
            <v>0</v>
          </cell>
          <cell r="E6367">
            <v>0</v>
          </cell>
          <cell r="F6367">
            <v>0</v>
          </cell>
          <cell r="G6367">
            <v>0</v>
          </cell>
          <cell r="H6367">
            <v>0</v>
          </cell>
          <cell r="I6367">
            <v>0</v>
          </cell>
          <cell r="J6367">
            <v>0</v>
          </cell>
        </row>
        <row r="6368">
          <cell r="A6368">
            <v>1847300813</v>
          </cell>
          <cell r="B6368" t="str">
            <v>טיפול בהתמכרויות</v>
          </cell>
          <cell r="C6368">
            <v>480000</v>
          </cell>
          <cell r="D6368">
            <v>454955.63</v>
          </cell>
          <cell r="E6368">
            <v>63616.75</v>
          </cell>
          <cell r="F6368">
            <v>518572.38</v>
          </cell>
          <cell r="G6368">
            <v>-38572.379999999997</v>
          </cell>
          <cell r="H6368">
            <v>108.03</v>
          </cell>
          <cell r="I6368">
            <v>480000</v>
          </cell>
          <cell r="J6368">
            <v>454955.63</v>
          </cell>
        </row>
        <row r="6369">
          <cell r="A6369">
            <v>1847300815</v>
          </cell>
          <cell r="B6369" t="str">
            <v>גמילת נוער</v>
          </cell>
          <cell r="C6369">
            <v>0</v>
          </cell>
          <cell r="D6369">
            <v>0</v>
          </cell>
          <cell r="E6369">
            <v>0</v>
          </cell>
          <cell r="F6369">
            <v>0</v>
          </cell>
          <cell r="G6369">
            <v>0</v>
          </cell>
          <cell r="H6369">
            <v>0</v>
          </cell>
          <cell r="I6369">
            <v>0</v>
          </cell>
          <cell r="J6369">
            <v>0</v>
          </cell>
        </row>
        <row r="6370">
          <cell r="A6370">
            <v>1847300816</v>
          </cell>
          <cell r="B6370" t="str">
            <v>פרוייקטים לנגמלים</v>
          </cell>
          <cell r="C6370">
            <v>0</v>
          </cell>
          <cell r="D6370">
            <v>0</v>
          </cell>
          <cell r="E6370">
            <v>0</v>
          </cell>
          <cell r="F6370">
            <v>0</v>
          </cell>
          <cell r="G6370">
            <v>0</v>
          </cell>
          <cell r="H6370">
            <v>0</v>
          </cell>
          <cell r="I6370">
            <v>0</v>
          </cell>
          <cell r="J6370">
            <v>0</v>
          </cell>
        </row>
        <row r="6371">
          <cell r="A6371">
            <v>1847300841</v>
          </cell>
          <cell r="B6371" t="str">
            <v>טיפול בעולים נפגעי סמים</v>
          </cell>
          <cell r="C6371">
            <v>0</v>
          </cell>
          <cell r="D6371">
            <v>0</v>
          </cell>
          <cell r="E6371">
            <v>0</v>
          </cell>
          <cell r="F6371">
            <v>0</v>
          </cell>
          <cell r="G6371">
            <v>0</v>
          </cell>
          <cell r="H6371">
            <v>0</v>
          </cell>
          <cell r="I6371">
            <v>0</v>
          </cell>
          <cell r="J6371">
            <v>0</v>
          </cell>
        </row>
        <row r="6372">
          <cell r="A6372">
            <v>1847300891</v>
          </cell>
          <cell r="B6372" t="str">
            <v>מניעת שימוש בסמים ואלכוהול</v>
          </cell>
          <cell r="C6372">
            <v>47500</v>
          </cell>
          <cell r="D6372">
            <v>48886</v>
          </cell>
          <cell r="E6372">
            <v>1114</v>
          </cell>
          <cell r="F6372">
            <v>50000</v>
          </cell>
          <cell r="G6372">
            <v>-2500</v>
          </cell>
          <cell r="H6372">
            <v>105.26</v>
          </cell>
          <cell r="I6372">
            <v>50000</v>
          </cell>
          <cell r="J6372">
            <v>48886</v>
          </cell>
        </row>
        <row r="6373">
          <cell r="A6373">
            <v>1848100110</v>
          </cell>
          <cell r="B6373" t="str">
            <v>השכר הקובע-תקציבית</v>
          </cell>
          <cell r="C6373">
            <v>0</v>
          </cell>
          <cell r="D6373">
            <v>0</v>
          </cell>
          <cell r="E6373">
            <v>0</v>
          </cell>
          <cell r="F6373">
            <v>0</v>
          </cell>
          <cell r="G6373">
            <v>0</v>
          </cell>
          <cell r="H6373">
            <v>0</v>
          </cell>
          <cell r="I6373">
            <v>0</v>
          </cell>
          <cell r="J6373">
            <v>0</v>
          </cell>
        </row>
        <row r="6374">
          <cell r="A6374">
            <v>1848100122</v>
          </cell>
          <cell r="B6374" t="str">
            <v>ביגוד</v>
          </cell>
          <cell r="C6374">
            <v>0</v>
          </cell>
          <cell r="D6374">
            <v>0</v>
          </cell>
          <cell r="E6374">
            <v>0</v>
          </cell>
          <cell r="F6374">
            <v>0</v>
          </cell>
          <cell r="G6374">
            <v>0</v>
          </cell>
          <cell r="H6374">
            <v>0</v>
          </cell>
          <cell r="I6374">
            <v>0</v>
          </cell>
          <cell r="J6374">
            <v>0</v>
          </cell>
        </row>
        <row r="6375">
          <cell r="A6375">
            <v>1848100126</v>
          </cell>
          <cell r="B6375" t="str">
            <v>דמי הבראה</v>
          </cell>
          <cell r="C6375">
            <v>0</v>
          </cell>
          <cell r="D6375">
            <v>0</v>
          </cell>
          <cell r="E6375">
            <v>0</v>
          </cell>
          <cell r="F6375">
            <v>0</v>
          </cell>
          <cell r="G6375">
            <v>0</v>
          </cell>
          <cell r="H6375">
            <v>0</v>
          </cell>
          <cell r="I6375">
            <v>0</v>
          </cell>
          <cell r="J6375">
            <v>0</v>
          </cell>
        </row>
        <row r="6376">
          <cell r="A6376">
            <v>1848100130</v>
          </cell>
          <cell r="B6376" t="str">
            <v>שעות נוספות</v>
          </cell>
          <cell r="C6376">
            <v>0</v>
          </cell>
          <cell r="D6376">
            <v>0</v>
          </cell>
          <cell r="E6376">
            <v>0</v>
          </cell>
          <cell r="F6376">
            <v>0</v>
          </cell>
          <cell r="G6376">
            <v>0</v>
          </cell>
          <cell r="H6376">
            <v>0</v>
          </cell>
          <cell r="I6376">
            <v>0</v>
          </cell>
          <cell r="J6376">
            <v>0</v>
          </cell>
        </row>
        <row r="6377">
          <cell r="A6377">
            <v>1848100140</v>
          </cell>
          <cell r="B6377" t="str">
            <v>השתתפות באחזקת רכב</v>
          </cell>
          <cell r="C6377">
            <v>0</v>
          </cell>
          <cell r="D6377">
            <v>0</v>
          </cell>
          <cell r="E6377">
            <v>0</v>
          </cell>
          <cell r="F6377">
            <v>0</v>
          </cell>
          <cell r="G6377">
            <v>0</v>
          </cell>
          <cell r="H6377">
            <v>0</v>
          </cell>
          <cell r="I6377">
            <v>0</v>
          </cell>
          <cell r="J6377">
            <v>0</v>
          </cell>
        </row>
        <row r="6378">
          <cell r="A6378">
            <v>1848100210</v>
          </cell>
          <cell r="B6378" t="str">
            <v>השכר הקובע</v>
          </cell>
          <cell r="C6378">
            <v>0</v>
          </cell>
          <cell r="D6378">
            <v>0</v>
          </cell>
          <cell r="E6378">
            <v>0</v>
          </cell>
          <cell r="F6378">
            <v>0</v>
          </cell>
          <cell r="G6378">
            <v>0</v>
          </cell>
          <cell r="H6378">
            <v>0</v>
          </cell>
          <cell r="I6378">
            <v>0</v>
          </cell>
          <cell r="J6378">
            <v>0</v>
          </cell>
        </row>
        <row r="6379">
          <cell r="A6379">
            <v>1848100391</v>
          </cell>
          <cell r="B6379" t="str">
            <v>הפרשה לפנסיה</v>
          </cell>
          <cell r="C6379">
            <v>0</v>
          </cell>
          <cell r="D6379">
            <v>0</v>
          </cell>
          <cell r="E6379">
            <v>0</v>
          </cell>
          <cell r="F6379">
            <v>0</v>
          </cell>
          <cell r="G6379">
            <v>0</v>
          </cell>
          <cell r="H6379">
            <v>0</v>
          </cell>
          <cell r="I6379">
            <v>0</v>
          </cell>
          <cell r="J6379">
            <v>0</v>
          </cell>
        </row>
        <row r="6380">
          <cell r="A6380">
            <v>1848100410</v>
          </cell>
          <cell r="B6380" t="str">
            <v>שכר דירה</v>
          </cell>
          <cell r="C6380">
            <v>0</v>
          </cell>
          <cell r="D6380">
            <v>0</v>
          </cell>
          <cell r="E6380">
            <v>0</v>
          </cell>
          <cell r="F6380">
            <v>0</v>
          </cell>
          <cell r="G6380">
            <v>0</v>
          </cell>
          <cell r="H6380">
            <v>0</v>
          </cell>
          <cell r="I6380">
            <v>0</v>
          </cell>
          <cell r="J6380">
            <v>0</v>
          </cell>
        </row>
        <row r="6381">
          <cell r="A6381">
            <v>1848100423</v>
          </cell>
          <cell r="B6381" t="str">
            <v>תחזוקת מבנה</v>
          </cell>
          <cell r="C6381">
            <v>0</v>
          </cell>
          <cell r="D6381">
            <v>0</v>
          </cell>
          <cell r="E6381">
            <v>0</v>
          </cell>
          <cell r="F6381">
            <v>0</v>
          </cell>
          <cell r="G6381">
            <v>0</v>
          </cell>
          <cell r="H6381">
            <v>0</v>
          </cell>
          <cell r="I6381">
            <v>0</v>
          </cell>
          <cell r="J6381">
            <v>0</v>
          </cell>
        </row>
        <row r="6382">
          <cell r="A6382">
            <v>1848100431</v>
          </cell>
          <cell r="B6382" t="str">
            <v>חשמל</v>
          </cell>
          <cell r="C6382">
            <v>3135</v>
          </cell>
          <cell r="D6382">
            <v>0</v>
          </cell>
          <cell r="E6382">
            <v>0</v>
          </cell>
          <cell r="F6382">
            <v>0</v>
          </cell>
          <cell r="G6382">
            <v>3135</v>
          </cell>
          <cell r="H6382">
            <v>0</v>
          </cell>
          <cell r="I6382">
            <v>3300</v>
          </cell>
          <cell r="J6382">
            <v>0</v>
          </cell>
        </row>
        <row r="6383">
          <cell r="A6383">
            <v>1848100437</v>
          </cell>
          <cell r="B6383" t="str">
            <v>אחזקת אזעקה</v>
          </cell>
          <cell r="C6383">
            <v>2375</v>
          </cell>
          <cell r="D6383">
            <v>2855.12</v>
          </cell>
          <cell r="E6383">
            <v>0</v>
          </cell>
          <cell r="F6383">
            <v>2855.12</v>
          </cell>
          <cell r="G6383">
            <v>-480.12</v>
          </cell>
          <cell r="H6383">
            <v>120.21</v>
          </cell>
          <cell r="I6383">
            <v>2500</v>
          </cell>
          <cell r="J6383">
            <v>2855.12</v>
          </cell>
        </row>
        <row r="6384">
          <cell r="A6384">
            <v>1848100511</v>
          </cell>
          <cell r="B6384" t="str">
            <v>אירוח וכיבוד</v>
          </cell>
          <cell r="C6384">
            <v>4200</v>
          </cell>
          <cell r="D6384">
            <v>1841.23</v>
          </cell>
          <cell r="E6384">
            <v>0</v>
          </cell>
          <cell r="F6384">
            <v>1841.23</v>
          </cell>
          <cell r="G6384">
            <v>2358.77</v>
          </cell>
          <cell r="H6384">
            <v>43.83</v>
          </cell>
          <cell r="I6384">
            <v>4200</v>
          </cell>
          <cell r="J6384">
            <v>1841.23</v>
          </cell>
        </row>
        <row r="6385">
          <cell r="A6385">
            <v>1848100540</v>
          </cell>
          <cell r="B6385" t="str">
            <v>הוצאות טלפון</v>
          </cell>
          <cell r="C6385">
            <v>0</v>
          </cell>
          <cell r="D6385">
            <v>0</v>
          </cell>
          <cell r="E6385">
            <v>0</v>
          </cell>
          <cell r="F6385">
            <v>0</v>
          </cell>
          <cell r="G6385">
            <v>0</v>
          </cell>
          <cell r="H6385">
            <v>0</v>
          </cell>
          <cell r="I6385">
            <v>0</v>
          </cell>
          <cell r="J6385">
            <v>0</v>
          </cell>
        </row>
        <row r="6386">
          <cell r="A6386">
            <v>1848100544</v>
          </cell>
          <cell r="B6386" t="str">
            <v>הוצאות דאר</v>
          </cell>
          <cell r="C6386">
            <v>0</v>
          </cell>
          <cell r="D6386">
            <v>0</v>
          </cell>
          <cell r="E6386">
            <v>0</v>
          </cell>
          <cell r="F6386">
            <v>0</v>
          </cell>
          <cell r="G6386">
            <v>0</v>
          </cell>
          <cell r="H6386">
            <v>0</v>
          </cell>
          <cell r="I6386">
            <v>0</v>
          </cell>
          <cell r="J6386">
            <v>0</v>
          </cell>
        </row>
        <row r="6387">
          <cell r="A6387">
            <v>1848100561</v>
          </cell>
          <cell r="B6387" t="str">
            <v>שיכפולים</v>
          </cell>
          <cell r="C6387">
            <v>0</v>
          </cell>
          <cell r="D6387">
            <v>0</v>
          </cell>
          <cell r="E6387">
            <v>0</v>
          </cell>
          <cell r="F6387">
            <v>0</v>
          </cell>
          <cell r="G6387">
            <v>0</v>
          </cell>
          <cell r="H6387">
            <v>0</v>
          </cell>
          <cell r="I6387">
            <v>0</v>
          </cell>
          <cell r="J6387">
            <v>0</v>
          </cell>
        </row>
        <row r="6388">
          <cell r="A6388">
            <v>1848100742</v>
          </cell>
          <cell r="B6388" t="str">
            <v>כלים וציוד</v>
          </cell>
          <cell r="C6388">
            <v>0</v>
          </cell>
          <cell r="D6388">
            <v>0</v>
          </cell>
          <cell r="E6388">
            <v>0</v>
          </cell>
          <cell r="F6388">
            <v>0</v>
          </cell>
          <cell r="G6388">
            <v>0</v>
          </cell>
          <cell r="H6388">
            <v>0</v>
          </cell>
          <cell r="I6388">
            <v>0</v>
          </cell>
          <cell r="J6388">
            <v>0</v>
          </cell>
        </row>
        <row r="6389">
          <cell r="A6389">
            <v>1848100745</v>
          </cell>
          <cell r="B6389" t="str">
            <v>דמי פריצה - תכולה</v>
          </cell>
          <cell r="C6389">
            <v>0</v>
          </cell>
          <cell r="D6389">
            <v>0</v>
          </cell>
          <cell r="E6389">
            <v>0</v>
          </cell>
          <cell r="F6389">
            <v>0</v>
          </cell>
          <cell r="G6389">
            <v>0</v>
          </cell>
          <cell r="H6389">
            <v>0</v>
          </cell>
          <cell r="I6389">
            <v>0</v>
          </cell>
          <cell r="J6389">
            <v>0</v>
          </cell>
        </row>
        <row r="6390">
          <cell r="A6390">
            <v>1848100751</v>
          </cell>
          <cell r="B6390" t="str">
            <v>עבודות קבלניות</v>
          </cell>
          <cell r="C6390">
            <v>0</v>
          </cell>
          <cell r="D6390">
            <v>0</v>
          </cell>
          <cell r="E6390">
            <v>0</v>
          </cell>
          <cell r="F6390">
            <v>0</v>
          </cell>
          <cell r="G6390">
            <v>0</v>
          </cell>
          <cell r="H6390">
            <v>0</v>
          </cell>
          <cell r="I6390">
            <v>0</v>
          </cell>
          <cell r="J6390">
            <v>0</v>
          </cell>
        </row>
        <row r="6391">
          <cell r="A6391">
            <v>1848100752</v>
          </cell>
          <cell r="B6391" t="str">
            <v>נקיון בקבלנות</v>
          </cell>
          <cell r="C6391">
            <v>14250</v>
          </cell>
          <cell r="D6391">
            <v>14574.69</v>
          </cell>
          <cell r="E6391">
            <v>0</v>
          </cell>
          <cell r="F6391">
            <v>14574.69</v>
          </cell>
          <cell r="G6391">
            <v>-324.69</v>
          </cell>
          <cell r="H6391">
            <v>102.27</v>
          </cell>
          <cell r="I6391">
            <v>15000</v>
          </cell>
          <cell r="J6391">
            <v>14574.69</v>
          </cell>
        </row>
        <row r="6392">
          <cell r="A6392">
            <v>1848100753</v>
          </cell>
          <cell r="B6392" t="str">
            <v>קידום נוער</v>
          </cell>
          <cell r="C6392">
            <v>0</v>
          </cell>
          <cell r="D6392">
            <v>0</v>
          </cell>
          <cell r="E6392">
            <v>0</v>
          </cell>
          <cell r="F6392">
            <v>0</v>
          </cell>
          <cell r="G6392">
            <v>0</v>
          </cell>
          <cell r="H6392">
            <v>0</v>
          </cell>
          <cell r="I6392">
            <v>0</v>
          </cell>
          <cell r="J6392">
            <v>0</v>
          </cell>
        </row>
        <row r="6393">
          <cell r="A6393">
            <v>1848100781</v>
          </cell>
          <cell r="B6393" t="str">
            <v>פע' משפ' חד-הוריות</v>
          </cell>
          <cell r="C6393">
            <v>6650</v>
          </cell>
          <cell r="D6393">
            <v>6934</v>
          </cell>
          <cell r="E6393">
            <v>0</v>
          </cell>
          <cell r="F6393">
            <v>6934</v>
          </cell>
          <cell r="G6393">
            <v>-284</v>
          </cell>
          <cell r="H6393">
            <v>104.27</v>
          </cell>
          <cell r="I6393">
            <v>7000</v>
          </cell>
          <cell r="J6393">
            <v>6934</v>
          </cell>
        </row>
        <row r="6394">
          <cell r="A6394">
            <v>1848100782</v>
          </cell>
          <cell r="B6394" t="str">
            <v>טקס מגן רה"ע-מתנדב</v>
          </cell>
          <cell r="C6394">
            <v>0</v>
          </cell>
          <cell r="D6394">
            <v>0</v>
          </cell>
          <cell r="E6394">
            <v>0</v>
          </cell>
          <cell r="F6394">
            <v>0</v>
          </cell>
          <cell r="G6394">
            <v>0</v>
          </cell>
          <cell r="H6394">
            <v>0</v>
          </cell>
          <cell r="I6394">
            <v>0</v>
          </cell>
          <cell r="J6394">
            <v>0</v>
          </cell>
        </row>
        <row r="6395">
          <cell r="A6395">
            <v>1848100783</v>
          </cell>
          <cell r="B6395" t="str">
            <v>ארוע שנתי למתנדבים</v>
          </cell>
          <cell r="C6395">
            <v>0</v>
          </cell>
          <cell r="D6395">
            <v>0</v>
          </cell>
          <cell r="E6395">
            <v>0</v>
          </cell>
          <cell r="F6395">
            <v>0</v>
          </cell>
          <cell r="G6395">
            <v>0</v>
          </cell>
          <cell r="H6395">
            <v>0</v>
          </cell>
          <cell r="I6395">
            <v>0</v>
          </cell>
          <cell r="J6395">
            <v>0</v>
          </cell>
        </row>
        <row r="6396">
          <cell r="A6396">
            <v>1848100784</v>
          </cell>
          <cell r="B6396" t="str">
            <v>פע' בקהילה+התנדבות</v>
          </cell>
          <cell r="C6396">
            <v>16000</v>
          </cell>
          <cell r="D6396">
            <v>6296.88</v>
          </cell>
          <cell r="E6396">
            <v>3230.29</v>
          </cell>
          <cell r="F6396">
            <v>9527.17</v>
          </cell>
          <cell r="G6396">
            <v>6472.83</v>
          </cell>
          <cell r="H6396">
            <v>59.54</v>
          </cell>
          <cell r="I6396">
            <v>16000</v>
          </cell>
          <cell r="J6396">
            <v>6296.88</v>
          </cell>
        </row>
        <row r="6397">
          <cell r="A6397">
            <v>1848100785</v>
          </cell>
          <cell r="B6397" t="str">
            <v>מוטב יחדיו</v>
          </cell>
          <cell r="C6397">
            <v>0</v>
          </cell>
          <cell r="D6397">
            <v>0</v>
          </cell>
          <cell r="E6397">
            <v>0</v>
          </cell>
          <cell r="F6397">
            <v>0</v>
          </cell>
          <cell r="G6397">
            <v>0</v>
          </cell>
          <cell r="H6397">
            <v>0</v>
          </cell>
          <cell r="I6397">
            <v>0</v>
          </cell>
          <cell r="J6397">
            <v>0</v>
          </cell>
        </row>
        <row r="6398">
          <cell r="A6398">
            <v>1848100786</v>
          </cell>
          <cell r="B6398" t="str">
            <v>פעילות לקהילה האתיופית</v>
          </cell>
          <cell r="C6398">
            <v>0</v>
          </cell>
          <cell r="D6398">
            <v>0</v>
          </cell>
          <cell r="E6398">
            <v>0</v>
          </cell>
          <cell r="F6398">
            <v>0</v>
          </cell>
          <cell r="G6398">
            <v>0</v>
          </cell>
          <cell r="H6398">
            <v>0</v>
          </cell>
          <cell r="I6398">
            <v>0</v>
          </cell>
          <cell r="J6398">
            <v>0</v>
          </cell>
        </row>
        <row r="6399">
          <cell r="A6399">
            <v>1848100787</v>
          </cell>
          <cell r="B6399" t="str">
            <v>מרכז גישור</v>
          </cell>
          <cell r="C6399">
            <v>84550</v>
          </cell>
          <cell r="D6399">
            <v>21907.82</v>
          </cell>
          <cell r="E6399">
            <v>0</v>
          </cell>
          <cell r="F6399">
            <v>21907.82</v>
          </cell>
          <cell r="G6399">
            <v>62642.18</v>
          </cell>
          <cell r="H6399">
            <v>25.91</v>
          </cell>
          <cell r="I6399">
            <v>89000</v>
          </cell>
          <cell r="J6399">
            <v>21907.82</v>
          </cell>
        </row>
        <row r="6400">
          <cell r="A6400">
            <v>1848100811</v>
          </cell>
          <cell r="B6400" t="str">
            <v>פעולות התנדבות</v>
          </cell>
          <cell r="C6400">
            <v>47500</v>
          </cell>
          <cell r="D6400">
            <v>12594.23</v>
          </cell>
          <cell r="E6400">
            <v>3000</v>
          </cell>
          <cell r="F6400">
            <v>15594.23</v>
          </cell>
          <cell r="G6400">
            <v>31905.77</v>
          </cell>
          <cell r="H6400">
            <v>32.82</v>
          </cell>
          <cell r="I6400">
            <v>50000</v>
          </cell>
          <cell r="J6400">
            <v>12594.23</v>
          </cell>
        </row>
        <row r="6401">
          <cell r="A6401">
            <v>1848100812</v>
          </cell>
          <cell r="B6401" t="str">
            <v>פרוייקט עוצמה</v>
          </cell>
          <cell r="C6401">
            <v>255000</v>
          </cell>
          <cell r="D6401">
            <v>231313.35</v>
          </cell>
          <cell r="E6401">
            <v>5505.6</v>
          </cell>
          <cell r="F6401">
            <v>236818.95</v>
          </cell>
          <cell r="G6401">
            <v>18181.05</v>
          </cell>
          <cell r="H6401">
            <v>92.87</v>
          </cell>
          <cell r="I6401">
            <v>255000</v>
          </cell>
          <cell r="J6401">
            <v>231313.35</v>
          </cell>
        </row>
        <row r="6402">
          <cell r="A6402">
            <v>1848100813</v>
          </cell>
          <cell r="B6402" t="str">
            <v>אחזקת מרכז'קהילתים</v>
          </cell>
          <cell r="C6402">
            <v>18050</v>
          </cell>
          <cell r="D6402">
            <v>0</v>
          </cell>
          <cell r="E6402">
            <v>0</v>
          </cell>
          <cell r="F6402">
            <v>0</v>
          </cell>
          <cell r="G6402">
            <v>18050</v>
          </cell>
          <cell r="H6402">
            <v>0</v>
          </cell>
          <cell r="I6402">
            <v>19000</v>
          </cell>
          <cell r="J6402">
            <v>0</v>
          </cell>
        </row>
        <row r="6403">
          <cell r="A6403">
            <v>1848100814</v>
          </cell>
          <cell r="B6403" t="str">
            <v>סל תכניות התנדבות</v>
          </cell>
          <cell r="C6403">
            <v>0</v>
          </cell>
          <cell r="D6403">
            <v>0</v>
          </cell>
          <cell r="E6403">
            <v>0</v>
          </cell>
          <cell r="F6403">
            <v>0</v>
          </cell>
          <cell r="G6403">
            <v>0</v>
          </cell>
          <cell r="H6403">
            <v>0</v>
          </cell>
          <cell r="I6403">
            <v>0</v>
          </cell>
          <cell r="J6403">
            <v>0</v>
          </cell>
        </row>
        <row r="6404">
          <cell r="A6404">
            <v>1848100815</v>
          </cell>
          <cell r="B6404" t="str">
            <v>טיפול נשים בקהילה</v>
          </cell>
          <cell r="C6404">
            <v>0</v>
          </cell>
          <cell r="D6404">
            <v>0</v>
          </cell>
          <cell r="E6404">
            <v>0</v>
          </cell>
          <cell r="F6404">
            <v>0</v>
          </cell>
          <cell r="G6404">
            <v>0</v>
          </cell>
          <cell r="H6404">
            <v>0</v>
          </cell>
          <cell r="I6404">
            <v>0</v>
          </cell>
          <cell r="J6404">
            <v>0</v>
          </cell>
        </row>
        <row r="6405">
          <cell r="A6405">
            <v>1848100816</v>
          </cell>
          <cell r="B6405" t="str">
            <v>לשכת ייעוץ לאזרח</v>
          </cell>
          <cell r="C6405">
            <v>19000</v>
          </cell>
          <cell r="D6405">
            <v>6269.29</v>
          </cell>
          <cell r="E6405">
            <v>714</v>
          </cell>
          <cell r="F6405">
            <v>6983.29</v>
          </cell>
          <cell r="G6405">
            <v>12016.71</v>
          </cell>
          <cell r="H6405">
            <v>36.75</v>
          </cell>
          <cell r="I6405">
            <v>20000</v>
          </cell>
          <cell r="J6405">
            <v>6269.29</v>
          </cell>
        </row>
        <row r="6406">
          <cell r="A6406">
            <v>1848100817</v>
          </cell>
          <cell r="B6406" t="str">
            <v>פ. קהילתי גאוגרפי</v>
          </cell>
          <cell r="C6406">
            <v>0</v>
          </cell>
          <cell r="D6406">
            <v>0</v>
          </cell>
          <cell r="E6406">
            <v>0</v>
          </cell>
          <cell r="F6406">
            <v>0</v>
          </cell>
          <cell r="G6406">
            <v>0</v>
          </cell>
          <cell r="H6406">
            <v>0</v>
          </cell>
          <cell r="I6406">
            <v>0</v>
          </cell>
          <cell r="J6406">
            <v>0</v>
          </cell>
        </row>
        <row r="6407">
          <cell r="A6407">
            <v>1848100841</v>
          </cell>
          <cell r="B6407" t="str">
            <v>מוטב יחדיו</v>
          </cell>
          <cell r="C6407">
            <v>0</v>
          </cell>
          <cell r="D6407">
            <v>0</v>
          </cell>
          <cell r="E6407">
            <v>0</v>
          </cell>
          <cell r="F6407">
            <v>0</v>
          </cell>
          <cell r="G6407">
            <v>0</v>
          </cell>
          <cell r="H6407">
            <v>0</v>
          </cell>
          <cell r="I6407">
            <v>0</v>
          </cell>
          <cell r="J6407">
            <v>0</v>
          </cell>
        </row>
        <row r="6408">
          <cell r="A6408">
            <v>1848100842</v>
          </cell>
          <cell r="B6408" t="str">
            <v>מוקד חברתי קהילתי</v>
          </cell>
          <cell r="C6408">
            <v>0</v>
          </cell>
          <cell r="D6408">
            <v>0</v>
          </cell>
          <cell r="E6408">
            <v>0</v>
          </cell>
          <cell r="F6408">
            <v>0</v>
          </cell>
          <cell r="G6408">
            <v>0</v>
          </cell>
          <cell r="H6408">
            <v>0</v>
          </cell>
          <cell r="I6408">
            <v>0</v>
          </cell>
          <cell r="J6408">
            <v>0</v>
          </cell>
        </row>
        <row r="6409">
          <cell r="A6409">
            <v>1848100843</v>
          </cell>
          <cell r="B6409" t="str">
            <v>פע' בקהילה+התנדבות</v>
          </cell>
          <cell r="C6409">
            <v>0</v>
          </cell>
          <cell r="D6409">
            <v>0</v>
          </cell>
          <cell r="E6409">
            <v>0</v>
          </cell>
          <cell r="F6409">
            <v>0</v>
          </cell>
          <cell r="G6409">
            <v>0</v>
          </cell>
          <cell r="H6409">
            <v>0</v>
          </cell>
          <cell r="I6409">
            <v>0</v>
          </cell>
          <cell r="J6409">
            <v>0</v>
          </cell>
        </row>
        <row r="6410">
          <cell r="A6410">
            <v>1848100844</v>
          </cell>
          <cell r="B6410" t="str">
            <v>בית מתנדב</v>
          </cell>
          <cell r="C6410">
            <v>0</v>
          </cell>
          <cell r="D6410">
            <v>0</v>
          </cell>
          <cell r="E6410">
            <v>0</v>
          </cell>
          <cell r="F6410">
            <v>0</v>
          </cell>
          <cell r="G6410">
            <v>0</v>
          </cell>
          <cell r="H6410">
            <v>0</v>
          </cell>
          <cell r="I6410">
            <v>0</v>
          </cell>
          <cell r="J6410">
            <v>0</v>
          </cell>
        </row>
        <row r="6411">
          <cell r="A6411">
            <v>1848100845</v>
          </cell>
          <cell r="B6411" t="str">
            <v>טקס מגן רה"ע-מתנדב</v>
          </cell>
          <cell r="C6411">
            <v>0</v>
          </cell>
          <cell r="D6411">
            <v>0</v>
          </cell>
          <cell r="E6411">
            <v>0</v>
          </cell>
          <cell r="F6411">
            <v>0</v>
          </cell>
          <cell r="G6411">
            <v>0</v>
          </cell>
          <cell r="H6411">
            <v>0</v>
          </cell>
          <cell r="I6411">
            <v>0</v>
          </cell>
          <cell r="J6411">
            <v>0</v>
          </cell>
        </row>
        <row r="6412">
          <cell r="A6412">
            <v>1848100846</v>
          </cell>
          <cell r="B6412" t="str">
            <v>ארוע שנתי למתנדבים</v>
          </cell>
          <cell r="C6412">
            <v>0</v>
          </cell>
          <cell r="D6412">
            <v>0</v>
          </cell>
          <cell r="E6412">
            <v>0</v>
          </cell>
          <cell r="F6412">
            <v>0</v>
          </cell>
          <cell r="G6412">
            <v>0</v>
          </cell>
          <cell r="H6412">
            <v>0</v>
          </cell>
          <cell r="I6412">
            <v>0</v>
          </cell>
          <cell r="J6412">
            <v>0</v>
          </cell>
        </row>
        <row r="6413">
          <cell r="A6413">
            <v>1848100847</v>
          </cell>
          <cell r="B6413" t="str">
            <v>מועדון עולי סוריה</v>
          </cell>
          <cell r="C6413">
            <v>0</v>
          </cell>
          <cell r="D6413">
            <v>0</v>
          </cell>
          <cell r="E6413">
            <v>0</v>
          </cell>
          <cell r="F6413">
            <v>0</v>
          </cell>
          <cell r="G6413">
            <v>0</v>
          </cell>
          <cell r="H6413">
            <v>0</v>
          </cell>
          <cell r="I6413">
            <v>0</v>
          </cell>
          <cell r="J6413">
            <v>0</v>
          </cell>
        </row>
        <row r="6414">
          <cell r="A6414">
            <v>1848100850</v>
          </cell>
          <cell r="B6414" t="str">
            <v>שירות לאומי</v>
          </cell>
          <cell r="C6414">
            <v>0</v>
          </cell>
          <cell r="D6414">
            <v>0</v>
          </cell>
          <cell r="E6414">
            <v>0</v>
          </cell>
          <cell r="F6414">
            <v>0</v>
          </cell>
          <cell r="G6414">
            <v>0</v>
          </cell>
          <cell r="H6414">
            <v>0</v>
          </cell>
          <cell r="I6414">
            <v>0</v>
          </cell>
          <cell r="J6414">
            <v>0</v>
          </cell>
        </row>
        <row r="6415">
          <cell r="A6415">
            <v>1848100931</v>
          </cell>
          <cell r="B6415" t="str">
            <v>רכישות חד פעמיות</v>
          </cell>
          <cell r="C6415">
            <v>12825</v>
          </cell>
          <cell r="D6415">
            <v>9878.06</v>
          </cell>
          <cell r="E6415">
            <v>261.58999999999997</v>
          </cell>
          <cell r="F6415">
            <v>10139.65</v>
          </cell>
          <cell r="G6415">
            <v>2685.35</v>
          </cell>
          <cell r="H6415">
            <v>79.06</v>
          </cell>
          <cell r="I6415">
            <v>13500</v>
          </cell>
          <cell r="J6415">
            <v>9878.06</v>
          </cell>
        </row>
        <row r="6416">
          <cell r="A6416">
            <v>1851000412</v>
          </cell>
          <cell r="B6416" t="str">
            <v>ארנונה-מועצה דתית</v>
          </cell>
          <cell r="C6416">
            <v>0</v>
          </cell>
          <cell r="D6416">
            <v>0</v>
          </cell>
          <cell r="E6416">
            <v>0</v>
          </cell>
          <cell r="F6416">
            <v>0</v>
          </cell>
          <cell r="G6416">
            <v>0</v>
          </cell>
          <cell r="H6416">
            <v>0</v>
          </cell>
          <cell r="I6416">
            <v>0</v>
          </cell>
          <cell r="J6416">
            <v>0</v>
          </cell>
        </row>
        <row r="6417">
          <cell r="A6417">
            <v>1851000432</v>
          </cell>
          <cell r="B6417" t="str">
            <v>מים-המועצה הדתית</v>
          </cell>
          <cell r="C6417">
            <v>0</v>
          </cell>
          <cell r="D6417">
            <v>0</v>
          </cell>
          <cell r="E6417">
            <v>0</v>
          </cell>
          <cell r="F6417">
            <v>0</v>
          </cell>
          <cell r="G6417">
            <v>0</v>
          </cell>
          <cell r="H6417">
            <v>0</v>
          </cell>
          <cell r="I6417">
            <v>0</v>
          </cell>
          <cell r="J6417">
            <v>0</v>
          </cell>
        </row>
        <row r="6418">
          <cell r="A6418">
            <v>1851000691</v>
          </cell>
          <cell r="B6418" t="str">
            <v>החזר מלוות</v>
          </cell>
          <cell r="C6418">
            <v>0</v>
          </cell>
          <cell r="D6418">
            <v>0</v>
          </cell>
          <cell r="E6418">
            <v>0</v>
          </cell>
          <cell r="F6418">
            <v>0</v>
          </cell>
          <cell r="G6418">
            <v>0</v>
          </cell>
          <cell r="H6418">
            <v>0</v>
          </cell>
          <cell r="I6418">
            <v>0</v>
          </cell>
          <cell r="J6418">
            <v>0</v>
          </cell>
        </row>
        <row r="6419">
          <cell r="A6419">
            <v>1851000811</v>
          </cell>
          <cell r="B6419" t="str">
            <v>השתת'בתקציב המועצה</v>
          </cell>
          <cell r="C6419">
            <v>8471450</v>
          </cell>
          <cell r="D6419">
            <v>8471449</v>
          </cell>
          <cell r="E6419">
            <v>0</v>
          </cell>
          <cell r="F6419">
            <v>8471449</v>
          </cell>
          <cell r="G6419">
            <v>1</v>
          </cell>
          <cell r="H6419">
            <v>99.99</v>
          </cell>
          <cell r="I6419">
            <v>8471450</v>
          </cell>
          <cell r="J6419">
            <v>8471449</v>
          </cell>
        </row>
        <row r="6420">
          <cell r="A6420">
            <v>1851000812</v>
          </cell>
          <cell r="B6420" t="str">
            <v>השתתפויות חד-פעמיות</v>
          </cell>
          <cell r="C6420">
            <v>0</v>
          </cell>
          <cell r="D6420">
            <v>0</v>
          </cell>
          <cell r="E6420">
            <v>0</v>
          </cell>
          <cell r="F6420">
            <v>0</v>
          </cell>
          <cell r="G6420">
            <v>0</v>
          </cell>
          <cell r="H6420">
            <v>0</v>
          </cell>
          <cell r="I6420">
            <v>0</v>
          </cell>
          <cell r="J6420">
            <v>0</v>
          </cell>
        </row>
        <row r="6421">
          <cell r="A6421">
            <v>1851000813</v>
          </cell>
          <cell r="B6421" t="str">
            <v>ארנונה-מועצה דתית</v>
          </cell>
          <cell r="C6421">
            <v>38000</v>
          </cell>
          <cell r="D6421">
            <v>39425.410000000003</v>
          </cell>
          <cell r="E6421">
            <v>0</v>
          </cell>
          <cell r="F6421">
            <v>39425.410000000003</v>
          </cell>
          <cell r="G6421">
            <v>-1425.41</v>
          </cell>
          <cell r="H6421">
            <v>103.75</v>
          </cell>
          <cell r="I6421">
            <v>40000</v>
          </cell>
          <cell r="J6421">
            <v>39425.410000000003</v>
          </cell>
        </row>
        <row r="6422">
          <cell r="A6422">
            <v>1851000814</v>
          </cell>
          <cell r="B6422" t="str">
            <v>מים-מועצה דתית</v>
          </cell>
          <cell r="C6422">
            <v>0</v>
          </cell>
          <cell r="D6422">
            <v>0</v>
          </cell>
          <cell r="E6422">
            <v>0</v>
          </cell>
          <cell r="F6422">
            <v>0</v>
          </cell>
          <cell r="G6422">
            <v>0</v>
          </cell>
          <cell r="H6422">
            <v>0</v>
          </cell>
          <cell r="I6422">
            <v>0</v>
          </cell>
          <cell r="J6422">
            <v>0</v>
          </cell>
        </row>
        <row r="6423">
          <cell r="A6423">
            <v>1851000832</v>
          </cell>
          <cell r="B6423" t="str">
            <v>מים-כיבוי אש</v>
          </cell>
          <cell r="C6423">
            <v>0</v>
          </cell>
          <cell r="D6423">
            <v>0</v>
          </cell>
          <cell r="E6423">
            <v>0</v>
          </cell>
          <cell r="F6423">
            <v>0</v>
          </cell>
          <cell r="G6423">
            <v>0</v>
          </cell>
          <cell r="H6423">
            <v>0</v>
          </cell>
          <cell r="I6423">
            <v>0</v>
          </cell>
          <cell r="J6423">
            <v>0</v>
          </cell>
        </row>
        <row r="6424">
          <cell r="A6424">
            <v>1851000961</v>
          </cell>
          <cell r="B6424" t="str">
            <v>רז' פעולות ורכישות</v>
          </cell>
          <cell r="C6424">
            <v>0</v>
          </cell>
          <cell r="D6424">
            <v>0</v>
          </cell>
          <cell r="E6424">
            <v>0</v>
          </cell>
          <cell r="F6424">
            <v>0</v>
          </cell>
          <cell r="G6424">
            <v>0</v>
          </cell>
          <cell r="H6424">
            <v>0</v>
          </cell>
          <cell r="I6424">
            <v>0</v>
          </cell>
          <cell r="J6424">
            <v>0</v>
          </cell>
        </row>
        <row r="6425">
          <cell r="A6425">
            <v>1851000981</v>
          </cell>
          <cell r="B6425" t="str">
            <v>הוצ' משנים קודמות</v>
          </cell>
          <cell r="C6425">
            <v>528770</v>
          </cell>
          <cell r="D6425">
            <v>556600</v>
          </cell>
          <cell r="E6425">
            <v>0</v>
          </cell>
          <cell r="F6425">
            <v>556600</v>
          </cell>
          <cell r="G6425">
            <v>-27830</v>
          </cell>
          <cell r="H6425">
            <v>105.26</v>
          </cell>
          <cell r="I6425">
            <v>556600</v>
          </cell>
          <cell r="J6425">
            <v>556600</v>
          </cell>
        </row>
        <row r="6426">
          <cell r="A6426">
            <v>1859000810</v>
          </cell>
          <cell r="B6426" t="str">
            <v>השת'-עדה השומרונית</v>
          </cell>
          <cell r="C6426">
            <v>38950</v>
          </cell>
          <cell r="D6426">
            <v>41000</v>
          </cell>
          <cell r="E6426">
            <v>0</v>
          </cell>
          <cell r="F6426">
            <v>41000</v>
          </cell>
          <cell r="G6426">
            <v>-2050</v>
          </cell>
          <cell r="H6426">
            <v>105.26</v>
          </cell>
          <cell r="I6426">
            <v>41000</v>
          </cell>
          <cell r="J6426">
            <v>41000</v>
          </cell>
        </row>
        <row r="6427">
          <cell r="A6427">
            <v>1859000811</v>
          </cell>
          <cell r="B6427" t="str">
            <v>א.ב. חדשות השומרונים</v>
          </cell>
          <cell r="C6427">
            <v>19000</v>
          </cell>
          <cell r="D6427">
            <v>20000</v>
          </cell>
          <cell r="E6427">
            <v>0</v>
          </cell>
          <cell r="F6427">
            <v>20000</v>
          </cell>
          <cell r="G6427">
            <v>-1000</v>
          </cell>
          <cell r="H6427">
            <v>105.26</v>
          </cell>
          <cell r="I6427">
            <v>20000</v>
          </cell>
          <cell r="J6427">
            <v>20000</v>
          </cell>
        </row>
        <row r="6428">
          <cell r="A6428">
            <v>1868000110</v>
          </cell>
          <cell r="B6428" t="str">
            <v>השכר הקובע-תקציבית</v>
          </cell>
          <cell r="C6428">
            <v>0</v>
          </cell>
          <cell r="D6428">
            <v>0</v>
          </cell>
          <cell r="E6428">
            <v>0</v>
          </cell>
          <cell r="F6428">
            <v>0</v>
          </cell>
          <cell r="G6428">
            <v>0</v>
          </cell>
          <cell r="H6428">
            <v>0</v>
          </cell>
          <cell r="I6428">
            <v>0</v>
          </cell>
          <cell r="J6428">
            <v>0</v>
          </cell>
        </row>
        <row r="6429">
          <cell r="A6429">
            <v>1868000119</v>
          </cell>
          <cell r="B6429" t="str">
            <v>השכר הקובע-צוברת</v>
          </cell>
          <cell r="C6429">
            <v>1396120</v>
          </cell>
          <cell r="D6429">
            <v>1480042.72</v>
          </cell>
          <cell r="E6429">
            <v>0</v>
          </cell>
          <cell r="F6429">
            <v>1480042.72</v>
          </cell>
          <cell r="G6429">
            <v>-83922.72</v>
          </cell>
          <cell r="H6429">
            <v>106.01</v>
          </cell>
          <cell r="I6429">
            <v>1469600</v>
          </cell>
          <cell r="J6429">
            <v>1480042.72</v>
          </cell>
        </row>
        <row r="6430">
          <cell r="A6430">
            <v>1868000122</v>
          </cell>
          <cell r="B6430" t="str">
            <v>ביגוד</v>
          </cell>
          <cell r="C6430">
            <v>0</v>
          </cell>
          <cell r="D6430">
            <v>0</v>
          </cell>
          <cell r="E6430">
            <v>0</v>
          </cell>
          <cell r="F6430">
            <v>0</v>
          </cell>
          <cell r="G6430">
            <v>0</v>
          </cell>
          <cell r="H6430">
            <v>0</v>
          </cell>
          <cell r="I6430">
            <v>0</v>
          </cell>
          <cell r="J6430">
            <v>0</v>
          </cell>
        </row>
        <row r="6431">
          <cell r="A6431">
            <v>1868000126</v>
          </cell>
          <cell r="B6431" t="str">
            <v>דמי הבראה</v>
          </cell>
          <cell r="C6431">
            <v>25650</v>
          </cell>
          <cell r="D6431">
            <v>35538.120000000003</v>
          </cell>
          <cell r="E6431">
            <v>0</v>
          </cell>
          <cell r="F6431">
            <v>35538.120000000003</v>
          </cell>
          <cell r="G6431">
            <v>-9888.1200000000008</v>
          </cell>
          <cell r="H6431">
            <v>138.55000000000001</v>
          </cell>
          <cell r="I6431">
            <v>27000</v>
          </cell>
          <cell r="J6431">
            <v>35538.120000000003</v>
          </cell>
        </row>
        <row r="6432">
          <cell r="A6432">
            <v>1868000130</v>
          </cell>
          <cell r="B6432" t="str">
            <v>שעות נוספות</v>
          </cell>
          <cell r="C6432">
            <v>0</v>
          </cell>
          <cell r="D6432">
            <v>575.80999999999995</v>
          </cell>
          <cell r="E6432">
            <v>0</v>
          </cell>
          <cell r="F6432">
            <v>575.80999999999995</v>
          </cell>
          <cell r="G6432">
            <v>-575.80999999999995</v>
          </cell>
          <cell r="H6432">
            <v>0</v>
          </cell>
          <cell r="I6432">
            <v>0</v>
          </cell>
          <cell r="J6432">
            <v>575.80999999999995</v>
          </cell>
        </row>
        <row r="6433">
          <cell r="A6433">
            <v>1868000140</v>
          </cell>
          <cell r="B6433" t="str">
            <v>השתתפות באחזקת רכב</v>
          </cell>
          <cell r="C6433">
            <v>57000</v>
          </cell>
          <cell r="D6433">
            <v>0</v>
          </cell>
          <cell r="E6433">
            <v>0</v>
          </cell>
          <cell r="F6433">
            <v>0</v>
          </cell>
          <cell r="G6433">
            <v>57000</v>
          </cell>
          <cell r="H6433">
            <v>0</v>
          </cell>
          <cell r="I6433">
            <v>60000</v>
          </cell>
          <cell r="J6433">
            <v>0</v>
          </cell>
        </row>
        <row r="6434">
          <cell r="A6434">
            <v>1868000253</v>
          </cell>
          <cell r="B6434" t="str">
            <v>עובדים חיצוניים</v>
          </cell>
          <cell r="C6434">
            <v>31350</v>
          </cell>
          <cell r="D6434">
            <v>78827.320000000007</v>
          </cell>
          <cell r="E6434">
            <v>0</v>
          </cell>
          <cell r="F6434">
            <v>78827.320000000007</v>
          </cell>
          <cell r="G6434">
            <v>-47477.32</v>
          </cell>
          <cell r="H6434">
            <v>251.44</v>
          </cell>
          <cell r="I6434">
            <v>33000</v>
          </cell>
          <cell r="J6434">
            <v>78827.320000000007</v>
          </cell>
        </row>
        <row r="6435">
          <cell r="A6435">
            <v>1868000263</v>
          </cell>
          <cell r="B6435" t="str">
            <v>עובדי חברת מוסדות</v>
          </cell>
          <cell r="C6435">
            <v>0</v>
          </cell>
          <cell r="D6435">
            <v>0</v>
          </cell>
          <cell r="E6435">
            <v>0</v>
          </cell>
          <cell r="F6435">
            <v>0</v>
          </cell>
          <cell r="G6435">
            <v>0</v>
          </cell>
          <cell r="H6435">
            <v>0</v>
          </cell>
          <cell r="I6435">
            <v>0</v>
          </cell>
          <cell r="J6435">
            <v>0</v>
          </cell>
        </row>
        <row r="6436">
          <cell r="A6436">
            <v>1868000391</v>
          </cell>
          <cell r="B6436" t="str">
            <v>הפרשה לפנסיה</v>
          </cell>
          <cell r="C6436">
            <v>0</v>
          </cell>
          <cell r="D6436">
            <v>0</v>
          </cell>
          <cell r="E6436">
            <v>0</v>
          </cell>
          <cell r="F6436">
            <v>0</v>
          </cell>
          <cell r="G6436">
            <v>0</v>
          </cell>
          <cell r="H6436">
            <v>0</v>
          </cell>
          <cell r="I6436">
            <v>0</v>
          </cell>
          <cell r="J6436">
            <v>0</v>
          </cell>
        </row>
        <row r="6437">
          <cell r="A6437">
            <v>1868000410</v>
          </cell>
          <cell r="B6437" t="str">
            <v>שכירת חדרים</v>
          </cell>
          <cell r="C6437">
            <v>0</v>
          </cell>
          <cell r="D6437">
            <v>0</v>
          </cell>
          <cell r="E6437">
            <v>0</v>
          </cell>
          <cell r="F6437">
            <v>0</v>
          </cell>
          <cell r="G6437">
            <v>0</v>
          </cell>
          <cell r="H6437">
            <v>0</v>
          </cell>
          <cell r="I6437">
            <v>0</v>
          </cell>
          <cell r="J6437">
            <v>0</v>
          </cell>
        </row>
        <row r="6438">
          <cell r="A6438">
            <v>1868000423</v>
          </cell>
          <cell r="B6438" t="str">
            <v>תחזוקת מבנה</v>
          </cell>
          <cell r="C6438">
            <v>17005</v>
          </cell>
          <cell r="D6438">
            <v>17900</v>
          </cell>
          <cell r="E6438">
            <v>0</v>
          </cell>
          <cell r="F6438">
            <v>17900</v>
          </cell>
          <cell r="G6438">
            <v>-895</v>
          </cell>
          <cell r="H6438">
            <v>105.26</v>
          </cell>
          <cell r="I6438">
            <v>17900</v>
          </cell>
          <cell r="J6438">
            <v>17900</v>
          </cell>
        </row>
        <row r="6439">
          <cell r="A6439">
            <v>1868000431</v>
          </cell>
          <cell r="B6439" t="str">
            <v>חשמל</v>
          </cell>
          <cell r="C6439">
            <v>27500</v>
          </cell>
          <cell r="D6439">
            <v>41310.1</v>
          </cell>
          <cell r="E6439">
            <v>0</v>
          </cell>
          <cell r="F6439">
            <v>41310.1</v>
          </cell>
          <cell r="G6439">
            <v>-13810.1</v>
          </cell>
          <cell r="H6439">
            <v>150.21</v>
          </cell>
          <cell r="I6439">
            <v>27500</v>
          </cell>
          <cell r="J6439">
            <v>41310.1</v>
          </cell>
        </row>
        <row r="6440">
          <cell r="A6440">
            <v>1868000432</v>
          </cell>
          <cell r="B6440" t="str">
            <v>מים</v>
          </cell>
          <cell r="C6440">
            <v>14250</v>
          </cell>
          <cell r="D6440">
            <v>0</v>
          </cell>
          <cell r="E6440">
            <v>0</v>
          </cell>
          <cell r="F6440">
            <v>0</v>
          </cell>
          <cell r="G6440">
            <v>14250</v>
          </cell>
          <cell r="H6440">
            <v>0</v>
          </cell>
          <cell r="I6440">
            <v>15000</v>
          </cell>
          <cell r="J6440">
            <v>0</v>
          </cell>
        </row>
        <row r="6441">
          <cell r="A6441">
            <v>1868000433</v>
          </cell>
          <cell r="B6441" t="str">
            <v>חומרי נקיון</v>
          </cell>
          <cell r="C6441">
            <v>760</v>
          </cell>
          <cell r="D6441">
            <v>427.7</v>
          </cell>
          <cell r="E6441">
            <v>0</v>
          </cell>
          <cell r="F6441">
            <v>427.7</v>
          </cell>
          <cell r="G6441">
            <v>332.3</v>
          </cell>
          <cell r="H6441">
            <v>56.27</v>
          </cell>
          <cell r="I6441">
            <v>800</v>
          </cell>
          <cell r="J6441">
            <v>427.7</v>
          </cell>
        </row>
        <row r="6442">
          <cell r="A6442">
            <v>1868000437</v>
          </cell>
          <cell r="B6442" t="str">
            <v>אחזקת אזעקה</v>
          </cell>
          <cell r="C6442">
            <v>2500</v>
          </cell>
          <cell r="D6442">
            <v>2442.96</v>
          </cell>
          <cell r="E6442">
            <v>0</v>
          </cell>
          <cell r="F6442">
            <v>2442.96</v>
          </cell>
          <cell r="G6442">
            <v>57.04</v>
          </cell>
          <cell r="H6442">
            <v>97.71</v>
          </cell>
          <cell r="I6442">
            <v>2500</v>
          </cell>
          <cell r="J6442">
            <v>2442.96</v>
          </cell>
        </row>
        <row r="6443">
          <cell r="A6443">
            <v>1868000471</v>
          </cell>
          <cell r="B6443" t="str">
            <v>מכשירי כתיבה</v>
          </cell>
          <cell r="C6443">
            <v>855</v>
          </cell>
          <cell r="D6443">
            <v>897.77</v>
          </cell>
          <cell r="E6443">
            <v>0</v>
          </cell>
          <cell r="F6443">
            <v>897.77</v>
          </cell>
          <cell r="G6443">
            <v>-42.77</v>
          </cell>
          <cell r="H6443">
            <v>105</v>
          </cell>
          <cell r="I6443">
            <v>900</v>
          </cell>
          <cell r="J6443">
            <v>897.77</v>
          </cell>
        </row>
        <row r="6444">
          <cell r="A6444">
            <v>1868000511</v>
          </cell>
          <cell r="B6444" t="str">
            <v>אירוח וכיבוד</v>
          </cell>
          <cell r="C6444">
            <v>0</v>
          </cell>
          <cell r="D6444">
            <v>0</v>
          </cell>
          <cell r="E6444">
            <v>0</v>
          </cell>
          <cell r="F6444">
            <v>0</v>
          </cell>
          <cell r="G6444">
            <v>0</v>
          </cell>
          <cell r="H6444">
            <v>0</v>
          </cell>
          <cell r="I6444">
            <v>0</v>
          </cell>
          <cell r="J6444">
            <v>0</v>
          </cell>
        </row>
        <row r="6445">
          <cell r="A6445">
            <v>1868000522</v>
          </cell>
          <cell r="B6445" t="str">
            <v>ספרים</v>
          </cell>
          <cell r="C6445">
            <v>0</v>
          </cell>
          <cell r="D6445">
            <v>0</v>
          </cell>
          <cell r="E6445">
            <v>0</v>
          </cell>
          <cell r="F6445">
            <v>0</v>
          </cell>
          <cell r="G6445">
            <v>0</v>
          </cell>
          <cell r="H6445">
            <v>0</v>
          </cell>
          <cell r="I6445">
            <v>0</v>
          </cell>
          <cell r="J6445">
            <v>0</v>
          </cell>
        </row>
        <row r="6446">
          <cell r="A6446">
            <v>1868000540</v>
          </cell>
          <cell r="B6446" t="str">
            <v>הוצאות טלפון</v>
          </cell>
          <cell r="C6446">
            <v>0</v>
          </cell>
          <cell r="D6446">
            <v>0</v>
          </cell>
          <cell r="E6446">
            <v>0</v>
          </cell>
          <cell r="F6446">
            <v>0</v>
          </cell>
          <cell r="G6446">
            <v>0</v>
          </cell>
          <cell r="H6446">
            <v>0</v>
          </cell>
          <cell r="I6446">
            <v>0</v>
          </cell>
          <cell r="J6446">
            <v>0</v>
          </cell>
        </row>
        <row r="6447">
          <cell r="A6447">
            <v>1868000544</v>
          </cell>
          <cell r="B6447" t="str">
            <v>הוצאות דאר</v>
          </cell>
          <cell r="C6447">
            <v>0</v>
          </cell>
          <cell r="D6447">
            <v>0</v>
          </cell>
          <cell r="E6447">
            <v>0</v>
          </cell>
          <cell r="F6447">
            <v>0</v>
          </cell>
          <cell r="G6447">
            <v>0</v>
          </cell>
          <cell r="H6447">
            <v>0</v>
          </cell>
          <cell r="I6447">
            <v>0</v>
          </cell>
          <cell r="J6447">
            <v>0</v>
          </cell>
        </row>
        <row r="6448">
          <cell r="A6448">
            <v>1868000561</v>
          </cell>
          <cell r="B6448" t="str">
            <v>שיכפולים</v>
          </cell>
          <cell r="C6448">
            <v>0</v>
          </cell>
          <cell r="D6448">
            <v>0</v>
          </cell>
          <cell r="E6448">
            <v>0</v>
          </cell>
          <cell r="F6448">
            <v>0</v>
          </cell>
          <cell r="G6448">
            <v>0</v>
          </cell>
          <cell r="H6448">
            <v>0</v>
          </cell>
          <cell r="I6448">
            <v>0</v>
          </cell>
          <cell r="J6448">
            <v>0</v>
          </cell>
        </row>
        <row r="6449">
          <cell r="A6449">
            <v>1868000721</v>
          </cell>
          <cell r="B6449" t="str">
            <v>חמרים-תחזוקת מבנים</v>
          </cell>
          <cell r="C6449">
            <v>0</v>
          </cell>
          <cell r="D6449">
            <v>0</v>
          </cell>
          <cell r="E6449">
            <v>0</v>
          </cell>
          <cell r="F6449">
            <v>0</v>
          </cell>
          <cell r="G6449">
            <v>0</v>
          </cell>
          <cell r="H6449">
            <v>0</v>
          </cell>
          <cell r="I6449">
            <v>0</v>
          </cell>
          <cell r="J6449">
            <v>0</v>
          </cell>
        </row>
        <row r="6450">
          <cell r="A6450">
            <v>1868000722</v>
          </cell>
          <cell r="B6450" t="str">
            <v>חמרים-תחזוקה עצמית</v>
          </cell>
          <cell r="C6450">
            <v>0</v>
          </cell>
          <cell r="D6450">
            <v>0</v>
          </cell>
          <cell r="E6450">
            <v>0</v>
          </cell>
          <cell r="F6450">
            <v>0</v>
          </cell>
          <cell r="G6450">
            <v>0</v>
          </cell>
          <cell r="H6450">
            <v>0</v>
          </cell>
          <cell r="I6450">
            <v>0</v>
          </cell>
          <cell r="J6450">
            <v>0</v>
          </cell>
        </row>
        <row r="6451">
          <cell r="A6451">
            <v>1868000743</v>
          </cell>
          <cell r="B6451" t="str">
            <v>תחזוקת ציוד</v>
          </cell>
          <cell r="C6451">
            <v>0</v>
          </cell>
          <cell r="D6451">
            <v>0</v>
          </cell>
          <cell r="E6451">
            <v>0</v>
          </cell>
          <cell r="F6451">
            <v>0</v>
          </cell>
          <cell r="G6451">
            <v>0</v>
          </cell>
          <cell r="H6451">
            <v>0</v>
          </cell>
          <cell r="I6451">
            <v>0</v>
          </cell>
          <cell r="J6451">
            <v>0</v>
          </cell>
        </row>
        <row r="6452">
          <cell r="A6452">
            <v>1868000751</v>
          </cell>
          <cell r="B6452" t="str">
            <v>עבודות קבלניות</v>
          </cell>
          <cell r="C6452">
            <v>0</v>
          </cell>
          <cell r="D6452">
            <v>0</v>
          </cell>
          <cell r="E6452">
            <v>0</v>
          </cell>
          <cell r="F6452">
            <v>0</v>
          </cell>
          <cell r="G6452">
            <v>0</v>
          </cell>
          <cell r="H6452">
            <v>0</v>
          </cell>
          <cell r="I6452">
            <v>0</v>
          </cell>
          <cell r="J6452">
            <v>0</v>
          </cell>
        </row>
        <row r="6453">
          <cell r="A6453">
            <v>1868000752</v>
          </cell>
          <cell r="B6453" t="str">
            <v>נקיון בקבלנות</v>
          </cell>
          <cell r="C6453">
            <v>64600</v>
          </cell>
          <cell r="D6453">
            <v>67358.63</v>
          </cell>
          <cell r="E6453">
            <v>0</v>
          </cell>
          <cell r="F6453">
            <v>67358.63</v>
          </cell>
          <cell r="G6453">
            <v>-2758.63</v>
          </cell>
          <cell r="H6453">
            <v>104.27</v>
          </cell>
          <cell r="I6453">
            <v>68000</v>
          </cell>
          <cell r="J6453">
            <v>67358.63</v>
          </cell>
        </row>
        <row r="6454">
          <cell r="A6454">
            <v>1868000753</v>
          </cell>
          <cell r="B6454" t="str">
            <v>עובדים חיצוניים</v>
          </cell>
          <cell r="C6454">
            <v>0</v>
          </cell>
          <cell r="D6454">
            <v>0</v>
          </cell>
          <cell r="E6454">
            <v>0</v>
          </cell>
          <cell r="F6454">
            <v>0</v>
          </cell>
          <cell r="G6454">
            <v>0</v>
          </cell>
          <cell r="H6454">
            <v>0</v>
          </cell>
          <cell r="I6454">
            <v>0</v>
          </cell>
          <cell r="J6454">
            <v>0</v>
          </cell>
        </row>
        <row r="6455">
          <cell r="A6455">
            <v>1868000756</v>
          </cell>
          <cell r="B6455" t="str">
            <v>שמירה</v>
          </cell>
          <cell r="C6455">
            <v>112100</v>
          </cell>
          <cell r="D6455">
            <v>11904.37</v>
          </cell>
          <cell r="E6455">
            <v>0</v>
          </cell>
          <cell r="F6455">
            <v>11904.37</v>
          </cell>
          <cell r="G6455">
            <v>100195.63</v>
          </cell>
          <cell r="H6455">
            <v>10.61</v>
          </cell>
          <cell r="I6455">
            <v>118000</v>
          </cell>
          <cell r="J6455">
            <v>11904.37</v>
          </cell>
        </row>
        <row r="6456">
          <cell r="A6456">
            <v>1868000763</v>
          </cell>
          <cell r="B6456" t="str">
            <v>עובדי חברת מוסדות</v>
          </cell>
          <cell r="C6456">
            <v>0</v>
          </cell>
          <cell r="D6456">
            <v>0</v>
          </cell>
          <cell r="E6456">
            <v>0</v>
          </cell>
          <cell r="F6456">
            <v>0</v>
          </cell>
          <cell r="G6456">
            <v>0</v>
          </cell>
          <cell r="H6456">
            <v>0</v>
          </cell>
          <cell r="I6456">
            <v>0</v>
          </cell>
          <cell r="J6456">
            <v>0</v>
          </cell>
        </row>
        <row r="6457">
          <cell r="A6457">
            <v>1868000781</v>
          </cell>
          <cell r="B6457" t="str">
            <v>קייטנות עולים,וטרנים,פרוייקטים</v>
          </cell>
          <cell r="C6457">
            <v>164663</v>
          </cell>
          <cell r="D6457">
            <v>109637.88</v>
          </cell>
          <cell r="E6457">
            <v>0</v>
          </cell>
          <cell r="F6457">
            <v>109637.88</v>
          </cell>
          <cell r="G6457">
            <v>55025.120000000003</v>
          </cell>
          <cell r="H6457">
            <v>66.58</v>
          </cell>
          <cell r="I6457">
            <v>173329</v>
          </cell>
          <cell r="J6457">
            <v>109637.88</v>
          </cell>
        </row>
        <row r="6458">
          <cell r="A6458">
            <v>1868000782</v>
          </cell>
          <cell r="B6458" t="str">
            <v>פסטיבל ( כנגד הכנסות )</v>
          </cell>
          <cell r="C6458">
            <v>0</v>
          </cell>
          <cell r="D6458">
            <v>0</v>
          </cell>
          <cell r="E6458">
            <v>0</v>
          </cell>
          <cell r="F6458">
            <v>0</v>
          </cell>
          <cell r="G6458">
            <v>0</v>
          </cell>
          <cell r="H6458">
            <v>0</v>
          </cell>
          <cell r="I6458">
            <v>0</v>
          </cell>
          <cell r="J6458">
            <v>0</v>
          </cell>
        </row>
        <row r="6459">
          <cell r="A6459">
            <v>1868000783</v>
          </cell>
          <cell r="B6459" t="str">
            <v>עידוד העלייה</v>
          </cell>
          <cell r="C6459">
            <v>0</v>
          </cell>
          <cell r="D6459">
            <v>0</v>
          </cell>
          <cell r="E6459">
            <v>0</v>
          </cell>
          <cell r="F6459">
            <v>0</v>
          </cell>
          <cell r="G6459">
            <v>0</v>
          </cell>
          <cell r="H6459">
            <v>0</v>
          </cell>
          <cell r="I6459">
            <v>0</v>
          </cell>
          <cell r="J6459">
            <v>0</v>
          </cell>
        </row>
        <row r="6460">
          <cell r="A6460">
            <v>1868000784</v>
          </cell>
          <cell r="B6460" t="str">
            <v>פעולות שונות</v>
          </cell>
          <cell r="C6460">
            <v>169765</v>
          </cell>
          <cell r="D6460">
            <v>84540.76</v>
          </cell>
          <cell r="E6460">
            <v>3375.56</v>
          </cell>
          <cell r="F6460">
            <v>87916.32</v>
          </cell>
          <cell r="G6460">
            <v>81848.679999999993</v>
          </cell>
          <cell r="H6460">
            <v>51.78</v>
          </cell>
          <cell r="I6460">
            <v>178700</v>
          </cell>
          <cell r="J6460">
            <v>84540.76</v>
          </cell>
        </row>
        <row r="6461">
          <cell r="A6461">
            <v>1868000791</v>
          </cell>
          <cell r="B6461" t="str">
            <v>הוצאה כנגד הכנסה</v>
          </cell>
          <cell r="C6461">
            <v>7600</v>
          </cell>
          <cell r="D6461">
            <v>0</v>
          </cell>
          <cell r="E6461">
            <v>0</v>
          </cell>
          <cell r="F6461">
            <v>0</v>
          </cell>
          <cell r="G6461">
            <v>7600</v>
          </cell>
          <cell r="H6461">
            <v>0</v>
          </cell>
          <cell r="I6461">
            <v>8000</v>
          </cell>
          <cell r="J6461">
            <v>0</v>
          </cell>
        </row>
        <row r="6462">
          <cell r="A6462">
            <v>1868000794</v>
          </cell>
          <cell r="B6462" t="str">
            <v>השתתפות בעזר 094</v>
          </cell>
          <cell r="C6462">
            <v>0</v>
          </cell>
          <cell r="D6462">
            <v>0</v>
          </cell>
          <cell r="E6462">
            <v>0</v>
          </cell>
          <cell r="F6462">
            <v>0</v>
          </cell>
          <cell r="G6462">
            <v>0</v>
          </cell>
          <cell r="H6462">
            <v>0</v>
          </cell>
          <cell r="I6462">
            <v>0</v>
          </cell>
          <cell r="J6462">
            <v>0</v>
          </cell>
        </row>
        <row r="6463">
          <cell r="A6463">
            <v>1868000810</v>
          </cell>
          <cell r="B6463" t="str">
            <v>משרד הקליטה-מהכנסה</v>
          </cell>
          <cell r="C6463">
            <v>717915</v>
          </cell>
          <cell r="D6463">
            <v>414841.5</v>
          </cell>
          <cell r="E6463">
            <v>19654.57</v>
          </cell>
          <cell r="F6463">
            <v>434496.07</v>
          </cell>
          <cell r="G6463">
            <v>283418.93</v>
          </cell>
          <cell r="H6463">
            <v>60.52</v>
          </cell>
          <cell r="I6463">
            <v>755700</v>
          </cell>
          <cell r="J6463">
            <v>414841.5</v>
          </cell>
        </row>
        <row r="6464">
          <cell r="A6464">
            <v>1868000930</v>
          </cell>
          <cell r="B6464" t="str">
            <v>שילוב יוצאי אתיוםיה וונדמה</v>
          </cell>
          <cell r="C6464">
            <v>142500</v>
          </cell>
          <cell r="D6464">
            <v>36270</v>
          </cell>
          <cell r="E6464">
            <v>4000</v>
          </cell>
          <cell r="F6464">
            <v>40270</v>
          </cell>
          <cell r="G6464">
            <v>102230</v>
          </cell>
          <cell r="H6464">
            <v>28.25</v>
          </cell>
          <cell r="I6464">
            <v>150000</v>
          </cell>
          <cell r="J6464">
            <v>36270</v>
          </cell>
        </row>
        <row r="6465">
          <cell r="A6465">
            <v>1868000931</v>
          </cell>
          <cell r="B6465" t="str">
            <v>ציוד חד-פעמי</v>
          </cell>
          <cell r="C6465">
            <v>0</v>
          </cell>
          <cell r="D6465">
            <v>0</v>
          </cell>
          <cell r="E6465">
            <v>0</v>
          </cell>
          <cell r="F6465">
            <v>0</v>
          </cell>
          <cell r="G6465">
            <v>0</v>
          </cell>
          <cell r="H6465">
            <v>0</v>
          </cell>
          <cell r="I6465">
            <v>0</v>
          </cell>
          <cell r="J6465">
            <v>0</v>
          </cell>
        </row>
        <row r="6466">
          <cell r="A6466">
            <v>1868000932</v>
          </cell>
          <cell r="B6466" t="str">
            <v>רכישות (מהכנסות)</v>
          </cell>
          <cell r="C6466">
            <v>0</v>
          </cell>
          <cell r="D6466">
            <v>0</v>
          </cell>
          <cell r="E6466">
            <v>0</v>
          </cell>
          <cell r="F6466">
            <v>0</v>
          </cell>
          <cell r="G6466">
            <v>0</v>
          </cell>
          <cell r="H6466">
            <v>0</v>
          </cell>
          <cell r="I6466">
            <v>0</v>
          </cell>
          <cell r="J6466">
            <v>0</v>
          </cell>
        </row>
        <row r="6467">
          <cell r="A6467">
            <v>1868000981</v>
          </cell>
          <cell r="B6467" t="str">
            <v>הוצאות שנים קודמות</v>
          </cell>
          <cell r="C6467">
            <v>4750</v>
          </cell>
          <cell r="D6467">
            <v>4825</v>
          </cell>
          <cell r="E6467">
            <v>0</v>
          </cell>
          <cell r="F6467">
            <v>4825</v>
          </cell>
          <cell r="G6467">
            <v>-75</v>
          </cell>
          <cell r="H6467">
            <v>101.57</v>
          </cell>
          <cell r="I6467">
            <v>5000</v>
          </cell>
          <cell r="J6467">
            <v>4825</v>
          </cell>
        </row>
        <row r="6468">
          <cell r="A6468">
            <v>1869000110</v>
          </cell>
          <cell r="B6468" t="str">
            <v>השכר הקובע-תקציבית</v>
          </cell>
          <cell r="C6468">
            <v>0</v>
          </cell>
          <cell r="D6468">
            <v>0</v>
          </cell>
          <cell r="E6468">
            <v>0</v>
          </cell>
          <cell r="F6468">
            <v>0</v>
          </cell>
          <cell r="G6468">
            <v>0</v>
          </cell>
          <cell r="H6468">
            <v>0</v>
          </cell>
          <cell r="I6468">
            <v>0</v>
          </cell>
          <cell r="J6468">
            <v>0</v>
          </cell>
        </row>
        <row r="6469">
          <cell r="A6469">
            <v>1869000119</v>
          </cell>
          <cell r="B6469" t="str">
            <v>השכר הקובע-צוברת</v>
          </cell>
          <cell r="C6469">
            <v>0</v>
          </cell>
          <cell r="D6469">
            <v>0</v>
          </cell>
          <cell r="E6469">
            <v>0</v>
          </cell>
          <cell r="F6469">
            <v>0</v>
          </cell>
          <cell r="G6469">
            <v>0</v>
          </cell>
          <cell r="H6469">
            <v>0</v>
          </cell>
          <cell r="I6469">
            <v>0</v>
          </cell>
          <cell r="J6469">
            <v>0</v>
          </cell>
        </row>
        <row r="6470">
          <cell r="A6470">
            <v>1869000122</v>
          </cell>
          <cell r="B6470" t="str">
            <v>ביגוד</v>
          </cell>
          <cell r="C6470">
            <v>0</v>
          </cell>
          <cell r="D6470">
            <v>0</v>
          </cell>
          <cell r="E6470">
            <v>0</v>
          </cell>
          <cell r="F6470">
            <v>0</v>
          </cell>
          <cell r="G6470">
            <v>0</v>
          </cell>
          <cell r="H6470">
            <v>0</v>
          </cell>
          <cell r="I6470">
            <v>0</v>
          </cell>
          <cell r="J6470">
            <v>0</v>
          </cell>
        </row>
        <row r="6471">
          <cell r="A6471">
            <v>1869000126</v>
          </cell>
          <cell r="B6471" t="str">
            <v>דמי הבראה</v>
          </cell>
          <cell r="C6471">
            <v>0</v>
          </cell>
          <cell r="D6471">
            <v>0</v>
          </cell>
          <cell r="E6471">
            <v>0</v>
          </cell>
          <cell r="F6471">
            <v>0</v>
          </cell>
          <cell r="G6471">
            <v>0</v>
          </cell>
          <cell r="H6471">
            <v>0</v>
          </cell>
          <cell r="I6471">
            <v>0</v>
          </cell>
          <cell r="J6471">
            <v>0</v>
          </cell>
        </row>
        <row r="6472">
          <cell r="A6472">
            <v>1869000130</v>
          </cell>
          <cell r="B6472" t="str">
            <v>שעות נוספות</v>
          </cell>
          <cell r="C6472">
            <v>0</v>
          </cell>
          <cell r="D6472">
            <v>0</v>
          </cell>
          <cell r="E6472">
            <v>0</v>
          </cell>
          <cell r="F6472">
            <v>0</v>
          </cell>
          <cell r="G6472">
            <v>0</v>
          </cell>
          <cell r="H6472">
            <v>0</v>
          </cell>
          <cell r="I6472">
            <v>0</v>
          </cell>
          <cell r="J6472">
            <v>0</v>
          </cell>
        </row>
        <row r="6473">
          <cell r="A6473">
            <v>1869000140</v>
          </cell>
          <cell r="B6473" t="str">
            <v>השתתפות באחזקת רכב</v>
          </cell>
          <cell r="C6473">
            <v>0</v>
          </cell>
          <cell r="D6473">
            <v>0</v>
          </cell>
          <cell r="E6473">
            <v>0</v>
          </cell>
          <cell r="F6473">
            <v>0</v>
          </cell>
          <cell r="G6473">
            <v>0</v>
          </cell>
          <cell r="H6473">
            <v>0</v>
          </cell>
          <cell r="I6473">
            <v>0</v>
          </cell>
          <cell r="J6473">
            <v>0</v>
          </cell>
        </row>
        <row r="6474">
          <cell r="A6474">
            <v>1869000219</v>
          </cell>
          <cell r="B6474" t="str">
            <v>שכר קייטנת קיץ</v>
          </cell>
          <cell r="C6474">
            <v>0</v>
          </cell>
          <cell r="D6474">
            <v>0</v>
          </cell>
          <cell r="E6474">
            <v>0</v>
          </cell>
          <cell r="F6474">
            <v>0</v>
          </cell>
          <cell r="G6474">
            <v>0</v>
          </cell>
          <cell r="H6474">
            <v>0</v>
          </cell>
          <cell r="I6474">
            <v>0</v>
          </cell>
          <cell r="J6474">
            <v>0</v>
          </cell>
        </row>
        <row r="6475">
          <cell r="A6475">
            <v>1869000253</v>
          </cell>
          <cell r="B6475" t="str">
            <v>עובדים חיצוניים</v>
          </cell>
          <cell r="C6475">
            <v>0</v>
          </cell>
          <cell r="D6475">
            <v>0</v>
          </cell>
          <cell r="E6475">
            <v>0</v>
          </cell>
          <cell r="F6475">
            <v>0</v>
          </cell>
          <cell r="G6475">
            <v>0</v>
          </cell>
          <cell r="H6475">
            <v>0</v>
          </cell>
          <cell r="I6475">
            <v>0</v>
          </cell>
          <cell r="J6475">
            <v>0</v>
          </cell>
        </row>
        <row r="6476">
          <cell r="A6476">
            <v>1869000264</v>
          </cell>
          <cell r="B6476" t="str">
            <v>ע' הוראה (מהכנסות)</v>
          </cell>
          <cell r="C6476">
            <v>0</v>
          </cell>
          <cell r="D6476">
            <v>0</v>
          </cell>
          <cell r="E6476">
            <v>0</v>
          </cell>
          <cell r="F6476">
            <v>0</v>
          </cell>
          <cell r="G6476">
            <v>0</v>
          </cell>
          <cell r="H6476">
            <v>0</v>
          </cell>
          <cell r="I6476">
            <v>0</v>
          </cell>
          <cell r="J6476">
            <v>0</v>
          </cell>
        </row>
        <row r="6477">
          <cell r="A6477">
            <v>1869000391</v>
          </cell>
          <cell r="B6477" t="str">
            <v>הפרשה לפנסיה</v>
          </cell>
          <cell r="C6477">
            <v>0</v>
          </cell>
          <cell r="D6477">
            <v>0</v>
          </cell>
          <cell r="E6477">
            <v>0</v>
          </cell>
          <cell r="F6477">
            <v>0</v>
          </cell>
          <cell r="G6477">
            <v>0</v>
          </cell>
          <cell r="H6477">
            <v>0</v>
          </cell>
          <cell r="I6477">
            <v>0</v>
          </cell>
          <cell r="J6477">
            <v>0</v>
          </cell>
        </row>
        <row r="6478">
          <cell r="A6478">
            <v>1869000420</v>
          </cell>
          <cell r="B6478" t="str">
            <v>כיבוי אש</v>
          </cell>
          <cell r="C6478">
            <v>0</v>
          </cell>
          <cell r="D6478">
            <v>0</v>
          </cell>
          <cell r="E6478">
            <v>0</v>
          </cell>
          <cell r="F6478">
            <v>0</v>
          </cell>
          <cell r="G6478">
            <v>0</v>
          </cell>
          <cell r="H6478">
            <v>0</v>
          </cell>
          <cell r="I6478">
            <v>0</v>
          </cell>
          <cell r="J6478">
            <v>0</v>
          </cell>
        </row>
        <row r="6479">
          <cell r="A6479">
            <v>1869000431</v>
          </cell>
          <cell r="B6479" t="str">
            <v>חשמל</v>
          </cell>
          <cell r="C6479">
            <v>0</v>
          </cell>
          <cell r="D6479">
            <v>0</v>
          </cell>
          <cell r="E6479">
            <v>0</v>
          </cell>
          <cell r="F6479">
            <v>0</v>
          </cell>
          <cell r="G6479">
            <v>0</v>
          </cell>
          <cell r="H6479">
            <v>0</v>
          </cell>
          <cell r="I6479">
            <v>0</v>
          </cell>
          <cell r="J6479">
            <v>0</v>
          </cell>
        </row>
        <row r="6480">
          <cell r="A6480">
            <v>1869000437</v>
          </cell>
          <cell r="B6480" t="str">
            <v>אחזקת אזעקה</v>
          </cell>
          <cell r="C6480">
            <v>0</v>
          </cell>
          <cell r="D6480">
            <v>0</v>
          </cell>
          <cell r="E6480">
            <v>0</v>
          </cell>
          <cell r="F6480">
            <v>0</v>
          </cell>
          <cell r="G6480">
            <v>0</v>
          </cell>
          <cell r="H6480">
            <v>0</v>
          </cell>
          <cell r="I6480">
            <v>0</v>
          </cell>
          <cell r="J6480">
            <v>0</v>
          </cell>
        </row>
        <row r="6481">
          <cell r="A6481">
            <v>1869000441</v>
          </cell>
          <cell r="B6481" t="str">
            <v>ביטוח</v>
          </cell>
          <cell r="C6481">
            <v>0</v>
          </cell>
          <cell r="D6481">
            <v>0</v>
          </cell>
          <cell r="E6481">
            <v>0</v>
          </cell>
          <cell r="F6481">
            <v>0</v>
          </cell>
          <cell r="G6481">
            <v>0</v>
          </cell>
          <cell r="H6481">
            <v>0</v>
          </cell>
          <cell r="I6481">
            <v>0</v>
          </cell>
          <cell r="J6481">
            <v>0</v>
          </cell>
        </row>
        <row r="6482">
          <cell r="A6482">
            <v>1869000471</v>
          </cell>
          <cell r="B6482" t="str">
            <v>מכשירי כתיבה</v>
          </cell>
          <cell r="C6482">
            <v>0</v>
          </cell>
          <cell r="D6482">
            <v>0</v>
          </cell>
          <cell r="E6482">
            <v>0</v>
          </cell>
          <cell r="F6482">
            <v>0</v>
          </cell>
          <cell r="G6482">
            <v>0</v>
          </cell>
          <cell r="H6482">
            <v>0</v>
          </cell>
          <cell r="I6482">
            <v>0</v>
          </cell>
          <cell r="J6482">
            <v>0</v>
          </cell>
        </row>
        <row r="6483">
          <cell r="A6483">
            <v>1869000511</v>
          </cell>
          <cell r="B6483" t="str">
            <v>כיבוד למתנדבים</v>
          </cell>
          <cell r="C6483">
            <v>0</v>
          </cell>
          <cell r="D6483">
            <v>0</v>
          </cell>
          <cell r="E6483">
            <v>0</v>
          </cell>
          <cell r="F6483">
            <v>0</v>
          </cell>
          <cell r="G6483">
            <v>0</v>
          </cell>
          <cell r="H6483">
            <v>0</v>
          </cell>
          <cell r="I6483">
            <v>0</v>
          </cell>
          <cell r="J6483">
            <v>0</v>
          </cell>
        </row>
        <row r="6484">
          <cell r="A6484">
            <v>1869000512</v>
          </cell>
          <cell r="B6484" t="str">
            <v>נסיעות ואש"ל</v>
          </cell>
          <cell r="C6484">
            <v>0</v>
          </cell>
          <cell r="D6484">
            <v>0</v>
          </cell>
          <cell r="E6484">
            <v>0</v>
          </cell>
          <cell r="F6484">
            <v>0</v>
          </cell>
          <cell r="G6484">
            <v>0</v>
          </cell>
          <cell r="H6484">
            <v>0</v>
          </cell>
          <cell r="I6484">
            <v>0</v>
          </cell>
          <cell r="J6484">
            <v>0</v>
          </cell>
        </row>
        <row r="6485">
          <cell r="A6485">
            <v>1869000522</v>
          </cell>
          <cell r="B6485" t="str">
            <v>ספרים ועיתונים</v>
          </cell>
          <cell r="C6485">
            <v>0</v>
          </cell>
          <cell r="D6485">
            <v>0</v>
          </cell>
          <cell r="E6485">
            <v>0</v>
          </cell>
          <cell r="F6485">
            <v>0</v>
          </cell>
          <cell r="G6485">
            <v>0</v>
          </cell>
          <cell r="H6485">
            <v>0</v>
          </cell>
          <cell r="I6485">
            <v>0</v>
          </cell>
          <cell r="J6485">
            <v>0</v>
          </cell>
        </row>
        <row r="6486">
          <cell r="A6486">
            <v>1869000540</v>
          </cell>
          <cell r="B6486" t="str">
            <v>הוצאות טלפון</v>
          </cell>
          <cell r="C6486">
            <v>0</v>
          </cell>
          <cell r="D6486">
            <v>0</v>
          </cell>
          <cell r="E6486">
            <v>0</v>
          </cell>
          <cell r="F6486">
            <v>0</v>
          </cell>
          <cell r="G6486">
            <v>0</v>
          </cell>
          <cell r="H6486">
            <v>0</v>
          </cell>
          <cell r="I6486">
            <v>0</v>
          </cell>
          <cell r="J6486">
            <v>0</v>
          </cell>
        </row>
        <row r="6487">
          <cell r="A6487">
            <v>1869000544</v>
          </cell>
          <cell r="B6487" t="str">
            <v>הוצאות דאר</v>
          </cell>
          <cell r="C6487">
            <v>0</v>
          </cell>
          <cell r="D6487">
            <v>0</v>
          </cell>
          <cell r="E6487">
            <v>0</v>
          </cell>
          <cell r="F6487">
            <v>0</v>
          </cell>
          <cell r="G6487">
            <v>0</v>
          </cell>
          <cell r="H6487">
            <v>0</v>
          </cell>
          <cell r="I6487">
            <v>0</v>
          </cell>
          <cell r="J6487">
            <v>0</v>
          </cell>
        </row>
        <row r="6488">
          <cell r="A6488">
            <v>1869000550</v>
          </cell>
          <cell r="B6488" t="str">
            <v>פירסומים</v>
          </cell>
          <cell r="C6488">
            <v>0</v>
          </cell>
          <cell r="D6488">
            <v>0</v>
          </cell>
          <cell r="E6488">
            <v>0</v>
          </cell>
          <cell r="F6488">
            <v>0</v>
          </cell>
          <cell r="G6488">
            <v>0</v>
          </cell>
          <cell r="H6488">
            <v>0</v>
          </cell>
          <cell r="I6488">
            <v>0</v>
          </cell>
          <cell r="J6488">
            <v>0</v>
          </cell>
        </row>
        <row r="6489">
          <cell r="A6489">
            <v>1869000561</v>
          </cell>
          <cell r="B6489" t="str">
            <v>שיכפולים</v>
          </cell>
          <cell r="C6489">
            <v>0</v>
          </cell>
          <cell r="D6489">
            <v>0</v>
          </cell>
          <cell r="E6489">
            <v>0</v>
          </cell>
          <cell r="F6489">
            <v>0</v>
          </cell>
          <cell r="G6489">
            <v>0</v>
          </cell>
          <cell r="H6489">
            <v>0</v>
          </cell>
          <cell r="I6489">
            <v>0</v>
          </cell>
          <cell r="J6489">
            <v>0</v>
          </cell>
        </row>
        <row r="6490">
          <cell r="A6490">
            <v>1869000562</v>
          </cell>
          <cell r="B6490" t="str">
            <v>הדפסות</v>
          </cell>
          <cell r="C6490">
            <v>0</v>
          </cell>
          <cell r="D6490">
            <v>0</v>
          </cell>
          <cell r="E6490">
            <v>0</v>
          </cell>
          <cell r="F6490">
            <v>0</v>
          </cell>
          <cell r="G6490">
            <v>0</v>
          </cell>
          <cell r="H6490">
            <v>0</v>
          </cell>
          <cell r="I6490">
            <v>0</v>
          </cell>
          <cell r="J6490">
            <v>0</v>
          </cell>
        </row>
        <row r="6491">
          <cell r="A6491">
            <v>1869000571</v>
          </cell>
          <cell r="B6491" t="str">
            <v>מיכון וענ"א</v>
          </cell>
          <cell r="C6491">
            <v>0</v>
          </cell>
          <cell r="D6491">
            <v>0</v>
          </cell>
          <cell r="E6491">
            <v>0</v>
          </cell>
          <cell r="F6491">
            <v>0</v>
          </cell>
          <cell r="G6491">
            <v>0</v>
          </cell>
          <cell r="H6491">
            <v>0</v>
          </cell>
          <cell r="I6491">
            <v>0</v>
          </cell>
          <cell r="J6491">
            <v>0</v>
          </cell>
        </row>
        <row r="6492">
          <cell r="A6492">
            <v>1869000710</v>
          </cell>
          <cell r="B6492" t="str">
            <v>הובלות והסעות</v>
          </cell>
          <cell r="C6492">
            <v>0</v>
          </cell>
          <cell r="D6492">
            <v>0</v>
          </cell>
          <cell r="E6492">
            <v>0</v>
          </cell>
          <cell r="F6492">
            <v>0</v>
          </cell>
          <cell r="G6492">
            <v>0</v>
          </cell>
          <cell r="H6492">
            <v>0</v>
          </cell>
          <cell r="I6492">
            <v>0</v>
          </cell>
          <cell r="J6492">
            <v>0</v>
          </cell>
        </row>
        <row r="6493">
          <cell r="A6493">
            <v>1869000742</v>
          </cell>
          <cell r="B6493" t="str">
            <v>ציוד</v>
          </cell>
          <cell r="C6493">
            <v>0</v>
          </cell>
          <cell r="D6493">
            <v>0</v>
          </cell>
          <cell r="E6493">
            <v>0</v>
          </cell>
          <cell r="F6493">
            <v>0</v>
          </cell>
          <cell r="G6493">
            <v>0</v>
          </cell>
          <cell r="H6493">
            <v>0</v>
          </cell>
          <cell r="I6493">
            <v>0</v>
          </cell>
          <cell r="J6493">
            <v>0</v>
          </cell>
        </row>
        <row r="6494">
          <cell r="A6494">
            <v>1869000745</v>
          </cell>
          <cell r="B6494" t="str">
            <v>דמי פריצה - תכולה</v>
          </cell>
          <cell r="C6494">
            <v>0</v>
          </cell>
          <cell r="D6494">
            <v>0</v>
          </cell>
          <cell r="E6494">
            <v>0</v>
          </cell>
          <cell r="F6494">
            <v>0</v>
          </cell>
          <cell r="G6494">
            <v>0</v>
          </cell>
          <cell r="H6494">
            <v>0</v>
          </cell>
          <cell r="I6494">
            <v>0</v>
          </cell>
          <cell r="J6494">
            <v>0</v>
          </cell>
        </row>
        <row r="6495">
          <cell r="A6495">
            <v>1869000753</v>
          </cell>
          <cell r="B6495" t="str">
            <v>עובדים חיצוניים</v>
          </cell>
          <cell r="C6495">
            <v>0</v>
          </cell>
          <cell r="D6495">
            <v>0</v>
          </cell>
          <cell r="E6495">
            <v>0</v>
          </cell>
          <cell r="F6495">
            <v>0</v>
          </cell>
          <cell r="G6495">
            <v>0</v>
          </cell>
          <cell r="H6495">
            <v>0</v>
          </cell>
          <cell r="I6495">
            <v>0</v>
          </cell>
          <cell r="J6495">
            <v>0</v>
          </cell>
        </row>
        <row r="6496">
          <cell r="A6496">
            <v>1869000756</v>
          </cell>
          <cell r="B6496" t="str">
            <v>שמירה בקבלנות</v>
          </cell>
          <cell r="C6496">
            <v>0</v>
          </cell>
          <cell r="D6496">
            <v>0</v>
          </cell>
          <cell r="E6496">
            <v>0</v>
          </cell>
          <cell r="F6496">
            <v>0</v>
          </cell>
          <cell r="G6496">
            <v>0</v>
          </cell>
          <cell r="H6496">
            <v>0</v>
          </cell>
          <cell r="I6496">
            <v>0</v>
          </cell>
          <cell r="J6496">
            <v>0</v>
          </cell>
        </row>
        <row r="6497">
          <cell r="A6497">
            <v>1869000780</v>
          </cell>
          <cell r="B6497" t="str">
            <v>ארועים</v>
          </cell>
          <cell r="C6497">
            <v>0</v>
          </cell>
          <cell r="D6497">
            <v>0</v>
          </cell>
          <cell r="E6497">
            <v>0</v>
          </cell>
          <cell r="F6497">
            <v>0</v>
          </cell>
          <cell r="G6497">
            <v>0</v>
          </cell>
          <cell r="H6497">
            <v>0</v>
          </cell>
          <cell r="I6497">
            <v>0</v>
          </cell>
          <cell r="J6497">
            <v>0</v>
          </cell>
        </row>
        <row r="6498">
          <cell r="A6498">
            <v>1869000781</v>
          </cell>
          <cell r="B6498" t="str">
            <v>קייטנות עולים,וטרנים,פרוייקטים</v>
          </cell>
          <cell r="C6498">
            <v>0</v>
          </cell>
          <cell r="D6498">
            <v>0</v>
          </cell>
          <cell r="E6498">
            <v>0</v>
          </cell>
          <cell r="F6498">
            <v>0</v>
          </cell>
          <cell r="G6498">
            <v>0</v>
          </cell>
          <cell r="H6498">
            <v>0</v>
          </cell>
          <cell r="I6498">
            <v>0</v>
          </cell>
          <cell r="J6498">
            <v>0</v>
          </cell>
        </row>
        <row r="6499">
          <cell r="A6499">
            <v>1869000782</v>
          </cell>
          <cell r="B6499" t="str">
            <v>משרד הקליטה-מהכנסה</v>
          </cell>
          <cell r="C6499">
            <v>0</v>
          </cell>
          <cell r="D6499">
            <v>0</v>
          </cell>
          <cell r="E6499">
            <v>0</v>
          </cell>
          <cell r="F6499">
            <v>0</v>
          </cell>
          <cell r="G6499">
            <v>0</v>
          </cell>
          <cell r="H6499">
            <v>0</v>
          </cell>
          <cell r="I6499">
            <v>0</v>
          </cell>
          <cell r="J6499">
            <v>0</v>
          </cell>
        </row>
        <row r="6500">
          <cell r="A6500">
            <v>1869000794</v>
          </cell>
          <cell r="B6500" t="str">
            <v>השתתפות בעזר 094</v>
          </cell>
          <cell r="C6500">
            <v>0</v>
          </cell>
          <cell r="D6500">
            <v>0</v>
          </cell>
          <cell r="E6500">
            <v>0</v>
          </cell>
          <cell r="F6500">
            <v>0</v>
          </cell>
          <cell r="G6500">
            <v>0</v>
          </cell>
          <cell r="H6500">
            <v>0</v>
          </cell>
          <cell r="I6500">
            <v>0</v>
          </cell>
          <cell r="J6500">
            <v>0</v>
          </cell>
        </row>
        <row r="6501">
          <cell r="A6501">
            <v>1869000811</v>
          </cell>
          <cell r="B6501" t="str">
            <v>רכזת קליטה</v>
          </cell>
          <cell r="C6501">
            <v>0</v>
          </cell>
          <cell r="D6501">
            <v>0</v>
          </cell>
          <cell r="E6501">
            <v>0</v>
          </cell>
          <cell r="F6501">
            <v>0</v>
          </cell>
          <cell r="G6501">
            <v>0</v>
          </cell>
          <cell r="H6501">
            <v>0</v>
          </cell>
          <cell r="I6501">
            <v>0</v>
          </cell>
          <cell r="J6501">
            <v>0</v>
          </cell>
        </row>
        <row r="6502">
          <cell r="A6502">
            <v>1869000812</v>
          </cell>
          <cell r="B6502" t="str">
            <v>השתתפות בקליטת עליה</v>
          </cell>
          <cell r="C6502">
            <v>0</v>
          </cell>
          <cell r="D6502">
            <v>0</v>
          </cell>
          <cell r="E6502">
            <v>0</v>
          </cell>
          <cell r="F6502">
            <v>0</v>
          </cell>
          <cell r="G6502">
            <v>0</v>
          </cell>
          <cell r="H6502">
            <v>0</v>
          </cell>
          <cell r="I6502">
            <v>0</v>
          </cell>
          <cell r="J6502">
            <v>0</v>
          </cell>
        </row>
        <row r="6503">
          <cell r="A6503">
            <v>1869000961</v>
          </cell>
          <cell r="B6503" t="str">
            <v>רז' פעולות ורכישות</v>
          </cell>
          <cell r="C6503">
            <v>0</v>
          </cell>
          <cell r="D6503">
            <v>0</v>
          </cell>
          <cell r="E6503">
            <v>0</v>
          </cell>
          <cell r="F6503">
            <v>0</v>
          </cell>
          <cell r="G6503">
            <v>0</v>
          </cell>
          <cell r="H6503">
            <v>0</v>
          </cell>
          <cell r="I6503">
            <v>0</v>
          </cell>
          <cell r="J6503">
            <v>0</v>
          </cell>
        </row>
        <row r="6504">
          <cell r="A6504">
            <v>1869000980</v>
          </cell>
          <cell r="B6504" t="str">
            <v>קליטת יהדות סוריה</v>
          </cell>
          <cell r="C6504">
            <v>0</v>
          </cell>
          <cell r="D6504">
            <v>0</v>
          </cell>
          <cell r="E6504">
            <v>0</v>
          </cell>
          <cell r="F6504">
            <v>0</v>
          </cell>
          <cell r="G6504">
            <v>0</v>
          </cell>
          <cell r="H6504">
            <v>0</v>
          </cell>
          <cell r="I6504">
            <v>0</v>
          </cell>
          <cell r="J6504">
            <v>0</v>
          </cell>
        </row>
        <row r="6505">
          <cell r="A6505">
            <v>1879000110</v>
          </cell>
          <cell r="B6505" t="str">
            <v>השכר הקובע-תקציבית</v>
          </cell>
          <cell r="C6505">
            <v>134710</v>
          </cell>
          <cell r="D6505">
            <v>157813.87</v>
          </cell>
          <cell r="E6505">
            <v>0</v>
          </cell>
          <cell r="F6505">
            <v>157813.87</v>
          </cell>
          <cell r="G6505">
            <v>-23103.87</v>
          </cell>
          <cell r="H6505">
            <v>117.15</v>
          </cell>
          <cell r="I6505">
            <v>141800</v>
          </cell>
          <cell r="J6505">
            <v>157813.87</v>
          </cell>
        </row>
        <row r="6506">
          <cell r="A6506">
            <v>1879000119</v>
          </cell>
          <cell r="B6506" t="str">
            <v>השכר הקובע-צוברת</v>
          </cell>
          <cell r="C6506">
            <v>1082620</v>
          </cell>
          <cell r="D6506">
            <v>1842732.14</v>
          </cell>
          <cell r="E6506">
            <v>0</v>
          </cell>
          <cell r="F6506">
            <v>1842732.14</v>
          </cell>
          <cell r="G6506">
            <v>-760112.14</v>
          </cell>
          <cell r="H6506">
            <v>170.21</v>
          </cell>
          <cell r="I6506">
            <v>1139600</v>
          </cell>
          <cell r="J6506">
            <v>1842732.14</v>
          </cell>
        </row>
        <row r="6507">
          <cell r="A6507">
            <v>1879000122</v>
          </cell>
          <cell r="B6507" t="str">
            <v>ביגוד</v>
          </cell>
          <cell r="C6507">
            <v>15010</v>
          </cell>
          <cell r="D6507">
            <v>13761.78</v>
          </cell>
          <cell r="E6507">
            <v>0</v>
          </cell>
          <cell r="F6507">
            <v>13761.78</v>
          </cell>
          <cell r="G6507">
            <v>1248.22</v>
          </cell>
          <cell r="H6507">
            <v>91.68</v>
          </cell>
          <cell r="I6507">
            <v>15800</v>
          </cell>
          <cell r="J6507">
            <v>13761.78</v>
          </cell>
        </row>
        <row r="6508">
          <cell r="A6508">
            <v>1879000126</v>
          </cell>
          <cell r="B6508" t="str">
            <v>דמי הבראה</v>
          </cell>
          <cell r="C6508">
            <v>30400</v>
          </cell>
          <cell r="D6508">
            <v>30921.26</v>
          </cell>
          <cell r="E6508">
            <v>0</v>
          </cell>
          <cell r="F6508">
            <v>30921.26</v>
          </cell>
          <cell r="G6508">
            <v>-521.26</v>
          </cell>
          <cell r="H6508">
            <v>101.71</v>
          </cell>
          <cell r="I6508">
            <v>32000</v>
          </cell>
          <cell r="J6508">
            <v>30921.26</v>
          </cell>
        </row>
        <row r="6509">
          <cell r="A6509">
            <v>1879000130</v>
          </cell>
          <cell r="B6509" t="str">
            <v>שעות נוספות</v>
          </cell>
          <cell r="C6509">
            <v>0</v>
          </cell>
          <cell r="D6509">
            <v>0</v>
          </cell>
          <cell r="E6509">
            <v>0</v>
          </cell>
          <cell r="F6509">
            <v>0</v>
          </cell>
          <cell r="G6509">
            <v>0</v>
          </cell>
          <cell r="H6509">
            <v>0</v>
          </cell>
          <cell r="I6509">
            <v>0</v>
          </cell>
          <cell r="J6509">
            <v>0</v>
          </cell>
        </row>
        <row r="6510">
          <cell r="A6510">
            <v>1879000140</v>
          </cell>
          <cell r="B6510" t="str">
            <v>השתתפות באחזקת רכב</v>
          </cell>
          <cell r="C6510">
            <v>163305</v>
          </cell>
          <cell r="D6510">
            <v>256566.16</v>
          </cell>
          <cell r="E6510">
            <v>0</v>
          </cell>
          <cell r="F6510">
            <v>256566.16</v>
          </cell>
          <cell r="G6510">
            <v>-93261.16</v>
          </cell>
          <cell r="H6510">
            <v>157.1</v>
          </cell>
          <cell r="I6510">
            <v>171900</v>
          </cell>
          <cell r="J6510">
            <v>256566.16</v>
          </cell>
        </row>
        <row r="6511">
          <cell r="A6511">
            <v>1879000253</v>
          </cell>
          <cell r="B6511" t="str">
            <v>עובדים חיצוניים</v>
          </cell>
          <cell r="C6511">
            <v>0</v>
          </cell>
          <cell r="D6511">
            <v>75037.960000000006</v>
          </cell>
          <cell r="E6511">
            <v>0</v>
          </cell>
          <cell r="F6511">
            <v>75037.960000000006</v>
          </cell>
          <cell r="G6511">
            <v>-75037.960000000006</v>
          </cell>
          <cell r="H6511">
            <v>0</v>
          </cell>
          <cell r="I6511">
            <v>0</v>
          </cell>
          <cell r="J6511">
            <v>75037.960000000006</v>
          </cell>
        </row>
        <row r="6512">
          <cell r="A6512">
            <v>1879000391</v>
          </cell>
          <cell r="B6512" t="str">
            <v>הפרשה לפנסיה</v>
          </cell>
          <cell r="C6512">
            <v>0</v>
          </cell>
          <cell r="D6512">
            <v>0</v>
          </cell>
          <cell r="E6512">
            <v>0</v>
          </cell>
          <cell r="F6512">
            <v>0</v>
          </cell>
          <cell r="G6512">
            <v>0</v>
          </cell>
          <cell r="H6512">
            <v>0</v>
          </cell>
          <cell r="I6512">
            <v>0</v>
          </cell>
          <cell r="J6512">
            <v>0</v>
          </cell>
        </row>
        <row r="6513">
          <cell r="A6513">
            <v>1879000420</v>
          </cell>
          <cell r="B6513" t="str">
            <v>כיבוי אש</v>
          </cell>
          <cell r="C6513">
            <v>0</v>
          </cell>
          <cell r="D6513">
            <v>0</v>
          </cell>
          <cell r="E6513">
            <v>0</v>
          </cell>
          <cell r="F6513">
            <v>0</v>
          </cell>
          <cell r="G6513">
            <v>0</v>
          </cell>
          <cell r="H6513">
            <v>0</v>
          </cell>
          <cell r="I6513">
            <v>0</v>
          </cell>
          <cell r="J6513">
            <v>0</v>
          </cell>
        </row>
        <row r="6514">
          <cell r="A6514">
            <v>1879000433</v>
          </cell>
          <cell r="B6514" t="str">
            <v>חומרי נקיון</v>
          </cell>
          <cell r="C6514">
            <v>2185</v>
          </cell>
          <cell r="D6514">
            <v>2208.39</v>
          </cell>
          <cell r="E6514">
            <v>25.74</v>
          </cell>
          <cell r="F6514">
            <v>2234.13</v>
          </cell>
          <cell r="G6514">
            <v>-49.13</v>
          </cell>
          <cell r="H6514">
            <v>102.24</v>
          </cell>
          <cell r="I6514">
            <v>2300</v>
          </cell>
          <cell r="J6514">
            <v>2208.39</v>
          </cell>
        </row>
        <row r="6515">
          <cell r="A6515">
            <v>1879000437</v>
          </cell>
          <cell r="B6515" t="str">
            <v>אחזקת אזעקה</v>
          </cell>
          <cell r="C6515">
            <v>0</v>
          </cell>
          <cell r="D6515">
            <v>0</v>
          </cell>
          <cell r="E6515">
            <v>0</v>
          </cell>
          <cell r="F6515">
            <v>0</v>
          </cell>
          <cell r="G6515">
            <v>0</v>
          </cell>
          <cell r="H6515">
            <v>0</v>
          </cell>
          <cell r="I6515">
            <v>0</v>
          </cell>
          <cell r="J6515">
            <v>0</v>
          </cell>
        </row>
        <row r="6516">
          <cell r="A6516">
            <v>1879000441</v>
          </cell>
          <cell r="B6516" t="str">
            <v>ביטוח</v>
          </cell>
          <cell r="C6516">
            <v>0</v>
          </cell>
          <cell r="D6516">
            <v>0</v>
          </cell>
          <cell r="E6516">
            <v>0</v>
          </cell>
          <cell r="F6516">
            <v>0</v>
          </cell>
          <cell r="G6516">
            <v>0</v>
          </cell>
          <cell r="H6516">
            <v>0</v>
          </cell>
          <cell r="I6516">
            <v>0</v>
          </cell>
          <cell r="J6516">
            <v>0</v>
          </cell>
        </row>
        <row r="6517">
          <cell r="A6517">
            <v>1879000450</v>
          </cell>
          <cell r="B6517" t="str">
            <v>אחזקת תמי 4</v>
          </cell>
          <cell r="C6517">
            <v>475</v>
          </cell>
          <cell r="D6517">
            <v>0</v>
          </cell>
          <cell r="E6517">
            <v>0</v>
          </cell>
          <cell r="F6517">
            <v>0</v>
          </cell>
          <cell r="G6517">
            <v>475</v>
          </cell>
          <cell r="H6517">
            <v>0</v>
          </cell>
          <cell r="I6517">
            <v>500</v>
          </cell>
          <cell r="J6517">
            <v>0</v>
          </cell>
        </row>
        <row r="6518">
          <cell r="A6518">
            <v>1879000470</v>
          </cell>
          <cell r="B6518" t="str">
            <v>אחזקת מכונות משרד</v>
          </cell>
          <cell r="C6518">
            <v>1045</v>
          </cell>
          <cell r="D6518">
            <v>0</v>
          </cell>
          <cell r="E6518">
            <v>0</v>
          </cell>
          <cell r="F6518">
            <v>0</v>
          </cell>
          <cell r="G6518">
            <v>1045</v>
          </cell>
          <cell r="H6518">
            <v>0</v>
          </cell>
          <cell r="I6518">
            <v>1100</v>
          </cell>
          <cell r="J6518">
            <v>0</v>
          </cell>
        </row>
        <row r="6519">
          <cell r="A6519">
            <v>1879000471</v>
          </cell>
          <cell r="B6519" t="str">
            <v>מכשירי כתיבה</v>
          </cell>
          <cell r="C6519">
            <v>11590</v>
          </cell>
          <cell r="D6519">
            <v>8663.5</v>
          </cell>
          <cell r="E6519">
            <v>537.45000000000005</v>
          </cell>
          <cell r="F6519">
            <v>9200.9500000000007</v>
          </cell>
          <cell r="G6519">
            <v>2389.0500000000002</v>
          </cell>
          <cell r="H6519">
            <v>79.38</v>
          </cell>
          <cell r="I6519">
            <v>12200</v>
          </cell>
          <cell r="J6519">
            <v>8663.5</v>
          </cell>
        </row>
        <row r="6520">
          <cell r="A6520">
            <v>1879000492</v>
          </cell>
          <cell r="B6520" t="str">
            <v>השתתפות בעזר 092</v>
          </cell>
          <cell r="C6520">
            <v>48640</v>
          </cell>
          <cell r="D6520">
            <v>56327.32</v>
          </cell>
          <cell r="E6520">
            <v>0</v>
          </cell>
          <cell r="F6520">
            <v>56327.32</v>
          </cell>
          <cell r="G6520">
            <v>-7687.32</v>
          </cell>
          <cell r="H6520">
            <v>115.8</v>
          </cell>
          <cell r="I6520">
            <v>51200</v>
          </cell>
          <cell r="J6520">
            <v>56327.32</v>
          </cell>
        </row>
        <row r="6521">
          <cell r="A6521">
            <v>1879000511</v>
          </cell>
          <cell r="B6521" t="str">
            <v>אירוח וכיבוד</v>
          </cell>
          <cell r="C6521">
            <v>5900</v>
          </cell>
          <cell r="D6521">
            <v>5639.15</v>
          </cell>
          <cell r="E6521">
            <v>168.29</v>
          </cell>
          <cell r="F6521">
            <v>5807.44</v>
          </cell>
          <cell r="G6521">
            <v>92.56</v>
          </cell>
          <cell r="H6521">
            <v>98.43</v>
          </cell>
          <cell r="I6521">
            <v>5900</v>
          </cell>
          <cell r="J6521">
            <v>5639.15</v>
          </cell>
        </row>
        <row r="6522">
          <cell r="A6522">
            <v>1879000522</v>
          </cell>
          <cell r="B6522" t="str">
            <v>ספרים ועיתונים</v>
          </cell>
          <cell r="C6522">
            <v>1140</v>
          </cell>
          <cell r="D6522">
            <v>646.25</v>
          </cell>
          <cell r="E6522">
            <v>0</v>
          </cell>
          <cell r="F6522">
            <v>646.25</v>
          </cell>
          <cell r="G6522">
            <v>493.75</v>
          </cell>
          <cell r="H6522">
            <v>56.68</v>
          </cell>
          <cell r="I6522">
            <v>1200</v>
          </cell>
          <cell r="J6522">
            <v>646.25</v>
          </cell>
        </row>
        <row r="6523">
          <cell r="A6523">
            <v>1879000540</v>
          </cell>
          <cell r="B6523" t="str">
            <v>הוצאות טלפון</v>
          </cell>
          <cell r="C6523">
            <v>0</v>
          </cell>
          <cell r="D6523">
            <v>0</v>
          </cell>
          <cell r="E6523">
            <v>0</v>
          </cell>
          <cell r="F6523">
            <v>0</v>
          </cell>
          <cell r="G6523">
            <v>0</v>
          </cell>
          <cell r="H6523">
            <v>0</v>
          </cell>
          <cell r="I6523">
            <v>0</v>
          </cell>
          <cell r="J6523">
            <v>0</v>
          </cell>
        </row>
        <row r="6524">
          <cell r="A6524">
            <v>1879000544</v>
          </cell>
          <cell r="B6524" t="str">
            <v>הוצאות דאר</v>
          </cell>
          <cell r="C6524">
            <v>500</v>
          </cell>
          <cell r="D6524">
            <v>500</v>
          </cell>
          <cell r="E6524">
            <v>0</v>
          </cell>
          <cell r="F6524">
            <v>500</v>
          </cell>
          <cell r="G6524">
            <v>0</v>
          </cell>
          <cell r="H6524">
            <v>100</v>
          </cell>
          <cell r="I6524">
            <v>500</v>
          </cell>
          <cell r="J6524">
            <v>500</v>
          </cell>
        </row>
        <row r="6525">
          <cell r="A6525">
            <v>1879000550</v>
          </cell>
          <cell r="B6525" t="str">
            <v>פירסומים</v>
          </cell>
          <cell r="C6525">
            <v>2375</v>
          </cell>
          <cell r="D6525">
            <v>1628</v>
          </cell>
          <cell r="E6525">
            <v>0</v>
          </cell>
          <cell r="F6525">
            <v>1628</v>
          </cell>
          <cell r="G6525">
            <v>747</v>
          </cell>
          <cell r="H6525">
            <v>68.540000000000006</v>
          </cell>
          <cell r="I6525">
            <v>2500</v>
          </cell>
          <cell r="J6525">
            <v>1628</v>
          </cell>
        </row>
        <row r="6526">
          <cell r="A6526">
            <v>1879000561</v>
          </cell>
          <cell r="B6526" t="str">
            <v>שיכפולים</v>
          </cell>
          <cell r="C6526">
            <v>1140</v>
          </cell>
          <cell r="D6526">
            <v>251</v>
          </cell>
          <cell r="E6526">
            <v>0</v>
          </cell>
          <cell r="F6526">
            <v>251</v>
          </cell>
          <cell r="G6526">
            <v>889</v>
          </cell>
          <cell r="H6526">
            <v>22.01</v>
          </cell>
          <cell r="I6526">
            <v>1200</v>
          </cell>
          <cell r="J6526">
            <v>251</v>
          </cell>
        </row>
        <row r="6527">
          <cell r="A6527">
            <v>1879000562</v>
          </cell>
          <cell r="B6527" t="str">
            <v>הדפסות</v>
          </cell>
          <cell r="C6527">
            <v>2280</v>
          </cell>
          <cell r="D6527">
            <v>238</v>
          </cell>
          <cell r="E6527">
            <v>0</v>
          </cell>
          <cell r="F6527">
            <v>238</v>
          </cell>
          <cell r="G6527">
            <v>2042</v>
          </cell>
          <cell r="H6527">
            <v>10.43</v>
          </cell>
          <cell r="I6527">
            <v>2400</v>
          </cell>
          <cell r="J6527">
            <v>238</v>
          </cell>
        </row>
        <row r="6528">
          <cell r="A6528">
            <v>1879000571</v>
          </cell>
          <cell r="B6528" t="str">
            <v>מיכון וענ"א</v>
          </cell>
          <cell r="C6528">
            <v>102790</v>
          </cell>
          <cell r="D6528">
            <v>108200</v>
          </cell>
          <cell r="E6528">
            <v>0</v>
          </cell>
          <cell r="F6528">
            <v>108200</v>
          </cell>
          <cell r="G6528">
            <v>-5410</v>
          </cell>
          <cell r="H6528">
            <v>105.26</v>
          </cell>
          <cell r="I6528">
            <v>108200</v>
          </cell>
          <cell r="J6528">
            <v>108200</v>
          </cell>
        </row>
        <row r="6529">
          <cell r="A6529">
            <v>1879000580</v>
          </cell>
          <cell r="B6529" t="str">
            <v>הפעלת גינות קהילתיות</v>
          </cell>
          <cell r="C6529">
            <v>60000</v>
          </cell>
          <cell r="D6529">
            <v>48748.5</v>
          </cell>
          <cell r="E6529">
            <v>11251.5</v>
          </cell>
          <cell r="F6529">
            <v>60000</v>
          </cell>
          <cell r="G6529">
            <v>0</v>
          </cell>
          <cell r="H6529">
            <v>100</v>
          </cell>
          <cell r="I6529">
            <v>60000</v>
          </cell>
          <cell r="J6529">
            <v>48748.5</v>
          </cell>
        </row>
        <row r="6530">
          <cell r="A6530">
            <v>1879000710</v>
          </cell>
          <cell r="B6530" t="str">
            <v>הובלות והסעות</v>
          </cell>
          <cell r="C6530">
            <v>8170</v>
          </cell>
          <cell r="D6530">
            <v>707.9</v>
          </cell>
          <cell r="E6530">
            <v>0</v>
          </cell>
          <cell r="F6530">
            <v>707.9</v>
          </cell>
          <cell r="G6530">
            <v>7462.1</v>
          </cell>
          <cell r="H6530">
            <v>8.66</v>
          </cell>
          <cell r="I6530">
            <v>8600</v>
          </cell>
          <cell r="J6530">
            <v>707.9</v>
          </cell>
        </row>
        <row r="6531">
          <cell r="A6531">
            <v>1879000722</v>
          </cell>
          <cell r="B6531" t="str">
            <v>חמרים-תחזוקה עצמית</v>
          </cell>
          <cell r="C6531">
            <v>0</v>
          </cell>
          <cell r="D6531">
            <v>0</v>
          </cell>
          <cell r="E6531">
            <v>0</v>
          </cell>
          <cell r="F6531">
            <v>0</v>
          </cell>
          <cell r="G6531">
            <v>0</v>
          </cell>
          <cell r="H6531">
            <v>0</v>
          </cell>
          <cell r="I6531">
            <v>0</v>
          </cell>
          <cell r="J6531">
            <v>0</v>
          </cell>
        </row>
        <row r="6532">
          <cell r="A6532">
            <v>1879000743</v>
          </cell>
          <cell r="B6532" t="str">
            <v>אחזקת ציוד</v>
          </cell>
          <cell r="C6532">
            <v>8170</v>
          </cell>
          <cell r="D6532">
            <v>0</v>
          </cell>
          <cell r="E6532">
            <v>0</v>
          </cell>
          <cell r="F6532">
            <v>0</v>
          </cell>
          <cell r="G6532">
            <v>8170</v>
          </cell>
          <cell r="H6532">
            <v>0</v>
          </cell>
          <cell r="I6532">
            <v>8600</v>
          </cell>
          <cell r="J6532">
            <v>0</v>
          </cell>
        </row>
        <row r="6533">
          <cell r="A6533">
            <v>1879000752</v>
          </cell>
          <cell r="B6533" t="str">
            <v>נקיון בקבלנות</v>
          </cell>
          <cell r="C6533">
            <v>17195</v>
          </cell>
          <cell r="D6533">
            <v>14672.6</v>
          </cell>
          <cell r="E6533">
            <v>0</v>
          </cell>
          <cell r="F6533">
            <v>14672.6</v>
          </cell>
          <cell r="G6533">
            <v>2522.4</v>
          </cell>
          <cell r="H6533">
            <v>85.33</v>
          </cell>
          <cell r="I6533">
            <v>18100</v>
          </cell>
          <cell r="J6533">
            <v>14672.6</v>
          </cell>
        </row>
        <row r="6534">
          <cell r="A6534">
            <v>1879000753</v>
          </cell>
          <cell r="B6534" t="str">
            <v>עובדים חיצוניים</v>
          </cell>
          <cell r="C6534">
            <v>0</v>
          </cell>
          <cell r="D6534">
            <v>0</v>
          </cell>
          <cell r="E6534">
            <v>0</v>
          </cell>
          <cell r="F6534">
            <v>0</v>
          </cell>
          <cell r="G6534">
            <v>0</v>
          </cell>
          <cell r="H6534">
            <v>0</v>
          </cell>
          <cell r="I6534">
            <v>0</v>
          </cell>
          <cell r="J6534">
            <v>0</v>
          </cell>
        </row>
        <row r="6535">
          <cell r="A6535">
            <v>1879000754</v>
          </cell>
          <cell r="B6535" t="str">
            <v>גנן קהילתי</v>
          </cell>
          <cell r="C6535">
            <v>80000</v>
          </cell>
          <cell r="D6535">
            <v>36336.1</v>
          </cell>
          <cell r="E6535">
            <v>0</v>
          </cell>
          <cell r="F6535">
            <v>36336.1</v>
          </cell>
          <cell r="G6535">
            <v>43663.9</v>
          </cell>
          <cell r="H6535">
            <v>45.42</v>
          </cell>
          <cell r="I6535">
            <v>80000</v>
          </cell>
          <cell r="J6535">
            <v>36336.1</v>
          </cell>
        </row>
        <row r="6536">
          <cell r="A6536">
            <v>1879000757</v>
          </cell>
          <cell r="B6536" t="str">
            <v>טיפול בזיהום אויר</v>
          </cell>
          <cell r="C6536">
            <v>11780</v>
          </cell>
          <cell r="D6536">
            <v>0</v>
          </cell>
          <cell r="E6536">
            <v>0</v>
          </cell>
          <cell r="F6536">
            <v>0</v>
          </cell>
          <cell r="G6536">
            <v>11780</v>
          </cell>
          <cell r="H6536">
            <v>0</v>
          </cell>
          <cell r="I6536">
            <v>12400</v>
          </cell>
          <cell r="J6536">
            <v>0</v>
          </cell>
        </row>
        <row r="6537">
          <cell r="A6537">
            <v>1879000764</v>
          </cell>
          <cell r="B6537" t="str">
            <v>עובדי חברת מוסדות</v>
          </cell>
          <cell r="C6537">
            <v>0</v>
          </cell>
          <cell r="D6537">
            <v>0</v>
          </cell>
          <cell r="E6537">
            <v>0</v>
          </cell>
          <cell r="F6537">
            <v>0</v>
          </cell>
          <cell r="G6537">
            <v>0</v>
          </cell>
          <cell r="H6537">
            <v>0</v>
          </cell>
          <cell r="I6537">
            <v>0</v>
          </cell>
          <cell r="J6537">
            <v>0</v>
          </cell>
        </row>
        <row r="6538">
          <cell r="A6538">
            <v>1879000780</v>
          </cell>
          <cell r="B6538" t="str">
            <v>ארועים</v>
          </cell>
          <cell r="C6538">
            <v>0</v>
          </cell>
          <cell r="D6538">
            <v>0</v>
          </cell>
          <cell r="E6538">
            <v>0</v>
          </cell>
          <cell r="F6538">
            <v>0</v>
          </cell>
          <cell r="G6538">
            <v>0</v>
          </cell>
          <cell r="H6538">
            <v>0</v>
          </cell>
          <cell r="I6538">
            <v>0</v>
          </cell>
          <cell r="J6538">
            <v>0</v>
          </cell>
        </row>
        <row r="6539">
          <cell r="A6539">
            <v>1879000781</v>
          </cell>
          <cell r="B6539" t="str">
            <v>קיימות</v>
          </cell>
          <cell r="C6539">
            <v>38000</v>
          </cell>
          <cell r="D6539">
            <v>18481.560000000001</v>
          </cell>
          <cell r="E6539">
            <v>2986.25</v>
          </cell>
          <cell r="F6539">
            <v>21467.81</v>
          </cell>
          <cell r="G6539">
            <v>16532.189999999999</v>
          </cell>
          <cell r="H6539">
            <v>56.49</v>
          </cell>
          <cell r="I6539">
            <v>40000</v>
          </cell>
          <cell r="J6539">
            <v>18481.560000000001</v>
          </cell>
        </row>
        <row r="6540">
          <cell r="A6540">
            <v>1879000791</v>
          </cell>
          <cell r="B6540" t="str">
            <v>הוצאה כנגד הכנסה-פעילות תושבים</v>
          </cell>
          <cell r="C6540">
            <v>4750</v>
          </cell>
          <cell r="D6540">
            <v>0</v>
          </cell>
          <cell r="E6540">
            <v>0</v>
          </cell>
          <cell r="F6540">
            <v>0</v>
          </cell>
          <cell r="G6540">
            <v>4750</v>
          </cell>
          <cell r="H6540">
            <v>0</v>
          </cell>
          <cell r="I6540">
            <v>5000</v>
          </cell>
          <cell r="J6540">
            <v>0</v>
          </cell>
        </row>
        <row r="6541">
          <cell r="A6541">
            <v>1879000794</v>
          </cell>
          <cell r="B6541" t="str">
            <v>השתתפות בעזר 094</v>
          </cell>
          <cell r="C6541">
            <v>4275</v>
          </cell>
          <cell r="D6541">
            <v>5367</v>
          </cell>
          <cell r="E6541">
            <v>0</v>
          </cell>
          <cell r="F6541">
            <v>5367</v>
          </cell>
          <cell r="G6541">
            <v>-1092</v>
          </cell>
          <cell r="H6541">
            <v>125.54</v>
          </cell>
          <cell r="I6541">
            <v>4500</v>
          </cell>
          <cell r="J6541">
            <v>5367</v>
          </cell>
        </row>
        <row r="6542">
          <cell r="A6542">
            <v>1879000931</v>
          </cell>
          <cell r="B6542" t="str">
            <v>רכישות חד-פעמיות</v>
          </cell>
          <cell r="C6542">
            <v>6935</v>
          </cell>
          <cell r="D6542">
            <v>6069.44</v>
          </cell>
          <cell r="E6542">
            <v>0</v>
          </cell>
          <cell r="F6542">
            <v>6069.44</v>
          </cell>
          <cell r="G6542">
            <v>865.56</v>
          </cell>
          <cell r="H6542">
            <v>87.51</v>
          </cell>
          <cell r="I6542">
            <v>7300</v>
          </cell>
          <cell r="J6542">
            <v>6069.44</v>
          </cell>
        </row>
        <row r="6543">
          <cell r="A6543">
            <v>1912000110</v>
          </cell>
          <cell r="B6543" t="str">
            <v>השכר הקובע-תקציבית</v>
          </cell>
          <cell r="C6543">
            <v>0</v>
          </cell>
          <cell r="D6543">
            <v>0</v>
          </cell>
          <cell r="E6543">
            <v>0</v>
          </cell>
          <cell r="F6543">
            <v>0</v>
          </cell>
          <cell r="G6543">
            <v>0</v>
          </cell>
          <cell r="H6543">
            <v>0</v>
          </cell>
          <cell r="I6543">
            <v>0</v>
          </cell>
          <cell r="J6543">
            <v>0</v>
          </cell>
        </row>
        <row r="6544">
          <cell r="A6544">
            <v>1912000119</v>
          </cell>
          <cell r="B6544" t="str">
            <v>השכר הקובע-צוברת</v>
          </cell>
          <cell r="C6544">
            <v>0</v>
          </cell>
          <cell r="D6544">
            <v>0</v>
          </cell>
          <cell r="E6544">
            <v>0</v>
          </cell>
          <cell r="F6544">
            <v>0</v>
          </cell>
          <cell r="G6544">
            <v>0</v>
          </cell>
          <cell r="H6544">
            <v>0</v>
          </cell>
          <cell r="I6544">
            <v>0</v>
          </cell>
          <cell r="J6544">
            <v>0</v>
          </cell>
        </row>
        <row r="6545">
          <cell r="A6545">
            <v>1912000122</v>
          </cell>
          <cell r="B6545" t="str">
            <v>ביגוד</v>
          </cell>
          <cell r="C6545">
            <v>0</v>
          </cell>
          <cell r="D6545">
            <v>0</v>
          </cell>
          <cell r="E6545">
            <v>0</v>
          </cell>
          <cell r="F6545">
            <v>0</v>
          </cell>
          <cell r="G6545">
            <v>0</v>
          </cell>
          <cell r="H6545">
            <v>0</v>
          </cell>
          <cell r="I6545">
            <v>0</v>
          </cell>
          <cell r="J6545">
            <v>0</v>
          </cell>
        </row>
        <row r="6546">
          <cell r="A6546">
            <v>1912000126</v>
          </cell>
          <cell r="B6546" t="str">
            <v>דמי הבראה</v>
          </cell>
          <cell r="C6546">
            <v>0</v>
          </cell>
          <cell r="D6546">
            <v>0</v>
          </cell>
          <cell r="E6546">
            <v>0</v>
          </cell>
          <cell r="F6546">
            <v>0</v>
          </cell>
          <cell r="G6546">
            <v>0</v>
          </cell>
          <cell r="H6546">
            <v>0</v>
          </cell>
          <cell r="I6546">
            <v>0</v>
          </cell>
          <cell r="J6546">
            <v>0</v>
          </cell>
        </row>
        <row r="6547">
          <cell r="A6547">
            <v>1912000130</v>
          </cell>
          <cell r="B6547" t="str">
            <v>שעות נוספות</v>
          </cell>
          <cell r="C6547">
            <v>0</v>
          </cell>
          <cell r="D6547">
            <v>0</v>
          </cell>
          <cell r="E6547">
            <v>0</v>
          </cell>
          <cell r="F6547">
            <v>0</v>
          </cell>
          <cell r="G6547">
            <v>0</v>
          </cell>
          <cell r="H6547">
            <v>0</v>
          </cell>
          <cell r="I6547">
            <v>0</v>
          </cell>
          <cell r="J6547">
            <v>0</v>
          </cell>
        </row>
        <row r="6548">
          <cell r="A6548">
            <v>1912000140</v>
          </cell>
          <cell r="B6548" t="str">
            <v>השתתפות באחזקת רכב</v>
          </cell>
          <cell r="C6548">
            <v>0</v>
          </cell>
          <cell r="D6548">
            <v>0</v>
          </cell>
          <cell r="E6548">
            <v>0</v>
          </cell>
          <cell r="F6548">
            <v>0</v>
          </cell>
          <cell r="G6548">
            <v>0</v>
          </cell>
          <cell r="H6548">
            <v>0</v>
          </cell>
          <cell r="I6548">
            <v>0</v>
          </cell>
          <cell r="J6548">
            <v>0</v>
          </cell>
        </row>
        <row r="6549">
          <cell r="A6549">
            <v>1912000250</v>
          </cell>
          <cell r="B6549" t="str">
            <v>עובדים חיצוניים</v>
          </cell>
          <cell r="C6549">
            <v>0</v>
          </cell>
          <cell r="D6549">
            <v>0</v>
          </cell>
          <cell r="E6549">
            <v>0</v>
          </cell>
          <cell r="F6549">
            <v>0</v>
          </cell>
          <cell r="G6549">
            <v>0</v>
          </cell>
          <cell r="H6549">
            <v>0</v>
          </cell>
          <cell r="I6549">
            <v>0</v>
          </cell>
          <cell r="J6549">
            <v>0</v>
          </cell>
        </row>
        <row r="6550">
          <cell r="A6550">
            <v>1912000253</v>
          </cell>
          <cell r="B6550" t="str">
            <v>עובד חיצוני</v>
          </cell>
          <cell r="C6550">
            <v>0</v>
          </cell>
          <cell r="D6550">
            <v>0</v>
          </cell>
          <cell r="E6550">
            <v>0</v>
          </cell>
          <cell r="F6550">
            <v>0</v>
          </cell>
          <cell r="G6550">
            <v>0</v>
          </cell>
          <cell r="H6550">
            <v>0</v>
          </cell>
          <cell r="I6550">
            <v>0</v>
          </cell>
          <cell r="J6550">
            <v>0</v>
          </cell>
        </row>
        <row r="6551">
          <cell r="A6551">
            <v>1912000391</v>
          </cell>
          <cell r="B6551" t="str">
            <v>הפרשה לפנסיה</v>
          </cell>
          <cell r="C6551">
            <v>0</v>
          </cell>
          <cell r="D6551">
            <v>0</v>
          </cell>
          <cell r="E6551">
            <v>0</v>
          </cell>
          <cell r="F6551">
            <v>0</v>
          </cell>
          <cell r="G6551">
            <v>0</v>
          </cell>
          <cell r="H6551">
            <v>0</v>
          </cell>
          <cell r="I6551">
            <v>0</v>
          </cell>
          <cell r="J6551">
            <v>0</v>
          </cell>
        </row>
        <row r="6552">
          <cell r="A6552">
            <v>1912000471</v>
          </cell>
          <cell r="B6552" t="str">
            <v>מכשירי כתיבה</v>
          </cell>
          <cell r="C6552">
            <v>0</v>
          </cell>
          <cell r="D6552">
            <v>0</v>
          </cell>
          <cell r="E6552">
            <v>0</v>
          </cell>
          <cell r="F6552">
            <v>0</v>
          </cell>
          <cell r="G6552">
            <v>0</v>
          </cell>
          <cell r="H6552">
            <v>0</v>
          </cell>
          <cell r="I6552">
            <v>0</v>
          </cell>
          <cell r="J6552">
            <v>0</v>
          </cell>
        </row>
        <row r="6553">
          <cell r="A6553">
            <v>1912000492</v>
          </cell>
          <cell r="B6553" t="str">
            <v>השתתפות בעזר 092</v>
          </cell>
          <cell r="C6553">
            <v>0</v>
          </cell>
          <cell r="D6553">
            <v>0</v>
          </cell>
          <cell r="E6553">
            <v>0</v>
          </cell>
          <cell r="F6553">
            <v>0</v>
          </cell>
          <cell r="G6553">
            <v>0</v>
          </cell>
          <cell r="H6553">
            <v>0</v>
          </cell>
          <cell r="I6553">
            <v>0</v>
          </cell>
          <cell r="J6553">
            <v>0</v>
          </cell>
        </row>
        <row r="6554">
          <cell r="A6554">
            <v>1912000541</v>
          </cell>
          <cell r="B6554" t="str">
            <v>משלוחים</v>
          </cell>
          <cell r="C6554">
            <v>0</v>
          </cell>
          <cell r="D6554">
            <v>0</v>
          </cell>
          <cell r="E6554">
            <v>0</v>
          </cell>
          <cell r="F6554">
            <v>0</v>
          </cell>
          <cell r="G6554">
            <v>0</v>
          </cell>
          <cell r="H6554">
            <v>0</v>
          </cell>
          <cell r="I6554">
            <v>0</v>
          </cell>
          <cell r="J6554">
            <v>0</v>
          </cell>
        </row>
        <row r="6555">
          <cell r="A6555">
            <v>1912000544</v>
          </cell>
          <cell r="B6555" t="str">
            <v>הוצאות דאר</v>
          </cell>
          <cell r="C6555">
            <v>0</v>
          </cell>
          <cell r="D6555">
            <v>0</v>
          </cell>
          <cell r="E6555">
            <v>0</v>
          </cell>
          <cell r="F6555">
            <v>0</v>
          </cell>
          <cell r="G6555">
            <v>0</v>
          </cell>
          <cell r="H6555">
            <v>0</v>
          </cell>
          <cell r="I6555">
            <v>0</v>
          </cell>
          <cell r="J6555">
            <v>0</v>
          </cell>
        </row>
        <row r="6556">
          <cell r="A6556">
            <v>1912000561</v>
          </cell>
          <cell r="B6556" t="str">
            <v>שיכפולים</v>
          </cell>
          <cell r="C6556">
            <v>0</v>
          </cell>
          <cell r="D6556">
            <v>0</v>
          </cell>
          <cell r="E6556">
            <v>0</v>
          </cell>
          <cell r="F6556">
            <v>0</v>
          </cell>
          <cell r="G6556">
            <v>0</v>
          </cell>
          <cell r="H6556">
            <v>0</v>
          </cell>
          <cell r="I6556">
            <v>0</v>
          </cell>
          <cell r="J6556">
            <v>0</v>
          </cell>
        </row>
        <row r="6557">
          <cell r="A6557">
            <v>1912000562</v>
          </cell>
          <cell r="B6557" t="str">
            <v>הדפסות</v>
          </cell>
          <cell r="C6557">
            <v>0</v>
          </cell>
          <cell r="D6557">
            <v>0</v>
          </cell>
          <cell r="E6557">
            <v>0</v>
          </cell>
          <cell r="F6557">
            <v>0</v>
          </cell>
          <cell r="G6557">
            <v>0</v>
          </cell>
          <cell r="H6557">
            <v>0</v>
          </cell>
          <cell r="I6557">
            <v>0</v>
          </cell>
          <cell r="J6557">
            <v>0</v>
          </cell>
        </row>
        <row r="6558">
          <cell r="A6558">
            <v>1912000571</v>
          </cell>
          <cell r="B6558" t="str">
            <v>מיכון וענ"א</v>
          </cell>
          <cell r="C6558">
            <v>0</v>
          </cell>
          <cell r="D6558">
            <v>0</v>
          </cell>
          <cell r="E6558">
            <v>0</v>
          </cell>
          <cell r="F6558">
            <v>0</v>
          </cell>
          <cell r="G6558">
            <v>0</v>
          </cell>
          <cell r="H6558">
            <v>0</v>
          </cell>
          <cell r="I6558">
            <v>0</v>
          </cell>
          <cell r="J6558">
            <v>0</v>
          </cell>
        </row>
        <row r="6559">
          <cell r="A6559">
            <v>1912000715</v>
          </cell>
          <cell r="B6559" t="str">
            <v>עבודות קבלניות-רכב</v>
          </cell>
          <cell r="C6559">
            <v>0</v>
          </cell>
          <cell r="D6559">
            <v>0</v>
          </cell>
          <cell r="E6559">
            <v>0</v>
          </cell>
          <cell r="F6559">
            <v>0</v>
          </cell>
          <cell r="G6559">
            <v>0</v>
          </cell>
          <cell r="H6559">
            <v>0</v>
          </cell>
          <cell r="I6559">
            <v>0</v>
          </cell>
          <cell r="J6559">
            <v>0</v>
          </cell>
        </row>
        <row r="6560">
          <cell r="A6560">
            <v>1912000722</v>
          </cell>
          <cell r="B6560" t="str">
            <v>חמרים-תחזוקה עצמית</v>
          </cell>
          <cell r="C6560">
            <v>0</v>
          </cell>
          <cell r="D6560">
            <v>0</v>
          </cell>
          <cell r="E6560">
            <v>0</v>
          </cell>
          <cell r="F6560">
            <v>0</v>
          </cell>
          <cell r="G6560">
            <v>0</v>
          </cell>
          <cell r="H6560">
            <v>0</v>
          </cell>
          <cell r="I6560">
            <v>0</v>
          </cell>
          <cell r="J6560">
            <v>0</v>
          </cell>
        </row>
        <row r="6561">
          <cell r="A6561">
            <v>1912000753</v>
          </cell>
          <cell r="B6561" t="str">
            <v>עובד חיצוני</v>
          </cell>
          <cell r="C6561">
            <v>0</v>
          </cell>
          <cell r="D6561">
            <v>0</v>
          </cell>
          <cell r="E6561">
            <v>0</v>
          </cell>
          <cell r="F6561">
            <v>0</v>
          </cell>
          <cell r="G6561">
            <v>0</v>
          </cell>
          <cell r="H6561">
            <v>0</v>
          </cell>
          <cell r="I6561">
            <v>0</v>
          </cell>
          <cell r="J6561">
            <v>0</v>
          </cell>
        </row>
        <row r="6562">
          <cell r="A6562">
            <v>1912000757</v>
          </cell>
          <cell r="B6562" t="str">
            <v>שרותים מהתאגיד</v>
          </cell>
          <cell r="C6562">
            <v>0</v>
          </cell>
          <cell r="D6562">
            <v>0</v>
          </cell>
          <cell r="E6562">
            <v>0</v>
          </cell>
          <cell r="F6562">
            <v>0</v>
          </cell>
          <cell r="G6562">
            <v>0</v>
          </cell>
          <cell r="H6562">
            <v>0</v>
          </cell>
          <cell r="I6562">
            <v>0</v>
          </cell>
          <cell r="J6562">
            <v>0</v>
          </cell>
        </row>
        <row r="6563">
          <cell r="A6563">
            <v>1912000758</v>
          </cell>
          <cell r="B6563" t="str">
            <v>אכיפת גבייה - מים</v>
          </cell>
          <cell r="C6563">
            <v>0</v>
          </cell>
          <cell r="D6563">
            <v>0</v>
          </cell>
          <cell r="E6563">
            <v>0</v>
          </cell>
          <cell r="F6563">
            <v>0</v>
          </cell>
          <cell r="G6563">
            <v>0</v>
          </cell>
          <cell r="H6563">
            <v>0</v>
          </cell>
          <cell r="I6563">
            <v>0</v>
          </cell>
          <cell r="J6563">
            <v>0</v>
          </cell>
        </row>
        <row r="6564">
          <cell r="A6564">
            <v>1912000794</v>
          </cell>
          <cell r="B6564" t="str">
            <v>השתתפות בעזר 094</v>
          </cell>
          <cell r="C6564">
            <v>0</v>
          </cell>
          <cell r="D6564">
            <v>0</v>
          </cell>
          <cell r="E6564">
            <v>0</v>
          </cell>
          <cell r="F6564">
            <v>0</v>
          </cell>
          <cell r="G6564">
            <v>0</v>
          </cell>
          <cell r="H6564">
            <v>0</v>
          </cell>
          <cell r="I6564">
            <v>0</v>
          </cell>
          <cell r="J6564">
            <v>0</v>
          </cell>
        </row>
        <row r="6565">
          <cell r="A6565">
            <v>1913000110</v>
          </cell>
          <cell r="B6565" t="str">
            <v>השכר הקובע-תקציבית</v>
          </cell>
          <cell r="C6565">
            <v>0</v>
          </cell>
          <cell r="D6565">
            <v>0</v>
          </cell>
          <cell r="E6565">
            <v>0</v>
          </cell>
          <cell r="F6565">
            <v>0</v>
          </cell>
          <cell r="G6565">
            <v>0</v>
          </cell>
          <cell r="H6565">
            <v>0</v>
          </cell>
          <cell r="I6565">
            <v>0</v>
          </cell>
          <cell r="J6565">
            <v>0</v>
          </cell>
        </row>
        <row r="6566">
          <cell r="A6566">
            <v>1913000119</v>
          </cell>
          <cell r="B6566" t="str">
            <v>השכר הקובע-צוברת</v>
          </cell>
          <cell r="C6566">
            <v>0</v>
          </cell>
          <cell r="D6566">
            <v>0</v>
          </cell>
          <cell r="E6566">
            <v>0</v>
          </cell>
          <cell r="F6566">
            <v>0</v>
          </cell>
          <cell r="G6566">
            <v>0</v>
          </cell>
          <cell r="H6566">
            <v>0</v>
          </cell>
          <cell r="I6566">
            <v>0</v>
          </cell>
          <cell r="J6566">
            <v>0</v>
          </cell>
        </row>
        <row r="6567">
          <cell r="A6567">
            <v>1913000122</v>
          </cell>
          <cell r="B6567" t="str">
            <v>ביגוד</v>
          </cell>
          <cell r="C6567">
            <v>0</v>
          </cell>
          <cell r="D6567">
            <v>0</v>
          </cell>
          <cell r="E6567">
            <v>0</v>
          </cell>
          <cell r="F6567">
            <v>0</v>
          </cell>
          <cell r="G6567">
            <v>0</v>
          </cell>
          <cell r="H6567">
            <v>0</v>
          </cell>
          <cell r="I6567">
            <v>0</v>
          </cell>
          <cell r="J6567">
            <v>0</v>
          </cell>
        </row>
        <row r="6568">
          <cell r="A6568">
            <v>1913000126</v>
          </cell>
          <cell r="B6568" t="str">
            <v>דמי הבראה</v>
          </cell>
          <cell r="C6568">
            <v>0</v>
          </cell>
          <cell r="D6568">
            <v>0</v>
          </cell>
          <cell r="E6568">
            <v>0</v>
          </cell>
          <cell r="F6568">
            <v>0</v>
          </cell>
          <cell r="G6568">
            <v>0</v>
          </cell>
          <cell r="H6568">
            <v>0</v>
          </cell>
          <cell r="I6568">
            <v>0</v>
          </cell>
          <cell r="J6568">
            <v>0</v>
          </cell>
        </row>
        <row r="6569">
          <cell r="A6569">
            <v>1913000130</v>
          </cell>
          <cell r="B6569" t="str">
            <v>שעות נוספות</v>
          </cell>
          <cell r="C6569">
            <v>0</v>
          </cell>
          <cell r="D6569">
            <v>0</v>
          </cell>
          <cell r="E6569">
            <v>0</v>
          </cell>
          <cell r="F6569">
            <v>0</v>
          </cell>
          <cell r="G6569">
            <v>0</v>
          </cell>
          <cell r="H6569">
            <v>0</v>
          </cell>
          <cell r="I6569">
            <v>0</v>
          </cell>
          <cell r="J6569">
            <v>0</v>
          </cell>
        </row>
        <row r="6570">
          <cell r="A6570">
            <v>1913000140</v>
          </cell>
          <cell r="B6570" t="str">
            <v>השתתפות באחזקת רכב</v>
          </cell>
          <cell r="C6570">
            <v>0</v>
          </cell>
          <cell r="D6570">
            <v>0</v>
          </cell>
          <cell r="E6570">
            <v>0</v>
          </cell>
          <cell r="F6570">
            <v>0</v>
          </cell>
          <cell r="G6570">
            <v>0</v>
          </cell>
          <cell r="H6570">
            <v>0</v>
          </cell>
          <cell r="I6570">
            <v>0</v>
          </cell>
          <cell r="J6570">
            <v>0</v>
          </cell>
        </row>
        <row r="6571">
          <cell r="A6571">
            <v>1913000250</v>
          </cell>
          <cell r="B6571" t="str">
            <v>שכר מושאלים</v>
          </cell>
          <cell r="C6571">
            <v>0</v>
          </cell>
          <cell r="D6571">
            <v>0</v>
          </cell>
          <cell r="E6571">
            <v>0</v>
          </cell>
          <cell r="F6571">
            <v>0</v>
          </cell>
          <cell r="G6571">
            <v>0</v>
          </cell>
          <cell r="H6571">
            <v>0</v>
          </cell>
          <cell r="I6571">
            <v>0</v>
          </cell>
          <cell r="J6571">
            <v>0</v>
          </cell>
        </row>
        <row r="6572">
          <cell r="A6572">
            <v>1913000253</v>
          </cell>
          <cell r="B6572" t="str">
            <v>עובד חיצוני</v>
          </cell>
          <cell r="C6572">
            <v>0</v>
          </cell>
          <cell r="D6572">
            <v>0</v>
          </cell>
          <cell r="E6572">
            <v>0</v>
          </cell>
          <cell r="F6572">
            <v>0</v>
          </cell>
          <cell r="G6572">
            <v>0</v>
          </cell>
          <cell r="H6572">
            <v>0</v>
          </cell>
          <cell r="I6572">
            <v>0</v>
          </cell>
          <cell r="J6572">
            <v>0</v>
          </cell>
        </row>
        <row r="6573">
          <cell r="A6573">
            <v>1913000391</v>
          </cell>
          <cell r="B6573" t="str">
            <v>הפרשה לפנסיה</v>
          </cell>
          <cell r="C6573">
            <v>0</v>
          </cell>
          <cell r="D6573">
            <v>0</v>
          </cell>
          <cell r="E6573">
            <v>0</v>
          </cell>
          <cell r="F6573">
            <v>0</v>
          </cell>
          <cell r="G6573">
            <v>0</v>
          </cell>
          <cell r="H6573">
            <v>0</v>
          </cell>
          <cell r="I6573">
            <v>0</v>
          </cell>
          <cell r="J6573">
            <v>0</v>
          </cell>
        </row>
        <row r="6574">
          <cell r="A6574">
            <v>1913000431</v>
          </cell>
          <cell r="B6574" t="str">
            <v>חשמל למשאבות</v>
          </cell>
          <cell r="C6574">
            <v>0</v>
          </cell>
          <cell r="D6574">
            <v>0</v>
          </cell>
          <cell r="E6574">
            <v>0</v>
          </cell>
          <cell r="F6574">
            <v>0</v>
          </cell>
          <cell r="G6574">
            <v>0</v>
          </cell>
          <cell r="H6574">
            <v>0</v>
          </cell>
          <cell r="I6574">
            <v>0</v>
          </cell>
          <cell r="J6574">
            <v>0</v>
          </cell>
        </row>
        <row r="6575">
          <cell r="A6575">
            <v>1913000492</v>
          </cell>
          <cell r="B6575" t="str">
            <v>השתתפות בעזר 092</v>
          </cell>
          <cell r="C6575">
            <v>0</v>
          </cell>
          <cell r="D6575">
            <v>0</v>
          </cell>
          <cell r="E6575">
            <v>0</v>
          </cell>
          <cell r="F6575">
            <v>0</v>
          </cell>
          <cell r="G6575">
            <v>0</v>
          </cell>
          <cell r="H6575">
            <v>0</v>
          </cell>
          <cell r="I6575">
            <v>0</v>
          </cell>
          <cell r="J6575">
            <v>0</v>
          </cell>
        </row>
        <row r="6576">
          <cell r="A6576">
            <v>1913000544</v>
          </cell>
          <cell r="B6576" t="str">
            <v>הוצאות דאר</v>
          </cell>
          <cell r="C6576">
            <v>0</v>
          </cell>
          <cell r="D6576">
            <v>0</v>
          </cell>
          <cell r="E6576">
            <v>0</v>
          </cell>
          <cell r="F6576">
            <v>0</v>
          </cell>
          <cell r="G6576">
            <v>0</v>
          </cell>
          <cell r="H6576">
            <v>0</v>
          </cell>
          <cell r="I6576">
            <v>0</v>
          </cell>
          <cell r="J6576">
            <v>0</v>
          </cell>
        </row>
        <row r="6577">
          <cell r="A6577">
            <v>1913000561</v>
          </cell>
          <cell r="B6577" t="str">
            <v>שיכפולים</v>
          </cell>
          <cell r="C6577">
            <v>0</v>
          </cell>
          <cell r="D6577">
            <v>0</v>
          </cell>
          <cell r="E6577">
            <v>0</v>
          </cell>
          <cell r="F6577">
            <v>0</v>
          </cell>
          <cell r="G6577">
            <v>0</v>
          </cell>
          <cell r="H6577">
            <v>0</v>
          </cell>
          <cell r="I6577">
            <v>0</v>
          </cell>
          <cell r="J6577">
            <v>0</v>
          </cell>
        </row>
        <row r="6578">
          <cell r="A6578">
            <v>1913000571</v>
          </cell>
          <cell r="B6578" t="str">
            <v>מיכון וענ"א</v>
          </cell>
          <cell r="C6578">
            <v>0</v>
          </cell>
          <cell r="D6578">
            <v>0</v>
          </cell>
          <cell r="E6578">
            <v>0</v>
          </cell>
          <cell r="F6578">
            <v>0</v>
          </cell>
          <cell r="G6578">
            <v>0</v>
          </cell>
          <cell r="H6578">
            <v>0</v>
          </cell>
          <cell r="I6578">
            <v>0</v>
          </cell>
          <cell r="J6578">
            <v>0</v>
          </cell>
        </row>
        <row r="6579">
          <cell r="A6579">
            <v>1913000596</v>
          </cell>
          <cell r="B6579" t="str">
            <v>השתתפות בעזר 096</v>
          </cell>
          <cell r="C6579">
            <v>0</v>
          </cell>
          <cell r="D6579">
            <v>0</v>
          </cell>
          <cell r="E6579">
            <v>0</v>
          </cell>
          <cell r="F6579">
            <v>0</v>
          </cell>
          <cell r="G6579">
            <v>0</v>
          </cell>
          <cell r="H6579">
            <v>0</v>
          </cell>
          <cell r="I6579">
            <v>0</v>
          </cell>
          <cell r="J6579">
            <v>0</v>
          </cell>
        </row>
        <row r="6580">
          <cell r="A6580">
            <v>1913000715</v>
          </cell>
          <cell r="B6580" t="str">
            <v>עבודות קבלניות-רכב</v>
          </cell>
          <cell r="C6580">
            <v>0</v>
          </cell>
          <cell r="D6580">
            <v>0</v>
          </cell>
          <cell r="E6580">
            <v>0</v>
          </cell>
          <cell r="F6580">
            <v>0</v>
          </cell>
          <cell r="G6580">
            <v>0</v>
          </cell>
          <cell r="H6580">
            <v>0</v>
          </cell>
          <cell r="I6580">
            <v>0</v>
          </cell>
          <cell r="J6580">
            <v>0</v>
          </cell>
        </row>
        <row r="6581">
          <cell r="A6581">
            <v>1913000722</v>
          </cell>
          <cell r="B6581" t="str">
            <v>חמרים-תחזוקה עצמית</v>
          </cell>
          <cell r="C6581">
            <v>0</v>
          </cell>
          <cell r="D6581">
            <v>0</v>
          </cell>
          <cell r="E6581">
            <v>0</v>
          </cell>
          <cell r="F6581">
            <v>0</v>
          </cell>
          <cell r="G6581">
            <v>0</v>
          </cell>
          <cell r="H6581">
            <v>0</v>
          </cell>
          <cell r="I6581">
            <v>0</v>
          </cell>
          <cell r="J6581">
            <v>0</v>
          </cell>
        </row>
        <row r="6582">
          <cell r="A6582">
            <v>1913000742</v>
          </cell>
          <cell r="B6582" t="str">
            <v>כלים וציוד</v>
          </cell>
          <cell r="C6582">
            <v>0</v>
          </cell>
          <cell r="D6582">
            <v>0</v>
          </cell>
          <cell r="E6582">
            <v>0</v>
          </cell>
          <cell r="F6582">
            <v>0</v>
          </cell>
          <cell r="G6582">
            <v>0</v>
          </cell>
          <cell r="H6582">
            <v>0</v>
          </cell>
          <cell r="I6582">
            <v>0</v>
          </cell>
          <cell r="J6582">
            <v>0</v>
          </cell>
        </row>
        <row r="6583">
          <cell r="A6583">
            <v>1913000753</v>
          </cell>
          <cell r="B6583" t="str">
            <v>עובד חיצוני</v>
          </cell>
          <cell r="C6583">
            <v>0</v>
          </cell>
          <cell r="D6583">
            <v>0</v>
          </cell>
          <cell r="E6583">
            <v>0</v>
          </cell>
          <cell r="F6583">
            <v>0</v>
          </cell>
          <cell r="G6583">
            <v>0</v>
          </cell>
          <cell r="H6583">
            <v>0</v>
          </cell>
          <cell r="I6583">
            <v>0</v>
          </cell>
          <cell r="J6583">
            <v>0</v>
          </cell>
        </row>
        <row r="6584">
          <cell r="A6584">
            <v>1913000754</v>
          </cell>
          <cell r="B6584" t="str">
            <v>עבודות קבלניות</v>
          </cell>
          <cell r="C6584">
            <v>0</v>
          </cell>
          <cell r="D6584">
            <v>0</v>
          </cell>
          <cell r="E6584">
            <v>0</v>
          </cell>
          <cell r="F6584">
            <v>0</v>
          </cell>
          <cell r="G6584">
            <v>0</v>
          </cell>
          <cell r="H6584">
            <v>0</v>
          </cell>
          <cell r="I6584">
            <v>0</v>
          </cell>
          <cell r="J6584">
            <v>0</v>
          </cell>
        </row>
        <row r="6585">
          <cell r="A6585">
            <v>1913000757</v>
          </cell>
          <cell r="B6585" t="str">
            <v>הח' קווים קוטר זהה</v>
          </cell>
          <cell r="C6585">
            <v>0</v>
          </cell>
          <cell r="D6585">
            <v>0</v>
          </cell>
          <cell r="E6585">
            <v>0</v>
          </cell>
          <cell r="F6585">
            <v>0</v>
          </cell>
          <cell r="G6585">
            <v>0</v>
          </cell>
          <cell r="H6585">
            <v>0</v>
          </cell>
          <cell r="I6585">
            <v>0</v>
          </cell>
          <cell r="J6585">
            <v>0</v>
          </cell>
        </row>
        <row r="6586">
          <cell r="A6586">
            <v>1913000758</v>
          </cell>
          <cell r="B6586" t="str">
            <v>אחזקת מוני מים</v>
          </cell>
          <cell r="C6586">
            <v>0</v>
          </cell>
          <cell r="D6586">
            <v>0</v>
          </cell>
          <cell r="E6586">
            <v>0</v>
          </cell>
          <cell r="F6586">
            <v>0</v>
          </cell>
          <cell r="G6586">
            <v>0</v>
          </cell>
          <cell r="H6586">
            <v>0</v>
          </cell>
          <cell r="I6586">
            <v>0</v>
          </cell>
          <cell r="J6586">
            <v>0</v>
          </cell>
        </row>
        <row r="6587">
          <cell r="A6587">
            <v>1913000759</v>
          </cell>
          <cell r="B6587" t="str">
            <v>אח' רשת צנורות</v>
          </cell>
          <cell r="C6587">
            <v>0</v>
          </cell>
          <cell r="D6587">
            <v>0</v>
          </cell>
          <cell r="E6587">
            <v>0</v>
          </cell>
          <cell r="F6587">
            <v>0</v>
          </cell>
          <cell r="G6587">
            <v>0</v>
          </cell>
          <cell r="H6587">
            <v>0</v>
          </cell>
          <cell r="I6587">
            <v>0</v>
          </cell>
          <cell r="J6587">
            <v>0</v>
          </cell>
        </row>
        <row r="6588">
          <cell r="A6588">
            <v>1913000760</v>
          </cell>
          <cell r="B6588" t="str">
            <v>מים מקורות</v>
          </cell>
          <cell r="C6588">
            <v>0</v>
          </cell>
          <cell r="D6588">
            <v>0</v>
          </cell>
          <cell r="E6588">
            <v>0</v>
          </cell>
          <cell r="F6588">
            <v>0</v>
          </cell>
          <cell r="G6588">
            <v>0</v>
          </cell>
          <cell r="H6588">
            <v>0</v>
          </cell>
          <cell r="I6588">
            <v>0</v>
          </cell>
          <cell r="J6588">
            <v>0</v>
          </cell>
        </row>
        <row r="6589">
          <cell r="A6589">
            <v>1913000794</v>
          </cell>
          <cell r="B6589" t="str">
            <v>השתתפות בעזר 094</v>
          </cell>
          <cell r="C6589">
            <v>0</v>
          </cell>
          <cell r="D6589">
            <v>0</v>
          </cell>
          <cell r="E6589">
            <v>0</v>
          </cell>
          <cell r="F6589">
            <v>0</v>
          </cell>
          <cell r="G6589">
            <v>0</v>
          </cell>
          <cell r="H6589">
            <v>0</v>
          </cell>
          <cell r="I6589">
            <v>0</v>
          </cell>
          <cell r="J6589">
            <v>0</v>
          </cell>
        </row>
        <row r="6590">
          <cell r="A6590">
            <v>1913000915</v>
          </cell>
          <cell r="B6590" t="str">
            <v>עבודות ע"ח הצרכן</v>
          </cell>
          <cell r="C6590">
            <v>0</v>
          </cell>
          <cell r="D6590">
            <v>0</v>
          </cell>
          <cell r="E6590">
            <v>0</v>
          </cell>
          <cell r="F6590">
            <v>0</v>
          </cell>
          <cell r="G6590">
            <v>0</v>
          </cell>
          <cell r="H6590">
            <v>0</v>
          </cell>
          <cell r="I6590">
            <v>0</v>
          </cell>
          <cell r="J6590">
            <v>0</v>
          </cell>
        </row>
        <row r="6591">
          <cell r="A6591">
            <v>1913000931</v>
          </cell>
          <cell r="B6591" t="str">
            <v>הקמת תאגיד המים</v>
          </cell>
          <cell r="C6591">
            <v>0</v>
          </cell>
          <cell r="D6591">
            <v>0</v>
          </cell>
          <cell r="E6591">
            <v>0</v>
          </cell>
          <cell r="F6591">
            <v>0</v>
          </cell>
          <cell r="G6591">
            <v>0</v>
          </cell>
          <cell r="H6591">
            <v>0</v>
          </cell>
          <cell r="I6591">
            <v>0</v>
          </cell>
          <cell r="J6591">
            <v>0</v>
          </cell>
        </row>
        <row r="6592">
          <cell r="A6592">
            <v>1913000932</v>
          </cell>
          <cell r="B6592" t="str">
            <v>החלפת קו הגדל קוטר</v>
          </cell>
          <cell r="C6592">
            <v>0</v>
          </cell>
          <cell r="D6592">
            <v>0</v>
          </cell>
          <cell r="E6592">
            <v>0</v>
          </cell>
          <cell r="F6592">
            <v>0</v>
          </cell>
          <cell r="G6592">
            <v>0</v>
          </cell>
          <cell r="H6592">
            <v>0</v>
          </cell>
          <cell r="I6592">
            <v>0</v>
          </cell>
          <cell r="J6592">
            <v>0</v>
          </cell>
        </row>
        <row r="6593">
          <cell r="A6593">
            <v>1913000960</v>
          </cell>
          <cell r="B6593" t="str">
            <v>רזרבה לאחזקת מים</v>
          </cell>
          <cell r="C6593">
            <v>0</v>
          </cell>
          <cell r="D6593">
            <v>0</v>
          </cell>
          <cell r="E6593">
            <v>0</v>
          </cell>
          <cell r="F6593">
            <v>0</v>
          </cell>
          <cell r="G6593">
            <v>0</v>
          </cell>
          <cell r="H6593">
            <v>0</v>
          </cell>
          <cell r="I6593">
            <v>0</v>
          </cell>
          <cell r="J6593">
            <v>0</v>
          </cell>
        </row>
        <row r="6594">
          <cell r="A6594">
            <v>1933000610</v>
          </cell>
          <cell r="B6594" t="str">
            <v>עמלה לחברה הכלכלית</v>
          </cell>
          <cell r="C6594">
            <v>0</v>
          </cell>
          <cell r="D6594">
            <v>0</v>
          </cell>
          <cell r="E6594">
            <v>0</v>
          </cell>
          <cell r="F6594">
            <v>0</v>
          </cell>
          <cell r="G6594">
            <v>0</v>
          </cell>
          <cell r="H6594">
            <v>0</v>
          </cell>
          <cell r="I6594">
            <v>0</v>
          </cell>
          <cell r="J6594">
            <v>0</v>
          </cell>
        </row>
        <row r="6595">
          <cell r="A6595">
            <v>1939000410</v>
          </cell>
          <cell r="B6595" t="str">
            <v>דמי חכירה</v>
          </cell>
          <cell r="C6595">
            <v>12825</v>
          </cell>
          <cell r="D6595">
            <v>0</v>
          </cell>
          <cell r="E6595">
            <v>0</v>
          </cell>
          <cell r="F6595">
            <v>0</v>
          </cell>
          <cell r="G6595">
            <v>12825</v>
          </cell>
          <cell r="H6595">
            <v>0</v>
          </cell>
          <cell r="I6595">
            <v>13500</v>
          </cell>
          <cell r="J6595">
            <v>0</v>
          </cell>
        </row>
        <row r="6596">
          <cell r="A6596">
            <v>1939000411</v>
          </cell>
          <cell r="B6596" t="str">
            <v>ארנונה נכסי העירייה</v>
          </cell>
          <cell r="C6596">
            <v>0</v>
          </cell>
          <cell r="D6596">
            <v>0</v>
          </cell>
          <cell r="E6596">
            <v>0</v>
          </cell>
          <cell r="F6596">
            <v>0</v>
          </cell>
          <cell r="G6596">
            <v>0</v>
          </cell>
          <cell r="H6596">
            <v>0</v>
          </cell>
          <cell r="I6596">
            <v>0</v>
          </cell>
          <cell r="J6596">
            <v>0</v>
          </cell>
        </row>
        <row r="6597">
          <cell r="A6597">
            <v>1939000412</v>
          </cell>
          <cell r="B6597" t="str">
            <v>מס רכישה</v>
          </cell>
          <cell r="C6597">
            <v>8550</v>
          </cell>
          <cell r="D6597">
            <v>0</v>
          </cell>
          <cell r="E6597">
            <v>0</v>
          </cell>
          <cell r="F6597">
            <v>0</v>
          </cell>
          <cell r="G6597">
            <v>8550</v>
          </cell>
          <cell r="H6597">
            <v>0</v>
          </cell>
          <cell r="I6597">
            <v>9000</v>
          </cell>
          <cell r="J6597">
            <v>0</v>
          </cell>
        </row>
        <row r="6598">
          <cell r="A6598">
            <v>1939000413</v>
          </cell>
          <cell r="B6598" t="str">
            <v>דמ"ש נכסי חברות הבת</v>
          </cell>
          <cell r="C6598">
            <v>0</v>
          </cell>
          <cell r="D6598">
            <v>0</v>
          </cell>
          <cell r="E6598">
            <v>0</v>
          </cell>
          <cell r="F6598">
            <v>0</v>
          </cell>
          <cell r="G6598">
            <v>0</v>
          </cell>
          <cell r="H6598">
            <v>0</v>
          </cell>
          <cell r="I6598">
            <v>0</v>
          </cell>
          <cell r="J6598">
            <v>0</v>
          </cell>
        </row>
        <row r="6599">
          <cell r="A6599">
            <v>1939000432</v>
          </cell>
          <cell r="B6599" t="str">
            <v>מים - נכסים</v>
          </cell>
          <cell r="C6599">
            <v>20000</v>
          </cell>
          <cell r="D6599">
            <v>8714.3700000000008</v>
          </cell>
          <cell r="E6599">
            <v>0</v>
          </cell>
          <cell r="F6599">
            <v>8714.3700000000008</v>
          </cell>
          <cell r="G6599">
            <v>11285.63</v>
          </cell>
          <cell r="H6599">
            <v>43.57</v>
          </cell>
          <cell r="I6599">
            <v>20000</v>
          </cell>
          <cell r="J6599">
            <v>8714.3700000000008</v>
          </cell>
        </row>
        <row r="6600">
          <cell r="A6600">
            <v>1939000441</v>
          </cell>
          <cell r="B6600" t="str">
            <v>לא פעיל</v>
          </cell>
          <cell r="C6600">
            <v>0</v>
          </cell>
          <cell r="D6600">
            <v>0</v>
          </cell>
          <cell r="E6600">
            <v>0</v>
          </cell>
          <cell r="F6600">
            <v>0</v>
          </cell>
          <cell r="G6600">
            <v>0</v>
          </cell>
          <cell r="H6600">
            <v>0</v>
          </cell>
          <cell r="I6600">
            <v>0</v>
          </cell>
          <cell r="J6600">
            <v>0</v>
          </cell>
        </row>
        <row r="6601">
          <cell r="A6601">
            <v>1939000477</v>
          </cell>
          <cell r="B6601" t="str">
            <v>אחזקת נכסים</v>
          </cell>
          <cell r="C6601">
            <v>0</v>
          </cell>
          <cell r="D6601">
            <v>0</v>
          </cell>
          <cell r="E6601">
            <v>0</v>
          </cell>
          <cell r="F6601">
            <v>0</v>
          </cell>
          <cell r="G6601">
            <v>0</v>
          </cell>
          <cell r="H6601">
            <v>0</v>
          </cell>
          <cell r="I6601">
            <v>0</v>
          </cell>
          <cell r="J6601">
            <v>0</v>
          </cell>
        </row>
        <row r="6602">
          <cell r="A6602">
            <v>1939000550</v>
          </cell>
          <cell r="B6602" t="str">
            <v>פירסומים</v>
          </cell>
          <cell r="C6602">
            <v>855</v>
          </cell>
          <cell r="D6602">
            <v>0</v>
          </cell>
          <cell r="E6602">
            <v>0</v>
          </cell>
          <cell r="F6602">
            <v>0</v>
          </cell>
          <cell r="G6602">
            <v>855</v>
          </cell>
          <cell r="H6602">
            <v>0</v>
          </cell>
          <cell r="I6602">
            <v>900</v>
          </cell>
          <cell r="J6602">
            <v>0</v>
          </cell>
        </row>
        <row r="6603">
          <cell r="A6603">
            <v>1939000570</v>
          </cell>
          <cell r="B6603" t="str">
            <v>תוכנת ניהול נכסים</v>
          </cell>
          <cell r="C6603">
            <v>5320</v>
          </cell>
          <cell r="D6603">
            <v>0</v>
          </cell>
          <cell r="E6603">
            <v>0</v>
          </cell>
          <cell r="F6603">
            <v>0</v>
          </cell>
          <cell r="G6603">
            <v>5320</v>
          </cell>
          <cell r="H6603">
            <v>0</v>
          </cell>
          <cell r="I6603">
            <v>5600</v>
          </cell>
          <cell r="J6603">
            <v>0</v>
          </cell>
        </row>
        <row r="6604">
          <cell r="A6604">
            <v>1939000572</v>
          </cell>
          <cell r="B6604" t="str">
            <v>דמי ניהול אמות</v>
          </cell>
          <cell r="C6604">
            <v>285000</v>
          </cell>
          <cell r="D6604">
            <v>277360.09999999998</v>
          </cell>
          <cell r="E6604">
            <v>0</v>
          </cell>
          <cell r="F6604">
            <v>277360.09999999998</v>
          </cell>
          <cell r="G6604">
            <v>7639.9</v>
          </cell>
          <cell r="H6604">
            <v>97.31</v>
          </cell>
          <cell r="I6604">
            <v>300000</v>
          </cell>
          <cell r="J6604">
            <v>277360.09999999998</v>
          </cell>
        </row>
        <row r="6605">
          <cell r="A6605">
            <v>1939000573</v>
          </cell>
          <cell r="B6605" t="str">
            <v>דמי ניהול ותחזוקה</v>
          </cell>
          <cell r="C6605">
            <v>0</v>
          </cell>
          <cell r="D6605">
            <v>0</v>
          </cell>
          <cell r="E6605">
            <v>0</v>
          </cell>
          <cell r="F6605">
            <v>0</v>
          </cell>
          <cell r="G6605">
            <v>0</v>
          </cell>
          <cell r="H6605">
            <v>0</v>
          </cell>
          <cell r="I6605">
            <v>0</v>
          </cell>
          <cell r="J6605">
            <v>0</v>
          </cell>
        </row>
        <row r="6606">
          <cell r="A6606">
            <v>1939000580</v>
          </cell>
          <cell r="B6606" t="str">
            <v>ייעוץ חיצוני</v>
          </cell>
          <cell r="C6606">
            <v>0</v>
          </cell>
          <cell r="D6606">
            <v>0</v>
          </cell>
          <cell r="E6606">
            <v>0</v>
          </cell>
          <cell r="F6606">
            <v>0</v>
          </cell>
          <cell r="G6606">
            <v>0</v>
          </cell>
          <cell r="H6606">
            <v>0</v>
          </cell>
          <cell r="I6606">
            <v>0</v>
          </cell>
          <cell r="J6606">
            <v>0</v>
          </cell>
        </row>
        <row r="6607">
          <cell r="A6607">
            <v>1939000800</v>
          </cell>
          <cell r="B6607" t="str">
            <v>.</v>
          </cell>
          <cell r="C6607">
            <v>0</v>
          </cell>
          <cell r="D6607">
            <v>0</v>
          </cell>
          <cell r="E6607">
            <v>0</v>
          </cell>
          <cell r="F6607">
            <v>0</v>
          </cell>
          <cell r="G6607">
            <v>0</v>
          </cell>
          <cell r="H6607">
            <v>0</v>
          </cell>
          <cell r="I6607">
            <v>0</v>
          </cell>
          <cell r="J6607">
            <v>0</v>
          </cell>
        </row>
        <row r="6608">
          <cell r="A6608">
            <v>1939000801</v>
          </cell>
          <cell r="B6608" t="str">
            <v>דמי זיכיון רשת קהילה ופנאי</v>
          </cell>
          <cell r="C6608">
            <v>0</v>
          </cell>
          <cell r="D6608">
            <v>0</v>
          </cell>
          <cell r="E6608">
            <v>0</v>
          </cell>
          <cell r="F6608">
            <v>0</v>
          </cell>
          <cell r="G6608">
            <v>0</v>
          </cell>
          <cell r="H6608">
            <v>0</v>
          </cell>
          <cell r="I6608">
            <v>0</v>
          </cell>
          <cell r="J6608">
            <v>0</v>
          </cell>
        </row>
        <row r="6609">
          <cell r="A6609">
            <v>1939000802</v>
          </cell>
          <cell r="B6609" t="str">
            <v>דמ"ז החברה לפיתוח תאטרון</v>
          </cell>
          <cell r="C6609">
            <v>0</v>
          </cell>
          <cell r="D6609">
            <v>0</v>
          </cell>
          <cell r="E6609">
            <v>0</v>
          </cell>
          <cell r="F6609">
            <v>0</v>
          </cell>
          <cell r="G6609">
            <v>0</v>
          </cell>
          <cell r="H6609">
            <v>0</v>
          </cell>
          <cell r="I6609">
            <v>0</v>
          </cell>
          <cell r="J6609">
            <v>0</v>
          </cell>
        </row>
        <row r="6610">
          <cell r="A6610">
            <v>1939000803</v>
          </cell>
          <cell r="B6610" t="str">
            <v>זכות הפעלה החב' לפיתוח תאטרון</v>
          </cell>
          <cell r="C6610">
            <v>0</v>
          </cell>
          <cell r="D6610">
            <v>0</v>
          </cell>
          <cell r="E6610">
            <v>0</v>
          </cell>
          <cell r="F6610">
            <v>0</v>
          </cell>
          <cell r="G6610">
            <v>0</v>
          </cell>
          <cell r="H6610">
            <v>0</v>
          </cell>
          <cell r="I6610">
            <v>0</v>
          </cell>
          <cell r="J6610">
            <v>0</v>
          </cell>
        </row>
        <row r="6611">
          <cell r="A6611">
            <v>1939000804</v>
          </cell>
          <cell r="B6611" t="str">
            <v>זכות הפעלה רשת קהילה ופנאי</v>
          </cell>
          <cell r="C6611">
            <v>0</v>
          </cell>
          <cell r="D6611">
            <v>0</v>
          </cell>
          <cell r="E6611">
            <v>0</v>
          </cell>
          <cell r="F6611">
            <v>0</v>
          </cell>
          <cell r="G6611">
            <v>0</v>
          </cell>
          <cell r="H6611">
            <v>0</v>
          </cell>
          <cell r="I6611">
            <v>0</v>
          </cell>
          <cell r="J6611">
            <v>0</v>
          </cell>
        </row>
        <row r="6612">
          <cell r="A6612">
            <v>1939000810</v>
          </cell>
          <cell r="B6612" t="str">
            <v>ארנונה נכסי העירייה</v>
          </cell>
          <cell r="C6612">
            <v>11279825</v>
          </cell>
          <cell r="D6612">
            <v>11882281.039999999</v>
          </cell>
          <cell r="E6612">
            <v>0</v>
          </cell>
          <cell r="F6612">
            <v>11882281.039999999</v>
          </cell>
          <cell r="G6612">
            <v>-602456.04</v>
          </cell>
          <cell r="H6612">
            <v>105.34</v>
          </cell>
          <cell r="I6612">
            <v>11873500</v>
          </cell>
          <cell r="J6612">
            <v>11882281.039999999</v>
          </cell>
        </row>
        <row r="6613">
          <cell r="A6613">
            <v>1939000901</v>
          </cell>
          <cell r="B6613" t="str">
            <v>קרן ארנונה</v>
          </cell>
          <cell r="C6613">
            <v>2850000</v>
          </cell>
          <cell r="D6613">
            <v>0</v>
          </cell>
          <cell r="E6613">
            <v>0</v>
          </cell>
          <cell r="F6613">
            <v>0</v>
          </cell>
          <cell r="G6613">
            <v>2850000</v>
          </cell>
          <cell r="H6613">
            <v>0</v>
          </cell>
          <cell r="I6613">
            <v>3000000</v>
          </cell>
          <cell r="J6613">
            <v>0</v>
          </cell>
        </row>
        <row r="6614">
          <cell r="A6614">
            <v>1939000902</v>
          </cell>
          <cell r="B6614" t="str">
            <v>.</v>
          </cell>
          <cell r="C6614">
            <v>0</v>
          </cell>
          <cell r="D6614">
            <v>0</v>
          </cell>
          <cell r="E6614">
            <v>0</v>
          </cell>
          <cell r="F6614">
            <v>0</v>
          </cell>
          <cell r="G6614">
            <v>0</v>
          </cell>
          <cell r="H6614">
            <v>0</v>
          </cell>
          <cell r="I6614">
            <v>0</v>
          </cell>
          <cell r="J6614">
            <v>0</v>
          </cell>
        </row>
        <row r="6615">
          <cell r="A6615">
            <v>1972000110</v>
          </cell>
          <cell r="B6615" t="str">
            <v>השכר הקובע-תקציבית</v>
          </cell>
          <cell r="C6615">
            <v>0</v>
          </cell>
          <cell r="D6615">
            <v>0</v>
          </cell>
          <cell r="E6615">
            <v>0</v>
          </cell>
          <cell r="F6615">
            <v>0</v>
          </cell>
          <cell r="G6615">
            <v>0</v>
          </cell>
          <cell r="H6615">
            <v>0</v>
          </cell>
          <cell r="I6615">
            <v>0</v>
          </cell>
          <cell r="J6615">
            <v>0</v>
          </cell>
        </row>
        <row r="6616">
          <cell r="A6616">
            <v>1972000119</v>
          </cell>
          <cell r="B6616" t="str">
            <v>השכר הקובע-צוברת</v>
          </cell>
          <cell r="C6616">
            <v>0</v>
          </cell>
          <cell r="D6616">
            <v>0</v>
          </cell>
          <cell r="E6616">
            <v>0</v>
          </cell>
          <cell r="F6616">
            <v>0</v>
          </cell>
          <cell r="G6616">
            <v>0</v>
          </cell>
          <cell r="H6616">
            <v>0</v>
          </cell>
          <cell r="I6616">
            <v>0</v>
          </cell>
          <cell r="J6616">
            <v>0</v>
          </cell>
        </row>
        <row r="6617">
          <cell r="A6617">
            <v>1972000122</v>
          </cell>
          <cell r="B6617" t="str">
            <v>ביגוד</v>
          </cell>
          <cell r="C6617">
            <v>0</v>
          </cell>
          <cell r="D6617">
            <v>0</v>
          </cell>
          <cell r="E6617">
            <v>0</v>
          </cell>
          <cell r="F6617">
            <v>0</v>
          </cell>
          <cell r="G6617">
            <v>0</v>
          </cell>
          <cell r="H6617">
            <v>0</v>
          </cell>
          <cell r="I6617">
            <v>0</v>
          </cell>
          <cell r="J6617">
            <v>0</v>
          </cell>
        </row>
        <row r="6618">
          <cell r="A6618">
            <v>1972000126</v>
          </cell>
          <cell r="B6618" t="str">
            <v>דמי הבראה</v>
          </cell>
          <cell r="C6618">
            <v>0</v>
          </cell>
          <cell r="D6618">
            <v>0</v>
          </cell>
          <cell r="E6618">
            <v>0</v>
          </cell>
          <cell r="F6618">
            <v>0</v>
          </cell>
          <cell r="G6618">
            <v>0</v>
          </cell>
          <cell r="H6618">
            <v>0</v>
          </cell>
          <cell r="I6618">
            <v>0</v>
          </cell>
          <cell r="J6618">
            <v>0</v>
          </cell>
        </row>
        <row r="6619">
          <cell r="A6619">
            <v>1972000130</v>
          </cell>
          <cell r="B6619" t="str">
            <v>שעות נוספות</v>
          </cell>
          <cell r="C6619">
            <v>0</v>
          </cell>
          <cell r="D6619">
            <v>0</v>
          </cell>
          <cell r="E6619">
            <v>0</v>
          </cell>
          <cell r="F6619">
            <v>0</v>
          </cell>
          <cell r="G6619">
            <v>0</v>
          </cell>
          <cell r="H6619">
            <v>0</v>
          </cell>
          <cell r="I6619">
            <v>0</v>
          </cell>
          <cell r="J6619">
            <v>0</v>
          </cell>
        </row>
        <row r="6620">
          <cell r="A6620">
            <v>1972000140</v>
          </cell>
          <cell r="B6620" t="str">
            <v>השתתפות באחזקת רכב</v>
          </cell>
          <cell r="C6620">
            <v>0</v>
          </cell>
          <cell r="D6620">
            <v>0</v>
          </cell>
          <cell r="E6620">
            <v>0</v>
          </cell>
          <cell r="F6620">
            <v>0</v>
          </cell>
          <cell r="G6620">
            <v>0</v>
          </cell>
          <cell r="H6620">
            <v>0</v>
          </cell>
          <cell r="I6620">
            <v>0</v>
          </cell>
          <cell r="J6620">
            <v>0</v>
          </cell>
        </row>
        <row r="6621">
          <cell r="A6621">
            <v>1972000253</v>
          </cell>
          <cell r="B6621" t="str">
            <v>עובדים חיצוניים</v>
          </cell>
          <cell r="C6621">
            <v>0</v>
          </cell>
          <cell r="D6621">
            <v>0</v>
          </cell>
          <cell r="E6621">
            <v>0</v>
          </cell>
          <cell r="F6621">
            <v>0</v>
          </cell>
          <cell r="G6621">
            <v>0</v>
          </cell>
          <cell r="H6621">
            <v>0</v>
          </cell>
          <cell r="I6621">
            <v>0</v>
          </cell>
          <cell r="J6621">
            <v>0</v>
          </cell>
        </row>
        <row r="6622">
          <cell r="A6622">
            <v>1972000391</v>
          </cell>
          <cell r="B6622" t="str">
            <v>הפרשה לפנסיה</v>
          </cell>
          <cell r="C6622">
            <v>0</v>
          </cell>
          <cell r="D6622">
            <v>0</v>
          </cell>
          <cell r="E6622">
            <v>0</v>
          </cell>
          <cell r="F6622">
            <v>0</v>
          </cell>
          <cell r="G6622">
            <v>0</v>
          </cell>
          <cell r="H6622">
            <v>0</v>
          </cell>
          <cell r="I6622">
            <v>0</v>
          </cell>
          <cell r="J6622">
            <v>0</v>
          </cell>
        </row>
        <row r="6623">
          <cell r="A6623">
            <v>1972000431</v>
          </cell>
          <cell r="B6623" t="str">
            <v>חשמל למשאבות</v>
          </cell>
          <cell r="C6623">
            <v>0</v>
          </cell>
          <cell r="D6623">
            <v>0</v>
          </cell>
          <cell r="E6623">
            <v>0</v>
          </cell>
          <cell r="F6623">
            <v>0</v>
          </cell>
          <cell r="G6623">
            <v>0</v>
          </cell>
          <cell r="H6623">
            <v>0</v>
          </cell>
          <cell r="I6623">
            <v>0</v>
          </cell>
          <cell r="J6623">
            <v>0</v>
          </cell>
        </row>
        <row r="6624">
          <cell r="A6624">
            <v>1972000476</v>
          </cell>
          <cell r="B6624" t="str">
            <v>אחזקת משאבות</v>
          </cell>
          <cell r="C6624">
            <v>0</v>
          </cell>
          <cell r="D6624">
            <v>0</v>
          </cell>
          <cell r="E6624">
            <v>0</v>
          </cell>
          <cell r="F6624">
            <v>0</v>
          </cell>
          <cell r="G6624">
            <v>0</v>
          </cell>
          <cell r="H6624">
            <v>0</v>
          </cell>
          <cell r="I6624">
            <v>0</v>
          </cell>
          <cell r="J6624">
            <v>0</v>
          </cell>
        </row>
        <row r="6625">
          <cell r="A6625">
            <v>1972000540</v>
          </cell>
          <cell r="B6625" t="str">
            <v>הוצאות טלפון</v>
          </cell>
          <cell r="C6625">
            <v>0</v>
          </cell>
          <cell r="D6625">
            <v>0</v>
          </cell>
          <cell r="E6625">
            <v>0</v>
          </cell>
          <cell r="F6625">
            <v>0</v>
          </cell>
          <cell r="G6625">
            <v>0</v>
          </cell>
          <cell r="H6625">
            <v>0</v>
          </cell>
          <cell r="I6625">
            <v>0</v>
          </cell>
          <cell r="J6625">
            <v>0</v>
          </cell>
        </row>
        <row r="6626">
          <cell r="A6626">
            <v>1972000544</v>
          </cell>
          <cell r="B6626" t="str">
            <v>הוצאות דאר</v>
          </cell>
          <cell r="C6626">
            <v>0</v>
          </cell>
          <cell r="D6626">
            <v>0</v>
          </cell>
          <cell r="E6626">
            <v>0</v>
          </cell>
          <cell r="F6626">
            <v>0</v>
          </cell>
          <cell r="G6626">
            <v>0</v>
          </cell>
          <cell r="H6626">
            <v>0</v>
          </cell>
          <cell r="I6626">
            <v>0</v>
          </cell>
          <cell r="J6626">
            <v>0</v>
          </cell>
        </row>
        <row r="6627">
          <cell r="A6627">
            <v>1972000571</v>
          </cell>
          <cell r="B6627" t="str">
            <v>מיכון וענ"א</v>
          </cell>
          <cell r="C6627">
            <v>0</v>
          </cell>
          <cell r="D6627">
            <v>0</v>
          </cell>
          <cell r="E6627">
            <v>0</v>
          </cell>
          <cell r="F6627">
            <v>0</v>
          </cell>
          <cell r="G6627">
            <v>0</v>
          </cell>
          <cell r="H6627">
            <v>0</v>
          </cell>
          <cell r="I6627">
            <v>0</v>
          </cell>
          <cell r="J6627">
            <v>0</v>
          </cell>
        </row>
        <row r="6628">
          <cell r="A6628">
            <v>1972000596</v>
          </cell>
          <cell r="B6628" t="str">
            <v>השתתפות בעזר 096</v>
          </cell>
          <cell r="C6628">
            <v>0</v>
          </cell>
          <cell r="D6628">
            <v>0</v>
          </cell>
          <cell r="E6628">
            <v>0</v>
          </cell>
          <cell r="F6628">
            <v>0</v>
          </cell>
          <cell r="G6628">
            <v>0</v>
          </cell>
          <cell r="H6628">
            <v>0</v>
          </cell>
          <cell r="I6628">
            <v>0</v>
          </cell>
          <cell r="J6628">
            <v>0</v>
          </cell>
        </row>
        <row r="6629">
          <cell r="A6629">
            <v>1972000715</v>
          </cell>
          <cell r="B6629" t="str">
            <v>עבודות קבלניות-רכב</v>
          </cell>
          <cell r="C6629">
            <v>0</v>
          </cell>
          <cell r="D6629">
            <v>0</v>
          </cell>
          <cell r="E6629">
            <v>0</v>
          </cell>
          <cell r="F6629">
            <v>0</v>
          </cell>
          <cell r="G6629">
            <v>0</v>
          </cell>
          <cell r="H6629">
            <v>0</v>
          </cell>
          <cell r="I6629">
            <v>0</v>
          </cell>
          <cell r="J6629">
            <v>0</v>
          </cell>
        </row>
        <row r="6630">
          <cell r="A6630">
            <v>1972000722</v>
          </cell>
          <cell r="B6630" t="str">
            <v>חומרים-תחזוקה עצמית</v>
          </cell>
          <cell r="C6630">
            <v>0</v>
          </cell>
          <cell r="D6630">
            <v>0</v>
          </cell>
          <cell r="E6630">
            <v>0</v>
          </cell>
          <cell r="F6630">
            <v>0</v>
          </cell>
          <cell r="G6630">
            <v>0</v>
          </cell>
          <cell r="H6630">
            <v>0</v>
          </cell>
          <cell r="I6630">
            <v>0</v>
          </cell>
          <cell r="J6630">
            <v>0</v>
          </cell>
        </row>
        <row r="6631">
          <cell r="A6631">
            <v>1972000742</v>
          </cell>
          <cell r="B6631" t="str">
            <v>כלים וציוד</v>
          </cell>
          <cell r="C6631">
            <v>0</v>
          </cell>
          <cell r="D6631">
            <v>0</v>
          </cell>
          <cell r="E6631">
            <v>0</v>
          </cell>
          <cell r="F6631">
            <v>0</v>
          </cell>
          <cell r="G6631">
            <v>0</v>
          </cell>
          <cell r="H6631">
            <v>0</v>
          </cell>
          <cell r="I6631">
            <v>0</v>
          </cell>
          <cell r="J6631">
            <v>0</v>
          </cell>
        </row>
        <row r="6632">
          <cell r="A6632">
            <v>1972000753</v>
          </cell>
          <cell r="B6632" t="str">
            <v>עובד חיצוני</v>
          </cell>
          <cell r="C6632">
            <v>0</v>
          </cell>
          <cell r="D6632">
            <v>0</v>
          </cell>
          <cell r="E6632">
            <v>0</v>
          </cell>
          <cell r="F6632">
            <v>0</v>
          </cell>
          <cell r="G6632">
            <v>0</v>
          </cell>
          <cell r="H6632">
            <v>0</v>
          </cell>
          <cell r="I6632">
            <v>0</v>
          </cell>
          <cell r="J6632">
            <v>0</v>
          </cell>
        </row>
        <row r="6633">
          <cell r="A6633">
            <v>1972000754</v>
          </cell>
          <cell r="B6633" t="str">
            <v>עב' ביוב ע"ח צרכן</v>
          </cell>
          <cell r="C6633">
            <v>0</v>
          </cell>
          <cell r="D6633">
            <v>0</v>
          </cell>
          <cell r="E6633">
            <v>0</v>
          </cell>
          <cell r="F6633">
            <v>0</v>
          </cell>
          <cell r="G6633">
            <v>0</v>
          </cell>
          <cell r="H6633">
            <v>0</v>
          </cell>
          <cell r="I6633">
            <v>0</v>
          </cell>
          <cell r="J6633">
            <v>0</v>
          </cell>
        </row>
        <row r="6634">
          <cell r="A6634">
            <v>1972000794</v>
          </cell>
          <cell r="B6634" t="str">
            <v>השתתפות בעזר 094</v>
          </cell>
          <cell r="C6634">
            <v>0</v>
          </cell>
          <cell r="D6634">
            <v>0</v>
          </cell>
          <cell r="E6634">
            <v>0</v>
          </cell>
          <cell r="F6634">
            <v>0</v>
          </cell>
          <cell r="G6634">
            <v>0</v>
          </cell>
          <cell r="H6634">
            <v>0</v>
          </cell>
          <cell r="I6634">
            <v>0</v>
          </cell>
          <cell r="J6634">
            <v>0</v>
          </cell>
        </row>
        <row r="6635">
          <cell r="A6635">
            <v>1972000830</v>
          </cell>
          <cell r="B6635" t="str">
            <v>השת' באיגוד  ביוב</v>
          </cell>
          <cell r="C6635">
            <v>0</v>
          </cell>
          <cell r="D6635">
            <v>0</v>
          </cell>
          <cell r="E6635">
            <v>0</v>
          </cell>
          <cell r="F6635">
            <v>0</v>
          </cell>
          <cell r="G6635">
            <v>0</v>
          </cell>
          <cell r="H6635">
            <v>0</v>
          </cell>
          <cell r="I6635">
            <v>0</v>
          </cell>
          <cell r="J6635">
            <v>0</v>
          </cell>
        </row>
        <row r="6636">
          <cell r="A6636">
            <v>1972000931</v>
          </cell>
          <cell r="B6636" t="str">
            <v>הפרשה לתביעות משפטיות</v>
          </cell>
          <cell r="C6636">
            <v>0</v>
          </cell>
          <cell r="D6636">
            <v>0</v>
          </cell>
          <cell r="E6636">
            <v>0</v>
          </cell>
          <cell r="F6636">
            <v>0</v>
          </cell>
          <cell r="G6636">
            <v>0</v>
          </cell>
          <cell r="H6636">
            <v>0</v>
          </cell>
          <cell r="I6636">
            <v>0</v>
          </cell>
          <cell r="J6636">
            <v>0</v>
          </cell>
        </row>
        <row r="6637">
          <cell r="A6637">
            <v>1972000989</v>
          </cell>
          <cell r="B6637" t="str">
            <v>תקורות ושכר</v>
          </cell>
          <cell r="C6637">
            <v>0</v>
          </cell>
          <cell r="D6637">
            <v>0</v>
          </cell>
          <cell r="E6637">
            <v>0</v>
          </cell>
          <cell r="F6637">
            <v>0</v>
          </cell>
          <cell r="G6637">
            <v>0</v>
          </cell>
          <cell r="H6637">
            <v>0</v>
          </cell>
          <cell r="I6637">
            <v>0</v>
          </cell>
          <cell r="J6637">
            <v>0</v>
          </cell>
        </row>
        <row r="6638">
          <cell r="A6638">
            <v>1972100110</v>
          </cell>
          <cell r="B6638" t="str">
            <v>השכר הקובע-תקציבית</v>
          </cell>
          <cell r="C6638">
            <v>0</v>
          </cell>
          <cell r="D6638">
            <v>0</v>
          </cell>
          <cell r="E6638">
            <v>0</v>
          </cell>
          <cell r="F6638">
            <v>0</v>
          </cell>
          <cell r="G6638">
            <v>0</v>
          </cell>
          <cell r="H6638">
            <v>0</v>
          </cell>
          <cell r="I6638">
            <v>0</v>
          </cell>
          <cell r="J6638">
            <v>0</v>
          </cell>
        </row>
        <row r="6639">
          <cell r="A6639">
            <v>1972100119</v>
          </cell>
          <cell r="B6639" t="str">
            <v>השכר הקובע-צוברת</v>
          </cell>
          <cell r="C6639">
            <v>0</v>
          </cell>
          <cell r="D6639">
            <v>0</v>
          </cell>
          <cell r="E6639">
            <v>0</v>
          </cell>
          <cell r="F6639">
            <v>0</v>
          </cell>
          <cell r="G6639">
            <v>0</v>
          </cell>
          <cell r="H6639">
            <v>0</v>
          </cell>
          <cell r="I6639">
            <v>0</v>
          </cell>
          <cell r="J6639">
            <v>0</v>
          </cell>
        </row>
        <row r="6640">
          <cell r="A6640">
            <v>1972100122</v>
          </cell>
          <cell r="B6640" t="str">
            <v>ביגוד</v>
          </cell>
          <cell r="C6640">
            <v>0</v>
          </cell>
          <cell r="D6640">
            <v>0</v>
          </cell>
          <cell r="E6640">
            <v>0</v>
          </cell>
          <cell r="F6640">
            <v>0</v>
          </cell>
          <cell r="G6640">
            <v>0</v>
          </cell>
          <cell r="H6640">
            <v>0</v>
          </cell>
          <cell r="I6640">
            <v>0</v>
          </cell>
          <cell r="J6640">
            <v>0</v>
          </cell>
        </row>
        <row r="6641">
          <cell r="A6641">
            <v>1972100126</v>
          </cell>
          <cell r="B6641" t="str">
            <v>דמי הבראה</v>
          </cell>
          <cell r="C6641">
            <v>0</v>
          </cell>
          <cell r="D6641">
            <v>0</v>
          </cell>
          <cell r="E6641">
            <v>0</v>
          </cell>
          <cell r="F6641">
            <v>0</v>
          </cell>
          <cell r="G6641">
            <v>0</v>
          </cell>
          <cell r="H6641">
            <v>0</v>
          </cell>
          <cell r="I6641">
            <v>0</v>
          </cell>
          <cell r="J6641">
            <v>0</v>
          </cell>
        </row>
        <row r="6642">
          <cell r="A6642">
            <v>1972100130</v>
          </cell>
          <cell r="B6642" t="str">
            <v>שעות נוספות</v>
          </cell>
          <cell r="C6642">
            <v>0</v>
          </cell>
          <cell r="D6642">
            <v>0</v>
          </cell>
          <cell r="E6642">
            <v>0</v>
          </cell>
          <cell r="F6642">
            <v>0</v>
          </cell>
          <cell r="G6642">
            <v>0</v>
          </cell>
          <cell r="H6642">
            <v>0</v>
          </cell>
          <cell r="I6642">
            <v>0</v>
          </cell>
          <cell r="J6642">
            <v>0</v>
          </cell>
        </row>
        <row r="6643">
          <cell r="A6643">
            <v>1972100140</v>
          </cell>
          <cell r="B6643" t="str">
            <v>השתתפות באחזקת רכב</v>
          </cell>
          <cell r="C6643">
            <v>0</v>
          </cell>
          <cell r="D6643">
            <v>0</v>
          </cell>
          <cell r="E6643">
            <v>0</v>
          </cell>
          <cell r="F6643">
            <v>0</v>
          </cell>
          <cell r="G6643">
            <v>0</v>
          </cell>
          <cell r="H6643">
            <v>0</v>
          </cell>
          <cell r="I6643">
            <v>0</v>
          </cell>
          <cell r="J6643">
            <v>0</v>
          </cell>
        </row>
        <row r="6644">
          <cell r="A6644">
            <v>1972100253</v>
          </cell>
          <cell r="B6644" t="str">
            <v>עובדים חיצוניים</v>
          </cell>
          <cell r="C6644">
            <v>0</v>
          </cell>
          <cell r="D6644">
            <v>0</v>
          </cell>
          <cell r="E6644">
            <v>0</v>
          </cell>
          <cell r="F6644">
            <v>0</v>
          </cell>
          <cell r="G6644">
            <v>0</v>
          </cell>
          <cell r="H6644">
            <v>0</v>
          </cell>
          <cell r="I6644">
            <v>0</v>
          </cell>
          <cell r="J6644">
            <v>0</v>
          </cell>
        </row>
        <row r="6645">
          <cell r="A6645">
            <v>1972100431</v>
          </cell>
          <cell r="B6645" t="str">
            <v>תשמל למשאבות</v>
          </cell>
          <cell r="C6645">
            <v>0</v>
          </cell>
          <cell r="D6645">
            <v>0</v>
          </cell>
          <cell r="E6645">
            <v>0</v>
          </cell>
          <cell r="F6645">
            <v>0</v>
          </cell>
          <cell r="G6645">
            <v>0</v>
          </cell>
          <cell r="H6645">
            <v>0</v>
          </cell>
          <cell r="I6645">
            <v>0</v>
          </cell>
          <cell r="J6645">
            <v>0</v>
          </cell>
        </row>
        <row r="6646">
          <cell r="A6646">
            <v>1972100476</v>
          </cell>
          <cell r="B6646" t="str">
            <v>אחזקת משאבות</v>
          </cell>
          <cell r="C6646">
            <v>0</v>
          </cell>
          <cell r="D6646">
            <v>0</v>
          </cell>
          <cell r="E6646">
            <v>0</v>
          </cell>
          <cell r="F6646">
            <v>0</v>
          </cell>
          <cell r="G6646">
            <v>0</v>
          </cell>
          <cell r="H6646">
            <v>0</v>
          </cell>
          <cell r="I6646">
            <v>0</v>
          </cell>
          <cell r="J6646">
            <v>0</v>
          </cell>
        </row>
        <row r="6647">
          <cell r="A6647">
            <v>1972100722</v>
          </cell>
          <cell r="B6647" t="str">
            <v>חומרים-תחזוקה עצמית</v>
          </cell>
          <cell r="C6647">
            <v>0</v>
          </cell>
          <cell r="D6647">
            <v>0</v>
          </cell>
          <cell r="E6647">
            <v>0</v>
          </cell>
          <cell r="F6647">
            <v>0</v>
          </cell>
          <cell r="G6647">
            <v>0</v>
          </cell>
          <cell r="H6647">
            <v>0</v>
          </cell>
          <cell r="I6647">
            <v>0</v>
          </cell>
          <cell r="J6647">
            <v>0</v>
          </cell>
        </row>
        <row r="6648">
          <cell r="A6648">
            <v>1972100742</v>
          </cell>
          <cell r="B6648" t="str">
            <v>כלים וציוד</v>
          </cell>
          <cell r="C6648">
            <v>0</v>
          </cell>
          <cell r="D6648">
            <v>0</v>
          </cell>
          <cell r="E6648">
            <v>0</v>
          </cell>
          <cell r="F6648">
            <v>0</v>
          </cell>
          <cell r="G6648">
            <v>0</v>
          </cell>
          <cell r="H6648">
            <v>0</v>
          </cell>
          <cell r="I6648">
            <v>0</v>
          </cell>
          <cell r="J6648">
            <v>0</v>
          </cell>
        </row>
        <row r="6649">
          <cell r="A6649">
            <v>1972100754</v>
          </cell>
          <cell r="B6649" t="str">
            <v>עב' קבלניות-שטיפה</v>
          </cell>
          <cell r="C6649">
            <v>0</v>
          </cell>
          <cell r="D6649">
            <v>0</v>
          </cell>
          <cell r="E6649">
            <v>0</v>
          </cell>
          <cell r="F6649">
            <v>0</v>
          </cell>
          <cell r="G6649">
            <v>0</v>
          </cell>
          <cell r="H6649">
            <v>0</v>
          </cell>
          <cell r="I6649">
            <v>0</v>
          </cell>
          <cell r="J6649">
            <v>0</v>
          </cell>
        </row>
        <row r="6650">
          <cell r="A6650">
            <v>1972100755</v>
          </cell>
          <cell r="B6650" t="str">
            <v>אחזקת מדי גובה</v>
          </cell>
          <cell r="C6650">
            <v>0</v>
          </cell>
          <cell r="D6650">
            <v>0</v>
          </cell>
          <cell r="E6650">
            <v>0</v>
          </cell>
          <cell r="F6650">
            <v>0</v>
          </cell>
          <cell r="G6650">
            <v>0</v>
          </cell>
          <cell r="H6650">
            <v>0</v>
          </cell>
          <cell r="I6650">
            <v>0</v>
          </cell>
          <cell r="J6650">
            <v>0</v>
          </cell>
        </row>
        <row r="6651">
          <cell r="A6651">
            <v>1972100757</v>
          </cell>
          <cell r="B6651" t="str">
            <v>אחזקת תחנות מי קיץ</v>
          </cell>
          <cell r="C6651">
            <v>0</v>
          </cell>
          <cell r="D6651">
            <v>0</v>
          </cell>
          <cell r="E6651">
            <v>0</v>
          </cell>
          <cell r="F6651">
            <v>0</v>
          </cell>
          <cell r="G6651">
            <v>0</v>
          </cell>
          <cell r="H6651">
            <v>0</v>
          </cell>
          <cell r="I6651">
            <v>0</v>
          </cell>
          <cell r="J6651">
            <v>0</v>
          </cell>
        </row>
        <row r="6652">
          <cell r="A6652">
            <v>1972100758</v>
          </cell>
          <cell r="B6652" t="str">
            <v>מיגון קווי ביוב</v>
          </cell>
          <cell r="C6652">
            <v>0</v>
          </cell>
          <cell r="D6652">
            <v>0</v>
          </cell>
          <cell r="E6652">
            <v>0</v>
          </cell>
          <cell r="F6652">
            <v>0</v>
          </cell>
          <cell r="G6652">
            <v>0</v>
          </cell>
          <cell r="H6652">
            <v>0</v>
          </cell>
          <cell r="I6652">
            <v>0</v>
          </cell>
          <cell r="J6652">
            <v>0</v>
          </cell>
        </row>
        <row r="6653">
          <cell r="A6653">
            <v>1972100759</v>
          </cell>
          <cell r="B6653" t="str">
            <v>אחזקת תחנת שאיבה</v>
          </cell>
          <cell r="C6653">
            <v>0</v>
          </cell>
          <cell r="D6653">
            <v>0</v>
          </cell>
          <cell r="E6653">
            <v>0</v>
          </cell>
          <cell r="F6653">
            <v>0</v>
          </cell>
          <cell r="G6653">
            <v>0</v>
          </cell>
          <cell r="H6653">
            <v>0</v>
          </cell>
          <cell r="I6653">
            <v>0</v>
          </cell>
          <cell r="J6653">
            <v>0</v>
          </cell>
        </row>
        <row r="6654">
          <cell r="A6654">
            <v>1972200110</v>
          </cell>
          <cell r="B6654" t="str">
            <v>השכר הקובע-תקציבית</v>
          </cell>
          <cell r="C6654">
            <v>0</v>
          </cell>
          <cell r="D6654">
            <v>0</v>
          </cell>
          <cell r="E6654">
            <v>0</v>
          </cell>
          <cell r="F6654">
            <v>0</v>
          </cell>
          <cell r="G6654">
            <v>0</v>
          </cell>
          <cell r="H6654">
            <v>0</v>
          </cell>
          <cell r="I6654">
            <v>0</v>
          </cell>
          <cell r="J6654">
            <v>0</v>
          </cell>
        </row>
        <row r="6655">
          <cell r="A6655">
            <v>1972200119</v>
          </cell>
          <cell r="B6655" t="str">
            <v>השכר הקובע-צוברת</v>
          </cell>
          <cell r="C6655">
            <v>0</v>
          </cell>
          <cell r="D6655">
            <v>0</v>
          </cell>
          <cell r="E6655">
            <v>0</v>
          </cell>
          <cell r="F6655">
            <v>0</v>
          </cell>
          <cell r="G6655">
            <v>0</v>
          </cell>
          <cell r="H6655">
            <v>0</v>
          </cell>
          <cell r="I6655">
            <v>0</v>
          </cell>
          <cell r="J6655">
            <v>0</v>
          </cell>
        </row>
        <row r="6656">
          <cell r="A6656">
            <v>1972200122</v>
          </cell>
          <cell r="B6656" t="str">
            <v>ביגוד</v>
          </cell>
          <cell r="C6656">
            <v>0</v>
          </cell>
          <cell r="D6656">
            <v>0</v>
          </cell>
          <cell r="E6656">
            <v>0</v>
          </cell>
          <cell r="F6656">
            <v>0</v>
          </cell>
          <cell r="G6656">
            <v>0</v>
          </cell>
          <cell r="H6656">
            <v>0</v>
          </cell>
          <cell r="I6656">
            <v>0</v>
          </cell>
          <cell r="J6656">
            <v>0</v>
          </cell>
        </row>
        <row r="6657">
          <cell r="A6657">
            <v>1972200126</v>
          </cell>
          <cell r="B6657" t="str">
            <v>דמי הבראה</v>
          </cell>
          <cell r="C6657">
            <v>0</v>
          </cell>
          <cell r="D6657">
            <v>0</v>
          </cell>
          <cell r="E6657">
            <v>0</v>
          </cell>
          <cell r="F6657">
            <v>0</v>
          </cell>
          <cell r="G6657">
            <v>0</v>
          </cell>
          <cell r="H6657">
            <v>0</v>
          </cell>
          <cell r="I6657">
            <v>0</v>
          </cell>
          <cell r="J6657">
            <v>0</v>
          </cell>
        </row>
        <row r="6658">
          <cell r="A6658">
            <v>1972200130</v>
          </cell>
          <cell r="B6658" t="str">
            <v>שעות נוספות</v>
          </cell>
          <cell r="C6658">
            <v>0</v>
          </cell>
          <cell r="D6658">
            <v>0</v>
          </cell>
          <cell r="E6658">
            <v>0</v>
          </cell>
          <cell r="F6658">
            <v>0</v>
          </cell>
          <cell r="G6658">
            <v>0</v>
          </cell>
          <cell r="H6658">
            <v>0</v>
          </cell>
          <cell r="I6658">
            <v>0</v>
          </cell>
          <cell r="J6658">
            <v>0</v>
          </cell>
        </row>
        <row r="6659">
          <cell r="A6659">
            <v>1972200140</v>
          </cell>
          <cell r="B6659" t="str">
            <v>השתתפות באחזקת רכב</v>
          </cell>
          <cell r="C6659">
            <v>0</v>
          </cell>
          <cell r="D6659">
            <v>0</v>
          </cell>
          <cell r="E6659">
            <v>0</v>
          </cell>
          <cell r="F6659">
            <v>0</v>
          </cell>
          <cell r="G6659">
            <v>0</v>
          </cell>
          <cell r="H6659">
            <v>0</v>
          </cell>
          <cell r="I6659">
            <v>0</v>
          </cell>
          <cell r="J6659">
            <v>0</v>
          </cell>
        </row>
        <row r="6660">
          <cell r="A6660">
            <v>1972200253</v>
          </cell>
          <cell r="B6660" t="str">
            <v>עובדים חיצוניים</v>
          </cell>
          <cell r="C6660">
            <v>0</v>
          </cell>
          <cell r="D6660">
            <v>0</v>
          </cell>
          <cell r="E6660">
            <v>0</v>
          </cell>
          <cell r="F6660">
            <v>0</v>
          </cell>
          <cell r="G6660">
            <v>0</v>
          </cell>
          <cell r="H6660">
            <v>0</v>
          </cell>
          <cell r="I6660">
            <v>0</v>
          </cell>
          <cell r="J6660">
            <v>0</v>
          </cell>
        </row>
        <row r="6661">
          <cell r="A6661">
            <v>1972200754</v>
          </cell>
          <cell r="B6661" t="str">
            <v>עבודות קבלניות-פחת</v>
          </cell>
          <cell r="C6661">
            <v>0</v>
          </cell>
          <cell r="D6661">
            <v>0</v>
          </cell>
          <cell r="E6661">
            <v>0</v>
          </cell>
          <cell r="F6661">
            <v>0</v>
          </cell>
          <cell r="G6661">
            <v>0</v>
          </cell>
          <cell r="H6661">
            <v>0</v>
          </cell>
          <cell r="I6661">
            <v>0</v>
          </cell>
          <cell r="J6661">
            <v>0</v>
          </cell>
        </row>
        <row r="6662">
          <cell r="A6662">
            <v>1972200757</v>
          </cell>
          <cell r="B6662" t="str">
            <v>אחזקה אז' תעשיה</v>
          </cell>
          <cell r="C6662">
            <v>0</v>
          </cell>
          <cell r="D6662">
            <v>0</v>
          </cell>
          <cell r="E6662">
            <v>0</v>
          </cell>
          <cell r="F6662">
            <v>0</v>
          </cell>
          <cell r="G6662">
            <v>0</v>
          </cell>
          <cell r="H6662">
            <v>0</v>
          </cell>
          <cell r="I6662">
            <v>0</v>
          </cell>
          <cell r="J6662">
            <v>0</v>
          </cell>
        </row>
        <row r="6663">
          <cell r="A6663">
            <v>1972300110</v>
          </cell>
          <cell r="B6663" t="str">
            <v>השכר הקובע-תקציבית</v>
          </cell>
          <cell r="C6663">
            <v>0</v>
          </cell>
          <cell r="D6663">
            <v>0</v>
          </cell>
          <cell r="E6663">
            <v>0</v>
          </cell>
          <cell r="F6663">
            <v>0</v>
          </cell>
          <cell r="G6663">
            <v>0</v>
          </cell>
          <cell r="H6663">
            <v>0</v>
          </cell>
          <cell r="I6663">
            <v>0</v>
          </cell>
          <cell r="J6663">
            <v>0</v>
          </cell>
        </row>
        <row r="6664">
          <cell r="A6664">
            <v>1972300119</v>
          </cell>
          <cell r="B6664" t="str">
            <v>השכר הקובע-צוברת</v>
          </cell>
          <cell r="C6664">
            <v>0</v>
          </cell>
          <cell r="D6664">
            <v>0</v>
          </cell>
          <cell r="E6664">
            <v>0</v>
          </cell>
          <cell r="F6664">
            <v>0</v>
          </cell>
          <cell r="G6664">
            <v>0</v>
          </cell>
          <cell r="H6664">
            <v>0</v>
          </cell>
          <cell r="I6664">
            <v>0</v>
          </cell>
          <cell r="J6664">
            <v>0</v>
          </cell>
        </row>
        <row r="6665">
          <cell r="A6665">
            <v>1972300122</v>
          </cell>
          <cell r="B6665" t="str">
            <v>ביגוד</v>
          </cell>
          <cell r="C6665">
            <v>0</v>
          </cell>
          <cell r="D6665">
            <v>0</v>
          </cell>
          <cell r="E6665">
            <v>0</v>
          </cell>
          <cell r="F6665">
            <v>0</v>
          </cell>
          <cell r="G6665">
            <v>0</v>
          </cell>
          <cell r="H6665">
            <v>0</v>
          </cell>
          <cell r="I6665">
            <v>0</v>
          </cell>
          <cell r="J6665">
            <v>0</v>
          </cell>
        </row>
        <row r="6666">
          <cell r="A6666">
            <v>1972300126</v>
          </cell>
          <cell r="B6666" t="str">
            <v>דמי הבראה</v>
          </cell>
          <cell r="C6666">
            <v>0</v>
          </cell>
          <cell r="D6666">
            <v>0</v>
          </cell>
          <cell r="E6666">
            <v>0</v>
          </cell>
          <cell r="F6666">
            <v>0</v>
          </cell>
          <cell r="G6666">
            <v>0</v>
          </cell>
          <cell r="H6666">
            <v>0</v>
          </cell>
          <cell r="I6666">
            <v>0</v>
          </cell>
          <cell r="J6666">
            <v>0</v>
          </cell>
        </row>
        <row r="6667">
          <cell r="A6667">
            <v>1972300130</v>
          </cell>
          <cell r="B6667" t="str">
            <v>שעות נוספות</v>
          </cell>
          <cell r="C6667">
            <v>0</v>
          </cell>
          <cell r="D6667">
            <v>0</v>
          </cell>
          <cell r="E6667">
            <v>0</v>
          </cell>
          <cell r="F6667">
            <v>0</v>
          </cell>
          <cell r="G6667">
            <v>0</v>
          </cell>
          <cell r="H6667">
            <v>0</v>
          </cell>
          <cell r="I6667">
            <v>0</v>
          </cell>
          <cell r="J6667">
            <v>0</v>
          </cell>
        </row>
        <row r="6668">
          <cell r="A6668">
            <v>1972300140</v>
          </cell>
          <cell r="B6668" t="str">
            <v>השתתפות באחזקת רכב</v>
          </cell>
          <cell r="C6668">
            <v>0</v>
          </cell>
          <cell r="D6668">
            <v>0</v>
          </cell>
          <cell r="E6668">
            <v>0</v>
          </cell>
          <cell r="F6668">
            <v>0</v>
          </cell>
          <cell r="G6668">
            <v>0</v>
          </cell>
          <cell r="H6668">
            <v>0</v>
          </cell>
          <cell r="I6668">
            <v>0</v>
          </cell>
          <cell r="J6668">
            <v>0</v>
          </cell>
        </row>
        <row r="6669">
          <cell r="A6669">
            <v>1972300253</v>
          </cell>
          <cell r="B6669" t="str">
            <v>עובדים חיצוניים</v>
          </cell>
          <cell r="C6669">
            <v>0</v>
          </cell>
          <cell r="D6669">
            <v>0</v>
          </cell>
          <cell r="E6669">
            <v>0</v>
          </cell>
          <cell r="F6669">
            <v>0</v>
          </cell>
          <cell r="G6669">
            <v>0</v>
          </cell>
          <cell r="H6669">
            <v>0</v>
          </cell>
          <cell r="I6669">
            <v>0</v>
          </cell>
          <cell r="J6669">
            <v>0</v>
          </cell>
        </row>
        <row r="6670">
          <cell r="A6670">
            <v>1972300754</v>
          </cell>
          <cell r="B6670" t="str">
            <v>עב' קבלניות-איכה"ס</v>
          </cell>
          <cell r="C6670">
            <v>0</v>
          </cell>
          <cell r="D6670">
            <v>0</v>
          </cell>
          <cell r="E6670">
            <v>0</v>
          </cell>
          <cell r="F6670">
            <v>0</v>
          </cell>
          <cell r="G6670">
            <v>0</v>
          </cell>
          <cell r="H6670">
            <v>0</v>
          </cell>
          <cell r="I6670">
            <v>0</v>
          </cell>
          <cell r="J6670">
            <v>0</v>
          </cell>
        </row>
        <row r="6671">
          <cell r="A6671">
            <v>1972999989</v>
          </cell>
          <cell r="B6671" t="str">
            <v>קיזוז תקורות ושכר</v>
          </cell>
          <cell r="C6671">
            <v>0</v>
          </cell>
          <cell r="D6671">
            <v>0</v>
          </cell>
          <cell r="E6671">
            <v>0</v>
          </cell>
          <cell r="F6671">
            <v>0</v>
          </cell>
          <cell r="G6671">
            <v>0</v>
          </cell>
          <cell r="H6671">
            <v>0</v>
          </cell>
          <cell r="I6671">
            <v>0</v>
          </cell>
          <cell r="J6671">
            <v>0</v>
          </cell>
        </row>
        <row r="6672">
          <cell r="A6672">
            <v>1991100986</v>
          </cell>
          <cell r="B6672" t="str">
            <v>התאם מלאי מחסן ודלק</v>
          </cell>
          <cell r="C6672">
            <v>47500</v>
          </cell>
          <cell r="D6672">
            <v>-18853.3</v>
          </cell>
          <cell r="E6672">
            <v>0</v>
          </cell>
          <cell r="F6672">
            <v>-18853.3</v>
          </cell>
          <cell r="G6672">
            <v>66353.3</v>
          </cell>
          <cell r="H6672">
            <v>-39.69</v>
          </cell>
          <cell r="I6672">
            <v>50000</v>
          </cell>
          <cell r="J6672">
            <v>-18853.3</v>
          </cell>
        </row>
        <row r="6673">
          <cell r="A6673">
            <v>1991300981</v>
          </cell>
          <cell r="B6673" t="str">
            <v>קרן להלואות לרכב</v>
          </cell>
          <cell r="C6673">
            <v>0</v>
          </cell>
          <cell r="D6673">
            <v>0</v>
          </cell>
          <cell r="E6673">
            <v>0</v>
          </cell>
          <cell r="F6673">
            <v>0</v>
          </cell>
          <cell r="G6673">
            <v>0</v>
          </cell>
          <cell r="H6673">
            <v>0</v>
          </cell>
          <cell r="I6673">
            <v>0</v>
          </cell>
          <cell r="J6673">
            <v>0</v>
          </cell>
        </row>
        <row r="6674">
          <cell r="A6674">
            <v>1991700000</v>
          </cell>
          <cell r="B6674" t="str">
            <v>העברה לתק' פיתוח</v>
          </cell>
          <cell r="C6674">
            <v>0</v>
          </cell>
          <cell r="D6674">
            <v>0</v>
          </cell>
          <cell r="E6674">
            <v>0</v>
          </cell>
          <cell r="F6674">
            <v>0</v>
          </cell>
          <cell r="G6674">
            <v>0</v>
          </cell>
          <cell r="H6674">
            <v>0</v>
          </cell>
          <cell r="I6674">
            <v>0</v>
          </cell>
          <cell r="J6674">
            <v>0</v>
          </cell>
        </row>
        <row r="6675">
          <cell r="A6675">
            <v>1991700930</v>
          </cell>
          <cell r="B6675" t="str">
            <v>העברה לתב"רים</v>
          </cell>
          <cell r="C6675">
            <v>1014125</v>
          </cell>
          <cell r="D6675">
            <v>1067500</v>
          </cell>
          <cell r="E6675">
            <v>0</v>
          </cell>
          <cell r="F6675">
            <v>1067500</v>
          </cell>
          <cell r="G6675">
            <v>-53375</v>
          </cell>
          <cell r="H6675">
            <v>105.26</v>
          </cell>
          <cell r="I6675">
            <v>1067500</v>
          </cell>
          <cell r="J6675">
            <v>1067500</v>
          </cell>
        </row>
        <row r="6676">
          <cell r="A6676">
            <v>1991700931</v>
          </cell>
          <cell r="B6676" t="str">
            <v>לתב"ר השקעה בחכ"ל</v>
          </cell>
          <cell r="C6676">
            <v>0</v>
          </cell>
          <cell r="D6676">
            <v>0</v>
          </cell>
          <cell r="E6676">
            <v>0</v>
          </cell>
          <cell r="F6676">
            <v>0</v>
          </cell>
          <cell r="G6676">
            <v>0</v>
          </cell>
          <cell r="H6676">
            <v>0</v>
          </cell>
          <cell r="I6676">
            <v>0</v>
          </cell>
          <cell r="J6676">
            <v>0</v>
          </cell>
        </row>
        <row r="6677">
          <cell r="A6677">
            <v>1991800126</v>
          </cell>
          <cell r="B6677" t="str">
            <v>הפרשה לדמי הבראה</v>
          </cell>
          <cell r="C6677">
            <v>0</v>
          </cell>
          <cell r="D6677">
            <v>0</v>
          </cell>
          <cell r="E6677">
            <v>0</v>
          </cell>
          <cell r="F6677">
            <v>0</v>
          </cell>
          <cell r="G6677">
            <v>0</v>
          </cell>
          <cell r="H6677">
            <v>0</v>
          </cell>
          <cell r="I6677">
            <v>0</v>
          </cell>
          <cell r="J6677">
            <v>0</v>
          </cell>
        </row>
        <row r="6678">
          <cell r="A6678">
            <v>1991800181</v>
          </cell>
          <cell r="B6678" t="str">
            <v>הסכם ינואר 2011</v>
          </cell>
          <cell r="C6678">
            <v>0</v>
          </cell>
          <cell r="D6678">
            <v>0</v>
          </cell>
          <cell r="E6678">
            <v>0</v>
          </cell>
          <cell r="F6678">
            <v>0</v>
          </cell>
          <cell r="G6678">
            <v>0</v>
          </cell>
          <cell r="H6678">
            <v>0</v>
          </cell>
          <cell r="I6678">
            <v>0</v>
          </cell>
          <cell r="J6678">
            <v>0</v>
          </cell>
        </row>
        <row r="6679">
          <cell r="A6679">
            <v>1991800360</v>
          </cell>
          <cell r="B6679" t="str">
            <v>שי לעובדים</v>
          </cell>
          <cell r="C6679">
            <v>2360750</v>
          </cell>
          <cell r="D6679">
            <v>2243733.7000000002</v>
          </cell>
          <cell r="E6679">
            <v>0</v>
          </cell>
          <cell r="F6679">
            <v>2243733.7000000002</v>
          </cell>
          <cell r="G6679">
            <v>117016.3</v>
          </cell>
          <cell r="H6679">
            <v>95.04</v>
          </cell>
          <cell r="I6679">
            <v>2485000</v>
          </cell>
          <cell r="J6679">
            <v>2243733.7000000002</v>
          </cell>
        </row>
        <row r="6680">
          <cell r="A6680">
            <v>1991800361</v>
          </cell>
          <cell r="B6680" t="str">
            <v>שי לעובדים ארעיים</v>
          </cell>
          <cell r="C6680">
            <v>9500</v>
          </cell>
          <cell r="D6680">
            <v>3586</v>
          </cell>
          <cell r="E6680">
            <v>0</v>
          </cell>
          <cell r="F6680">
            <v>3586</v>
          </cell>
          <cell r="G6680">
            <v>5914</v>
          </cell>
          <cell r="H6680">
            <v>37.74</v>
          </cell>
          <cell r="I6680">
            <v>10000</v>
          </cell>
          <cell r="J6680">
            <v>3586</v>
          </cell>
        </row>
        <row r="6681">
          <cell r="A6681">
            <v>1991800362</v>
          </cell>
          <cell r="B6681" t="str">
            <v>ביטוח בריאות לעובדים</v>
          </cell>
          <cell r="C6681">
            <v>0</v>
          </cell>
          <cell r="D6681">
            <v>0</v>
          </cell>
          <cell r="E6681">
            <v>0</v>
          </cell>
          <cell r="F6681">
            <v>0</v>
          </cell>
          <cell r="G6681">
            <v>0</v>
          </cell>
          <cell r="H6681">
            <v>0</v>
          </cell>
          <cell r="I6681">
            <v>0</v>
          </cell>
          <cell r="J6681">
            <v>0</v>
          </cell>
        </row>
        <row r="6682">
          <cell r="A6682">
            <v>1991900310</v>
          </cell>
          <cell r="B6682" t="str">
            <v>תשלומי פנסיות</v>
          </cell>
          <cell r="C6682">
            <v>66500000</v>
          </cell>
          <cell r="D6682">
            <v>67906975.870000005</v>
          </cell>
          <cell r="E6682">
            <v>0</v>
          </cell>
          <cell r="F6682">
            <v>67906975.870000005</v>
          </cell>
          <cell r="G6682">
            <v>-1406975.87</v>
          </cell>
          <cell r="H6682">
            <v>102.11</v>
          </cell>
          <cell r="I6682">
            <v>70000000</v>
          </cell>
          <cell r="J6682">
            <v>67906975.870000005</v>
          </cell>
        </row>
        <row r="6683">
          <cell r="A6683">
            <v>1991900311</v>
          </cell>
          <cell r="B6683" t="str">
            <v>פנסיות לשארים</v>
          </cell>
          <cell r="C6683">
            <v>10640000</v>
          </cell>
          <cell r="D6683">
            <v>9705980.6899999995</v>
          </cell>
          <cell r="E6683">
            <v>0</v>
          </cell>
          <cell r="F6683">
            <v>9705980.6899999995</v>
          </cell>
          <cell r="G6683">
            <v>934019.31</v>
          </cell>
          <cell r="H6683">
            <v>91.22</v>
          </cell>
          <cell r="I6683">
            <v>11200000</v>
          </cell>
          <cell r="J6683">
            <v>9705980.6899999995</v>
          </cell>
        </row>
        <row r="6684">
          <cell r="A6684">
            <v>1991900320</v>
          </cell>
          <cell r="B6684" t="str">
            <v>תשלומי פיצויים</v>
          </cell>
          <cell r="C6684">
            <v>950000</v>
          </cell>
          <cell r="D6684">
            <v>1321008.8600000001</v>
          </cell>
          <cell r="E6684">
            <v>0</v>
          </cell>
          <cell r="F6684">
            <v>1321008.8600000001</v>
          </cell>
          <cell r="G6684">
            <v>-371008.86</v>
          </cell>
          <cell r="H6684">
            <v>139.05000000000001</v>
          </cell>
          <cell r="I6684">
            <v>1000000</v>
          </cell>
          <cell r="J6684">
            <v>1321008.8600000001</v>
          </cell>
        </row>
        <row r="6685">
          <cell r="A6685">
            <v>1991900321</v>
          </cell>
          <cell r="B6685" t="str">
            <v>תשלומי גמר חשבון</v>
          </cell>
          <cell r="C6685">
            <v>2850000</v>
          </cell>
          <cell r="D6685">
            <v>4819874.3099999996</v>
          </cell>
          <cell r="E6685">
            <v>0</v>
          </cell>
          <cell r="F6685">
            <v>4819874.3099999996</v>
          </cell>
          <cell r="G6685">
            <v>-1969874.31</v>
          </cell>
          <cell r="H6685">
            <v>169.11</v>
          </cell>
          <cell r="I6685">
            <v>3000000</v>
          </cell>
          <cell r="J6685">
            <v>4819874.3099999996</v>
          </cell>
        </row>
        <row r="6686">
          <cell r="A6686">
            <v>1991900330</v>
          </cell>
          <cell r="B6686" t="str">
            <v>פנסיות לאחרים</v>
          </cell>
          <cell r="C6686">
            <v>950000</v>
          </cell>
          <cell r="D6686">
            <v>901897.74</v>
          </cell>
          <cell r="E6686">
            <v>0</v>
          </cell>
          <cell r="F6686">
            <v>901897.74</v>
          </cell>
          <cell r="G6686">
            <v>48102.26</v>
          </cell>
          <cell r="H6686">
            <v>94.93</v>
          </cell>
          <cell r="I6686">
            <v>1000000</v>
          </cell>
          <cell r="J6686">
            <v>901897.74</v>
          </cell>
        </row>
        <row r="6687">
          <cell r="A6687">
            <v>1991900340</v>
          </cell>
          <cell r="B6687" t="str">
            <v>רווחת  גימלאי  העירייה</v>
          </cell>
          <cell r="C6687">
            <v>513000</v>
          </cell>
          <cell r="D6687">
            <v>513405.37</v>
          </cell>
          <cell r="E6687">
            <v>0</v>
          </cell>
          <cell r="F6687">
            <v>513405.37</v>
          </cell>
          <cell r="G6687">
            <v>-405.37</v>
          </cell>
          <cell r="H6687">
            <v>100.07</v>
          </cell>
          <cell r="I6687">
            <v>540000</v>
          </cell>
          <cell r="J6687">
            <v>513405.37</v>
          </cell>
        </row>
        <row r="6688">
          <cell r="A6688">
            <v>1991910391</v>
          </cell>
          <cell r="B6688" t="str">
            <v>השת' בהפרשה לפנסיה</v>
          </cell>
          <cell r="C6688">
            <v>0</v>
          </cell>
          <cell r="D6688">
            <v>0</v>
          </cell>
          <cell r="E6688">
            <v>0</v>
          </cell>
          <cell r="F6688">
            <v>0</v>
          </cell>
          <cell r="G6688">
            <v>0</v>
          </cell>
          <cell r="H6688">
            <v>0</v>
          </cell>
          <cell r="I6688">
            <v>0</v>
          </cell>
          <cell r="J6688">
            <v>0</v>
          </cell>
        </row>
        <row r="6689">
          <cell r="A6689">
            <v>1992000960</v>
          </cell>
          <cell r="B6689" t="str">
            <v>פעולות מיוחדות</v>
          </cell>
          <cell r="C6689">
            <v>8607954</v>
          </cell>
          <cell r="D6689">
            <v>0</v>
          </cell>
          <cell r="E6689">
            <v>2285.0500000000002</v>
          </cell>
          <cell r="F6689">
            <v>2285.0500000000002</v>
          </cell>
          <cell r="G6689">
            <v>8605668.9499999993</v>
          </cell>
          <cell r="H6689">
            <v>0.02</v>
          </cell>
          <cell r="I6689">
            <v>9061005</v>
          </cell>
          <cell r="J6689">
            <v>0</v>
          </cell>
        </row>
        <row r="6690">
          <cell r="A6690">
            <v>1992000961</v>
          </cell>
          <cell r="B6690" t="str">
            <v>רזרבת שכר לועדות תקינה</v>
          </cell>
          <cell r="C6690">
            <v>0</v>
          </cell>
          <cell r="D6690">
            <v>0</v>
          </cell>
          <cell r="E6690">
            <v>0</v>
          </cell>
          <cell r="F6690">
            <v>0</v>
          </cell>
          <cell r="G6690">
            <v>0</v>
          </cell>
          <cell r="H6690">
            <v>0</v>
          </cell>
          <cell r="I6690">
            <v>0</v>
          </cell>
          <cell r="J6690">
            <v>0</v>
          </cell>
        </row>
        <row r="6691">
          <cell r="A6691">
            <v>1992000963</v>
          </cell>
          <cell r="B6691" t="str">
            <v>רזרבה לרכבי ליסינג</v>
          </cell>
          <cell r="C6691">
            <v>0</v>
          </cell>
          <cell r="D6691">
            <v>0</v>
          </cell>
          <cell r="E6691">
            <v>0</v>
          </cell>
          <cell r="F6691">
            <v>0</v>
          </cell>
          <cell r="G6691">
            <v>0</v>
          </cell>
          <cell r="H6691">
            <v>0</v>
          </cell>
          <cell r="I6691">
            <v>0</v>
          </cell>
          <cell r="J6691">
            <v>0</v>
          </cell>
        </row>
        <row r="6692">
          <cell r="A6692">
            <v>1994000970</v>
          </cell>
          <cell r="B6692" t="str">
            <v>מ"ה הוצאות עודפות</v>
          </cell>
          <cell r="C6692">
            <v>380000</v>
          </cell>
          <cell r="D6692">
            <v>400000</v>
          </cell>
          <cell r="E6692">
            <v>0</v>
          </cell>
          <cell r="F6692">
            <v>400000</v>
          </cell>
          <cell r="G6692">
            <v>-20000</v>
          </cell>
          <cell r="H6692">
            <v>105.26</v>
          </cell>
          <cell r="I6692">
            <v>400000</v>
          </cell>
          <cell r="J6692">
            <v>400000</v>
          </cell>
        </row>
        <row r="6693">
          <cell r="A6693">
            <v>1994000981</v>
          </cell>
          <cell r="B6693" t="str">
            <v>הוצ' משנים קודמות</v>
          </cell>
          <cell r="C6693">
            <v>3450000</v>
          </cell>
          <cell r="D6693">
            <v>11599470.93</v>
          </cell>
          <cell r="E6693">
            <v>0</v>
          </cell>
          <cell r="F6693">
            <v>11599470.93</v>
          </cell>
          <cell r="G6693">
            <v>-8149470.9299999997</v>
          </cell>
          <cell r="H6693">
            <v>336.21</v>
          </cell>
          <cell r="I6693">
            <v>3450000</v>
          </cell>
          <cell r="J6693">
            <v>11599470.93</v>
          </cell>
        </row>
        <row r="6694">
          <cell r="A6694">
            <v>1994000982</v>
          </cell>
          <cell r="B6694" t="str">
            <v>העברה לקרן עודפים</v>
          </cell>
          <cell r="C6694">
            <v>0</v>
          </cell>
          <cell r="D6694">
            <v>0</v>
          </cell>
          <cell r="E6694">
            <v>0</v>
          </cell>
          <cell r="F6694">
            <v>0</v>
          </cell>
          <cell r="G6694">
            <v>0</v>
          </cell>
          <cell r="H6694">
            <v>0</v>
          </cell>
          <cell r="I6694">
            <v>0</v>
          </cell>
          <cell r="J6694">
            <v>0</v>
          </cell>
        </row>
        <row r="6695">
          <cell r="A6695">
            <v>1994100794</v>
          </cell>
          <cell r="B6695" t="str">
            <v>השתתפות בעזר 094</v>
          </cell>
          <cell r="C6695">
            <v>0</v>
          </cell>
          <cell r="D6695">
            <v>0</v>
          </cell>
          <cell r="E6695">
            <v>0</v>
          </cell>
          <cell r="F6695">
            <v>0</v>
          </cell>
          <cell r="G6695">
            <v>0</v>
          </cell>
          <cell r="H6695">
            <v>0</v>
          </cell>
          <cell r="I6695">
            <v>0</v>
          </cell>
          <cell r="J6695">
            <v>0</v>
          </cell>
        </row>
        <row r="6696">
          <cell r="A6696">
            <v>1995000861</v>
          </cell>
          <cell r="B6696" t="str">
            <v>הנחות במסים</v>
          </cell>
          <cell r="C6696">
            <v>93100000</v>
          </cell>
          <cell r="D6696">
            <v>105150973.98</v>
          </cell>
          <cell r="E6696">
            <v>0</v>
          </cell>
          <cell r="F6696">
            <v>105150973.98</v>
          </cell>
          <cell r="G6696">
            <v>-12050973.98</v>
          </cell>
          <cell r="H6696">
            <v>112.94</v>
          </cell>
          <cell r="I6696">
            <v>98000000</v>
          </cell>
          <cell r="J6696">
            <v>105150973.98</v>
          </cell>
        </row>
        <row r="6697">
          <cell r="A6697">
            <v>1995000862</v>
          </cell>
          <cell r="B6697" t="str">
            <v>הנחות לגימלאים</v>
          </cell>
          <cell r="C6697">
            <v>0</v>
          </cell>
          <cell r="D6697">
            <v>0</v>
          </cell>
          <cell r="E6697">
            <v>0</v>
          </cell>
          <cell r="F6697">
            <v>0</v>
          </cell>
          <cell r="G6697">
            <v>0</v>
          </cell>
          <cell r="H6697">
            <v>0</v>
          </cell>
          <cell r="I6697">
            <v>0</v>
          </cell>
          <cell r="J6697">
            <v>0</v>
          </cell>
        </row>
        <row r="6698">
          <cell r="A6698">
            <v>1995000863</v>
          </cell>
          <cell r="B6698" t="str">
            <v>פטורים מארנונה</v>
          </cell>
          <cell r="C6698">
            <v>21850000</v>
          </cell>
          <cell r="D6698">
            <v>11223469.640000001</v>
          </cell>
          <cell r="E6698">
            <v>0</v>
          </cell>
          <cell r="F6698">
            <v>11223469.640000001</v>
          </cell>
          <cell r="G6698">
            <v>10626530.359999999</v>
          </cell>
          <cell r="H6698">
            <v>51.36</v>
          </cell>
          <cell r="I6698">
            <v>23000000</v>
          </cell>
          <cell r="J6698">
            <v>11223469.640000001</v>
          </cell>
        </row>
        <row r="6699">
          <cell r="A6699">
            <v>1995000864</v>
          </cell>
          <cell r="B6699" t="str">
            <v>פטורים - מוסדות</v>
          </cell>
          <cell r="C6699">
            <v>20900000</v>
          </cell>
          <cell r="D6699">
            <v>23252459.32</v>
          </cell>
          <cell r="E6699">
            <v>0</v>
          </cell>
          <cell r="F6699">
            <v>23252459.32</v>
          </cell>
          <cell r="G6699">
            <v>-2352459.3199999998</v>
          </cell>
          <cell r="H6699">
            <v>111.25</v>
          </cell>
          <cell r="I6699">
            <v>22000000</v>
          </cell>
          <cell r="J6699">
            <v>23252459.32</v>
          </cell>
        </row>
        <row r="6700">
          <cell r="A6700">
            <v>1995000865</v>
          </cell>
          <cell r="B6700" t="str">
            <v>הנחות פטור קורונה</v>
          </cell>
          <cell r="C6700">
            <v>0</v>
          </cell>
          <cell r="D6700">
            <v>-989.94</v>
          </cell>
          <cell r="E6700">
            <v>0</v>
          </cell>
          <cell r="F6700">
            <v>-989.94</v>
          </cell>
          <cell r="G6700">
            <v>989.94</v>
          </cell>
          <cell r="H6700">
            <v>0</v>
          </cell>
          <cell r="I6700">
            <v>0</v>
          </cell>
          <cell r="J6700">
            <v>-989.94</v>
          </cell>
        </row>
        <row r="6701">
          <cell r="J6701">
            <v>1841145448.0000007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wssvr"/>
      <sheetName val="owssvr (2)"/>
      <sheetName val="גיליון1"/>
    </sheetNames>
    <sheetDataSet>
      <sheetData sheetId="0"/>
      <sheetData sheetId="1"/>
      <sheetData sheetId="2">
        <row r="1">
          <cell r="A1" t="str">
            <v>מספר מאוחד</v>
          </cell>
          <cell r="B1" t="str">
            <v>שם</v>
          </cell>
          <cell r="C1" t="str">
            <v>הצעה 25</v>
          </cell>
        </row>
        <row r="2">
          <cell r="A2">
            <v>0</v>
          </cell>
          <cell r="B2" t="str">
            <v xml:space="preserve">תקציבי עזר        </v>
          </cell>
        </row>
        <row r="3">
          <cell r="A3">
            <v>1090000000</v>
          </cell>
          <cell r="B3" t="str">
            <v xml:space="preserve">תקציבי עזר        </v>
          </cell>
        </row>
        <row r="4">
          <cell r="A4">
            <v>1920000</v>
          </cell>
          <cell r="B4" t="str">
            <v>משרד הרשות ושרותים</v>
          </cell>
        </row>
        <row r="5">
          <cell r="A5">
            <v>1092000100</v>
          </cell>
          <cell r="B5" t="str">
            <v>שכר עובדים לפי תקן</v>
          </cell>
        </row>
        <row r="6">
          <cell r="A6">
            <v>1092000110</v>
          </cell>
          <cell r="B6" t="str">
            <v>השכר הקובע-תקציבית</v>
          </cell>
          <cell r="C6">
            <v>192200</v>
          </cell>
        </row>
        <row r="7">
          <cell r="A7">
            <v>1092000119</v>
          </cell>
          <cell r="B7" t="str">
            <v xml:space="preserve">השכר הקובע-צוברת  </v>
          </cell>
          <cell r="C7">
            <v>253500</v>
          </cell>
        </row>
        <row r="8">
          <cell r="A8">
            <v>1092000122</v>
          </cell>
          <cell r="B8" t="str">
            <v xml:space="preserve">ביגוד             </v>
          </cell>
          <cell r="C8">
            <v>6000</v>
          </cell>
        </row>
        <row r="9">
          <cell r="A9">
            <v>1092000126</v>
          </cell>
          <cell r="B9" t="str">
            <v xml:space="preserve">דמי הבראה         </v>
          </cell>
          <cell r="C9">
            <v>18900</v>
          </cell>
        </row>
        <row r="10">
          <cell r="A10">
            <v>1092000130</v>
          </cell>
          <cell r="B10" t="str">
            <v xml:space="preserve">שעות נוספות       </v>
          </cell>
          <cell r="C10">
            <v>63600</v>
          </cell>
        </row>
        <row r="11">
          <cell r="A11">
            <v>1092000140</v>
          </cell>
          <cell r="B11" t="str">
            <v>השתתפות באחזקת רכב</v>
          </cell>
          <cell r="C11">
            <v>79600</v>
          </cell>
        </row>
        <row r="12">
          <cell r="A12">
            <v>1092000200</v>
          </cell>
          <cell r="B12" t="str">
            <v>שכר עובדים ללא תקן</v>
          </cell>
          <cell r="C12">
            <v>0</v>
          </cell>
        </row>
        <row r="13">
          <cell r="A13">
            <v>1092000210</v>
          </cell>
          <cell r="B13" t="str">
            <v xml:space="preserve">השכר הקובע        </v>
          </cell>
          <cell r="C13">
            <v>0</v>
          </cell>
        </row>
        <row r="14">
          <cell r="A14">
            <v>1092000253</v>
          </cell>
          <cell r="B14" t="str">
            <v xml:space="preserve">עובדים חיצוניים   </v>
          </cell>
          <cell r="C14">
            <v>0</v>
          </cell>
        </row>
        <row r="15">
          <cell r="A15">
            <v>1092000400</v>
          </cell>
          <cell r="B15" t="str">
            <v>אחזקת בנינים וציוד</v>
          </cell>
          <cell r="C15">
            <v>0</v>
          </cell>
        </row>
        <row r="16">
          <cell r="A16">
            <v>1092000410</v>
          </cell>
          <cell r="B16" t="str">
            <v xml:space="preserve">השתתפות בועד בית  </v>
          </cell>
          <cell r="C16">
            <v>10000</v>
          </cell>
        </row>
        <row r="17">
          <cell r="A17">
            <v>1092000411</v>
          </cell>
          <cell r="B17" t="str">
            <v>דמי שכירות</v>
          </cell>
        </row>
        <row r="18">
          <cell r="A18">
            <v>1092000420</v>
          </cell>
          <cell r="B18" t="str">
            <v xml:space="preserve">כיבוי אש          </v>
          </cell>
          <cell r="C18">
            <v>40000</v>
          </cell>
        </row>
        <row r="19">
          <cell r="A19">
            <v>1092000423</v>
          </cell>
          <cell r="B19" t="str">
            <v xml:space="preserve">תחזוקת מבנה       </v>
          </cell>
          <cell r="C19">
            <v>34000</v>
          </cell>
        </row>
        <row r="20">
          <cell r="A20">
            <v>1092000431</v>
          </cell>
          <cell r="B20" t="str">
            <v xml:space="preserve">חשמל              </v>
          </cell>
          <cell r="C20">
            <v>1100000</v>
          </cell>
        </row>
        <row r="21">
          <cell r="A21">
            <v>1092000432</v>
          </cell>
          <cell r="B21" t="str">
            <v xml:space="preserve">מים               </v>
          </cell>
          <cell r="C21">
            <v>240000</v>
          </cell>
        </row>
        <row r="22">
          <cell r="A22">
            <v>1092000433</v>
          </cell>
          <cell r="B22" t="str">
            <v xml:space="preserve">חומרי נקיון       </v>
          </cell>
          <cell r="C22">
            <v>26600</v>
          </cell>
        </row>
        <row r="23">
          <cell r="A23">
            <v>1092000434</v>
          </cell>
          <cell r="B23" t="str">
            <v xml:space="preserve">חיטוי והדברה      </v>
          </cell>
          <cell r="C23">
            <v>19000</v>
          </cell>
        </row>
        <row r="24">
          <cell r="A24">
            <v>1092000435</v>
          </cell>
          <cell r="B24" t="str">
            <v>אחזקת מרכזיות</v>
          </cell>
        </row>
        <row r="25">
          <cell r="A25">
            <v>1092000436</v>
          </cell>
          <cell r="B25" t="str">
            <v xml:space="preserve">אחזקת מזגנים      </v>
          </cell>
          <cell r="C25">
            <v>76000</v>
          </cell>
        </row>
        <row r="26">
          <cell r="A26">
            <v>1092000437</v>
          </cell>
          <cell r="B26" t="str">
            <v xml:space="preserve">אחזקת אזעקה       </v>
          </cell>
          <cell r="C26">
            <v>5300</v>
          </cell>
        </row>
        <row r="27">
          <cell r="A27">
            <v>1092000438</v>
          </cell>
          <cell r="B27" t="str">
            <v xml:space="preserve">בטוח ורשוי קשר    </v>
          </cell>
          <cell r="C27">
            <v>247000</v>
          </cell>
        </row>
        <row r="28">
          <cell r="A28">
            <v>1092000439</v>
          </cell>
          <cell r="B28" t="str">
            <v xml:space="preserve">השכרת איתוריות    </v>
          </cell>
          <cell r="C28">
            <v>1700</v>
          </cell>
        </row>
        <row r="29">
          <cell r="A29">
            <v>1092000441</v>
          </cell>
          <cell r="B29" t="str">
            <v xml:space="preserve">ביטוח             </v>
          </cell>
        </row>
        <row r="30">
          <cell r="A30">
            <v>1092000450</v>
          </cell>
          <cell r="B30" t="str">
            <v>אחזקת תמי 4</v>
          </cell>
          <cell r="C30">
            <v>100000</v>
          </cell>
        </row>
        <row r="31">
          <cell r="A31">
            <v>1092000451</v>
          </cell>
          <cell r="B31" t="str">
            <v>אחזקת דפיברילטור</v>
          </cell>
          <cell r="C31">
            <v>5000</v>
          </cell>
        </row>
        <row r="32">
          <cell r="A32">
            <v>1092000470</v>
          </cell>
          <cell r="B32" t="str">
            <v xml:space="preserve">אחזקת מכונות משרד </v>
          </cell>
          <cell r="C32">
            <v>7600</v>
          </cell>
        </row>
        <row r="33">
          <cell r="A33">
            <v>1092000474</v>
          </cell>
          <cell r="B33" t="str">
            <v xml:space="preserve">שרות למעליות      </v>
          </cell>
          <cell r="C33">
            <v>55000</v>
          </cell>
        </row>
        <row r="34">
          <cell r="A34">
            <v>1092000476</v>
          </cell>
          <cell r="B34" t="str">
            <v xml:space="preserve">אחזקת גנרטור      </v>
          </cell>
          <cell r="C34">
            <v>13500</v>
          </cell>
        </row>
        <row r="35">
          <cell r="A35">
            <v>1092000500</v>
          </cell>
          <cell r="B35" t="str">
            <v xml:space="preserve">הוצאות מינהליות   </v>
          </cell>
        </row>
        <row r="36">
          <cell r="A36">
            <v>1092000511</v>
          </cell>
          <cell r="B36" t="str">
            <v xml:space="preserve">שתיה לעובדים      </v>
          </cell>
          <cell r="C36">
            <v>485000</v>
          </cell>
        </row>
        <row r="37">
          <cell r="A37">
            <v>1092000540</v>
          </cell>
          <cell r="B37" t="str">
            <v xml:space="preserve">הוצאות טלפון      </v>
          </cell>
          <cell r="C37">
            <v>800000</v>
          </cell>
        </row>
        <row r="38">
          <cell r="A38">
            <v>1092000542</v>
          </cell>
          <cell r="B38" t="str">
            <v>מרכזיה טלולרית</v>
          </cell>
        </row>
        <row r="39">
          <cell r="A39">
            <v>1092000543</v>
          </cell>
          <cell r="B39" t="str">
            <v xml:space="preserve">טלפונים סלולריים  </v>
          </cell>
          <cell r="C39">
            <v>400000</v>
          </cell>
        </row>
        <row r="40">
          <cell r="A40">
            <v>1092000544</v>
          </cell>
          <cell r="B40" t="str">
            <v xml:space="preserve">הוצאות דאר        </v>
          </cell>
        </row>
        <row r="41">
          <cell r="A41">
            <v>1092000545</v>
          </cell>
          <cell r="B41" t="str">
            <v>סלולריים - עובדים</v>
          </cell>
        </row>
        <row r="42">
          <cell r="A42">
            <v>1092000550</v>
          </cell>
          <cell r="B42" t="str">
            <v xml:space="preserve">פירסומים          </v>
          </cell>
        </row>
        <row r="43">
          <cell r="A43">
            <v>1092000561</v>
          </cell>
          <cell r="B43" t="str">
            <v xml:space="preserve">שיכפולים          </v>
          </cell>
        </row>
        <row r="44">
          <cell r="A44">
            <v>1092000562</v>
          </cell>
          <cell r="B44" t="str">
            <v xml:space="preserve">הדפסות            </v>
          </cell>
        </row>
        <row r="45">
          <cell r="A45">
            <v>1092000700</v>
          </cell>
          <cell r="B45" t="str">
            <v xml:space="preserve">הוצאות לפעולות    </v>
          </cell>
        </row>
        <row r="46">
          <cell r="A46">
            <v>1092000710</v>
          </cell>
          <cell r="B46" t="str">
            <v xml:space="preserve">הובלות והסעות     </v>
          </cell>
          <cell r="C46">
            <v>7000</v>
          </cell>
        </row>
        <row r="47">
          <cell r="A47">
            <v>1092000721</v>
          </cell>
          <cell r="B47" t="str">
            <v>חמרים-תחזוקת מבנים</v>
          </cell>
          <cell r="C47">
            <v>3800</v>
          </cell>
        </row>
        <row r="48">
          <cell r="A48">
            <v>1092000722</v>
          </cell>
          <cell r="B48" t="str">
            <v>חמרים-תחזוקה עצמית</v>
          </cell>
          <cell r="C48">
            <v>22800</v>
          </cell>
        </row>
        <row r="49">
          <cell r="A49">
            <v>1092000742</v>
          </cell>
          <cell r="B49" t="str">
            <v xml:space="preserve">כלים וציוד        </v>
          </cell>
          <cell r="C49">
            <v>2300</v>
          </cell>
        </row>
        <row r="50">
          <cell r="A50">
            <v>1092000745</v>
          </cell>
          <cell r="B50" t="str">
            <v xml:space="preserve">דמי פריצה - תכולה </v>
          </cell>
        </row>
        <row r="51">
          <cell r="A51">
            <v>1092000746</v>
          </cell>
          <cell r="B51" t="str">
            <v xml:space="preserve">דמי פריצה - מבנה  </v>
          </cell>
        </row>
        <row r="52">
          <cell r="A52">
            <v>1092000751</v>
          </cell>
          <cell r="B52" t="str">
            <v xml:space="preserve">עבודות קבלניות    </v>
          </cell>
          <cell r="C52">
            <v>110000</v>
          </cell>
        </row>
        <row r="53">
          <cell r="A53">
            <v>1092000752</v>
          </cell>
          <cell r="B53" t="str">
            <v xml:space="preserve">נקיון בקבלנות     </v>
          </cell>
          <cell r="C53">
            <v>1200000</v>
          </cell>
        </row>
        <row r="54">
          <cell r="A54">
            <v>1092000753</v>
          </cell>
          <cell r="B54" t="str">
            <v xml:space="preserve">עובדים חיצוניים   </v>
          </cell>
        </row>
        <row r="55">
          <cell r="A55">
            <v>1092000756</v>
          </cell>
          <cell r="B55" t="str">
            <v xml:space="preserve">שמירה בקבלנות     </v>
          </cell>
          <cell r="C55">
            <v>1500000</v>
          </cell>
        </row>
        <row r="56">
          <cell r="A56">
            <v>1092000757</v>
          </cell>
          <cell r="B56" t="str">
            <v xml:space="preserve">שרותי גניזה       </v>
          </cell>
        </row>
        <row r="57">
          <cell r="A57">
            <v>1092000780</v>
          </cell>
          <cell r="B57" t="str">
            <v>השכרת פרומפטר</v>
          </cell>
          <cell r="C57">
            <v>30000</v>
          </cell>
        </row>
        <row r="58">
          <cell r="A58">
            <v>1092000789</v>
          </cell>
          <cell r="B58" t="str">
            <v xml:space="preserve">כביסה             </v>
          </cell>
        </row>
        <row r="59">
          <cell r="A59">
            <v>1092000794</v>
          </cell>
          <cell r="B59" t="str">
            <v xml:space="preserve">השתתפות בעזר 094  </v>
          </cell>
        </row>
        <row r="60">
          <cell r="A60">
            <v>1092000931</v>
          </cell>
          <cell r="B60" t="str">
            <v xml:space="preserve">רכישת ציוד        </v>
          </cell>
          <cell r="C60">
            <v>23000</v>
          </cell>
        </row>
        <row r="61">
          <cell r="A61">
            <v>1092000932</v>
          </cell>
          <cell r="B61" t="str">
            <v>אג' טלוויזיה וכבלים</v>
          </cell>
          <cell r="C61">
            <v>16000</v>
          </cell>
        </row>
        <row r="62">
          <cell r="A62">
            <v>1092000933</v>
          </cell>
          <cell r="B62" t="str">
            <v xml:space="preserve">התקנה ואחזקת טלפון     </v>
          </cell>
        </row>
        <row r="63">
          <cell r="A63">
            <v>1092000934</v>
          </cell>
          <cell r="B63" t="str">
            <v>רכישות/פע' חד-פעמי</v>
          </cell>
          <cell r="C63">
            <v>25000</v>
          </cell>
        </row>
        <row r="64">
          <cell r="A64">
            <v>1092000961</v>
          </cell>
          <cell r="B64" t="str">
            <v>רז' פעולות ורכישות</v>
          </cell>
        </row>
        <row r="65">
          <cell r="A65" t="str">
            <v>#VALUE!</v>
          </cell>
          <cell r="B65" t="str">
            <v>משרד הרשות ושרותים</v>
          </cell>
        </row>
        <row r="66">
          <cell r="A66">
            <v>10921000</v>
          </cell>
          <cell r="B66" t="str">
            <v xml:space="preserve">העמסת בית העירייה </v>
          </cell>
        </row>
        <row r="67">
          <cell r="A67">
            <v>1092100492</v>
          </cell>
          <cell r="B67" t="str">
            <v xml:space="preserve">השתתפות בעזר 092  </v>
          </cell>
        </row>
        <row r="68">
          <cell r="A68" t="str">
            <v>#VALUE!</v>
          </cell>
          <cell r="B68" t="str">
            <v xml:space="preserve">העמסת בית העירייה </v>
          </cell>
        </row>
        <row r="69">
          <cell r="A69">
            <v>10940000</v>
          </cell>
          <cell r="B69" t="str">
            <v xml:space="preserve">אפסנאות מחסנים    </v>
          </cell>
        </row>
        <row r="70">
          <cell r="A70">
            <v>1094000100</v>
          </cell>
          <cell r="B70" t="str">
            <v>שכר עובדים לפי תקן</v>
          </cell>
        </row>
        <row r="71">
          <cell r="A71">
            <v>1094000110</v>
          </cell>
          <cell r="B71" t="str">
            <v>השכר הקובע-תקציבית</v>
          </cell>
          <cell r="C71">
            <v>589700</v>
          </cell>
        </row>
        <row r="72">
          <cell r="A72">
            <v>1094000119</v>
          </cell>
          <cell r="B72" t="str">
            <v xml:space="preserve">השכר הקובע-צוברת  </v>
          </cell>
          <cell r="C72">
            <v>471000</v>
          </cell>
        </row>
        <row r="73">
          <cell r="A73">
            <v>1094000122</v>
          </cell>
          <cell r="B73" t="str">
            <v xml:space="preserve">ביגוד             </v>
          </cell>
          <cell r="C73">
            <v>14500</v>
          </cell>
        </row>
        <row r="74">
          <cell r="A74">
            <v>1094000126</v>
          </cell>
          <cell r="B74" t="str">
            <v xml:space="preserve">דמי הבראה         </v>
          </cell>
          <cell r="C74">
            <v>43800</v>
          </cell>
        </row>
        <row r="75">
          <cell r="A75">
            <v>1094000130</v>
          </cell>
          <cell r="B75" t="str">
            <v xml:space="preserve">שעות נוספות       </v>
          </cell>
          <cell r="C75">
            <v>54600</v>
          </cell>
        </row>
        <row r="76">
          <cell r="A76">
            <v>1094000140</v>
          </cell>
          <cell r="B76" t="str">
            <v>השתתפות באחזקת רכב</v>
          </cell>
          <cell r="C76">
            <v>81800</v>
          </cell>
        </row>
        <row r="77">
          <cell r="A77">
            <v>1094000253</v>
          </cell>
          <cell r="B77" t="str">
            <v xml:space="preserve">עובדים חיצוניים   </v>
          </cell>
        </row>
        <row r="78">
          <cell r="A78">
            <v>1094000400</v>
          </cell>
          <cell r="B78" t="str">
            <v>אחזקת בנינים וציוד</v>
          </cell>
        </row>
        <row r="79">
          <cell r="A79">
            <v>1094000420</v>
          </cell>
          <cell r="B79" t="str">
            <v xml:space="preserve">כיבוי אש          </v>
          </cell>
          <cell r="C79">
            <v>7000</v>
          </cell>
        </row>
        <row r="80">
          <cell r="A80">
            <v>1094000423</v>
          </cell>
          <cell r="B80" t="str">
            <v xml:space="preserve">תחזוקת מבנה       </v>
          </cell>
        </row>
        <row r="81">
          <cell r="A81">
            <v>1094000431</v>
          </cell>
          <cell r="B81" t="str">
            <v xml:space="preserve">חשמל              </v>
          </cell>
        </row>
        <row r="82">
          <cell r="A82">
            <v>1094000433</v>
          </cell>
          <cell r="B82" t="str">
            <v xml:space="preserve">חומרי נקיון       </v>
          </cell>
          <cell r="C82">
            <v>12000</v>
          </cell>
        </row>
        <row r="83">
          <cell r="A83">
            <v>1094000437</v>
          </cell>
          <cell r="B83" t="str">
            <v xml:space="preserve">אחזקת אזעקה       </v>
          </cell>
          <cell r="C83">
            <v>6200</v>
          </cell>
        </row>
        <row r="84">
          <cell r="A84">
            <v>1094000441</v>
          </cell>
          <cell r="B84" t="str">
            <v xml:space="preserve">ביטוח             </v>
          </cell>
        </row>
        <row r="85">
          <cell r="A85">
            <v>1094000450</v>
          </cell>
          <cell r="B85" t="str">
            <v>אחזקת תמי 4</v>
          </cell>
          <cell r="C85">
            <v>1100</v>
          </cell>
        </row>
        <row r="86">
          <cell r="A86">
            <v>1094000451</v>
          </cell>
          <cell r="B86" t="str">
            <v>אחזקת דפיברילטור</v>
          </cell>
          <cell r="C86">
            <v>3000</v>
          </cell>
        </row>
        <row r="87">
          <cell r="A87">
            <v>1094000470</v>
          </cell>
          <cell r="B87" t="str">
            <v xml:space="preserve">אחזקת מכונות משרד </v>
          </cell>
          <cell r="C87">
            <v>1600</v>
          </cell>
        </row>
        <row r="88">
          <cell r="A88">
            <v>1094000471</v>
          </cell>
          <cell r="B88" t="str">
            <v xml:space="preserve">מכשירי כתיבה      </v>
          </cell>
          <cell r="C88">
            <v>14000</v>
          </cell>
        </row>
        <row r="89">
          <cell r="A89">
            <v>1094000492</v>
          </cell>
          <cell r="B89" t="str">
            <v xml:space="preserve">השתתפות בעזר 092  </v>
          </cell>
        </row>
        <row r="90">
          <cell r="A90">
            <v>1094000511</v>
          </cell>
          <cell r="B90" t="str">
            <v xml:space="preserve">אירוח וכיבוד      </v>
          </cell>
          <cell r="C90">
            <v>8000</v>
          </cell>
        </row>
        <row r="91">
          <cell r="A91">
            <v>1094000512</v>
          </cell>
          <cell r="B91" t="str">
            <v xml:space="preserve">נסיעות ואש"ל      </v>
          </cell>
        </row>
        <row r="92">
          <cell r="A92">
            <v>1094000522</v>
          </cell>
          <cell r="B92" t="str">
            <v xml:space="preserve">ספרים ועיתונים    </v>
          </cell>
        </row>
        <row r="93">
          <cell r="A93">
            <v>1094000540</v>
          </cell>
          <cell r="B93" t="str">
            <v xml:space="preserve">הוצאות טלפון      </v>
          </cell>
        </row>
        <row r="94">
          <cell r="A94">
            <v>1094000544</v>
          </cell>
          <cell r="B94" t="str">
            <v xml:space="preserve">הוצאות דאר        </v>
          </cell>
        </row>
        <row r="95">
          <cell r="A95">
            <v>1094000550</v>
          </cell>
          <cell r="B95" t="str">
            <v xml:space="preserve">פירסומים          </v>
          </cell>
          <cell r="C95">
            <v>2000</v>
          </cell>
        </row>
        <row r="96">
          <cell r="A96">
            <v>1094000561</v>
          </cell>
          <cell r="B96" t="str">
            <v xml:space="preserve">שיכפולים          </v>
          </cell>
          <cell r="C96">
            <v>200</v>
          </cell>
        </row>
        <row r="97">
          <cell r="A97">
            <v>1094000571</v>
          </cell>
          <cell r="B97" t="str">
            <v xml:space="preserve">מיכון וענ"א       </v>
          </cell>
        </row>
        <row r="98">
          <cell r="A98">
            <v>1094000596</v>
          </cell>
          <cell r="B98" t="str">
            <v xml:space="preserve">השתתפות בעזר 096  </v>
          </cell>
        </row>
        <row r="99">
          <cell r="A99">
            <v>1094000700</v>
          </cell>
          <cell r="B99" t="str">
            <v xml:space="preserve">הוצאות לפעולות    </v>
          </cell>
        </row>
        <row r="100">
          <cell r="A100">
            <v>1094000721</v>
          </cell>
          <cell r="B100" t="str">
            <v>חמרים-תחזוקת מבנים</v>
          </cell>
          <cell r="C100">
            <v>1500</v>
          </cell>
        </row>
        <row r="101">
          <cell r="A101">
            <v>1094000742</v>
          </cell>
          <cell r="B101" t="str">
            <v xml:space="preserve">כלים וציוד        </v>
          </cell>
          <cell r="C101">
            <v>4000</v>
          </cell>
        </row>
        <row r="102">
          <cell r="A102">
            <v>1094000745</v>
          </cell>
          <cell r="B102" t="str">
            <v xml:space="preserve">דמי פריצה - תכולה </v>
          </cell>
        </row>
        <row r="103">
          <cell r="A103">
            <v>1094000751</v>
          </cell>
          <cell r="B103" t="str">
            <v xml:space="preserve">עבודות קבלניות    </v>
          </cell>
          <cell r="C103">
            <v>40000</v>
          </cell>
        </row>
        <row r="104">
          <cell r="A104">
            <v>1094000752</v>
          </cell>
          <cell r="B104" t="str">
            <v xml:space="preserve">נקיון בקבלנות     </v>
          </cell>
          <cell r="C104">
            <v>102000</v>
          </cell>
        </row>
        <row r="105">
          <cell r="A105">
            <v>1094000753</v>
          </cell>
          <cell r="B105" t="str">
            <v xml:space="preserve">עובדים חיצוניים   </v>
          </cell>
        </row>
        <row r="106">
          <cell r="A106">
            <v>1094000756</v>
          </cell>
          <cell r="B106" t="str">
            <v xml:space="preserve">שמירה בקבלנות     </v>
          </cell>
          <cell r="C106">
            <v>360000</v>
          </cell>
        </row>
        <row r="107">
          <cell r="A107">
            <v>1094000757</v>
          </cell>
          <cell r="B107" t="str">
            <v xml:space="preserve">פינויים           </v>
          </cell>
          <cell r="C107">
            <v>10000</v>
          </cell>
        </row>
        <row r="108">
          <cell r="A108">
            <v>1094000900</v>
          </cell>
          <cell r="B108" t="str">
            <v xml:space="preserve">הוצאות חד פעמיות  </v>
          </cell>
        </row>
        <row r="109">
          <cell r="A109">
            <v>1094000930</v>
          </cell>
          <cell r="B109" t="str">
            <v xml:space="preserve">רכישות חד פעמיות  </v>
          </cell>
          <cell r="C109">
            <v>3000</v>
          </cell>
        </row>
        <row r="110">
          <cell r="A110">
            <v>1094000961</v>
          </cell>
          <cell r="B110" t="str">
            <v>רז' פעולות ורכישות</v>
          </cell>
        </row>
        <row r="111">
          <cell r="A111" t="str">
            <v>#VALUE!</v>
          </cell>
          <cell r="B111" t="str">
            <v xml:space="preserve">אפסנאות מחסנים    </v>
          </cell>
        </row>
        <row r="112">
          <cell r="A112">
            <v>10941000</v>
          </cell>
          <cell r="B112" t="str">
            <v xml:space="preserve">העמסת מחסנים    </v>
          </cell>
        </row>
        <row r="113">
          <cell r="A113">
            <v>1094100794</v>
          </cell>
          <cell r="B113" t="str">
            <v xml:space="preserve">השתתפות בעזר 094  </v>
          </cell>
        </row>
        <row r="114">
          <cell r="A114" t="str">
            <v>#VALUE!</v>
          </cell>
          <cell r="B114" t="str">
            <v xml:space="preserve">העמסת מחסנים    </v>
          </cell>
        </row>
        <row r="115">
          <cell r="A115">
            <v>10960000</v>
          </cell>
          <cell r="B115" t="str">
            <v xml:space="preserve">מוסך  ורכב        </v>
          </cell>
        </row>
        <row r="116">
          <cell r="A116">
            <v>1096000100</v>
          </cell>
          <cell r="B116" t="str">
            <v>שכר עובדים לפי תקן</v>
          </cell>
        </row>
        <row r="117">
          <cell r="A117">
            <v>1096000110</v>
          </cell>
          <cell r="B117" t="str">
            <v>השכר הקובע-תקציבית</v>
          </cell>
          <cell r="C117">
            <v>152300</v>
          </cell>
        </row>
        <row r="118">
          <cell r="A118">
            <v>1096000119</v>
          </cell>
          <cell r="B118" t="str">
            <v xml:space="preserve">השכר הקובע-צוברת  </v>
          </cell>
          <cell r="C118">
            <v>405600</v>
          </cell>
        </row>
        <row r="119">
          <cell r="A119">
            <v>1096000122</v>
          </cell>
          <cell r="B119" t="str">
            <v xml:space="preserve">ביגוד             </v>
          </cell>
          <cell r="C119">
            <v>6100</v>
          </cell>
        </row>
        <row r="120">
          <cell r="A120">
            <v>1096000126</v>
          </cell>
          <cell r="B120" t="str">
            <v xml:space="preserve">דמי הבראה         </v>
          </cell>
          <cell r="C120">
            <v>14500</v>
          </cell>
        </row>
        <row r="121">
          <cell r="A121">
            <v>1096000130</v>
          </cell>
          <cell r="B121" t="str">
            <v xml:space="preserve">שעות נוספות       </v>
          </cell>
        </row>
        <row r="122">
          <cell r="A122">
            <v>1096000140</v>
          </cell>
          <cell r="B122" t="str">
            <v>השתתפות באחזקת רכב</v>
          </cell>
          <cell r="C122">
            <v>65200</v>
          </cell>
        </row>
        <row r="123">
          <cell r="A123">
            <v>1096000253</v>
          </cell>
          <cell r="B123" t="str">
            <v xml:space="preserve">עובדים חיצוניים   </v>
          </cell>
        </row>
        <row r="124">
          <cell r="A124">
            <v>1096000400</v>
          </cell>
          <cell r="B124" t="str">
            <v>אחזקת בנינים וציוד</v>
          </cell>
        </row>
        <row r="125">
          <cell r="A125">
            <v>1096000420</v>
          </cell>
          <cell r="B125" t="str">
            <v xml:space="preserve">כיבוי אש          </v>
          </cell>
          <cell r="C125">
            <v>5000</v>
          </cell>
        </row>
        <row r="126">
          <cell r="A126">
            <v>1096000423</v>
          </cell>
          <cell r="B126" t="str">
            <v xml:space="preserve">תחזוקת מבנה       </v>
          </cell>
        </row>
        <row r="127">
          <cell r="A127">
            <v>1096000431</v>
          </cell>
          <cell r="B127" t="str">
            <v xml:space="preserve">חשמל              </v>
          </cell>
        </row>
        <row r="128">
          <cell r="A128">
            <v>1096000432</v>
          </cell>
          <cell r="B128" t="str">
            <v xml:space="preserve">מים               </v>
          </cell>
        </row>
        <row r="129">
          <cell r="A129">
            <v>1096000433</v>
          </cell>
          <cell r="B129" t="str">
            <v xml:space="preserve">חומרי נקיון       </v>
          </cell>
          <cell r="C129">
            <v>5000</v>
          </cell>
        </row>
        <row r="130">
          <cell r="A130">
            <v>1096000437</v>
          </cell>
          <cell r="B130" t="str">
            <v>מערכת אזעקה</v>
          </cell>
        </row>
        <row r="131">
          <cell r="A131">
            <v>1096000441</v>
          </cell>
          <cell r="B131" t="str">
            <v xml:space="preserve">ביטוח רכב         </v>
          </cell>
          <cell r="C131">
            <v>720000</v>
          </cell>
        </row>
        <row r="132">
          <cell r="A132">
            <v>1096000470</v>
          </cell>
          <cell r="B132" t="str">
            <v xml:space="preserve">אחזקת מכונות משרד </v>
          </cell>
          <cell r="C132">
            <v>800</v>
          </cell>
        </row>
        <row r="133">
          <cell r="A133">
            <v>1096000471</v>
          </cell>
          <cell r="B133" t="str">
            <v xml:space="preserve">מכשירי כתיבה      </v>
          </cell>
          <cell r="C133">
            <v>5000</v>
          </cell>
        </row>
        <row r="134">
          <cell r="A134">
            <v>1096000492</v>
          </cell>
          <cell r="B134" t="str">
            <v xml:space="preserve">השתתפות בעזר 092  </v>
          </cell>
        </row>
        <row r="135">
          <cell r="A135">
            <v>1096000500</v>
          </cell>
          <cell r="B135" t="str">
            <v xml:space="preserve">הוצאות מינהליות   </v>
          </cell>
        </row>
        <row r="136">
          <cell r="A136">
            <v>1096000511</v>
          </cell>
          <cell r="B136" t="str">
            <v xml:space="preserve">אירוח וכיבוד      </v>
          </cell>
          <cell r="C136">
            <v>2900</v>
          </cell>
        </row>
        <row r="137">
          <cell r="A137">
            <v>1096000512</v>
          </cell>
          <cell r="B137" t="str">
            <v xml:space="preserve">נסיעות ואש"ל      </v>
          </cell>
          <cell r="C137">
            <v>200</v>
          </cell>
        </row>
        <row r="138">
          <cell r="A138">
            <v>1096000522</v>
          </cell>
          <cell r="B138" t="str">
            <v xml:space="preserve">ספרים ועיתונים    </v>
          </cell>
          <cell r="C138">
            <v>800</v>
          </cell>
        </row>
        <row r="139">
          <cell r="A139">
            <v>1096000540</v>
          </cell>
          <cell r="B139" t="str">
            <v xml:space="preserve">הוצאות טלפון      </v>
          </cell>
        </row>
        <row r="140">
          <cell r="A140">
            <v>1096000544</v>
          </cell>
          <cell r="B140" t="str">
            <v xml:space="preserve">הוצאות דאר        </v>
          </cell>
        </row>
        <row r="141">
          <cell r="A141">
            <v>1096000550</v>
          </cell>
          <cell r="B141" t="str">
            <v xml:space="preserve">פירסומים          </v>
          </cell>
          <cell r="C141">
            <v>9000</v>
          </cell>
        </row>
        <row r="142">
          <cell r="A142">
            <v>1096000561</v>
          </cell>
          <cell r="B142" t="str">
            <v xml:space="preserve">שיכפולים          </v>
          </cell>
        </row>
        <row r="143">
          <cell r="A143">
            <v>1096000562</v>
          </cell>
          <cell r="B143" t="str">
            <v xml:space="preserve">הדפסות            </v>
          </cell>
        </row>
        <row r="144">
          <cell r="A144">
            <v>1096000571</v>
          </cell>
          <cell r="B144" t="str">
            <v xml:space="preserve">מיכון וענ"א       </v>
          </cell>
        </row>
        <row r="145">
          <cell r="A145">
            <v>1096000580</v>
          </cell>
          <cell r="B145" t="str">
            <v xml:space="preserve">שמאות             </v>
          </cell>
          <cell r="C145">
            <v>2400</v>
          </cell>
        </row>
        <row r="146">
          <cell r="A146">
            <v>1096000700</v>
          </cell>
          <cell r="B146" t="str">
            <v xml:space="preserve">הוצאות לפעולות    </v>
          </cell>
        </row>
        <row r="147">
          <cell r="A147">
            <v>1096000715</v>
          </cell>
          <cell r="B147" t="str">
            <v>עבודות קבלניות-רכב</v>
          </cell>
          <cell r="C147">
            <v>3800</v>
          </cell>
        </row>
        <row r="148">
          <cell r="A148">
            <v>1096000721</v>
          </cell>
          <cell r="B148" t="str">
            <v>חמרים-תחזוקת מבנים</v>
          </cell>
          <cell r="C148">
            <v>800</v>
          </cell>
        </row>
        <row r="149">
          <cell r="A149">
            <v>1096000731</v>
          </cell>
          <cell r="B149" t="str">
            <v xml:space="preserve">בנזין             </v>
          </cell>
          <cell r="C149">
            <v>260000</v>
          </cell>
        </row>
        <row r="150">
          <cell r="A150">
            <v>1096000733</v>
          </cell>
          <cell r="B150" t="str">
            <v>נוהל 6</v>
          </cell>
          <cell r="C150">
            <v>2400</v>
          </cell>
        </row>
        <row r="151">
          <cell r="A151">
            <v>1096000734</v>
          </cell>
          <cell r="B151" t="str">
            <v xml:space="preserve">סולר              </v>
          </cell>
          <cell r="C151">
            <v>1150000</v>
          </cell>
        </row>
        <row r="152">
          <cell r="A152">
            <v>1096000736</v>
          </cell>
          <cell r="B152" t="str">
            <v xml:space="preserve">שמנים ומשחות      </v>
          </cell>
          <cell r="C152">
            <v>15000</v>
          </cell>
        </row>
        <row r="153">
          <cell r="A153">
            <v>1096000737</v>
          </cell>
          <cell r="B153" t="str">
            <v xml:space="preserve">אגרת רשוי רכב     </v>
          </cell>
          <cell r="C153">
            <v>135000</v>
          </cell>
        </row>
        <row r="154">
          <cell r="A154">
            <v>1096000742</v>
          </cell>
          <cell r="B154" t="str">
            <v xml:space="preserve">כלים וציוד        </v>
          </cell>
          <cell r="C154">
            <v>6300</v>
          </cell>
        </row>
        <row r="155">
          <cell r="A155">
            <v>1096000746</v>
          </cell>
          <cell r="B155" t="str">
            <v xml:space="preserve">השתתפות עצמית     </v>
          </cell>
          <cell r="C155">
            <v>150000</v>
          </cell>
        </row>
        <row r="156">
          <cell r="A156">
            <v>1096000750</v>
          </cell>
          <cell r="B156" t="str">
            <v>שטיפת רכבים</v>
          </cell>
          <cell r="C156">
            <v>36000</v>
          </cell>
        </row>
        <row r="157">
          <cell r="A157">
            <v>1096000751</v>
          </cell>
          <cell r="B157" t="str">
            <v xml:space="preserve">עבודות קבלניות    </v>
          </cell>
          <cell r="C157">
            <v>14000</v>
          </cell>
        </row>
        <row r="158">
          <cell r="A158">
            <v>1096000752</v>
          </cell>
          <cell r="B158" t="str">
            <v xml:space="preserve">נקיון בקבלנות     </v>
          </cell>
          <cell r="C158">
            <v>42000</v>
          </cell>
        </row>
        <row r="159">
          <cell r="A159">
            <v>1096000753</v>
          </cell>
          <cell r="B159" t="str">
            <v xml:space="preserve">עובדים חיצוניים   </v>
          </cell>
        </row>
        <row r="160">
          <cell r="A160">
            <v>1096000755</v>
          </cell>
          <cell r="B160" t="str">
            <v>אחזקת איתורן</v>
          </cell>
          <cell r="C160">
            <v>80000</v>
          </cell>
        </row>
        <row r="161">
          <cell r="A161">
            <v>1096000756</v>
          </cell>
          <cell r="B161" t="str">
            <v xml:space="preserve">שמירה בקבלנות     </v>
          </cell>
          <cell r="C161">
            <v>360000</v>
          </cell>
        </row>
        <row r="162">
          <cell r="A162">
            <v>1096000757</v>
          </cell>
          <cell r="B162" t="str">
            <v xml:space="preserve">טיפול ברכב        </v>
          </cell>
          <cell r="C162">
            <v>2200000</v>
          </cell>
        </row>
        <row r="163">
          <cell r="A163">
            <v>1096000758</v>
          </cell>
          <cell r="B163" t="str">
            <v xml:space="preserve">שיפוצים           </v>
          </cell>
          <cell r="C163">
            <v>250000</v>
          </cell>
        </row>
        <row r="164">
          <cell r="A164">
            <v>1096000759</v>
          </cell>
          <cell r="B164" t="str">
            <v xml:space="preserve">פחחות וצבע        </v>
          </cell>
          <cell r="C164">
            <v>38000</v>
          </cell>
        </row>
        <row r="165">
          <cell r="A165">
            <v>1096000763</v>
          </cell>
          <cell r="B165" t="str">
            <v xml:space="preserve">עובדי חברת מוסדות </v>
          </cell>
        </row>
        <row r="166">
          <cell r="A166">
            <v>1096000780</v>
          </cell>
          <cell r="B166" t="str">
            <v>יועצים</v>
          </cell>
          <cell r="C166">
            <v>336000</v>
          </cell>
        </row>
        <row r="167">
          <cell r="A167">
            <v>1096000781</v>
          </cell>
          <cell r="B167" t="str">
            <v xml:space="preserve">טכס נהג מצטיין    </v>
          </cell>
        </row>
        <row r="168">
          <cell r="A168">
            <v>1096000794</v>
          </cell>
          <cell r="B168" t="str">
            <v xml:space="preserve">השתתפות בעזר 094  </v>
          </cell>
        </row>
        <row r="169">
          <cell r="A169">
            <v>1096000961</v>
          </cell>
          <cell r="B169" t="str">
            <v>רז' פעולות ורכישות</v>
          </cell>
        </row>
        <row r="170">
          <cell r="A170">
            <v>1096000970</v>
          </cell>
          <cell r="B170" t="str">
            <v>מ.הכנסה הוצ.עודפות</v>
          </cell>
        </row>
        <row r="171">
          <cell r="A171" t="str">
            <v>#VALUE!</v>
          </cell>
          <cell r="B171" t="str">
            <v xml:space="preserve">מוסך  ורכב        </v>
          </cell>
        </row>
        <row r="172">
          <cell r="A172">
            <v>10961000</v>
          </cell>
          <cell r="B172" t="str">
            <v xml:space="preserve">העמסת מוסך  ורכב        </v>
          </cell>
        </row>
        <row r="173">
          <cell r="A173">
            <v>1096100596</v>
          </cell>
          <cell r="B173" t="str">
            <v xml:space="preserve">השתתפות בעזר 096  </v>
          </cell>
        </row>
        <row r="174">
          <cell r="A174" t="str">
            <v>#VALUE!</v>
          </cell>
          <cell r="B174" t="str">
            <v xml:space="preserve">העמסת מוסך  ורכב        </v>
          </cell>
        </row>
        <row r="175">
          <cell r="A175" t="str">
            <v>#REF!</v>
          </cell>
          <cell r="B175">
            <v>0</v>
          </cell>
        </row>
        <row r="176">
          <cell r="A176" t="str">
            <v>#VALUE!</v>
          </cell>
          <cell r="B176" t="str">
            <v>תקבולים</v>
          </cell>
        </row>
        <row r="177">
          <cell r="A177">
            <v>11000000</v>
          </cell>
          <cell r="B177" t="str">
            <v xml:space="preserve">מיסים ומענק כללי  </v>
          </cell>
        </row>
        <row r="178">
          <cell r="A178">
            <v>11100000</v>
          </cell>
          <cell r="B178" t="str">
            <v xml:space="preserve">ארנונות           </v>
          </cell>
        </row>
        <row r="179">
          <cell r="A179">
            <v>1110000110</v>
          </cell>
          <cell r="B179" t="str">
            <v xml:space="preserve">ארנונה כללית      </v>
          </cell>
          <cell r="C179">
            <v>-760000000</v>
          </cell>
        </row>
        <row r="180">
          <cell r="A180">
            <v>1110000111</v>
          </cell>
          <cell r="B180" t="str">
            <v xml:space="preserve">ארנונה - מ.ג.ע.ר    </v>
          </cell>
        </row>
        <row r="181">
          <cell r="A181">
            <v>1110000112</v>
          </cell>
          <cell r="B181" t="str">
            <v xml:space="preserve">אגרות משפט        </v>
          </cell>
          <cell r="C181" t="str">
            <v>200,000-</v>
          </cell>
        </row>
        <row r="182">
          <cell r="A182">
            <v>1110000113</v>
          </cell>
          <cell r="B182" t="str">
            <v>החזר הוצאות משפט</v>
          </cell>
          <cell r="C182" t="str">
            <v>550,000-</v>
          </cell>
        </row>
        <row r="183">
          <cell r="A183">
            <v>1110000114</v>
          </cell>
          <cell r="B183" t="str">
            <v xml:space="preserve">ארנונה - עסקים מילגם    </v>
          </cell>
        </row>
        <row r="184">
          <cell r="A184">
            <v>1110000115</v>
          </cell>
          <cell r="B184" t="str">
            <v>ארנונה מגורים מילגם</v>
          </cell>
        </row>
        <row r="185">
          <cell r="A185">
            <v>1110000116</v>
          </cell>
          <cell r="B185" t="str">
            <v>עיקולי בנקים</v>
          </cell>
        </row>
        <row r="186">
          <cell r="A186">
            <v>1110000117</v>
          </cell>
          <cell r="B186" t="str">
            <v>דרישה מילגם</v>
          </cell>
        </row>
        <row r="187">
          <cell r="A187">
            <v>1110000175</v>
          </cell>
          <cell r="B187" t="str">
            <v xml:space="preserve">גביות לחלוקה      </v>
          </cell>
        </row>
        <row r="188">
          <cell r="A188">
            <v>1110000176</v>
          </cell>
          <cell r="B188" t="str">
            <v>גביות שונות לחלוקה</v>
          </cell>
        </row>
        <row r="189">
          <cell r="A189">
            <v>1110000177</v>
          </cell>
          <cell r="B189" t="str">
            <v xml:space="preserve">גביות - קו פתוח   </v>
          </cell>
        </row>
        <row r="190">
          <cell r="A190">
            <v>1110000178</v>
          </cell>
          <cell r="B190" t="str">
            <v>כרט' אשראי-קו פתוח</v>
          </cell>
        </row>
        <row r="191">
          <cell r="A191">
            <v>1110000179</v>
          </cell>
          <cell r="B191" t="str">
            <v>הפרשה לתביעות בארנונה</v>
          </cell>
        </row>
        <row r="192">
          <cell r="A192">
            <v>1110000911</v>
          </cell>
          <cell r="B192" t="str">
            <v>ותיקים - משנים קודמות</v>
          </cell>
        </row>
        <row r="193">
          <cell r="A193">
            <v>1110000590</v>
          </cell>
          <cell r="B193" t="str">
            <v>ארנונה מחסני ערכות מגן</v>
          </cell>
          <cell r="C193">
            <v>-100000</v>
          </cell>
        </row>
        <row r="194">
          <cell r="A194">
            <v>1110000910</v>
          </cell>
          <cell r="B194" t="str">
            <v>שיפוי - אזרחים ותיקים</v>
          </cell>
        </row>
        <row r="195">
          <cell r="A195">
            <v>1110000911</v>
          </cell>
          <cell r="B195" t="str">
            <v>ותיקים - משנים קודמות</v>
          </cell>
        </row>
        <row r="196">
          <cell r="A196" t="str">
            <v>#VALUE!</v>
          </cell>
          <cell r="B196" t="str">
            <v xml:space="preserve">ארנונות           </v>
          </cell>
        </row>
        <row r="197">
          <cell r="A197">
            <v>11120000</v>
          </cell>
          <cell r="B197" t="str">
            <v>הכנסות במקום ארנונה</v>
          </cell>
        </row>
        <row r="198">
          <cell r="A198">
            <v>1112000980</v>
          </cell>
          <cell r="B198" t="str">
            <v>שיפוי ארנונה</v>
          </cell>
        </row>
        <row r="199">
          <cell r="A199">
            <v>1112000981</v>
          </cell>
          <cell r="B199" t="str">
            <v>שיפוי ארנונה שנים קודמות</v>
          </cell>
        </row>
        <row r="200">
          <cell r="A200" t="str">
            <v>#VALUE!</v>
          </cell>
          <cell r="B200" t="str">
            <v>הכנסות במקום ארנונה</v>
          </cell>
        </row>
        <row r="201">
          <cell r="A201">
            <v>11150000</v>
          </cell>
          <cell r="B201" t="str">
            <v xml:space="preserve">הנחות לזכאים      </v>
          </cell>
        </row>
        <row r="202">
          <cell r="A202">
            <v>1115000110</v>
          </cell>
          <cell r="B202" t="str">
            <v xml:space="preserve">הכנסה משחרורים    </v>
          </cell>
          <cell r="C202">
            <v>-112000000</v>
          </cell>
        </row>
        <row r="203">
          <cell r="A203">
            <v>1115000111</v>
          </cell>
          <cell r="B203" t="str">
            <v>החזר הנחות מימון</v>
          </cell>
          <cell r="C203">
            <v>-1500000</v>
          </cell>
        </row>
        <row r="204">
          <cell r="A204">
            <v>1115000112</v>
          </cell>
          <cell r="B204" t="str">
            <v>פטורים מארנונה</v>
          </cell>
          <cell r="C204">
            <v>-19000000</v>
          </cell>
        </row>
        <row r="205">
          <cell r="A205">
            <v>1115000113</v>
          </cell>
          <cell r="B205" t="str">
            <v>הנחות מימון אשפה</v>
          </cell>
        </row>
        <row r="206">
          <cell r="A206">
            <v>1115000114</v>
          </cell>
          <cell r="B206" t="str">
            <v>פטורים - מוסדות</v>
          </cell>
          <cell r="C206">
            <v>-18000000</v>
          </cell>
        </row>
        <row r="207">
          <cell r="A207">
            <v>1115000115</v>
          </cell>
          <cell r="B207" t="str">
            <v>הנחות פטור קורונה</v>
          </cell>
        </row>
        <row r="208">
          <cell r="A208" t="str">
            <v>#VALUE!</v>
          </cell>
          <cell r="B208" t="str">
            <v xml:space="preserve">הנחות לזכאים      </v>
          </cell>
        </row>
        <row r="209">
          <cell r="A209">
            <v>11200000</v>
          </cell>
          <cell r="B209" t="str">
            <v xml:space="preserve">אגרות             </v>
          </cell>
        </row>
        <row r="210">
          <cell r="A210">
            <v>11210000</v>
          </cell>
          <cell r="B210" t="str">
            <v xml:space="preserve">תעודות ואישורים   </v>
          </cell>
        </row>
        <row r="211">
          <cell r="A211">
            <v>1121000290</v>
          </cell>
          <cell r="B211" t="str">
            <v xml:space="preserve">תעודות ואשורים    </v>
          </cell>
        </row>
        <row r="212">
          <cell r="A212" t="str">
            <v>#VALUE!</v>
          </cell>
          <cell r="B212" t="str">
            <v xml:space="preserve">תעודות ואישורים   </v>
          </cell>
        </row>
        <row r="213">
          <cell r="A213">
            <v>11220000</v>
          </cell>
          <cell r="B213" t="str">
            <v>אג' רישיונות שלטים</v>
          </cell>
        </row>
        <row r="214">
          <cell r="A214">
            <v>1122000290</v>
          </cell>
          <cell r="B214" t="str">
            <v>אגרת רשיונות שלטים</v>
          </cell>
        </row>
        <row r="215">
          <cell r="A215">
            <v>1122000291</v>
          </cell>
          <cell r="B215" t="str">
            <v>החזר אג' משפט-שילוט</v>
          </cell>
        </row>
        <row r="216">
          <cell r="A216" t="str">
            <v>#VALUE!</v>
          </cell>
          <cell r="B216" t="str">
            <v>אג' רישיונות שלטים</v>
          </cell>
        </row>
        <row r="217">
          <cell r="A217">
            <v>11240000</v>
          </cell>
          <cell r="B217" t="str">
            <v xml:space="preserve">מודעות ופירסומים  </v>
          </cell>
        </row>
        <row r="218">
          <cell r="A218">
            <v>1124000290</v>
          </cell>
          <cell r="B218" t="str">
            <v xml:space="preserve">מודעות על לוחות   </v>
          </cell>
        </row>
        <row r="219">
          <cell r="A219" t="str">
            <v>#VALUE!</v>
          </cell>
          <cell r="B219" t="str">
            <v xml:space="preserve">מודעות ופירסומים  </v>
          </cell>
        </row>
        <row r="220">
          <cell r="A220">
            <v>11290000</v>
          </cell>
          <cell r="B220" t="str">
            <v xml:space="preserve">אגרות שונות       </v>
          </cell>
        </row>
        <row r="221">
          <cell r="A221">
            <v>1129000290</v>
          </cell>
          <cell r="B221" t="str">
            <v xml:space="preserve">אגרת חניה  מוניות </v>
          </cell>
          <cell r="C221">
            <v>-47000</v>
          </cell>
        </row>
        <row r="222">
          <cell r="A222" t="str">
            <v>#VALUE!</v>
          </cell>
          <cell r="B222" t="str">
            <v xml:space="preserve">אגרות שונות       </v>
          </cell>
        </row>
        <row r="223">
          <cell r="A223">
            <v>11600000</v>
          </cell>
          <cell r="B223" t="str">
            <v xml:space="preserve">הכנסות מימון      </v>
          </cell>
        </row>
        <row r="224">
          <cell r="A224">
            <v>1160000840</v>
          </cell>
          <cell r="B224" t="str">
            <v>ביוב התר בניה-מלוה</v>
          </cell>
        </row>
        <row r="225">
          <cell r="A225">
            <v>1160000841</v>
          </cell>
          <cell r="B225" t="str">
            <v>כביש-תאו'בניה-מלוה</v>
          </cell>
          <cell r="C225">
            <v>-7670000</v>
          </cell>
        </row>
        <row r="226">
          <cell r="A226">
            <v>1160000842</v>
          </cell>
          <cell r="B226" t="str">
            <v>תעול היתר בניה-מלו</v>
          </cell>
          <cell r="C226">
            <v>0</v>
          </cell>
        </row>
        <row r="227">
          <cell r="A227">
            <v>1160000843</v>
          </cell>
          <cell r="B227" t="str">
            <v>מים היתר בניה-מלוה</v>
          </cell>
        </row>
        <row r="228">
          <cell r="A228">
            <v>1160000844</v>
          </cell>
          <cell r="B228" t="str">
            <v>החזר מילוות-השבחה</v>
          </cell>
          <cell r="C228">
            <v>-22196000</v>
          </cell>
        </row>
        <row r="229">
          <cell r="A229" t="str">
            <v>#VALUE!</v>
          </cell>
          <cell r="B229" t="str">
            <v xml:space="preserve">הכנסות מימון      </v>
          </cell>
        </row>
        <row r="230">
          <cell r="A230">
            <v>11900000</v>
          </cell>
          <cell r="B230" t="str">
            <v xml:space="preserve">מענקים כללים      </v>
          </cell>
        </row>
        <row r="231">
          <cell r="A231">
            <v>11910000</v>
          </cell>
          <cell r="B231" t="str">
            <v xml:space="preserve">מענק כללי לאיזון  </v>
          </cell>
        </row>
        <row r="232">
          <cell r="A232">
            <v>11920000</v>
          </cell>
          <cell r="B232" t="str">
            <v xml:space="preserve">מענקים חד-פעמיים  </v>
          </cell>
        </row>
        <row r="233">
          <cell r="A233">
            <v>1192000910</v>
          </cell>
          <cell r="B233" t="str">
            <v>החזר בגין הסכם שכר</v>
          </cell>
        </row>
        <row r="234">
          <cell r="A234">
            <v>1192000911</v>
          </cell>
          <cell r="B234" t="str">
            <v>פנים-מענק התרי בנית דירות</v>
          </cell>
        </row>
        <row r="235">
          <cell r="A235">
            <v>1192000912</v>
          </cell>
          <cell r="B235" t="str">
            <v>פנים-הכנסות מתשאולים</v>
          </cell>
        </row>
        <row r="236">
          <cell r="A236">
            <v>1192000913</v>
          </cell>
          <cell r="B236" t="str">
            <v>מענק רזרבת שר הפנים</v>
          </cell>
        </row>
        <row r="237">
          <cell r="A237">
            <v>1192000914</v>
          </cell>
          <cell r="B237" t="str">
            <v xml:space="preserve">החזר הנחת ארנונה  </v>
          </cell>
        </row>
        <row r="238">
          <cell r="A238">
            <v>1192000980</v>
          </cell>
          <cell r="B238" t="str">
            <v>שיפוי פטור קורונה</v>
          </cell>
        </row>
        <row r="239">
          <cell r="A239" t="str">
            <v>#VALUE!</v>
          </cell>
          <cell r="B239" t="str">
            <v xml:space="preserve">מענקים חד-פעמיים  </v>
          </cell>
        </row>
        <row r="240">
          <cell r="A240">
            <v>1192100910</v>
          </cell>
          <cell r="B240" t="str">
            <v>פנים מענק ניהול כספי</v>
          </cell>
        </row>
        <row r="241">
          <cell r="A241" t="str">
            <v>#VALUE!</v>
          </cell>
          <cell r="B241" t="str">
            <v>פנים מענק ניהול כספי</v>
          </cell>
        </row>
        <row r="242">
          <cell r="A242">
            <v>11940000</v>
          </cell>
          <cell r="B242" t="str">
            <v xml:space="preserve">מענק לקליטת עליה  </v>
          </cell>
        </row>
        <row r="243">
          <cell r="A243">
            <v>1194000910</v>
          </cell>
          <cell r="B243" t="str">
            <v>מענק מ'הפנים-קליטה</v>
          </cell>
        </row>
        <row r="244">
          <cell r="A244" t="str">
            <v>#VALUE!</v>
          </cell>
          <cell r="B244" t="str">
            <v xml:space="preserve">מענק לקליטת עליה  </v>
          </cell>
        </row>
        <row r="245">
          <cell r="A245">
            <v>11960000</v>
          </cell>
          <cell r="B245" t="str">
            <v xml:space="preserve">מענקים אחרים      </v>
          </cell>
        </row>
        <row r="246">
          <cell r="A246">
            <v>11961000</v>
          </cell>
          <cell r="B246" t="str">
            <v>בחירות:רשות מקומית</v>
          </cell>
        </row>
        <row r="247">
          <cell r="A247">
            <v>1196100910</v>
          </cell>
          <cell r="B247" t="str">
            <v>בחירות:רשות מקומית</v>
          </cell>
        </row>
        <row r="248">
          <cell r="A248" t="str">
            <v>#VALUE!</v>
          </cell>
          <cell r="B248" t="str">
            <v>בחירות:רשות מקומית</v>
          </cell>
        </row>
        <row r="249">
          <cell r="A249">
            <v>11962000</v>
          </cell>
          <cell r="B249" t="str">
            <v xml:space="preserve">מענקי שכר         </v>
          </cell>
        </row>
        <row r="250">
          <cell r="A250">
            <v>1196200910</v>
          </cell>
          <cell r="B250" t="str">
            <v xml:space="preserve">מענק החזר שכר     </v>
          </cell>
        </row>
        <row r="251">
          <cell r="A251" t="str">
            <v>#VALUE!</v>
          </cell>
          <cell r="B251" t="str">
            <v xml:space="preserve">מענקי שכר         </v>
          </cell>
        </row>
        <row r="252">
          <cell r="A252">
            <v>12000000</v>
          </cell>
          <cell r="B252" t="str">
            <v xml:space="preserve">שרותים מקומיים    </v>
          </cell>
        </row>
        <row r="253">
          <cell r="A253">
            <v>12100000</v>
          </cell>
          <cell r="B253" t="str">
            <v xml:space="preserve">תברואה            </v>
          </cell>
        </row>
        <row r="254">
          <cell r="A254">
            <v>12120000</v>
          </cell>
          <cell r="B254" t="str">
            <v xml:space="preserve">שרותי ניקיון      </v>
          </cell>
        </row>
        <row r="255">
          <cell r="A255">
            <v>12122000</v>
          </cell>
          <cell r="B255" t="str">
            <v xml:space="preserve">נקוי רחובות       </v>
          </cell>
        </row>
        <row r="256">
          <cell r="A256">
            <v>1212200690</v>
          </cell>
          <cell r="B256" t="str">
            <v>הכנ.מפינ.מכו.פר.א.</v>
          </cell>
        </row>
        <row r="257">
          <cell r="A257">
            <v>1212200692</v>
          </cell>
          <cell r="B257" t="str">
            <v xml:space="preserve">ניקוי מגרשים      </v>
          </cell>
        </row>
        <row r="258">
          <cell r="A258" t="str">
            <v>#VALUE!</v>
          </cell>
          <cell r="B258" t="str">
            <v xml:space="preserve">נקוי רחובות       </v>
          </cell>
        </row>
        <row r="259">
          <cell r="A259">
            <v>12123000</v>
          </cell>
          <cell r="B259" t="str">
            <v xml:space="preserve">אסוף וביעור אשפה  </v>
          </cell>
        </row>
        <row r="260">
          <cell r="A260">
            <v>1212300690</v>
          </cell>
          <cell r="B260" t="str">
            <v>אריזות כתומים-הפרדה במקור</v>
          </cell>
          <cell r="C260">
            <v>-2000000</v>
          </cell>
        </row>
        <row r="261">
          <cell r="A261">
            <v>1212300691</v>
          </cell>
          <cell r="B261" t="str">
            <v xml:space="preserve">מכירת מיכלי אשפה  </v>
          </cell>
        </row>
        <row r="262">
          <cell r="A262">
            <v>1212300692</v>
          </cell>
          <cell r="B262" t="str">
            <v>הכנסות סילוק פסולת</v>
          </cell>
          <cell r="C262">
            <v>-10000000</v>
          </cell>
        </row>
        <row r="263">
          <cell r="A263">
            <v>1212300693</v>
          </cell>
          <cell r="B263" t="str">
            <v>מכירת בקבוקי פלסטיק</v>
          </cell>
        </row>
        <row r="264">
          <cell r="A264">
            <v>1212300694</v>
          </cell>
          <cell r="B264" t="str">
            <v>מכירת נייר</v>
          </cell>
          <cell r="C264">
            <v>-79800</v>
          </cell>
        </row>
        <row r="265">
          <cell r="A265">
            <v>1212300695</v>
          </cell>
          <cell r="B265" t="str">
            <v>מכירת בגדים משומשים</v>
          </cell>
          <cell r="C265">
            <v>0</v>
          </cell>
        </row>
        <row r="266">
          <cell r="A266">
            <v>1212300696</v>
          </cell>
          <cell r="B266" t="str">
            <v>מכירת קרטון למיחזור</v>
          </cell>
          <cell r="C266">
            <v>-24000</v>
          </cell>
        </row>
        <row r="267">
          <cell r="A267">
            <v>1212300697</v>
          </cell>
          <cell r="B267" t="str">
            <v>קרטון - תאגיד תמיר</v>
          </cell>
          <cell r="C267">
            <v>-607000</v>
          </cell>
        </row>
        <row r="268">
          <cell r="A268">
            <v>1212300698</v>
          </cell>
          <cell r="B268" t="str">
            <v>גזם - איגוד תברואה</v>
          </cell>
        </row>
        <row r="269">
          <cell r="A269">
            <v>1212300699</v>
          </cell>
          <cell r="B269" t="str">
            <v>מכירת פסולת אלקטרונית</v>
          </cell>
        </row>
        <row r="270">
          <cell r="A270">
            <v>1212300990</v>
          </cell>
          <cell r="B270" t="str">
            <v>מיחזור פלסטיק+נייר</v>
          </cell>
        </row>
        <row r="271">
          <cell r="A271">
            <v>1212300991</v>
          </cell>
          <cell r="B271" t="str">
            <v>אתר הפסולת-איכה"ס</v>
          </cell>
        </row>
        <row r="272">
          <cell r="A272" t="str">
            <v>#VALUE!</v>
          </cell>
          <cell r="B272" t="str">
            <v xml:space="preserve">אסוף וביעור אשפה  </v>
          </cell>
        </row>
        <row r="273">
          <cell r="A273">
            <v>12126000</v>
          </cell>
          <cell r="B273" t="str">
            <v>תחנת המעבר</v>
          </cell>
        </row>
        <row r="274">
          <cell r="A274">
            <v>1212600590</v>
          </cell>
          <cell r="B274" t="str">
            <v>הכנסות שמירה</v>
          </cell>
        </row>
        <row r="275">
          <cell r="A275">
            <v>1212600591</v>
          </cell>
          <cell r="B275" t="str">
            <v>חניית משאיות</v>
          </cell>
          <cell r="C275">
            <v>-112000</v>
          </cell>
        </row>
        <row r="276">
          <cell r="A276">
            <v>1212600592</v>
          </cell>
          <cell r="B276" t="str">
            <v>החזר חשמל מקבלן אשפה</v>
          </cell>
        </row>
        <row r="277">
          <cell r="A277" t="str">
            <v>#VALUE!</v>
          </cell>
          <cell r="B277" t="str">
            <v>תחנת המעבר</v>
          </cell>
        </row>
        <row r="278">
          <cell r="A278">
            <v>12130000</v>
          </cell>
          <cell r="B278" t="str">
            <v xml:space="preserve">פיקוח תברואי      </v>
          </cell>
        </row>
        <row r="279">
          <cell r="A279">
            <v>12133000</v>
          </cell>
          <cell r="B279" t="str">
            <v>פיקוח-עסקים+מוסדות</v>
          </cell>
        </row>
        <row r="280">
          <cell r="A280">
            <v>1213300310</v>
          </cell>
          <cell r="B280" t="str">
            <v xml:space="preserve">רישוי עסקים       </v>
          </cell>
        </row>
        <row r="281">
          <cell r="A281" t="str">
            <v>#VALUE!</v>
          </cell>
          <cell r="B281" t="str">
            <v>פיקוח-עסקים+מוסדות</v>
          </cell>
        </row>
        <row r="282">
          <cell r="A282">
            <v>12140000</v>
          </cell>
          <cell r="B282" t="str">
            <v xml:space="preserve">שרות וטרינרי      </v>
          </cell>
        </row>
        <row r="283">
          <cell r="A283">
            <v>1214000220</v>
          </cell>
          <cell r="B283" t="str">
            <v>אג'רישוי/חיסון כלב ואג' עופות</v>
          </cell>
          <cell r="C283" t="str">
            <v>1100000-</v>
          </cell>
        </row>
        <row r="284">
          <cell r="A284">
            <v>1214000221</v>
          </cell>
          <cell r="B284" t="str">
            <v>הובלה ושהייה בכלביה</v>
          </cell>
          <cell r="C284" t="str">
            <v>11000-</v>
          </cell>
        </row>
        <row r="285">
          <cell r="A285">
            <v>1214000222</v>
          </cell>
          <cell r="B285" t="str">
            <v>החזקת בע"ח/בעלי כנף</v>
          </cell>
          <cell r="C285" t="str">
            <v>4000-</v>
          </cell>
        </row>
        <row r="286">
          <cell r="A286">
            <v>1214000520</v>
          </cell>
          <cell r="B286" t="str">
            <v xml:space="preserve">החזר שכר וטרינר   </v>
          </cell>
          <cell r="C286">
            <v>0</v>
          </cell>
        </row>
        <row r="287">
          <cell r="A287">
            <v>1214000690</v>
          </cell>
          <cell r="B287" t="str">
            <v>הסגר כלבים ביתי</v>
          </cell>
          <cell r="C287" t="str">
            <v>10000-</v>
          </cell>
        </row>
        <row r="288">
          <cell r="A288">
            <v>1214000790</v>
          </cell>
          <cell r="B288" t="str">
            <v xml:space="preserve">בדיקת בשר ודגים   </v>
          </cell>
          <cell r="C288" t="str">
            <v>820000-</v>
          </cell>
        </row>
        <row r="289">
          <cell r="A289">
            <v>1214000791</v>
          </cell>
          <cell r="B289" t="str">
            <v>בדיקות משנה תחנה איזורית</v>
          </cell>
          <cell r="C289" t="str">
            <v>-</v>
          </cell>
        </row>
        <row r="290">
          <cell r="A290">
            <v>1214000990</v>
          </cell>
          <cell r="B290" t="str">
            <v>עיקור חתולים וכלבים</v>
          </cell>
          <cell r="C290" t="str">
            <v>272000-</v>
          </cell>
        </row>
        <row r="291">
          <cell r="A291" t="str">
            <v>#VALUE!</v>
          </cell>
          <cell r="B291" t="str">
            <v xml:space="preserve">שרות וטרינרי      </v>
          </cell>
        </row>
        <row r="292">
          <cell r="A292">
            <v>12200000</v>
          </cell>
          <cell r="B292" t="str">
            <v xml:space="preserve">ביטחון            </v>
          </cell>
        </row>
        <row r="293">
          <cell r="A293">
            <v>12210000</v>
          </cell>
          <cell r="B293" t="str">
            <v>מינהל שמירה וביטחון</v>
          </cell>
        </row>
        <row r="294">
          <cell r="A294">
            <v>1221000420</v>
          </cell>
          <cell r="B294" t="str">
            <v>עבור שרותי קב"טים</v>
          </cell>
        </row>
        <row r="295">
          <cell r="A295" t="str">
            <v>#VALUE!</v>
          </cell>
          <cell r="B295" t="str">
            <v>מינהל שמירה וביטחון</v>
          </cell>
        </row>
        <row r="296">
          <cell r="A296">
            <v>12220000</v>
          </cell>
          <cell r="B296" t="str">
            <v xml:space="preserve">שמירה ביטחונית    </v>
          </cell>
        </row>
        <row r="297">
          <cell r="A297">
            <v>12221000</v>
          </cell>
          <cell r="B297" t="str">
            <v xml:space="preserve">משמר אזרחי        </v>
          </cell>
        </row>
        <row r="298">
          <cell r="A298">
            <v>1222100910</v>
          </cell>
          <cell r="B298" t="str">
            <v xml:space="preserve">השתתפות הממשלה    </v>
          </cell>
        </row>
        <row r="299">
          <cell r="A299" t="str">
            <v>#VALUE!</v>
          </cell>
          <cell r="B299" t="str">
            <v xml:space="preserve">משמר אזרחי        </v>
          </cell>
        </row>
        <row r="300">
          <cell r="A300">
            <v>12222000</v>
          </cell>
          <cell r="B300" t="str">
            <v>סיירת ביטחון</v>
          </cell>
        </row>
        <row r="301">
          <cell r="A301">
            <v>1222200220</v>
          </cell>
          <cell r="B301" t="str">
            <v>אגרת ביטחון</v>
          </cell>
        </row>
        <row r="302">
          <cell r="A302" t="str">
            <v>#VALUE!</v>
          </cell>
          <cell r="B302" t="str">
            <v>סיירת ביטחון</v>
          </cell>
        </row>
        <row r="303">
          <cell r="A303">
            <v>12230000</v>
          </cell>
          <cell r="B303" t="str">
            <v xml:space="preserve">הג"א              </v>
          </cell>
        </row>
        <row r="304">
          <cell r="A304">
            <v>1223000640</v>
          </cell>
          <cell r="B304" t="str">
            <v xml:space="preserve">שכר דירה ממקלטים  </v>
          </cell>
        </row>
        <row r="305">
          <cell r="A305">
            <v>1223000791</v>
          </cell>
          <cell r="B305" t="str">
            <v>השתת' בת-ים בהג"א</v>
          </cell>
        </row>
        <row r="306">
          <cell r="A306">
            <v>1223000792</v>
          </cell>
          <cell r="B306" t="str">
            <v>השתת' אזור בהג"א</v>
          </cell>
        </row>
        <row r="307">
          <cell r="A307">
            <v>1223000910</v>
          </cell>
          <cell r="B307" t="str">
            <v>שידרוג מקלטים</v>
          </cell>
        </row>
        <row r="308">
          <cell r="A308" t="str">
            <v>#VALUE!</v>
          </cell>
          <cell r="B308" t="str">
            <v xml:space="preserve">הג"א              </v>
          </cell>
        </row>
        <row r="309">
          <cell r="A309">
            <v>12260000</v>
          </cell>
          <cell r="B309" t="str">
            <v xml:space="preserve">מל"ח ופס"ח        </v>
          </cell>
        </row>
        <row r="310">
          <cell r="A310">
            <v>12261000</v>
          </cell>
          <cell r="B310" t="str">
            <v xml:space="preserve">מל"ח              </v>
          </cell>
        </row>
        <row r="311">
          <cell r="A311">
            <v>1226100910</v>
          </cell>
          <cell r="B311" t="str">
            <v xml:space="preserve">השתלמויות לפס"ח   </v>
          </cell>
        </row>
        <row r="312">
          <cell r="A312">
            <v>1226100912</v>
          </cell>
          <cell r="B312" t="str">
            <v>הצטיידות חרום</v>
          </cell>
        </row>
        <row r="313">
          <cell r="A313" t="str">
            <v>#VALUE!</v>
          </cell>
          <cell r="B313" t="str">
            <v xml:space="preserve">מל"ח              </v>
          </cell>
        </row>
        <row r="314">
          <cell r="A314">
            <v>12299990</v>
          </cell>
          <cell r="B314" t="str">
            <v>סלי סיוע משבר קורונה</v>
          </cell>
        </row>
        <row r="315">
          <cell r="A315">
            <v>1229999910</v>
          </cell>
          <cell r="B315" t="str">
            <v>כיסוי הוצאות לשעת חירום</v>
          </cell>
        </row>
        <row r="316">
          <cell r="A316" t="str">
            <v>#VALUE!</v>
          </cell>
          <cell r="B316" t="str">
            <v>סלי סיוע משבר קורונה</v>
          </cell>
        </row>
        <row r="317">
          <cell r="A317">
            <v>12300000</v>
          </cell>
          <cell r="B317" t="str">
            <v xml:space="preserve">תכנון בנין עיר    </v>
          </cell>
        </row>
        <row r="318">
          <cell r="A318">
            <v>12310000</v>
          </cell>
          <cell r="B318" t="str">
            <v xml:space="preserve">משרד מהנדס הרשות  </v>
          </cell>
        </row>
        <row r="319">
          <cell r="A319">
            <v>1231000690</v>
          </cell>
          <cell r="B319" t="str">
            <v xml:space="preserve">משרד מהנדס הרשות  </v>
          </cell>
        </row>
        <row r="320">
          <cell r="A320">
            <v>1231000691</v>
          </cell>
          <cell r="B320" t="str">
            <v>אג.בגין מסירת מידע</v>
          </cell>
        </row>
        <row r="321">
          <cell r="A321">
            <v>1231000692</v>
          </cell>
          <cell r="B321" t="str">
            <v>תעודת עובד ציבור</v>
          </cell>
        </row>
        <row r="322">
          <cell r="A322" t="str">
            <v>#VALUE!</v>
          </cell>
          <cell r="B322" t="str">
            <v xml:space="preserve">משרד מהנדס הרשות  </v>
          </cell>
        </row>
        <row r="323">
          <cell r="A323">
            <v>12322000</v>
          </cell>
          <cell r="B323" t="str">
            <v>חזות עיר</v>
          </cell>
        </row>
        <row r="324">
          <cell r="A324">
            <v>1232200690</v>
          </cell>
          <cell r="B324" t="str">
            <v>הצבת סככות אוטובוס</v>
          </cell>
        </row>
        <row r="325">
          <cell r="A325" t="str">
            <v>#VALUE!</v>
          </cell>
          <cell r="B325" t="str">
            <v>חזות עיר</v>
          </cell>
        </row>
        <row r="326">
          <cell r="A326">
            <v>12323000</v>
          </cell>
          <cell r="B326" t="str">
            <v xml:space="preserve">הדבקת מודעות      </v>
          </cell>
        </row>
        <row r="327">
          <cell r="A327">
            <v>1232300690</v>
          </cell>
          <cell r="B327" t="str">
            <v xml:space="preserve">הדבקת מודעות      </v>
          </cell>
        </row>
        <row r="328">
          <cell r="A328" t="str">
            <v>#VALUE!</v>
          </cell>
          <cell r="B328" t="str">
            <v xml:space="preserve">הדבקת מודעות      </v>
          </cell>
        </row>
        <row r="329">
          <cell r="A329">
            <v>12324000</v>
          </cell>
          <cell r="B329" t="str">
            <v>אגף התנועה</v>
          </cell>
        </row>
        <row r="330">
          <cell r="A330">
            <v>1232400410</v>
          </cell>
          <cell r="B330" t="str">
            <v>הצבה/העתקה ע' חניה לנכים</v>
          </cell>
        </row>
        <row r="331">
          <cell r="A331">
            <v>1232400991</v>
          </cell>
          <cell r="B331" t="str">
            <v>החזר בגין אחזקת רמזורים</v>
          </cell>
        </row>
        <row r="332">
          <cell r="A332" t="str">
            <v>#VALUE!</v>
          </cell>
          <cell r="B332" t="str">
            <v>מחלקת התנועה</v>
          </cell>
        </row>
        <row r="333">
          <cell r="A333">
            <v>12330000</v>
          </cell>
          <cell r="B333" t="str">
            <v>רשוי+פקוח על הבניה</v>
          </cell>
        </row>
        <row r="334">
          <cell r="A334">
            <v>1233000290</v>
          </cell>
          <cell r="B334" t="str">
            <v xml:space="preserve">רשיונות בניה-כללי </v>
          </cell>
        </row>
        <row r="335">
          <cell r="A335">
            <v>1233000310</v>
          </cell>
          <cell r="B335" t="str">
            <v>היטל השבחה מפיתוח</v>
          </cell>
        </row>
        <row r="336">
          <cell r="A336">
            <v>1233000690</v>
          </cell>
          <cell r="B336" t="str">
            <v>החזר דמי בדיקה פרטי</v>
          </cell>
        </row>
        <row r="337">
          <cell r="A337">
            <v>1233000691</v>
          </cell>
          <cell r="B337" t="str">
            <v>קנסות מנהליים-חריגות בניה</v>
          </cell>
        </row>
        <row r="338">
          <cell r="A338">
            <v>1233000692</v>
          </cell>
          <cell r="B338" t="str">
            <v>הכנסות מבנים מסוכנים</v>
          </cell>
        </row>
        <row r="339">
          <cell r="A339">
            <v>1233000990</v>
          </cell>
          <cell r="B339" t="str">
            <v>תמרוץ דיור</v>
          </cell>
        </row>
        <row r="340">
          <cell r="A340" t="str">
            <v>#VALUE!</v>
          </cell>
          <cell r="B340" t="str">
            <v>רשוי+פקוח על הבניה</v>
          </cell>
        </row>
        <row r="341">
          <cell r="A341">
            <v>12400000</v>
          </cell>
          <cell r="B341" t="str">
            <v xml:space="preserve">נכסים צבוריים     </v>
          </cell>
        </row>
        <row r="342">
          <cell r="A342">
            <v>12410000</v>
          </cell>
          <cell r="B342" t="str">
            <v>מינהל נכסים ציבוריים</v>
          </cell>
        </row>
        <row r="343">
          <cell r="A343">
            <v>1241000790</v>
          </cell>
          <cell r="B343" t="str">
            <v>עיר בריאה-רשות ניקוז ירקון</v>
          </cell>
        </row>
        <row r="344">
          <cell r="A344">
            <v>1241000923</v>
          </cell>
          <cell r="B344" t="str">
            <v>עיר בריאה - הגנת הסביבה</v>
          </cell>
        </row>
        <row r="345">
          <cell r="A345" t="str">
            <v>#VALUE!</v>
          </cell>
          <cell r="B345" t="str">
            <v>מינהל נכסים ציבוריים</v>
          </cell>
        </row>
        <row r="346">
          <cell r="A346">
            <v>12420000</v>
          </cell>
          <cell r="B346" t="str">
            <v>מערך דרכים</v>
          </cell>
        </row>
        <row r="347">
          <cell r="A347">
            <v>1242000690</v>
          </cell>
          <cell r="B347" t="str">
            <v>חילוט  ערבות-חול</v>
          </cell>
        </row>
        <row r="348">
          <cell r="A348" t="str">
            <v>#VALUE!</v>
          </cell>
          <cell r="B348" t="str">
            <v>מערך דרכים</v>
          </cell>
        </row>
        <row r="349">
          <cell r="A349">
            <v>12430000</v>
          </cell>
          <cell r="B349" t="str">
            <v>מחלקת מאור</v>
          </cell>
        </row>
        <row r="350">
          <cell r="A350">
            <v>1243000690</v>
          </cell>
          <cell r="B350" t="str">
            <v xml:space="preserve">השתת' במאור שלטים </v>
          </cell>
        </row>
        <row r="351">
          <cell r="A351" t="str">
            <v>#VALUE!</v>
          </cell>
          <cell r="B351" t="str">
            <v>מחלקת מאור</v>
          </cell>
        </row>
        <row r="352">
          <cell r="A352">
            <v>12440000</v>
          </cell>
          <cell r="B352" t="str">
            <v xml:space="preserve">בטיחות בדרכים - אחזקה     </v>
          </cell>
        </row>
        <row r="353">
          <cell r="A353">
            <v>1244000990</v>
          </cell>
          <cell r="B353" t="str">
            <v xml:space="preserve">פגיעות בתמרורים   </v>
          </cell>
        </row>
        <row r="354">
          <cell r="A354">
            <v>1244000991</v>
          </cell>
          <cell r="B354" t="str">
            <v>משרד התחבורה-סימון</v>
          </cell>
        </row>
        <row r="355">
          <cell r="A355">
            <v>1244000992</v>
          </cell>
          <cell r="B355" t="str">
            <v>מש'תחבורה-ב'בדרכים</v>
          </cell>
        </row>
        <row r="356">
          <cell r="A356">
            <v>1244000993</v>
          </cell>
          <cell r="B356" t="str">
            <v xml:space="preserve">בטיחות מהכנסה     </v>
          </cell>
        </row>
        <row r="357">
          <cell r="A357" t="str">
            <v>#VALUE!</v>
          </cell>
          <cell r="B357" t="str">
            <v xml:space="preserve">בטיחות בדרכים - אחזקה     </v>
          </cell>
        </row>
        <row r="358">
          <cell r="A358">
            <v>12450000</v>
          </cell>
          <cell r="B358" t="str">
            <v>תעול וניקוז</v>
          </cell>
        </row>
        <row r="359">
          <cell r="A359">
            <v>1245000410</v>
          </cell>
          <cell r="B359" t="str">
            <v>חיבור תיעול ע"ח צרכן</v>
          </cell>
        </row>
        <row r="360">
          <cell r="A360">
            <v>1245000790</v>
          </cell>
          <cell r="B360" t="str">
            <v>רשות ניקוז ירקון</v>
          </cell>
        </row>
        <row r="361">
          <cell r="A361" t="str">
            <v>#VALUE!</v>
          </cell>
          <cell r="B361" t="str">
            <v>תעול וניקוז</v>
          </cell>
        </row>
        <row r="362">
          <cell r="A362">
            <v>12460000</v>
          </cell>
          <cell r="B362" t="str">
            <v xml:space="preserve">גנים ונטיעות      </v>
          </cell>
        </row>
        <row r="363">
          <cell r="A363">
            <v>12461000</v>
          </cell>
          <cell r="B363" t="str">
            <v>גנים ציבוריים ונוף</v>
          </cell>
        </row>
        <row r="364">
          <cell r="A364">
            <v>1246100640</v>
          </cell>
          <cell r="B364" t="str">
            <v>דמי שכירות</v>
          </cell>
        </row>
        <row r="365">
          <cell r="A365">
            <v>1246100691</v>
          </cell>
          <cell r="B365" t="str">
            <v>מכירת  סכך</v>
          </cell>
        </row>
        <row r="366">
          <cell r="A366">
            <v>1246100692</v>
          </cell>
          <cell r="B366" t="str">
            <v xml:space="preserve">פינת ליטוף        </v>
          </cell>
          <cell r="C366">
            <v>-200000</v>
          </cell>
        </row>
        <row r="367">
          <cell r="A367">
            <v>1246100693</v>
          </cell>
          <cell r="B367" t="str">
            <v>הכנסות גן הקקטוסים</v>
          </cell>
        </row>
        <row r="368">
          <cell r="A368" t="str">
            <v>#VALUE!</v>
          </cell>
          <cell r="B368" t="str">
            <v>גנים ציבוריים ונוף</v>
          </cell>
        </row>
        <row r="369">
          <cell r="A369">
            <v>12500000</v>
          </cell>
          <cell r="B369" t="str">
            <v>חגיגות ארועים + מבצעים</v>
          </cell>
        </row>
        <row r="370">
          <cell r="A370">
            <v>12540000</v>
          </cell>
          <cell r="B370" t="str">
            <v xml:space="preserve">קשרים בינלאומיים  </v>
          </cell>
        </row>
        <row r="371">
          <cell r="A371">
            <v>1254000420</v>
          </cell>
          <cell r="B371" t="str">
            <v>השת' הורים במשלחות</v>
          </cell>
        </row>
        <row r="372">
          <cell r="A372">
            <v>1254000770</v>
          </cell>
          <cell r="B372" t="str">
            <v>הש' ממשלת גרמניה-משלחות</v>
          </cell>
        </row>
        <row r="373">
          <cell r="A373">
            <v>1254000771</v>
          </cell>
          <cell r="B373" t="str">
            <v>פרוייקט האיחוד R&amp;D</v>
          </cell>
        </row>
        <row r="374">
          <cell r="A374">
            <v>1254000772</v>
          </cell>
          <cell r="B374" t="str">
            <v>פרוייקט האיחוד נוער</v>
          </cell>
        </row>
        <row r="375">
          <cell r="A375" t="str">
            <v>#VALUE!</v>
          </cell>
          <cell r="B375" t="str">
            <v xml:space="preserve">קשרים בינלאומיים  </v>
          </cell>
        </row>
        <row r="376">
          <cell r="A376">
            <v>12600000</v>
          </cell>
          <cell r="B376" t="str">
            <v xml:space="preserve">שרותים שונים      </v>
          </cell>
        </row>
        <row r="377">
          <cell r="A377">
            <v>12670000</v>
          </cell>
          <cell r="B377" t="str">
            <v>ביטוח אלמנטרי לרשות</v>
          </cell>
        </row>
        <row r="378">
          <cell r="A378">
            <v>1267000540</v>
          </cell>
          <cell r="B378" t="str">
            <v>הכנסות מתביעות ביטוח</v>
          </cell>
        </row>
        <row r="379">
          <cell r="A379" t="str">
            <v>#VALUE!</v>
          </cell>
          <cell r="B379" t="str">
            <v>ביטוח אלמנטרי לרשות</v>
          </cell>
        </row>
        <row r="380">
          <cell r="A380">
            <v>12690000</v>
          </cell>
          <cell r="B380" t="str">
            <v xml:space="preserve">הכנסות שונות      </v>
          </cell>
        </row>
        <row r="381">
          <cell r="A381">
            <v>1269000114</v>
          </cell>
          <cell r="B381" t="str">
            <v>רישום מטלטלין מילגם</v>
          </cell>
          <cell r="C381">
            <v>-30000</v>
          </cell>
        </row>
        <row r="382">
          <cell r="A382">
            <v>1269000115</v>
          </cell>
          <cell r="B382" t="str">
            <v>עיקולי בנק מילגם</v>
          </cell>
          <cell r="C382">
            <v>-15000</v>
          </cell>
        </row>
        <row r="383">
          <cell r="A383">
            <v>1269000116</v>
          </cell>
          <cell r="B383" t="str">
            <v>רישום עיקול בטאבו</v>
          </cell>
        </row>
        <row r="384">
          <cell r="A384">
            <v>1269000117</v>
          </cell>
          <cell r="B384" t="str">
            <v>דרישות ידניות - מילגם</v>
          </cell>
        </row>
        <row r="385">
          <cell r="A385">
            <v>1269000290</v>
          </cell>
          <cell r="B385" t="str">
            <v>עיקול בנק מגער</v>
          </cell>
          <cell r="C385">
            <v>-183000</v>
          </cell>
        </row>
        <row r="386">
          <cell r="A386">
            <v>1269000291</v>
          </cell>
          <cell r="B386" t="str">
            <v>עיקול ברישום מגער</v>
          </cell>
          <cell r="C386">
            <v>-640000</v>
          </cell>
        </row>
        <row r="387">
          <cell r="A387">
            <v>1269000292</v>
          </cell>
          <cell r="B387" t="str">
            <v>עיקול בפועל מגער</v>
          </cell>
          <cell r="C387">
            <v>-275000</v>
          </cell>
        </row>
        <row r="388">
          <cell r="A388">
            <v>1269000293</v>
          </cell>
          <cell r="B388" t="str">
            <v>עיקול מקרקעין מגער</v>
          </cell>
          <cell r="C388">
            <v>-5000</v>
          </cell>
        </row>
        <row r="389">
          <cell r="A389">
            <v>1269000294</v>
          </cell>
          <cell r="B389" t="str">
            <v>דרישה פרטנית מגער</v>
          </cell>
          <cell r="C389">
            <v>-1000</v>
          </cell>
        </row>
        <row r="390">
          <cell r="A390">
            <v>1269000691</v>
          </cell>
          <cell r="B390" t="str">
            <v>רש"ת- הצבת אנטנות בבי"ס</v>
          </cell>
        </row>
        <row r="391">
          <cell r="A391">
            <v>1269000692</v>
          </cell>
          <cell r="B391" t="str">
            <v>עיקולי בנק</v>
          </cell>
          <cell r="C391">
            <v>-7000</v>
          </cell>
        </row>
        <row r="392">
          <cell r="A392">
            <v>1269000693</v>
          </cell>
          <cell r="B392" t="str">
            <v xml:space="preserve">אגרת מסירת מידע   </v>
          </cell>
        </row>
        <row r="393">
          <cell r="A393">
            <v>1269000696</v>
          </cell>
          <cell r="B393" t="str">
            <v>הכנסות מעמד האשה</v>
          </cell>
          <cell r="C393">
            <v>-40000</v>
          </cell>
        </row>
        <row r="394">
          <cell r="A394">
            <v>1269000697</v>
          </cell>
          <cell r="B394" t="str">
            <v>החזר מביטוח תאונות צד ג'</v>
          </cell>
        </row>
        <row r="395">
          <cell r="A395">
            <v>1269000925</v>
          </cell>
          <cell r="B395" t="str">
            <v>ניטור-רשות שדות התעופה</v>
          </cell>
        </row>
        <row r="396">
          <cell r="A396">
            <v>1269000970</v>
          </cell>
          <cell r="B396" t="str">
            <v>מש' הביטחון - מצגת</v>
          </cell>
        </row>
        <row r="397">
          <cell r="A397" t="str">
            <v>#VALUE!</v>
          </cell>
          <cell r="B397" t="str">
            <v xml:space="preserve">הכנסות שונות      </v>
          </cell>
        </row>
        <row r="398">
          <cell r="A398">
            <v>12691000</v>
          </cell>
          <cell r="B398" t="str">
            <v xml:space="preserve">שונות             </v>
          </cell>
        </row>
        <row r="399">
          <cell r="A399">
            <v>1269100410</v>
          </cell>
          <cell r="B399" t="str">
            <v xml:space="preserve">הכ' מקורסים והשתל' </v>
          </cell>
        </row>
        <row r="400">
          <cell r="A400">
            <v>1269100690</v>
          </cell>
          <cell r="B400" t="str">
            <v>צילום מסמכים לצבור</v>
          </cell>
        </row>
        <row r="401">
          <cell r="A401">
            <v>1269100691</v>
          </cell>
          <cell r="B401" t="str">
            <v>הכנסות מאפסנאות</v>
          </cell>
        </row>
        <row r="402">
          <cell r="A402">
            <v>1269100692</v>
          </cell>
          <cell r="B402" t="str">
            <v xml:space="preserve">מכירת מכרזים      </v>
          </cell>
        </row>
        <row r="403">
          <cell r="A403">
            <v>1269100693</v>
          </cell>
          <cell r="B403" t="str">
            <v>מכירת ספר חוקי עזר</v>
          </cell>
        </row>
        <row r="404">
          <cell r="A404" t="str">
            <v>#VALUE!</v>
          </cell>
          <cell r="B404" t="str">
            <v xml:space="preserve">שונות             </v>
          </cell>
        </row>
        <row r="405">
          <cell r="A405">
            <v>12691100</v>
          </cell>
          <cell r="B405" t="str">
            <v xml:space="preserve">בית העובד         </v>
          </cell>
        </row>
        <row r="406">
          <cell r="A406">
            <v>1269110410</v>
          </cell>
          <cell r="B406" t="str">
            <v xml:space="preserve">הכנסות מפעולות    </v>
          </cell>
        </row>
        <row r="407">
          <cell r="A407" t="str">
            <v>#VALUE!</v>
          </cell>
          <cell r="B407" t="str">
            <v xml:space="preserve">בית העובד         </v>
          </cell>
        </row>
        <row r="408">
          <cell r="A408">
            <v>12692000</v>
          </cell>
          <cell r="B408" t="str">
            <v xml:space="preserve">הדבקת מודעות      </v>
          </cell>
        </row>
        <row r="409">
          <cell r="A409">
            <v>1269200690</v>
          </cell>
          <cell r="B409" t="str">
            <v xml:space="preserve">הדבקת מודעות      </v>
          </cell>
        </row>
        <row r="410">
          <cell r="A410">
            <v>1269200691</v>
          </cell>
          <cell r="B410" t="str">
            <v xml:space="preserve">הכנסות ממחלקות    </v>
          </cell>
        </row>
        <row r="411">
          <cell r="A411" t="str">
            <v>#VALUE!</v>
          </cell>
          <cell r="B411" t="str">
            <v xml:space="preserve">הדבקת מודעות      </v>
          </cell>
        </row>
        <row r="412">
          <cell r="A412">
            <v>12698000</v>
          </cell>
          <cell r="B412" t="str">
            <v>יח'-תיכנון אסטרטגי</v>
          </cell>
        </row>
        <row r="413">
          <cell r="A413">
            <v>1269800790</v>
          </cell>
          <cell r="B413" t="str">
            <v xml:space="preserve">השתתפויות שונות   </v>
          </cell>
        </row>
        <row r="414">
          <cell r="A414">
            <v>1269800791</v>
          </cell>
          <cell r="B414" t="str">
            <v xml:space="preserve">תוכניות עבודה </v>
          </cell>
        </row>
        <row r="415">
          <cell r="A415">
            <v>1269800910</v>
          </cell>
          <cell r="B415" t="str">
            <v xml:space="preserve">ג'וינט/משרד הפנים </v>
          </cell>
        </row>
        <row r="416">
          <cell r="A416">
            <v>1269800990</v>
          </cell>
          <cell r="B416" t="str">
            <v>מממשלה - עבור סיורים</v>
          </cell>
        </row>
        <row r="417">
          <cell r="A417" t="str">
            <v>#VALUE!</v>
          </cell>
          <cell r="B417" t="str">
            <v>יח'-תיכנון אסטרטגי</v>
          </cell>
        </row>
        <row r="418">
          <cell r="A418">
            <v>12700000</v>
          </cell>
          <cell r="B418" t="str">
            <v xml:space="preserve">פיתוח כלכלי       </v>
          </cell>
        </row>
        <row r="419">
          <cell r="A419">
            <v>12730000</v>
          </cell>
          <cell r="B419" t="str">
            <v xml:space="preserve">חברות עירוניות    </v>
          </cell>
        </row>
        <row r="420">
          <cell r="A420">
            <v>1273000520</v>
          </cell>
          <cell r="B420" t="str">
            <v>החזר שכר חב לנכסים</v>
          </cell>
        </row>
        <row r="421">
          <cell r="A421">
            <v>1273000640</v>
          </cell>
          <cell r="B421" t="str">
            <v>הכנסות משרד-חכ"ל</v>
          </cell>
        </row>
        <row r="422">
          <cell r="A422">
            <v>1273000641</v>
          </cell>
          <cell r="B422" t="str">
            <v xml:space="preserve">ביטוח-כנגד הוצאות             </v>
          </cell>
        </row>
        <row r="423">
          <cell r="A423" t="str">
            <v>#VALUE!</v>
          </cell>
          <cell r="B423" t="str">
            <v xml:space="preserve">חברות עירוניות    </v>
          </cell>
        </row>
        <row r="424">
          <cell r="A424">
            <v>12800000</v>
          </cell>
          <cell r="B424" t="str">
            <v xml:space="preserve">פיקוח עירוני      </v>
          </cell>
        </row>
        <row r="425">
          <cell r="A425">
            <v>12810000</v>
          </cell>
          <cell r="B425" t="str">
            <v xml:space="preserve">פיקוח על חוקי עזר </v>
          </cell>
        </row>
        <row r="426">
          <cell r="A426">
            <v>12811000</v>
          </cell>
          <cell r="B426" t="str">
            <v xml:space="preserve">פיקוח עירוני      </v>
          </cell>
        </row>
        <row r="427">
          <cell r="A427">
            <v>1281100290</v>
          </cell>
          <cell r="B427" t="str">
            <v>מגער פיקוח דרישה ראשונה</v>
          </cell>
          <cell r="C427">
            <v>-10000</v>
          </cell>
        </row>
        <row r="428">
          <cell r="A428">
            <v>1281100291</v>
          </cell>
          <cell r="B428" t="str">
            <v>מגער פיקוח דרישה שניה</v>
          </cell>
          <cell r="C428">
            <v>-5000</v>
          </cell>
        </row>
        <row r="429">
          <cell r="A429">
            <v>1281100292</v>
          </cell>
          <cell r="B429" t="str">
            <v>עיקול בנק מגער פיקוח</v>
          </cell>
          <cell r="C429">
            <v>-5000</v>
          </cell>
        </row>
        <row r="430">
          <cell r="A430">
            <v>1281100293</v>
          </cell>
          <cell r="B430" t="str">
            <v>עיקול ברישום מגער פיקוח</v>
          </cell>
          <cell r="C430">
            <v>-1000</v>
          </cell>
        </row>
        <row r="431">
          <cell r="A431">
            <v>1281100294</v>
          </cell>
          <cell r="B431" t="str">
            <v>עיקול בפועל מגער פיקוח</v>
          </cell>
          <cell r="C431">
            <v>-1000</v>
          </cell>
        </row>
        <row r="432">
          <cell r="A432">
            <v>1281100420</v>
          </cell>
          <cell r="B432" t="str">
            <v>קנסות ברירת משפט</v>
          </cell>
          <cell r="C432">
            <v>-2000000</v>
          </cell>
        </row>
        <row r="433">
          <cell r="A433">
            <v>1281100421</v>
          </cell>
          <cell r="B433" t="str">
            <v>עמלות אכיפת גבייה</v>
          </cell>
          <cell r="C433">
            <v>-500</v>
          </cell>
        </row>
        <row r="434">
          <cell r="A434">
            <v>1281100422</v>
          </cell>
          <cell r="B434" t="str">
            <v>אגרות קנסות ברירת משפט</v>
          </cell>
          <cell r="C434">
            <v>-100</v>
          </cell>
        </row>
        <row r="435">
          <cell r="A435">
            <v>1281100424</v>
          </cell>
          <cell r="B435" t="str">
            <v>אגרות פיקוח מילגם</v>
          </cell>
          <cell r="C435">
            <v>-3000</v>
          </cell>
        </row>
        <row r="436">
          <cell r="A436">
            <v>1281100690</v>
          </cell>
          <cell r="B436" t="str">
            <v xml:space="preserve">הכנסות שונות      </v>
          </cell>
        </row>
        <row r="437">
          <cell r="A437" t="str">
            <v>#VALUE!</v>
          </cell>
          <cell r="B437" t="str">
            <v xml:space="preserve">פיקוח עירוני      </v>
          </cell>
        </row>
        <row r="438">
          <cell r="A438">
            <v>12812000</v>
          </cell>
          <cell r="B438" t="str">
            <v xml:space="preserve">רשות חניה         </v>
          </cell>
        </row>
        <row r="439">
          <cell r="A439">
            <v>1281200290</v>
          </cell>
          <cell r="B439" t="str">
            <v>מגער חניה דרישה ראשונה</v>
          </cell>
          <cell r="C439">
            <v>-180000</v>
          </cell>
        </row>
        <row r="440">
          <cell r="A440">
            <v>1281200291</v>
          </cell>
          <cell r="B440" t="str">
            <v>מגער חניה דרישה שניה</v>
          </cell>
          <cell r="C440">
            <v>-260000</v>
          </cell>
        </row>
        <row r="441">
          <cell r="A441">
            <v>1281200292</v>
          </cell>
          <cell r="B441" t="str">
            <v>עיקול בנק מגער חניה</v>
          </cell>
          <cell r="C441">
            <v>-310000</v>
          </cell>
        </row>
        <row r="442">
          <cell r="A442">
            <v>1281200293</v>
          </cell>
          <cell r="B442" t="str">
            <v>עיקול ברישום מגער חניה</v>
          </cell>
          <cell r="C442">
            <v>-310000</v>
          </cell>
        </row>
        <row r="443">
          <cell r="A443">
            <v>1281200294</v>
          </cell>
          <cell r="B443" t="str">
            <v>עיקול בפועל מגער חניה</v>
          </cell>
          <cell r="C443">
            <v>-310000</v>
          </cell>
        </row>
        <row r="444">
          <cell r="A444">
            <v>1281200420</v>
          </cell>
          <cell r="B444" t="str">
            <v xml:space="preserve">קנסות  רשות חניה  </v>
          </cell>
          <cell r="C444">
            <v>-20000000</v>
          </cell>
        </row>
        <row r="445">
          <cell r="A445">
            <v>1281200421</v>
          </cell>
          <cell r="B445" t="str">
            <v>עמלות מילגם-לא כולל מע"מ</v>
          </cell>
          <cell r="C445">
            <v>-5000</v>
          </cell>
        </row>
        <row r="446">
          <cell r="A446">
            <v>1281200422</v>
          </cell>
          <cell r="B446" t="str">
            <v>עמלות מילגם-כולל מע"מ</v>
          </cell>
          <cell r="C446">
            <v>-10000</v>
          </cell>
        </row>
        <row r="447">
          <cell r="A447">
            <v>1281200424</v>
          </cell>
          <cell r="B447" t="str">
            <v>אגרות אכיפה קנסות מילגם</v>
          </cell>
          <cell r="C447">
            <v>-20000</v>
          </cell>
        </row>
        <row r="448">
          <cell r="A448">
            <v>1281200425</v>
          </cell>
          <cell r="B448" t="str">
            <v>קנסות נתצ"ים</v>
          </cell>
        </row>
        <row r="449">
          <cell r="A449">
            <v>1281200650</v>
          </cell>
          <cell r="B449" t="str">
            <v xml:space="preserve">כרטיסי חניה       </v>
          </cell>
        </row>
        <row r="450">
          <cell r="A450" t="str">
            <v>#VALUE!</v>
          </cell>
          <cell r="B450" t="str">
            <v xml:space="preserve">רשות חניה         </v>
          </cell>
        </row>
        <row r="451">
          <cell r="A451">
            <v>12813000</v>
          </cell>
          <cell r="B451" t="str">
            <v>השיטור העירוני</v>
          </cell>
        </row>
        <row r="452">
          <cell r="A452">
            <v>1281300220</v>
          </cell>
          <cell r="B452" t="str">
            <v>אגרת השיטור העירוני</v>
          </cell>
        </row>
        <row r="453">
          <cell r="A453">
            <v>1281300433</v>
          </cell>
          <cell r="B453" t="str">
            <v>הכנסות משנים קודמות</v>
          </cell>
          <cell r="C453">
            <v>-900000</v>
          </cell>
        </row>
        <row r="454">
          <cell r="A454" t="str">
            <v>#VALUE!</v>
          </cell>
          <cell r="B454" t="str">
            <v>השיטור העירוני</v>
          </cell>
        </row>
        <row r="455">
          <cell r="A455">
            <v>12820000</v>
          </cell>
          <cell r="B455" t="str">
            <v xml:space="preserve">בית המשפט העירוני </v>
          </cell>
        </row>
        <row r="456">
          <cell r="A456">
            <v>1282000690</v>
          </cell>
          <cell r="B456" t="str">
            <v xml:space="preserve">קנסות בית המשפט   </v>
          </cell>
        </row>
        <row r="457">
          <cell r="A457" t="str">
            <v>#VALUE!</v>
          </cell>
          <cell r="B457" t="str">
            <v xml:space="preserve">בית המשפט העירוני </v>
          </cell>
        </row>
        <row r="458">
          <cell r="A458">
            <v>12821000</v>
          </cell>
          <cell r="B458" t="str">
            <v>בית הדין למשמעת</v>
          </cell>
        </row>
        <row r="459">
          <cell r="A459">
            <v>1282100790</v>
          </cell>
          <cell r="B459" t="str">
            <v>מר' שילטון - הוצ' שוטף</v>
          </cell>
        </row>
        <row r="460">
          <cell r="A460">
            <v>1282100791</v>
          </cell>
          <cell r="B460" t="str">
            <v>מר' שילטון - מבנה</v>
          </cell>
        </row>
        <row r="461">
          <cell r="A461" t="str">
            <v>#VALUE!</v>
          </cell>
          <cell r="B461" t="str">
            <v>בית הדין למשמעת</v>
          </cell>
        </row>
        <row r="462">
          <cell r="A462">
            <v>13000000</v>
          </cell>
          <cell r="B462" t="str">
            <v xml:space="preserve">שרותים ממלכתיים   </v>
          </cell>
        </row>
        <row r="463">
          <cell r="A463">
            <v>13100000</v>
          </cell>
          <cell r="B463" t="str">
            <v xml:space="preserve">החינוך הפורמלי    </v>
          </cell>
        </row>
        <row r="464">
          <cell r="A464">
            <v>13110000</v>
          </cell>
          <cell r="B464" t="str">
            <v xml:space="preserve">מינהל החינוך      </v>
          </cell>
        </row>
        <row r="465">
          <cell r="A465">
            <v>13111000</v>
          </cell>
          <cell r="B465" t="str">
            <v>מינהלת הח' הפורמלי</v>
          </cell>
        </row>
        <row r="466">
          <cell r="A466">
            <v>1311100410</v>
          </cell>
          <cell r="B466" t="str">
            <v>הכנסות מרכז טכנולוגי</v>
          </cell>
          <cell r="C466">
            <v>-40500</v>
          </cell>
        </row>
        <row r="467">
          <cell r="A467">
            <v>1311100420</v>
          </cell>
          <cell r="B467" t="str">
            <v>הכנ' בגין ילדי חוץ</v>
          </cell>
          <cell r="C467">
            <v>-380000</v>
          </cell>
        </row>
        <row r="468">
          <cell r="A468">
            <v>1311100421</v>
          </cell>
          <cell r="B468" t="str">
            <v>הכנסות שמ"ש</v>
          </cell>
          <cell r="C468">
            <v>-200000</v>
          </cell>
        </row>
        <row r="469">
          <cell r="A469">
            <v>1311100422</v>
          </cell>
          <cell r="B469" t="str">
            <v>פעולות מינהל החינוך</v>
          </cell>
        </row>
        <row r="470">
          <cell r="A470">
            <v>1311100423</v>
          </cell>
          <cell r="B470" t="str">
            <v>מזנונים - אגף אירגון</v>
          </cell>
          <cell r="C470">
            <v>-50000</v>
          </cell>
        </row>
        <row r="471">
          <cell r="A471">
            <v>1311100424</v>
          </cell>
          <cell r="B471" t="str">
            <v>מזנונים - בתי ספר</v>
          </cell>
          <cell r="C471">
            <v>-450000</v>
          </cell>
        </row>
        <row r="472">
          <cell r="A472">
            <v>1311100425</v>
          </cell>
          <cell r="B472" t="str">
            <v>מחשב לכל ילד</v>
          </cell>
          <cell r="C472">
            <v>-40000</v>
          </cell>
        </row>
        <row r="473">
          <cell r="A473">
            <v>1311100426</v>
          </cell>
          <cell r="B473" t="str">
            <v>השת' בי"ס למנב"סים</v>
          </cell>
        </row>
        <row r="474">
          <cell r="A474">
            <v>1311100427</v>
          </cell>
          <cell r="B474" t="str">
            <v>שמ"ש מיחשוב</v>
          </cell>
        </row>
        <row r="475">
          <cell r="A475">
            <v>1311100428</v>
          </cell>
          <cell r="B475" t="str">
            <v>הכנסות כנגד הוצאות</v>
          </cell>
          <cell r="C475">
            <v>-1000000</v>
          </cell>
        </row>
        <row r="476">
          <cell r="A476">
            <v>1311100429</v>
          </cell>
          <cell r="B476" t="str">
            <v>חדשנות = פעולות</v>
          </cell>
          <cell r="C476">
            <v>-40000</v>
          </cell>
        </row>
        <row r="477">
          <cell r="A477">
            <v>1311100430</v>
          </cell>
          <cell r="B477" t="str">
            <v>חדשנות אתחלא-השכרת חדרים</v>
          </cell>
          <cell r="C477">
            <v>-35000</v>
          </cell>
        </row>
        <row r="478">
          <cell r="A478">
            <v>1311100433</v>
          </cell>
          <cell r="B478" t="str">
            <v>הכנסות שנים קודמות-חינוך</v>
          </cell>
        </row>
        <row r="479">
          <cell r="A479">
            <v>1311100920</v>
          </cell>
          <cell r="B479" t="str">
            <v>מחשב לכל ילד</v>
          </cell>
        </row>
        <row r="480">
          <cell r="A480">
            <v>1311100921</v>
          </cell>
          <cell r="B480" t="str">
            <v>מלגות לפולין</v>
          </cell>
        </row>
        <row r="481">
          <cell r="A481">
            <v>1311100922</v>
          </cell>
          <cell r="B481" t="str">
            <v>השתת'מ'החנוך בקב"ס</v>
          </cell>
          <cell r="C481">
            <v>-1245000</v>
          </cell>
        </row>
        <row r="482">
          <cell r="A482">
            <v>1311100923</v>
          </cell>
          <cell r="B482" t="str">
            <v>תכנית תקשוב-תשל' שוטפים</v>
          </cell>
        </row>
        <row r="483">
          <cell r="A483">
            <v>1311100924</v>
          </cell>
          <cell r="B483" t="str">
            <v xml:space="preserve">החזר גימלה        </v>
          </cell>
          <cell r="C483">
            <v>-800000</v>
          </cell>
        </row>
        <row r="484">
          <cell r="A484">
            <v>1311100925</v>
          </cell>
          <cell r="B484" t="str">
            <v>מנהל תחום התנדבותי</v>
          </cell>
        </row>
        <row r="485">
          <cell r="A485">
            <v>1311100929</v>
          </cell>
          <cell r="B485" t="str">
            <v>הכ' מש' החינוך-מרכז טכנולוגי</v>
          </cell>
          <cell r="C485">
            <v>-2400000</v>
          </cell>
        </row>
        <row r="486">
          <cell r="A486">
            <v>1311100935</v>
          </cell>
          <cell r="B486" t="str">
            <v>משרד החינוך-בטיחות</v>
          </cell>
        </row>
        <row r="487">
          <cell r="A487">
            <v>1311100936</v>
          </cell>
          <cell r="B487" t="str">
            <v>בטיחות בדרכים</v>
          </cell>
        </row>
        <row r="488">
          <cell r="A488">
            <v>1311100937</v>
          </cell>
          <cell r="B488" t="str">
            <v>הכנסות מ. קודמות - מ.חינוך</v>
          </cell>
          <cell r="C488">
            <v>-4000000</v>
          </cell>
        </row>
        <row r="489">
          <cell r="A489">
            <v>1311100940</v>
          </cell>
          <cell r="B489" t="str">
            <v>פרס חינוך ישובי</v>
          </cell>
        </row>
        <row r="490">
          <cell r="A490">
            <v>1311100953</v>
          </cell>
          <cell r="B490" t="str">
            <v>מערכת גפ"ן</v>
          </cell>
          <cell r="C490">
            <v>-4000000</v>
          </cell>
        </row>
        <row r="491">
          <cell r="A491" t="str">
            <v>#VALUE!</v>
          </cell>
          <cell r="B491" t="str">
            <v>מינהלת הח' הפורמלי</v>
          </cell>
        </row>
        <row r="492">
          <cell r="A492">
            <v>13112000</v>
          </cell>
          <cell r="B492" t="str">
            <v>יוזמות פדגוגיות</v>
          </cell>
        </row>
        <row r="493">
          <cell r="A493">
            <v>1311200410</v>
          </cell>
          <cell r="B493" t="str">
            <v xml:space="preserve">הכנסות הורים - רש"י </v>
          </cell>
        </row>
        <row r="494">
          <cell r="A494">
            <v>1311200411</v>
          </cell>
          <cell r="B494" t="str">
            <v>קיטנה-השת' הורים</v>
          </cell>
        </row>
        <row r="495">
          <cell r="A495">
            <v>1311200412</v>
          </cell>
          <cell r="B495" t="str">
            <v xml:space="preserve">השתתפות ביוזמות   </v>
          </cell>
        </row>
        <row r="496">
          <cell r="A496">
            <v>1311200421</v>
          </cell>
          <cell r="B496" t="str">
            <v xml:space="preserve">קרן קרב           </v>
          </cell>
        </row>
        <row r="497">
          <cell r="A497">
            <v>1311200430</v>
          </cell>
          <cell r="B497" t="str">
            <v xml:space="preserve">הכנסות קרן סקטא   </v>
          </cell>
        </row>
        <row r="498">
          <cell r="A498">
            <v>1311200490</v>
          </cell>
          <cell r="B498" t="str">
            <v>הכ' מארועי סייעות</v>
          </cell>
        </row>
        <row r="499">
          <cell r="A499">
            <v>1311200790</v>
          </cell>
          <cell r="B499" t="str">
            <v>עיר בריאה-רשות ניקוז ירקון</v>
          </cell>
        </row>
        <row r="500">
          <cell r="A500">
            <v>1311200920</v>
          </cell>
          <cell r="B500" t="str">
            <v xml:space="preserve">הכנסות מקרן רש"י  </v>
          </cell>
        </row>
        <row r="501">
          <cell r="A501">
            <v>1311200921</v>
          </cell>
          <cell r="B501" t="str">
            <v>קרן רש"י - הזנה</v>
          </cell>
        </row>
        <row r="502">
          <cell r="A502">
            <v>1311200922</v>
          </cell>
          <cell r="B502" t="str">
            <v>קיטנה-רש"י</v>
          </cell>
        </row>
        <row r="503">
          <cell r="A503">
            <v>1311200923</v>
          </cell>
          <cell r="B503" t="str">
            <v>עיר בריאה - הגנת הסביבה</v>
          </cell>
        </row>
        <row r="504">
          <cell r="A504">
            <v>1311200929</v>
          </cell>
          <cell r="B504" t="str">
            <v>עיר פעילה ובריאה</v>
          </cell>
        </row>
        <row r="505">
          <cell r="A505" t="str">
            <v>#VALUE!</v>
          </cell>
          <cell r="B505" t="str">
            <v>יוזמות פדגוגיות</v>
          </cell>
        </row>
        <row r="506">
          <cell r="A506">
            <v>13113000</v>
          </cell>
          <cell r="B506" t="str">
            <v>יוזמות מינהל חינוך</v>
          </cell>
        </row>
        <row r="507">
          <cell r="A507">
            <v>1311300482</v>
          </cell>
          <cell r="B507" t="str">
            <v>יוזמות מהכנסות תלמידי חוץ</v>
          </cell>
          <cell r="C507">
            <v>-120000</v>
          </cell>
        </row>
        <row r="508">
          <cell r="A508" t="str">
            <v>#VALUE!</v>
          </cell>
          <cell r="B508" t="str">
            <v>יוזמות מינהל חינוך</v>
          </cell>
        </row>
        <row r="509">
          <cell r="A509">
            <v>13113040</v>
          </cell>
          <cell r="B509" t="str">
            <v>יוזמות גנ"י</v>
          </cell>
        </row>
        <row r="510">
          <cell r="A510">
            <v>1311304420</v>
          </cell>
          <cell r="B510" t="str">
            <v>הכנסות עבור יוזמות גנ"י</v>
          </cell>
        </row>
        <row r="511">
          <cell r="A511" t="str">
            <v>#VALUE!</v>
          </cell>
          <cell r="B511" t="str">
            <v>יוזמות גנ"י</v>
          </cell>
        </row>
        <row r="512">
          <cell r="A512">
            <v>13113050</v>
          </cell>
          <cell r="B512" t="str">
            <v>יוזמות יסודי</v>
          </cell>
        </row>
        <row r="513">
          <cell r="A513">
            <v>1311305410</v>
          </cell>
          <cell r="B513" t="str">
            <v>הכנסות מרכז מצטיינים</v>
          </cell>
          <cell r="C513">
            <v>-150000</v>
          </cell>
        </row>
        <row r="514">
          <cell r="A514" t="str">
            <v>#VALUE!</v>
          </cell>
          <cell r="B514" t="str">
            <v>יוזמות יסודי</v>
          </cell>
        </row>
        <row r="515">
          <cell r="A515">
            <v>13114000</v>
          </cell>
          <cell r="B515" t="str">
            <v>מניעת אלימות וסמים</v>
          </cell>
        </row>
        <row r="516">
          <cell r="A516">
            <v>1311400423</v>
          </cell>
          <cell r="B516" t="str">
            <v>מניעת אלימות</v>
          </cell>
        </row>
        <row r="517">
          <cell r="A517">
            <v>1311400790</v>
          </cell>
          <cell r="B517" t="str">
            <v>אפוטרופוס כללי</v>
          </cell>
        </row>
        <row r="518">
          <cell r="A518">
            <v>1311400791</v>
          </cell>
          <cell r="B518" t="str">
            <v>קרן ידידות</v>
          </cell>
        </row>
        <row r="519">
          <cell r="A519">
            <v>1311400920</v>
          </cell>
          <cell r="B519" t="str">
            <v>משרד החינוך</v>
          </cell>
          <cell r="C519">
            <v>-16000</v>
          </cell>
        </row>
        <row r="520">
          <cell r="A520">
            <v>1311400922</v>
          </cell>
          <cell r="B520" t="str">
            <v>המשרד לביטחון פנים</v>
          </cell>
        </row>
        <row r="521">
          <cell r="A521">
            <v>1311400923</v>
          </cell>
          <cell r="B521" t="str">
            <v>אס"א</v>
          </cell>
        </row>
        <row r="522">
          <cell r="A522">
            <v>1311400937</v>
          </cell>
          <cell r="B522" t="str">
            <v>הכנסות משנים קודמות</v>
          </cell>
          <cell r="C522">
            <v>-250000</v>
          </cell>
        </row>
        <row r="523">
          <cell r="A523">
            <v>1311400990</v>
          </cell>
          <cell r="B523" t="str">
            <v>המשרד לביטחון פנים</v>
          </cell>
          <cell r="C523">
            <v>-759000</v>
          </cell>
        </row>
        <row r="524">
          <cell r="A524" t="str">
            <v>#VALUE!</v>
          </cell>
          <cell r="B524" t="str">
            <v>מניעת אלימות וסמים</v>
          </cell>
        </row>
        <row r="525">
          <cell r="A525">
            <v>13120000</v>
          </cell>
          <cell r="B525" t="str">
            <v xml:space="preserve">חינוך קדם יסודי   </v>
          </cell>
        </row>
        <row r="526">
          <cell r="A526">
            <v>13122000</v>
          </cell>
          <cell r="B526" t="str">
            <v xml:space="preserve">גנ"י לגיל חובה    </v>
          </cell>
        </row>
        <row r="527">
          <cell r="A527">
            <v>1312200312</v>
          </cell>
          <cell r="B527" t="str">
            <v>מסיבות כיתתיות</v>
          </cell>
          <cell r="C527">
            <v>-150000</v>
          </cell>
        </row>
        <row r="528">
          <cell r="A528">
            <v>1312200410</v>
          </cell>
          <cell r="B528" t="str">
            <v>הש' השתלמות עוזרות</v>
          </cell>
        </row>
        <row r="529">
          <cell r="A529">
            <v>1312200490</v>
          </cell>
          <cell r="B529" t="str">
            <v>אכיפה משפטית שכל"מ</v>
          </cell>
        </row>
        <row r="530">
          <cell r="A530">
            <v>1312200491</v>
          </cell>
          <cell r="B530" t="str">
            <v xml:space="preserve">הכנסות מאירועים   </v>
          </cell>
          <cell r="C530">
            <v>-505400</v>
          </cell>
        </row>
        <row r="531">
          <cell r="A531">
            <v>1312200910</v>
          </cell>
          <cell r="B531" t="str">
            <v>פנים-הש' עז' גננות</v>
          </cell>
        </row>
        <row r="532">
          <cell r="A532">
            <v>1312200920</v>
          </cell>
          <cell r="B532" t="str">
            <v>הש' מ'חינוך-רכישות</v>
          </cell>
        </row>
        <row r="533">
          <cell r="A533">
            <v>1312200921</v>
          </cell>
          <cell r="B533" t="str">
            <v xml:space="preserve">עוזרות לגננות     </v>
          </cell>
          <cell r="C533">
            <v>-28900000</v>
          </cell>
        </row>
        <row r="534">
          <cell r="A534">
            <v>1312200922</v>
          </cell>
          <cell r="B534" t="str">
            <v xml:space="preserve">השתתפות בהזנה     </v>
          </cell>
        </row>
        <row r="535">
          <cell r="A535">
            <v>1312200924</v>
          </cell>
          <cell r="B535" t="str">
            <v>חינוך מיוחד-חופשות</v>
          </cell>
        </row>
        <row r="536">
          <cell r="A536">
            <v>1312200925</v>
          </cell>
          <cell r="B536" t="str">
            <v>גננות מדינה בתקן</v>
          </cell>
        </row>
        <row r="537">
          <cell r="A537">
            <v>1312200936</v>
          </cell>
          <cell r="B537" t="str">
            <v>נאמן קורונה גני ילדים</v>
          </cell>
        </row>
        <row r="538">
          <cell r="A538">
            <v>1312200944</v>
          </cell>
          <cell r="B538" t="str">
            <v>מעונות יום ממונה + הדרכה</v>
          </cell>
          <cell r="C538">
            <v>-1000000</v>
          </cell>
        </row>
        <row r="539">
          <cell r="A539" t="str">
            <v>#VALUE!</v>
          </cell>
          <cell r="B539" t="str">
            <v xml:space="preserve">גנ"י לגיל חובה    </v>
          </cell>
        </row>
        <row r="540">
          <cell r="A540">
            <v>13122100</v>
          </cell>
          <cell r="B540" t="str">
            <v>גנ"י - חינוך מיוחד</v>
          </cell>
        </row>
        <row r="541">
          <cell r="A541">
            <v>1312210430</v>
          </cell>
          <cell r="B541" t="str">
            <v>השת' מוס' ילדי חוץ</v>
          </cell>
        </row>
        <row r="542">
          <cell r="A542">
            <v>1312210491</v>
          </cell>
          <cell r="B542" t="str">
            <v xml:space="preserve">הכנסות מארועים    </v>
          </cell>
        </row>
        <row r="543">
          <cell r="A543">
            <v>1312210790</v>
          </cell>
          <cell r="B543" t="str">
            <v>גן לכיש - איל"ן</v>
          </cell>
        </row>
        <row r="544">
          <cell r="A544">
            <v>1312210920</v>
          </cell>
          <cell r="B544" t="str">
            <v>השת'מ'חינוך-רכישות</v>
          </cell>
          <cell r="C544">
            <v>-20000</v>
          </cell>
        </row>
        <row r="545">
          <cell r="A545">
            <v>1312210922</v>
          </cell>
          <cell r="B545" t="str">
            <v xml:space="preserve">השתתפות בהזנה     </v>
          </cell>
          <cell r="C545">
            <v>-904000</v>
          </cell>
        </row>
        <row r="546">
          <cell r="A546">
            <v>1312210924</v>
          </cell>
          <cell r="B546" t="str">
            <v>חינוך מיוחד-חופשות</v>
          </cell>
          <cell r="C546">
            <v>-1674200</v>
          </cell>
        </row>
        <row r="547">
          <cell r="A547">
            <v>1312210928</v>
          </cell>
          <cell r="B547" t="str">
            <v>שרותי הקף- יול"א ח.מ</v>
          </cell>
          <cell r="C547">
            <v>-372620</v>
          </cell>
        </row>
        <row r="548">
          <cell r="A548" t="str">
            <v>#VALUE!</v>
          </cell>
          <cell r="B548" t="str">
            <v>גנ"י - חינוך מיוחד</v>
          </cell>
        </row>
        <row r="549">
          <cell r="A549">
            <v>13123000</v>
          </cell>
          <cell r="B549" t="str">
            <v xml:space="preserve">גני ילדים         </v>
          </cell>
        </row>
        <row r="550">
          <cell r="A550">
            <v>1312300410</v>
          </cell>
          <cell r="B550" t="str">
            <v xml:space="preserve">שכ"ל גני ילדים    </v>
          </cell>
          <cell r="C550">
            <v>-100000</v>
          </cell>
        </row>
        <row r="551">
          <cell r="A551">
            <v>1312300492</v>
          </cell>
          <cell r="B551" t="str">
            <v xml:space="preserve">העשרה אשכול       </v>
          </cell>
        </row>
        <row r="552">
          <cell r="A552">
            <v>1312300493</v>
          </cell>
          <cell r="B552" t="str">
            <v xml:space="preserve">בגובה העיניים     </v>
          </cell>
        </row>
        <row r="553">
          <cell r="A553">
            <v>1312300494</v>
          </cell>
          <cell r="B553" t="str">
            <v>מרכז מוסיקה</v>
          </cell>
        </row>
        <row r="554">
          <cell r="A554">
            <v>1312300790</v>
          </cell>
          <cell r="B554" t="str">
            <v>מעג"ן - קרן שטיינמינץ</v>
          </cell>
        </row>
        <row r="555">
          <cell r="A555">
            <v>1312300920</v>
          </cell>
          <cell r="B555" t="str">
            <v xml:space="preserve">השתת הממשלה בטרום </v>
          </cell>
        </row>
        <row r="556">
          <cell r="A556">
            <v>1312300921</v>
          </cell>
          <cell r="B556" t="str">
            <v>החזר שכל"מ ממשלה</v>
          </cell>
          <cell r="C556">
            <v>-58000000</v>
          </cell>
        </row>
        <row r="557">
          <cell r="A557">
            <v>1312300922</v>
          </cell>
          <cell r="B557" t="str">
            <v>סייעת שניה לגילאי  3-4</v>
          </cell>
          <cell r="C557">
            <v>-7800000</v>
          </cell>
        </row>
        <row r="558">
          <cell r="A558">
            <v>1312300923</v>
          </cell>
          <cell r="B558" t="str">
            <v>העשרת הסביבה</v>
          </cell>
          <cell r="C558">
            <v>-133000</v>
          </cell>
        </row>
        <row r="559">
          <cell r="A559" t="str">
            <v>#VALUE!</v>
          </cell>
          <cell r="B559" t="str">
            <v xml:space="preserve">גני ילדים         </v>
          </cell>
        </row>
        <row r="560">
          <cell r="A560">
            <v>13123100</v>
          </cell>
          <cell r="B560" t="str">
            <v xml:space="preserve">מרפ"ד הרצוג       </v>
          </cell>
        </row>
        <row r="561">
          <cell r="A561">
            <v>1312310494</v>
          </cell>
          <cell r="B561" t="str">
            <v xml:space="preserve">יוזמות הרצוג      </v>
          </cell>
        </row>
        <row r="562">
          <cell r="A562">
            <v>1312310923</v>
          </cell>
          <cell r="B562" t="str">
            <v>משרד החינוך-יוזמות</v>
          </cell>
        </row>
        <row r="563">
          <cell r="A563" t="str">
            <v>#VALUE!</v>
          </cell>
          <cell r="B563" t="str">
            <v xml:space="preserve">מרפ"ד הרצוג       </v>
          </cell>
        </row>
        <row r="564">
          <cell r="A564">
            <v>13123300</v>
          </cell>
          <cell r="B564" t="str">
            <v xml:space="preserve">בגובה העיניים     </v>
          </cell>
        </row>
        <row r="565">
          <cell r="A565">
            <v>1312330493</v>
          </cell>
          <cell r="B565" t="str">
            <v xml:space="preserve">בגובה העיניים     </v>
          </cell>
          <cell r="C565">
            <v>-250000</v>
          </cell>
        </row>
        <row r="566">
          <cell r="A566" t="str">
            <v>#VALUE!</v>
          </cell>
          <cell r="B566" t="str">
            <v xml:space="preserve">בגובה העיניים     </v>
          </cell>
        </row>
        <row r="567">
          <cell r="A567">
            <v>13123600</v>
          </cell>
          <cell r="B567" t="str">
            <v xml:space="preserve">ריתמוסיקה         </v>
          </cell>
        </row>
        <row r="568">
          <cell r="A568">
            <v>1312360495</v>
          </cell>
          <cell r="B568" t="str">
            <v xml:space="preserve">ריתמוסיקה         </v>
          </cell>
          <cell r="C568">
            <v>-3500000</v>
          </cell>
        </row>
        <row r="569">
          <cell r="A569" t="str">
            <v>#VALUE!</v>
          </cell>
          <cell r="B569" t="str">
            <v xml:space="preserve">ריתמוסיקה         </v>
          </cell>
        </row>
        <row r="570">
          <cell r="A570">
            <v>13123700</v>
          </cell>
          <cell r="B570" t="str">
            <v>תיאטרון בובות</v>
          </cell>
        </row>
        <row r="571">
          <cell r="A571">
            <v>1312370493</v>
          </cell>
          <cell r="B571" t="str">
            <v>תיאטרון בובות</v>
          </cell>
          <cell r="C571">
            <v>-250000</v>
          </cell>
        </row>
        <row r="572">
          <cell r="A572">
            <v>1312370990</v>
          </cell>
          <cell r="B572" t="str">
            <v>משרד התרבות והספורט</v>
          </cell>
        </row>
        <row r="573">
          <cell r="A573" t="str">
            <v>#VALUE!</v>
          </cell>
          <cell r="B573" t="str">
            <v xml:space="preserve">תיאטרון בובות         </v>
          </cell>
        </row>
        <row r="574">
          <cell r="A574">
            <v>13125000</v>
          </cell>
          <cell r="B574" t="str">
            <v xml:space="preserve">יול"א בגני חובה   </v>
          </cell>
        </row>
        <row r="575">
          <cell r="A575">
            <v>1312500410</v>
          </cell>
          <cell r="B575" t="str">
            <v xml:space="preserve">יול"א בגנים       </v>
          </cell>
        </row>
        <row r="576">
          <cell r="A576">
            <v>1312500411</v>
          </cell>
          <cell r="B576" t="str">
            <v>יול"א חובות עבר</v>
          </cell>
        </row>
        <row r="577">
          <cell r="A577">
            <v>1312500920</v>
          </cell>
          <cell r="B577" t="str">
            <v>צהרונים - פרוייקט ניצנים</v>
          </cell>
        </row>
        <row r="578">
          <cell r="A578" t="str">
            <v>#VALUE!</v>
          </cell>
          <cell r="B578" t="str">
            <v xml:space="preserve">יול"א בגני חובה   </v>
          </cell>
        </row>
        <row r="579">
          <cell r="A579">
            <v>13130000</v>
          </cell>
          <cell r="B579" t="str">
            <v xml:space="preserve">חינוך יסודי       </v>
          </cell>
        </row>
        <row r="580">
          <cell r="A580">
            <v>13132000</v>
          </cell>
          <cell r="B580" t="str">
            <v xml:space="preserve">בתי ספר יסודיים   </v>
          </cell>
        </row>
        <row r="581">
          <cell r="A581">
            <v>1313200312</v>
          </cell>
          <cell r="B581" t="str">
            <v>מסיבות כיתתיות</v>
          </cell>
          <cell r="C581">
            <v>-300000</v>
          </cell>
        </row>
        <row r="582">
          <cell r="A582">
            <v>1313200414</v>
          </cell>
          <cell r="B582" t="str">
            <v>תל"ן דביר</v>
          </cell>
        </row>
        <row r="583">
          <cell r="A583">
            <v>1313200420</v>
          </cell>
          <cell r="B583" t="str">
            <v xml:space="preserve">רכישות מהורים 50% </v>
          </cell>
        </row>
        <row r="584">
          <cell r="A584">
            <v>1313200427</v>
          </cell>
          <cell r="B584" t="str">
            <v xml:space="preserve">הכנסות אפיק       </v>
          </cell>
        </row>
        <row r="585">
          <cell r="A585">
            <v>1313200430</v>
          </cell>
          <cell r="B585" t="str">
            <v xml:space="preserve">תלמידי חוץ        </v>
          </cell>
        </row>
        <row r="586">
          <cell r="A586">
            <v>1313200440</v>
          </cell>
          <cell r="B586" t="str">
            <v>הכנסות גפ"ן בית ספרי</v>
          </cell>
          <cell r="C586">
            <v>-1500000</v>
          </cell>
        </row>
        <row r="587">
          <cell r="A587">
            <v>1313200490</v>
          </cell>
          <cell r="B587" t="str">
            <v xml:space="preserve">הכנסות מארועים    </v>
          </cell>
        </row>
        <row r="588">
          <cell r="A588">
            <v>1313200491</v>
          </cell>
          <cell r="B588" t="str">
            <v xml:space="preserve">רכישות דרך מחסן   </v>
          </cell>
        </row>
        <row r="589">
          <cell r="A589">
            <v>1313200650</v>
          </cell>
          <cell r="B589" t="str">
            <v>דמי שימוש-בית כנסת</v>
          </cell>
        </row>
        <row r="590">
          <cell r="A590">
            <v>1313200790</v>
          </cell>
          <cell r="B590" t="str">
            <v>תרומה - קרן אריסון</v>
          </cell>
        </row>
        <row r="591">
          <cell r="A591">
            <v>1313200911</v>
          </cell>
          <cell r="B591" t="str">
            <v>פע' חוויתית תכנית יהודית</v>
          </cell>
        </row>
        <row r="592">
          <cell r="A592">
            <v>1313200915</v>
          </cell>
          <cell r="B592" t="str">
            <v>קייטנת קיץ בחט"ב ובתיכוניים</v>
          </cell>
        </row>
        <row r="593">
          <cell r="A593">
            <v>1313200920</v>
          </cell>
          <cell r="B593" t="str">
            <v xml:space="preserve">מזכירות           </v>
          </cell>
          <cell r="C593">
            <v>-1215000</v>
          </cell>
        </row>
        <row r="594">
          <cell r="A594">
            <v>1313200921</v>
          </cell>
          <cell r="B594" t="str">
            <v xml:space="preserve">שרתים             </v>
          </cell>
          <cell r="C594">
            <v>-3151000</v>
          </cell>
        </row>
        <row r="595">
          <cell r="A595">
            <v>1313200922</v>
          </cell>
          <cell r="B595" t="str">
            <v xml:space="preserve">השתתפות בהזנה     </v>
          </cell>
        </row>
        <row r="596">
          <cell r="A596">
            <v>1313200923</v>
          </cell>
          <cell r="B596" t="str">
            <v>תיגבור לימודי יהדות</v>
          </cell>
        </row>
        <row r="597">
          <cell r="A597">
            <v>1313200924</v>
          </cell>
          <cell r="B597" t="str">
            <v xml:space="preserve">השתת הממשלה בקב"ט </v>
          </cell>
          <cell r="C597">
            <v>-804700</v>
          </cell>
        </row>
        <row r="598">
          <cell r="A598">
            <v>1313200925</v>
          </cell>
          <cell r="B598" t="str">
            <v xml:space="preserve">קבוצות טפוליות    </v>
          </cell>
          <cell r="C598">
            <v>-1311000</v>
          </cell>
        </row>
        <row r="599">
          <cell r="A599">
            <v>1313200926</v>
          </cell>
          <cell r="B599" t="str">
            <v>הכנסות שונות משה"ח</v>
          </cell>
        </row>
        <row r="600">
          <cell r="A600">
            <v>1313200927</v>
          </cell>
          <cell r="B600" t="str">
            <v>השת' ממשלה-פרוייקט</v>
          </cell>
          <cell r="C600">
            <v>-200000</v>
          </cell>
        </row>
        <row r="601">
          <cell r="A601">
            <v>1313200928</v>
          </cell>
          <cell r="B601" t="str">
            <v>השת' מ' חנוך-ספורט</v>
          </cell>
        </row>
        <row r="602">
          <cell r="A602">
            <v>1313200929</v>
          </cell>
          <cell r="B602" t="str">
            <v>מחוננים</v>
          </cell>
          <cell r="C602">
            <v>-120000</v>
          </cell>
        </row>
        <row r="603">
          <cell r="A603">
            <v>1313200930</v>
          </cell>
          <cell r="B603" t="str">
            <v>סיוע לניהול עצמי</v>
          </cell>
        </row>
        <row r="604">
          <cell r="A604">
            <v>1313200931</v>
          </cell>
          <cell r="B604" t="str">
            <v>שרת'/מז' ניהול עצמי</v>
          </cell>
          <cell r="C604">
            <v>-15316000</v>
          </cell>
        </row>
        <row r="605">
          <cell r="A605">
            <v>1313200932</v>
          </cell>
          <cell r="B605" t="str">
            <v>תוספת דיפרנצ'-ניהול עצמי</v>
          </cell>
        </row>
        <row r="606">
          <cell r="A606">
            <v>1313200936</v>
          </cell>
          <cell r="B606" t="str">
            <v>נאמני קורונה</v>
          </cell>
        </row>
        <row r="607">
          <cell r="A607">
            <v>1313200938</v>
          </cell>
          <cell r="B607" t="str">
            <v>עוזרי חינוך - קורונה</v>
          </cell>
        </row>
        <row r="608">
          <cell r="A608">
            <v>1313200944</v>
          </cell>
          <cell r="B608" t="str">
            <v>החזר הבראה ויובל</v>
          </cell>
        </row>
        <row r="609">
          <cell r="A609">
            <v>1313200950</v>
          </cell>
          <cell r="B609" t="str">
            <v>שגרירי מפתח הל"ב</v>
          </cell>
        </row>
        <row r="610">
          <cell r="A610">
            <v>1313200951</v>
          </cell>
          <cell r="B610" t="str">
            <v>ציוד ומכשירי חנ"ג</v>
          </cell>
          <cell r="C610">
            <v>-66000</v>
          </cell>
        </row>
        <row r="611">
          <cell r="A611">
            <v>1313200952</v>
          </cell>
          <cell r="B611" t="str">
            <v>יסודי - הכלה והשתלבות</v>
          </cell>
        </row>
        <row r="612">
          <cell r="A612">
            <v>1313200953</v>
          </cell>
          <cell r="B612" t="str">
            <v>מערכת גפ"ן</v>
          </cell>
        </row>
        <row r="613">
          <cell r="A613">
            <v>1313200954</v>
          </cell>
          <cell r="B613" t="str">
            <v>גפ"ן בית ספרי יסודי</v>
          </cell>
          <cell r="C613">
            <v>-20000000</v>
          </cell>
        </row>
        <row r="614">
          <cell r="A614">
            <v>1313200990</v>
          </cell>
          <cell r="B614" t="str">
            <v>הכנסות מתי"א</v>
          </cell>
        </row>
        <row r="615">
          <cell r="A615" t="str">
            <v>#VALUE!</v>
          </cell>
          <cell r="B615" t="str">
            <v xml:space="preserve">בתי ספר יסודיים   </v>
          </cell>
        </row>
        <row r="616">
          <cell r="A616">
            <v>13132010</v>
          </cell>
          <cell r="B616" t="str">
            <v>בתי ספר של קיץ + ניצנים</v>
          </cell>
        </row>
        <row r="617">
          <cell r="A617">
            <v>1313201420</v>
          </cell>
          <cell r="B617" t="str">
            <v>הזנה - הורים</v>
          </cell>
        </row>
        <row r="618">
          <cell r="A618">
            <v>1313201421</v>
          </cell>
          <cell r="B618" t="str">
            <v>גביה מהורים - ניצנים יסודי</v>
          </cell>
          <cell r="C618">
            <v>-13000000</v>
          </cell>
        </row>
        <row r="619">
          <cell r="A619">
            <v>1313201920</v>
          </cell>
          <cell r="B619" t="str">
            <v>צהרונים - ניצנים ממשה"ח</v>
          </cell>
          <cell r="C619">
            <v>-6350000</v>
          </cell>
        </row>
        <row r="620">
          <cell r="A620">
            <v>1313201921</v>
          </cell>
          <cell r="B620" t="str">
            <v>מסגרות חינוכיות בחופשות</v>
          </cell>
          <cell r="C620">
            <v>-2250000</v>
          </cell>
        </row>
        <row r="621">
          <cell r="A621">
            <v>1313201922</v>
          </cell>
          <cell r="B621" t="str">
            <v>הזנה - משה"ח</v>
          </cell>
        </row>
        <row r="622">
          <cell r="A622">
            <v>1313201923</v>
          </cell>
          <cell r="B622" t="str">
            <v>משה"ח - סייעות</v>
          </cell>
        </row>
        <row r="623">
          <cell r="A623">
            <v>1313201941</v>
          </cell>
          <cell r="B623" t="str">
            <v>מסגרות קיץ - משה"ח</v>
          </cell>
          <cell r="C623">
            <v>-5028000</v>
          </cell>
        </row>
        <row r="624">
          <cell r="A624" t="str">
            <v>#VALUE!</v>
          </cell>
          <cell r="B624" t="str">
            <v>בתי ספר של קיץ</v>
          </cell>
        </row>
        <row r="625">
          <cell r="A625">
            <v>13133000</v>
          </cell>
          <cell r="B625" t="str">
            <v xml:space="preserve">חינוך מיוחד       </v>
          </cell>
        </row>
        <row r="626">
          <cell r="A626">
            <v>1313300312</v>
          </cell>
          <cell r="B626" t="str">
            <v>מסיבות כיתתיות</v>
          </cell>
          <cell r="C626">
            <v>-10500</v>
          </cell>
        </row>
        <row r="627">
          <cell r="A627">
            <v>1313300420</v>
          </cell>
          <cell r="B627" t="str">
            <v>סייעות ע"ח רשויות מקומיות אחר</v>
          </cell>
        </row>
        <row r="628">
          <cell r="A628">
            <v>1313300422</v>
          </cell>
          <cell r="B628" t="str">
            <v xml:space="preserve">מועדונית עמל      </v>
          </cell>
        </row>
        <row r="629">
          <cell r="A629">
            <v>1313300430</v>
          </cell>
          <cell r="B629" t="str">
            <v>השתת' מוסד'ילד חוץ</v>
          </cell>
          <cell r="C629">
            <v>-2700000</v>
          </cell>
        </row>
        <row r="630">
          <cell r="A630">
            <v>1313300737</v>
          </cell>
          <cell r="B630" t="str">
            <v>התבור - בטל"א</v>
          </cell>
        </row>
        <row r="631">
          <cell r="A631">
            <v>1313300691</v>
          </cell>
          <cell r="B631" t="str">
            <v>הכנסות מייצור בחלץ</v>
          </cell>
        </row>
        <row r="632">
          <cell r="A632">
            <v>1313300911</v>
          </cell>
          <cell r="B632" t="str">
            <v>פעילות חוויתית יהודית</v>
          </cell>
        </row>
        <row r="633">
          <cell r="A633">
            <v>1313300920</v>
          </cell>
          <cell r="B633" t="str">
            <v xml:space="preserve">סייעות טיפוליות   </v>
          </cell>
          <cell r="C633">
            <v>-80000000</v>
          </cell>
        </row>
        <row r="634">
          <cell r="A634">
            <v>1313300921</v>
          </cell>
          <cell r="B634" t="str">
            <v xml:space="preserve">לבורנט וספרן- חלץ </v>
          </cell>
          <cell r="C634">
            <v>-204000</v>
          </cell>
        </row>
        <row r="635">
          <cell r="A635">
            <v>1313300922</v>
          </cell>
          <cell r="B635" t="str">
            <v xml:space="preserve">השת' בהזנה        </v>
          </cell>
          <cell r="C635">
            <v>-2840000</v>
          </cell>
        </row>
        <row r="636">
          <cell r="A636">
            <v>1313300923</v>
          </cell>
          <cell r="B636" t="str">
            <v>השתתפות משרד החינוך</v>
          </cell>
        </row>
        <row r="637">
          <cell r="A637">
            <v>1313300924</v>
          </cell>
          <cell r="B637" t="str">
            <v>חינוך מיוחד-חופשות</v>
          </cell>
          <cell r="C637">
            <v>-2695700</v>
          </cell>
        </row>
        <row r="638">
          <cell r="A638">
            <v>1313300925</v>
          </cell>
          <cell r="B638" t="str">
            <v>שרתים+מזכירות אפיק</v>
          </cell>
        </row>
        <row r="639">
          <cell r="A639">
            <v>1313300926</v>
          </cell>
          <cell r="B639" t="str">
            <v>שרתים+מזכיר'-מתי"א</v>
          </cell>
          <cell r="C639">
            <v>-380000</v>
          </cell>
        </row>
        <row r="640">
          <cell r="A640">
            <v>1313300927</v>
          </cell>
          <cell r="B640" t="str">
            <v>השתת' מש' החינוך בבחינות</v>
          </cell>
        </row>
        <row r="641">
          <cell r="A641">
            <v>1313300928</v>
          </cell>
          <cell r="B641" t="str">
            <v>שרותי הקף-יול"א ח.מ</v>
          </cell>
          <cell r="C641">
            <v>-245000</v>
          </cell>
        </row>
        <row r="642">
          <cell r="A642">
            <v>1313300929</v>
          </cell>
          <cell r="B642" t="str">
            <v>סייעות רפואיות</v>
          </cell>
        </row>
        <row r="643">
          <cell r="A643">
            <v>1313300938</v>
          </cell>
          <cell r="B643" t="str">
            <v>השתת' מש' החינוך בטיולים</v>
          </cell>
        </row>
        <row r="644">
          <cell r="A644">
            <v>1313300953</v>
          </cell>
          <cell r="B644" t="str">
            <v>מערכת גפ"ן</v>
          </cell>
        </row>
        <row r="645">
          <cell r="A645" t="str">
            <v>#VALUE!</v>
          </cell>
          <cell r="B645" t="str">
            <v xml:space="preserve">חינוך מיוחד       </v>
          </cell>
        </row>
        <row r="646">
          <cell r="A646">
            <v>13133100</v>
          </cell>
          <cell r="B646" t="str">
            <v xml:space="preserve">בי"ס ע"ש הרצפלד   </v>
          </cell>
        </row>
        <row r="647">
          <cell r="A647">
            <v>1313310312</v>
          </cell>
          <cell r="B647" t="str">
            <v>מסיבות כיתתיות</v>
          </cell>
          <cell r="C647">
            <v>-2000</v>
          </cell>
        </row>
        <row r="648">
          <cell r="A648">
            <v>1313310430</v>
          </cell>
          <cell r="B648" t="str">
            <v xml:space="preserve">השתתפות מוסדות    </v>
          </cell>
          <cell r="C648">
            <v>-450000</v>
          </cell>
        </row>
        <row r="649">
          <cell r="A649">
            <v>1313310920</v>
          </cell>
          <cell r="B649" t="str">
            <v xml:space="preserve">סייעות טיפוליות   </v>
          </cell>
          <cell r="C649">
            <v>-1867500</v>
          </cell>
        </row>
        <row r="650">
          <cell r="A650">
            <v>1313310921</v>
          </cell>
          <cell r="B650" t="str">
            <v xml:space="preserve">מזכירות ושרתים    </v>
          </cell>
          <cell r="C650">
            <v>-379500</v>
          </cell>
        </row>
        <row r="651">
          <cell r="A651">
            <v>1313310922</v>
          </cell>
          <cell r="B651" t="str">
            <v xml:space="preserve">השת' בהזנה        </v>
          </cell>
          <cell r="C651">
            <v>-330000</v>
          </cell>
        </row>
        <row r="652">
          <cell r="A652">
            <v>1313310923</v>
          </cell>
          <cell r="B652" t="str">
            <v>השת' משרד החינוך בבחינות</v>
          </cell>
        </row>
        <row r="653">
          <cell r="A653">
            <v>1313310924</v>
          </cell>
          <cell r="B653" t="str">
            <v>חינוך מיוחד-חופשות</v>
          </cell>
          <cell r="C653">
            <v>-148800</v>
          </cell>
        </row>
        <row r="654">
          <cell r="A654">
            <v>1313310938</v>
          </cell>
          <cell r="B654" t="str">
            <v>השתת' מש' החינוך בטיולים</v>
          </cell>
        </row>
        <row r="655">
          <cell r="A655">
            <v>1313310953</v>
          </cell>
          <cell r="B655" t="str">
            <v>מערכת גפ"ן</v>
          </cell>
        </row>
        <row r="656">
          <cell r="A656" t="str">
            <v>#VALUE!</v>
          </cell>
          <cell r="B656" t="str">
            <v xml:space="preserve">בי"ס ע"ש הרצפלד   </v>
          </cell>
        </row>
        <row r="657">
          <cell r="A657">
            <v>13137000</v>
          </cell>
          <cell r="B657" t="str">
            <v xml:space="preserve">חוה חקלאית        </v>
          </cell>
        </row>
        <row r="658">
          <cell r="A658">
            <v>1313700610</v>
          </cell>
          <cell r="B658" t="str">
            <v xml:space="preserve">מכירות תוצרת הח   </v>
          </cell>
        </row>
        <row r="659">
          <cell r="A659">
            <v>1313700920</v>
          </cell>
          <cell r="B659" t="str">
            <v xml:space="preserve">הסעות ילדים       </v>
          </cell>
          <cell r="C659">
            <v>-264000</v>
          </cell>
        </row>
        <row r="660">
          <cell r="A660">
            <v>1313700921</v>
          </cell>
          <cell r="B660" t="str">
            <v xml:space="preserve">הצטיידות          </v>
          </cell>
          <cell r="C660">
            <v>-70000</v>
          </cell>
        </row>
        <row r="661">
          <cell r="A661">
            <v>1313700922</v>
          </cell>
          <cell r="B661" t="str">
            <v xml:space="preserve">שרת ומזכירה       </v>
          </cell>
          <cell r="C661">
            <v>-307700</v>
          </cell>
        </row>
        <row r="662">
          <cell r="A662" t="str">
            <v>#VALUE!</v>
          </cell>
          <cell r="B662" t="str">
            <v xml:space="preserve">חוה חקלאית        </v>
          </cell>
        </row>
        <row r="663">
          <cell r="A663">
            <v>13150000</v>
          </cell>
          <cell r="B663" t="str">
            <v xml:space="preserve">חינוך על-יסודי    </v>
          </cell>
        </row>
        <row r="664">
          <cell r="A664">
            <v>13151000</v>
          </cell>
          <cell r="B664" t="str">
            <v xml:space="preserve">השתתפויות במוסדות </v>
          </cell>
        </row>
        <row r="665">
          <cell r="A665">
            <v>1315100420</v>
          </cell>
          <cell r="B665" t="str">
            <v>הכשרת מזכירות</v>
          </cell>
        </row>
        <row r="666">
          <cell r="A666">
            <v>1315100441</v>
          </cell>
          <cell r="B666" t="str">
            <v>החזר ביטוח אורט</v>
          </cell>
        </row>
        <row r="667">
          <cell r="A667">
            <v>1315100490</v>
          </cell>
          <cell r="B667" t="str">
            <v xml:space="preserve">מרכז מצויינות        </v>
          </cell>
        </row>
        <row r="668">
          <cell r="A668">
            <v>1315100491</v>
          </cell>
          <cell r="B668" t="str">
            <v xml:space="preserve">הכנסות מארועים    </v>
          </cell>
        </row>
        <row r="669">
          <cell r="A669">
            <v>1315100492</v>
          </cell>
          <cell r="B669" t="str">
            <v xml:space="preserve">שעות תיגבור       </v>
          </cell>
        </row>
        <row r="670">
          <cell r="A670">
            <v>1315100493</v>
          </cell>
          <cell r="B670" t="str">
            <v>השאלת ספרים חט"ב</v>
          </cell>
          <cell r="C670">
            <v>-60000</v>
          </cell>
        </row>
        <row r="671">
          <cell r="A671">
            <v>1315100921</v>
          </cell>
          <cell r="B671" t="str">
            <v>רכז עירוני לבגרות חברתית</v>
          </cell>
        </row>
        <row r="672">
          <cell r="A672">
            <v>1315100922</v>
          </cell>
          <cell r="B672" t="str">
            <v>פרויקטים בהשתתפות משה"ח</v>
          </cell>
          <cell r="C672">
            <v>-270000</v>
          </cell>
        </row>
        <row r="673">
          <cell r="A673">
            <v>1315100923</v>
          </cell>
          <cell r="B673" t="str">
            <v>הכנסות אומ"ץ</v>
          </cell>
        </row>
        <row r="674">
          <cell r="A674">
            <v>1315100924</v>
          </cell>
          <cell r="B674" t="str">
            <v>משלחות ספורט</v>
          </cell>
          <cell r="C674">
            <v>-40000</v>
          </cell>
        </row>
        <row r="675">
          <cell r="A675">
            <v>1315100925</v>
          </cell>
          <cell r="B675" t="str">
            <v>שביתה - הכנ' משה"ח</v>
          </cell>
        </row>
        <row r="676">
          <cell r="A676">
            <v>1315100929</v>
          </cell>
          <cell r="B676" t="str">
            <v>חוגי טכנולוגיה-משרד המדע</v>
          </cell>
        </row>
        <row r="677">
          <cell r="A677">
            <v>1315100944</v>
          </cell>
          <cell r="B677" t="str">
            <v>החזר הבראה ויובל</v>
          </cell>
        </row>
        <row r="678">
          <cell r="A678">
            <v>1315100990</v>
          </cell>
          <cell r="B678" t="str">
            <v>קשישים - שוויון חברתי</v>
          </cell>
        </row>
        <row r="679">
          <cell r="A679" t="str">
            <v>#VALUE!</v>
          </cell>
          <cell r="B679" t="str">
            <v xml:space="preserve">השתתפויות במוסדות </v>
          </cell>
        </row>
        <row r="680">
          <cell r="A680">
            <v>13151100</v>
          </cell>
          <cell r="B680" t="str">
            <v>יוזמות - נבון</v>
          </cell>
        </row>
        <row r="681">
          <cell r="A681">
            <v>1315110921</v>
          </cell>
          <cell r="B681" t="str">
            <v>מצויינות - משה"ח</v>
          </cell>
        </row>
        <row r="682">
          <cell r="A682">
            <v>1315110922</v>
          </cell>
          <cell r="B682" t="str">
            <v>תפ"ן - משה"ח</v>
          </cell>
        </row>
        <row r="683">
          <cell r="A683">
            <v>1315110923</v>
          </cell>
          <cell r="B683" t="str">
            <v>אומ"ץ - משה"ח</v>
          </cell>
          <cell r="C683">
            <v>-40000</v>
          </cell>
        </row>
        <row r="684">
          <cell r="A684" t="str">
            <v>#VALUE!</v>
          </cell>
          <cell r="B684" t="str">
            <v>יוזמות - נבון</v>
          </cell>
        </row>
        <row r="685">
          <cell r="A685">
            <v>13151200</v>
          </cell>
          <cell r="B685" t="str">
            <v>יוזמות - קוגל</v>
          </cell>
        </row>
        <row r="686">
          <cell r="A686">
            <v>1315120921</v>
          </cell>
          <cell r="B686" t="str">
            <v>מצויינות - משה"ח</v>
          </cell>
        </row>
        <row r="687">
          <cell r="A687">
            <v>1315120922</v>
          </cell>
          <cell r="B687" t="str">
            <v>תפ"ן - משה"ח</v>
          </cell>
        </row>
        <row r="688">
          <cell r="A688">
            <v>1315120923</v>
          </cell>
          <cell r="B688" t="str">
            <v>אומ"ץ - משה"ח</v>
          </cell>
        </row>
        <row r="689">
          <cell r="A689" t="str">
            <v>#VALUE!</v>
          </cell>
          <cell r="B689" t="str">
            <v>יוזמות - קוגל</v>
          </cell>
        </row>
        <row r="690">
          <cell r="A690">
            <v>13151300</v>
          </cell>
          <cell r="B690" t="str">
            <v>יוזמות - הרצוג</v>
          </cell>
        </row>
        <row r="691">
          <cell r="A691">
            <v>1315130921</v>
          </cell>
          <cell r="B691" t="str">
            <v>מצויינות - משה"ח</v>
          </cell>
        </row>
        <row r="692">
          <cell r="A692">
            <v>1315130922</v>
          </cell>
          <cell r="B692" t="str">
            <v>תפ"ן - משה"ח</v>
          </cell>
        </row>
        <row r="693">
          <cell r="A693">
            <v>1315130923</v>
          </cell>
          <cell r="B693" t="str">
            <v>אומ"ץ - משה"ח</v>
          </cell>
          <cell r="C693">
            <v>-120000</v>
          </cell>
        </row>
        <row r="694">
          <cell r="A694" t="str">
            <v>#VALUE!</v>
          </cell>
          <cell r="B694" t="str">
            <v>יוזמות - הרצוג</v>
          </cell>
        </row>
        <row r="695">
          <cell r="A695">
            <v>13151400</v>
          </cell>
          <cell r="B695" t="str">
            <v>יוזמות - ק"ש</v>
          </cell>
        </row>
        <row r="696">
          <cell r="A696">
            <v>1315140921</v>
          </cell>
          <cell r="B696" t="str">
            <v>מצויינות - משה"ח</v>
          </cell>
        </row>
        <row r="697">
          <cell r="A697">
            <v>1315140922</v>
          </cell>
          <cell r="B697" t="str">
            <v>תפ"ן - משה"ח</v>
          </cell>
        </row>
        <row r="698">
          <cell r="A698">
            <v>1315140923</v>
          </cell>
          <cell r="B698" t="str">
            <v>אומ"ץ - משה"ח</v>
          </cell>
          <cell r="C698">
            <v>-40000</v>
          </cell>
        </row>
        <row r="699">
          <cell r="A699" t="str">
            <v>#VALUE!</v>
          </cell>
          <cell r="B699" t="str">
            <v>יוזמות - ק"ש</v>
          </cell>
        </row>
        <row r="700">
          <cell r="A700">
            <v>13151500</v>
          </cell>
          <cell r="B700" t="str">
            <v>יוזמות - איילון</v>
          </cell>
        </row>
        <row r="701">
          <cell r="A701">
            <v>1315150921</v>
          </cell>
          <cell r="B701" t="str">
            <v>מצויינות - משה"ח</v>
          </cell>
        </row>
        <row r="702">
          <cell r="A702">
            <v>1315150922</v>
          </cell>
          <cell r="B702" t="str">
            <v>תפ"ן - משה"ח</v>
          </cell>
        </row>
        <row r="703">
          <cell r="A703">
            <v>1315150923</v>
          </cell>
          <cell r="B703" t="str">
            <v>אומ"ץ - משה"ח</v>
          </cell>
          <cell r="C703">
            <v>-20000</v>
          </cell>
        </row>
        <row r="704">
          <cell r="A704" t="str">
            <v>#VALUE!</v>
          </cell>
          <cell r="B704" t="str">
            <v>יוזמות - איילון</v>
          </cell>
        </row>
        <row r="705">
          <cell r="A705">
            <v>13151600</v>
          </cell>
          <cell r="B705" t="str">
            <v>יוזמות - יבנה</v>
          </cell>
        </row>
        <row r="706">
          <cell r="A706">
            <v>1315160921</v>
          </cell>
          <cell r="B706" t="str">
            <v>מצויינות - משה"ח</v>
          </cell>
        </row>
        <row r="707">
          <cell r="A707">
            <v>1315160922</v>
          </cell>
          <cell r="B707" t="str">
            <v>תפ"ן - משה"ח</v>
          </cell>
        </row>
        <row r="708">
          <cell r="A708">
            <v>1315160923</v>
          </cell>
          <cell r="B708" t="str">
            <v>אומ"ץ - משה"ח</v>
          </cell>
          <cell r="C708">
            <v>-80000</v>
          </cell>
        </row>
        <row r="709">
          <cell r="A709" t="str">
            <v>#VALUE!</v>
          </cell>
          <cell r="B709" t="str">
            <v>יוזמות - יבנה</v>
          </cell>
        </row>
        <row r="710">
          <cell r="A710">
            <v>13151700</v>
          </cell>
          <cell r="B710" t="str">
            <v>יוזמות - קציר</v>
          </cell>
        </row>
        <row r="711">
          <cell r="A711">
            <v>1315170921</v>
          </cell>
          <cell r="B711" t="str">
            <v>מצויינות - משה"ח</v>
          </cell>
        </row>
        <row r="712">
          <cell r="A712">
            <v>1315170922</v>
          </cell>
          <cell r="B712" t="str">
            <v>תפ"ן - משה"ח</v>
          </cell>
        </row>
        <row r="713">
          <cell r="A713">
            <v>1315170923</v>
          </cell>
          <cell r="B713" t="str">
            <v>אומ"ץ - משה"ח</v>
          </cell>
          <cell r="C713">
            <v>-80000</v>
          </cell>
        </row>
        <row r="714">
          <cell r="A714" t="str">
            <v>#VALUE!</v>
          </cell>
          <cell r="B714" t="str">
            <v>יוזמות - קציר</v>
          </cell>
        </row>
        <row r="715">
          <cell r="A715">
            <v>13151800</v>
          </cell>
          <cell r="B715" t="str">
            <v>יוזמות - כרם שלמה</v>
          </cell>
        </row>
        <row r="716">
          <cell r="A716">
            <v>1315180921</v>
          </cell>
          <cell r="B716" t="str">
            <v>מצויינות - משה"ח</v>
          </cell>
        </row>
        <row r="717">
          <cell r="A717">
            <v>1315180922</v>
          </cell>
          <cell r="B717" t="str">
            <v>תפ"ן - משה"ח</v>
          </cell>
        </row>
        <row r="718">
          <cell r="A718">
            <v>1315180923</v>
          </cell>
          <cell r="B718" t="str">
            <v>אומ"ץ - משה"ח</v>
          </cell>
          <cell r="C718">
            <v>-40000</v>
          </cell>
        </row>
        <row r="719">
          <cell r="A719" t="str">
            <v>#VALUE!</v>
          </cell>
          <cell r="B719" t="str">
            <v>יוזמות - כרם שלמה</v>
          </cell>
        </row>
        <row r="720">
          <cell r="A720">
            <v>13151900</v>
          </cell>
          <cell r="B720" t="str">
            <v>יוזמות - עתידים</v>
          </cell>
        </row>
        <row r="721">
          <cell r="A721">
            <v>1315190921</v>
          </cell>
          <cell r="B721" t="str">
            <v>מצויינות - משה"ח</v>
          </cell>
        </row>
        <row r="722">
          <cell r="A722">
            <v>1315190922</v>
          </cell>
          <cell r="B722" t="str">
            <v>תפ"ן - משה"ח</v>
          </cell>
        </row>
        <row r="723">
          <cell r="A723">
            <v>1315190923</v>
          </cell>
          <cell r="B723" t="str">
            <v>אומ"ץ - משה"ח</v>
          </cell>
          <cell r="C723">
            <v>-80000</v>
          </cell>
        </row>
        <row r="724">
          <cell r="A724" t="str">
            <v>#VALUE!</v>
          </cell>
          <cell r="B724" t="str">
            <v>יוזמות - עתידים</v>
          </cell>
        </row>
        <row r="725">
          <cell r="A725">
            <v>13157000</v>
          </cell>
          <cell r="B725" t="str">
            <v xml:space="preserve">בי"ס ע"י ומקיפים  </v>
          </cell>
        </row>
        <row r="726">
          <cell r="A726">
            <v>1315710312</v>
          </cell>
          <cell r="B726" t="str">
            <v>מסיבות כיתתיות</v>
          </cell>
          <cell r="C726">
            <v>-23000</v>
          </cell>
        </row>
        <row r="727">
          <cell r="A727">
            <v>1315710416</v>
          </cell>
          <cell r="B727" t="str">
            <v>פר' קשישים - משתתפים</v>
          </cell>
          <cell r="C727">
            <v>-10000</v>
          </cell>
        </row>
        <row r="728">
          <cell r="A728">
            <v>1315710440</v>
          </cell>
          <cell r="B728" t="str">
            <v>הכנסות גפ"ן בית ספרי</v>
          </cell>
          <cell r="C728">
            <v>-327600</v>
          </cell>
        </row>
        <row r="729">
          <cell r="A729">
            <v>1315710915</v>
          </cell>
          <cell r="B729" t="str">
            <v>קייטנת קיץ בחט"ב ובתיכוניים</v>
          </cell>
        </row>
        <row r="730">
          <cell r="A730">
            <v>1315710920</v>
          </cell>
          <cell r="B730" t="str">
            <v>השתת' ממשלה - חט"ע</v>
          </cell>
          <cell r="C730">
            <v>-10877600</v>
          </cell>
        </row>
        <row r="731">
          <cell r="A731">
            <v>1315710921</v>
          </cell>
          <cell r="B731" t="str">
            <v>השתת' ממשלה - חט"ב</v>
          </cell>
          <cell r="C731">
            <v>-1465400</v>
          </cell>
        </row>
        <row r="732">
          <cell r="A732">
            <v>1315710922</v>
          </cell>
          <cell r="B732" t="str">
            <v xml:space="preserve">שעורי עזר לעולים  </v>
          </cell>
          <cell r="C732">
            <v>-120000</v>
          </cell>
        </row>
        <row r="733">
          <cell r="A733">
            <v>1315710923</v>
          </cell>
          <cell r="B733" t="str">
            <v xml:space="preserve">שעורי עזר לנכים   </v>
          </cell>
          <cell r="C733">
            <v>-3600</v>
          </cell>
        </row>
        <row r="734">
          <cell r="A734">
            <v>1315710925</v>
          </cell>
          <cell r="B734" t="str">
            <v xml:space="preserve">קרן השתלמות לשכ"ל </v>
          </cell>
          <cell r="C734">
            <v>-751000</v>
          </cell>
        </row>
        <row r="735">
          <cell r="A735">
            <v>1315710926</v>
          </cell>
          <cell r="B735" t="str">
            <v xml:space="preserve">השאלת מורים לחט"ב </v>
          </cell>
          <cell r="C735">
            <v>0</v>
          </cell>
        </row>
        <row r="736">
          <cell r="A736">
            <v>1315710927</v>
          </cell>
          <cell r="B736" t="str">
            <v>תכנית גי"א / מש"ב</v>
          </cell>
        </row>
        <row r="737">
          <cell r="A737">
            <v>1315710928</v>
          </cell>
          <cell r="B737" t="str">
            <v xml:space="preserve">ליווי לטיולים     </v>
          </cell>
          <cell r="C737">
            <v>-178000</v>
          </cell>
        </row>
        <row r="738">
          <cell r="A738">
            <v>1315710930</v>
          </cell>
          <cell r="B738" t="str">
            <v>עוז לתמורה</v>
          </cell>
          <cell r="C738">
            <v>-5581200</v>
          </cell>
        </row>
        <row r="739">
          <cell r="A739">
            <v>1315710932</v>
          </cell>
          <cell r="B739" t="str">
            <v>גמול בגרות אחוזי</v>
          </cell>
          <cell r="C739">
            <v>-267000</v>
          </cell>
        </row>
        <row r="740">
          <cell r="A740">
            <v>1315710933</v>
          </cell>
          <cell r="B740" t="str">
            <v>תכנית לאומית-קידום אנגלית</v>
          </cell>
        </row>
        <row r="741">
          <cell r="A741">
            <v>1315710934</v>
          </cell>
          <cell r="B741" t="str">
            <v>הצטיידות טכנולוגית במעבדות</v>
          </cell>
        </row>
        <row r="742">
          <cell r="A742">
            <v>1315710938</v>
          </cell>
          <cell r="B742" t="str">
            <v>השתת' מש' החינוך בטיולים</v>
          </cell>
        </row>
        <row r="743">
          <cell r="A743">
            <v>1315710952</v>
          </cell>
          <cell r="B743" t="str">
            <v>חט"ב - הכלה והשתלבות</v>
          </cell>
        </row>
        <row r="744">
          <cell r="A744">
            <v>1315710953</v>
          </cell>
          <cell r="B744" t="str">
            <v>מערכת גפ"ן</v>
          </cell>
          <cell r="C744">
            <v>-1559000</v>
          </cell>
        </row>
        <row r="745">
          <cell r="A745" t="str">
            <v>#VALUE!</v>
          </cell>
          <cell r="B745" t="str">
            <v xml:space="preserve">חטיבת ביניים-נבון </v>
          </cell>
        </row>
        <row r="746">
          <cell r="A746">
            <v>13157200</v>
          </cell>
          <cell r="B746" t="str">
            <v xml:space="preserve">בי"ס תיכון קוגל   </v>
          </cell>
        </row>
        <row r="747">
          <cell r="A747">
            <v>1315720312</v>
          </cell>
          <cell r="B747" t="str">
            <v>מסיבות כיתתיות</v>
          </cell>
          <cell r="C747">
            <v>-29000</v>
          </cell>
        </row>
        <row r="748">
          <cell r="A748">
            <v>1315720416</v>
          </cell>
          <cell r="B748" t="str">
            <v>פר' קשישים-משתתפים</v>
          </cell>
          <cell r="C748">
            <v>-60000</v>
          </cell>
        </row>
        <row r="749">
          <cell r="A749">
            <v>1315720417</v>
          </cell>
          <cell r="B749" t="str">
            <v>דמי בחינות</v>
          </cell>
        </row>
        <row r="750">
          <cell r="A750">
            <v>1315720421</v>
          </cell>
          <cell r="B750" t="str">
            <v xml:space="preserve">הכנסות מפסיכולוג  </v>
          </cell>
        </row>
        <row r="751">
          <cell r="A751">
            <v>1315720425</v>
          </cell>
          <cell r="B751" t="str">
            <v>השת'תלמידים-שעורים</v>
          </cell>
        </row>
        <row r="752">
          <cell r="A752">
            <v>1315720440</v>
          </cell>
          <cell r="B752" t="str">
            <v>הכנסות גפ"ן בית ספרי</v>
          </cell>
          <cell r="C752">
            <v>-300000</v>
          </cell>
        </row>
        <row r="753">
          <cell r="A753">
            <v>1315720911</v>
          </cell>
          <cell r="B753" t="str">
            <v>פעילות חוויתית יהודית</v>
          </cell>
        </row>
        <row r="754">
          <cell r="A754">
            <v>1315720915</v>
          </cell>
          <cell r="B754" t="str">
            <v>קייטנת קיץ בחט"ב ובתיכוניים</v>
          </cell>
        </row>
        <row r="755">
          <cell r="A755">
            <v>1315720920</v>
          </cell>
          <cell r="B755" t="str">
            <v>השת' הממשלה בשכל"מ</v>
          </cell>
          <cell r="C755">
            <v>-13426000</v>
          </cell>
        </row>
        <row r="756">
          <cell r="A756">
            <v>1315720921</v>
          </cell>
          <cell r="B756" t="str">
            <v>השתת' ממשלה - חט"ב</v>
          </cell>
          <cell r="C756">
            <v>-1883300</v>
          </cell>
        </row>
        <row r="757">
          <cell r="A757">
            <v>1315720922</v>
          </cell>
          <cell r="B757" t="str">
            <v xml:space="preserve">שעורי עזר לעולים  </v>
          </cell>
        </row>
        <row r="758">
          <cell r="A758">
            <v>1315720923</v>
          </cell>
          <cell r="B758" t="str">
            <v xml:space="preserve">שעורי עזר לנכים   </v>
          </cell>
          <cell r="C758">
            <v>-7600</v>
          </cell>
        </row>
        <row r="759">
          <cell r="A759">
            <v>1315720925</v>
          </cell>
          <cell r="B759" t="str">
            <v xml:space="preserve">קרן השתלמות לשכ"ל </v>
          </cell>
          <cell r="C759">
            <v>-944000</v>
          </cell>
        </row>
        <row r="760">
          <cell r="A760">
            <v>1315720926</v>
          </cell>
          <cell r="B760" t="str">
            <v xml:space="preserve">השאלת מורים לחט"ב </v>
          </cell>
          <cell r="C760">
            <v>0</v>
          </cell>
        </row>
        <row r="761">
          <cell r="A761">
            <v>1315720927</v>
          </cell>
          <cell r="B761" t="str">
            <v>תכנית גי"א / מש"ב</v>
          </cell>
        </row>
        <row r="762">
          <cell r="A762">
            <v>1315720928</v>
          </cell>
          <cell r="B762" t="str">
            <v xml:space="preserve">ליווי לטיולים     </v>
          </cell>
          <cell r="C762">
            <v>-246500</v>
          </cell>
        </row>
        <row r="763">
          <cell r="A763">
            <v>1315720929</v>
          </cell>
          <cell r="B763" t="str">
            <v xml:space="preserve">אורח חיים בריא    </v>
          </cell>
        </row>
        <row r="764">
          <cell r="A764">
            <v>1315720930</v>
          </cell>
          <cell r="B764" t="str">
            <v>עוז לתמורה</v>
          </cell>
          <cell r="C764">
            <v>-6930600</v>
          </cell>
        </row>
        <row r="765">
          <cell r="A765">
            <v>1315720932</v>
          </cell>
          <cell r="B765" t="str">
            <v>גמול בגרות אחוזי</v>
          </cell>
          <cell r="C765">
            <v>-338300</v>
          </cell>
        </row>
        <row r="766">
          <cell r="A766">
            <v>1315720933</v>
          </cell>
          <cell r="B766" t="str">
            <v>תכנית לאומית-קידום אנגלית</v>
          </cell>
        </row>
        <row r="767">
          <cell r="A767">
            <v>1315720934</v>
          </cell>
          <cell r="B767" t="str">
            <v>הצטיידות טכנולוגית במעבדות</v>
          </cell>
        </row>
        <row r="768">
          <cell r="A768">
            <v>1315720938</v>
          </cell>
          <cell r="B768" t="str">
            <v>השתת' מש' החינוך בטיולים</v>
          </cell>
        </row>
        <row r="769">
          <cell r="A769">
            <v>1315720952</v>
          </cell>
          <cell r="B769" t="str">
            <v>חט"ב - הכלה והשתלבות</v>
          </cell>
        </row>
        <row r="770">
          <cell r="A770">
            <v>1315720953</v>
          </cell>
          <cell r="B770" t="str">
            <v>מערכת גפ"ן</v>
          </cell>
          <cell r="C770">
            <v>-1760000</v>
          </cell>
        </row>
        <row r="771">
          <cell r="A771" t="str">
            <v>#VALUE!</v>
          </cell>
          <cell r="B771" t="str">
            <v xml:space="preserve">בי"ס תיכון קוגל   </v>
          </cell>
        </row>
        <row r="772">
          <cell r="A772">
            <v>13157300</v>
          </cell>
          <cell r="B772" t="str">
            <v xml:space="preserve">תיכון ע"ש הרצוג   </v>
          </cell>
        </row>
        <row r="773">
          <cell r="A773">
            <v>1315730312</v>
          </cell>
          <cell r="B773" t="str">
            <v>מסיבות כיתתיות</v>
          </cell>
          <cell r="C773">
            <v>-18500</v>
          </cell>
        </row>
        <row r="774">
          <cell r="A774">
            <v>1315730410</v>
          </cell>
          <cell r="B774" t="str">
            <v xml:space="preserve">שכר לימוד יג ת"ג  </v>
          </cell>
        </row>
        <row r="775">
          <cell r="A775">
            <v>1315730416</v>
          </cell>
          <cell r="B775" t="str">
            <v>פר' קשישים-משתתפים</v>
          </cell>
        </row>
        <row r="776">
          <cell r="A776">
            <v>1315730417</v>
          </cell>
          <cell r="B776" t="str">
            <v>דמי בחינות</v>
          </cell>
        </row>
        <row r="777">
          <cell r="A777">
            <v>1315730421</v>
          </cell>
          <cell r="B777" t="str">
            <v xml:space="preserve">הכנסות מפסיכולוג  </v>
          </cell>
        </row>
        <row r="778">
          <cell r="A778">
            <v>1315730422</v>
          </cell>
          <cell r="B778" t="str">
            <v xml:space="preserve">ביטוח לאומי י"ג   </v>
          </cell>
        </row>
        <row r="779">
          <cell r="A779">
            <v>1315730425</v>
          </cell>
          <cell r="B779" t="str">
            <v>הש' בלימודים-סיוון</v>
          </cell>
        </row>
        <row r="780">
          <cell r="A780">
            <v>1315730440</v>
          </cell>
          <cell r="B780" t="str">
            <v>הכנסות גפ"ן בית ספרי</v>
          </cell>
          <cell r="C780">
            <v>-225000</v>
          </cell>
        </row>
        <row r="781">
          <cell r="A781">
            <v>1315730640</v>
          </cell>
          <cell r="B781" t="str">
            <v xml:space="preserve">שכר דירה מזנון    </v>
          </cell>
        </row>
        <row r="782">
          <cell r="A782">
            <v>1315730911</v>
          </cell>
          <cell r="B782" t="str">
            <v>פעילות חוויתית יהודית</v>
          </cell>
        </row>
        <row r="783">
          <cell r="A783">
            <v>1315730920</v>
          </cell>
          <cell r="B783" t="str">
            <v>השת' הממשלה בשכל"מ</v>
          </cell>
          <cell r="C783">
            <v>-9610500</v>
          </cell>
        </row>
        <row r="784">
          <cell r="A784">
            <v>1315730921</v>
          </cell>
          <cell r="B784" t="str">
            <v>השתת' ממשלה - חט"ב</v>
          </cell>
          <cell r="C784">
            <v>-1322400</v>
          </cell>
        </row>
        <row r="785">
          <cell r="A785">
            <v>1315730915</v>
          </cell>
          <cell r="B785" t="str">
            <v>קייטנת קיץ בחט"ב ובתיכוניים</v>
          </cell>
        </row>
        <row r="786">
          <cell r="A786">
            <v>1315730922</v>
          </cell>
          <cell r="B786" t="str">
            <v xml:space="preserve">שעורי עזר לעולים  </v>
          </cell>
        </row>
        <row r="787">
          <cell r="A787">
            <v>1315730923</v>
          </cell>
          <cell r="B787" t="str">
            <v xml:space="preserve">שעורי עזר לנכים   </v>
          </cell>
          <cell r="C787">
            <v>-6000</v>
          </cell>
        </row>
        <row r="788">
          <cell r="A788">
            <v>1315730924</v>
          </cell>
          <cell r="B788" t="str">
            <v>הזדמנות ראשונה</v>
          </cell>
        </row>
        <row r="789">
          <cell r="A789">
            <v>1315730925</v>
          </cell>
          <cell r="B789" t="str">
            <v xml:space="preserve">קרן השתלמות לשכ"ל </v>
          </cell>
          <cell r="C789">
            <v>-601500</v>
          </cell>
        </row>
        <row r="790">
          <cell r="A790">
            <v>1315730926</v>
          </cell>
          <cell r="B790" t="str">
            <v xml:space="preserve">השאלת מורים לחט"ב </v>
          </cell>
          <cell r="C790">
            <v>-453100</v>
          </cell>
        </row>
        <row r="791">
          <cell r="A791">
            <v>1315730927</v>
          </cell>
          <cell r="B791" t="str">
            <v>תכנית גי"א / מש"ב</v>
          </cell>
        </row>
        <row r="792">
          <cell r="A792">
            <v>1315730928</v>
          </cell>
          <cell r="B792" t="str">
            <v xml:space="preserve">ליווי לטיולים     </v>
          </cell>
          <cell r="C792">
            <v>-134400</v>
          </cell>
        </row>
        <row r="793">
          <cell r="A793">
            <v>1315730930</v>
          </cell>
          <cell r="B793" t="str">
            <v>עוז לתמורה</v>
          </cell>
          <cell r="C793">
            <v>-4966200</v>
          </cell>
        </row>
        <row r="794">
          <cell r="A794">
            <v>1315730932</v>
          </cell>
          <cell r="B794" t="str">
            <v>גמול בגרות אחוזי</v>
          </cell>
          <cell r="C794">
            <v>-195600</v>
          </cell>
        </row>
        <row r="795">
          <cell r="A795">
            <v>1315730933</v>
          </cell>
          <cell r="B795" t="str">
            <v>תכנית לאומית-קידום אנגלית</v>
          </cell>
        </row>
        <row r="796">
          <cell r="A796">
            <v>1315730934</v>
          </cell>
          <cell r="B796" t="str">
            <v>הצטיידות טכנולוגית במעבדות</v>
          </cell>
        </row>
        <row r="797">
          <cell r="A797">
            <v>1315730938</v>
          </cell>
          <cell r="B797" t="str">
            <v>השתת' מש' החינוך בטיולים</v>
          </cell>
        </row>
        <row r="798">
          <cell r="A798">
            <v>1315730939</v>
          </cell>
          <cell r="B798" t="str">
            <v>פרוייקט "מניפה"</v>
          </cell>
        </row>
        <row r="799">
          <cell r="A799">
            <v>1315730952</v>
          </cell>
          <cell r="B799" t="str">
            <v>חט"ב - הכלה והשתלבות</v>
          </cell>
        </row>
        <row r="800">
          <cell r="A800">
            <v>1315730953</v>
          </cell>
          <cell r="B800" t="str">
            <v>מערכת גפ"ן</v>
          </cell>
          <cell r="C800">
            <v>-1367000</v>
          </cell>
        </row>
        <row r="801">
          <cell r="A801">
            <v>1315730990</v>
          </cell>
          <cell r="B801" t="str">
            <v>קשישים - שוויון חברתי</v>
          </cell>
        </row>
        <row r="802">
          <cell r="A802" t="str">
            <v>#VALUE!</v>
          </cell>
          <cell r="B802" t="str">
            <v xml:space="preserve">תיכון ע"ש הרצוג   </v>
          </cell>
        </row>
        <row r="803">
          <cell r="A803">
            <v>13157400</v>
          </cell>
          <cell r="B803" t="str">
            <v xml:space="preserve">תיכון קרית - שרת  </v>
          </cell>
        </row>
        <row r="804">
          <cell r="A804">
            <v>1315740312</v>
          </cell>
          <cell r="B804" t="str">
            <v>מסיבות כיתתיות</v>
          </cell>
          <cell r="C804">
            <v>-45000</v>
          </cell>
        </row>
        <row r="805">
          <cell r="A805">
            <v>1315740416</v>
          </cell>
          <cell r="B805" t="str">
            <v>פר' קשישים-משתתפים</v>
          </cell>
          <cell r="C805">
            <v>-70000</v>
          </cell>
        </row>
        <row r="806">
          <cell r="A806">
            <v>1315740417</v>
          </cell>
          <cell r="B806" t="str">
            <v>דמי בחינות</v>
          </cell>
        </row>
        <row r="807">
          <cell r="A807">
            <v>1315740425</v>
          </cell>
          <cell r="B807" t="str">
            <v>השת'תלמידים-שעורים</v>
          </cell>
        </row>
        <row r="808">
          <cell r="A808">
            <v>1315740440</v>
          </cell>
          <cell r="B808" t="str">
            <v>הכנסות גפ"ן בית ספרי</v>
          </cell>
          <cell r="C808">
            <v>-400000</v>
          </cell>
        </row>
        <row r="809">
          <cell r="A809">
            <v>1315740911</v>
          </cell>
          <cell r="B809" t="str">
            <v>פעילות חוויתית יהודית</v>
          </cell>
        </row>
        <row r="810">
          <cell r="A810">
            <v>1315740915</v>
          </cell>
          <cell r="B810" t="str">
            <v>קייטנת קיץ בחט"ב ובתיכוניים</v>
          </cell>
        </row>
        <row r="811">
          <cell r="A811">
            <v>1315740920</v>
          </cell>
          <cell r="B811" t="str">
            <v>השת' הממשלה בשכל"מ</v>
          </cell>
          <cell r="C811">
            <v>-18927600</v>
          </cell>
        </row>
        <row r="812">
          <cell r="A812">
            <v>1315740921</v>
          </cell>
          <cell r="B812" t="str">
            <v>השתת' ממשלה - חט"ב</v>
          </cell>
          <cell r="C812">
            <v>-3013200</v>
          </cell>
        </row>
        <row r="813">
          <cell r="A813">
            <v>1315740922</v>
          </cell>
          <cell r="B813" t="str">
            <v xml:space="preserve">שעורי עזר לעולים  </v>
          </cell>
        </row>
        <row r="814">
          <cell r="A814">
            <v>1315740923</v>
          </cell>
          <cell r="B814" t="str">
            <v xml:space="preserve">שעורי עזר לנכים   </v>
          </cell>
          <cell r="C814">
            <v>-10000</v>
          </cell>
        </row>
        <row r="815">
          <cell r="A815">
            <v>1315740924</v>
          </cell>
          <cell r="B815" t="str">
            <v>תיגבור יהדות</v>
          </cell>
        </row>
        <row r="816">
          <cell r="A816">
            <v>1315740925</v>
          </cell>
          <cell r="B816" t="str">
            <v xml:space="preserve">קרן השתלמות לשכ"ל </v>
          </cell>
          <cell r="C816">
            <v>-1382500</v>
          </cell>
        </row>
        <row r="817">
          <cell r="A817">
            <v>1315740926</v>
          </cell>
          <cell r="B817" t="str">
            <v xml:space="preserve">השאלת מורים לחט"ב </v>
          </cell>
          <cell r="C817">
            <v>-348800</v>
          </cell>
        </row>
        <row r="818">
          <cell r="A818">
            <v>1315740927</v>
          </cell>
          <cell r="B818" t="str">
            <v>תכנית גי"א / מש"ב</v>
          </cell>
        </row>
        <row r="819">
          <cell r="A819">
            <v>1315740928</v>
          </cell>
          <cell r="B819" t="str">
            <v xml:space="preserve">ליווי לטיולים     </v>
          </cell>
          <cell r="C819">
            <v>-352900</v>
          </cell>
        </row>
        <row r="820">
          <cell r="A820">
            <v>1315740930</v>
          </cell>
          <cell r="B820" t="str">
            <v>עוז לתמורה</v>
          </cell>
          <cell r="C820">
            <v>-9432000</v>
          </cell>
        </row>
        <row r="821">
          <cell r="A821">
            <v>1315740932</v>
          </cell>
          <cell r="B821" t="str">
            <v>גמול בגרות אחוזי</v>
          </cell>
          <cell r="C821">
            <v>-496400</v>
          </cell>
        </row>
        <row r="822">
          <cell r="A822">
            <v>1315740933</v>
          </cell>
          <cell r="B822" t="str">
            <v>תכנית לאומית-קידום אנגלית</v>
          </cell>
        </row>
        <row r="823">
          <cell r="A823">
            <v>1315740934</v>
          </cell>
          <cell r="B823" t="str">
            <v>הצטיידות טכנולוגית במעבדות</v>
          </cell>
        </row>
        <row r="824">
          <cell r="A824">
            <v>1315740938</v>
          </cell>
          <cell r="B824" t="str">
            <v>השתת' מש' החינוך בטיולים</v>
          </cell>
        </row>
        <row r="825">
          <cell r="A825">
            <v>1315740952</v>
          </cell>
          <cell r="B825" t="str">
            <v>חט"ב - הכלה והשתלבות</v>
          </cell>
        </row>
        <row r="826">
          <cell r="A826">
            <v>1315740953</v>
          </cell>
          <cell r="B826" t="str">
            <v>מערכת גפ"ן</v>
          </cell>
          <cell r="C826">
            <v>-2071000</v>
          </cell>
        </row>
        <row r="827">
          <cell r="A827">
            <v>1315740990</v>
          </cell>
          <cell r="B827" t="str">
            <v>קשישים - שוויון חברתי</v>
          </cell>
        </row>
        <row r="828">
          <cell r="A828" t="str">
            <v>#VALUE!</v>
          </cell>
          <cell r="B828" t="str">
            <v xml:space="preserve">תיכון קרית - שרת  </v>
          </cell>
        </row>
        <row r="829">
          <cell r="A829">
            <v>13157500</v>
          </cell>
          <cell r="B829" t="str">
            <v xml:space="preserve">בי"ס תיכון אילון  </v>
          </cell>
        </row>
        <row r="830">
          <cell r="A830">
            <v>1315750312</v>
          </cell>
          <cell r="B830" t="str">
            <v>מסיבות כיתתיות</v>
          </cell>
          <cell r="C830">
            <v>-25000</v>
          </cell>
        </row>
        <row r="831">
          <cell r="A831">
            <v>1315750416</v>
          </cell>
          <cell r="B831" t="str">
            <v>פר' קשישים-משתתפים</v>
          </cell>
          <cell r="C831">
            <v>-30000</v>
          </cell>
        </row>
        <row r="832">
          <cell r="A832">
            <v>1315750417</v>
          </cell>
          <cell r="B832" t="str">
            <v>דמי בחינות</v>
          </cell>
        </row>
        <row r="833">
          <cell r="A833">
            <v>1315750440</v>
          </cell>
          <cell r="B833" t="str">
            <v>הכנסות גפ"ן בית ספרי</v>
          </cell>
          <cell r="C833">
            <v>-200000</v>
          </cell>
        </row>
        <row r="834">
          <cell r="A834">
            <v>1315750640</v>
          </cell>
          <cell r="B834" t="str">
            <v xml:space="preserve">שכר דירה מזנון    </v>
          </cell>
        </row>
        <row r="835">
          <cell r="A835">
            <v>1315750911</v>
          </cell>
          <cell r="B835" t="str">
            <v>פעילות חוויתית יהודית</v>
          </cell>
        </row>
        <row r="836">
          <cell r="A836">
            <v>1315750915</v>
          </cell>
          <cell r="B836" t="str">
            <v>קייטנת קיץ בחט"ב ובתיכוניים</v>
          </cell>
        </row>
        <row r="837">
          <cell r="A837">
            <v>1315750920</v>
          </cell>
          <cell r="B837" t="str">
            <v>השת' הממשלה בשכל"מ</v>
          </cell>
          <cell r="C837">
            <v>-15136200</v>
          </cell>
        </row>
        <row r="838">
          <cell r="A838">
            <v>1315750921</v>
          </cell>
          <cell r="B838" t="str">
            <v>השתת' ממשלה - חט"ב</v>
          </cell>
          <cell r="C838">
            <v>-1459900</v>
          </cell>
        </row>
        <row r="839">
          <cell r="A839">
            <v>1315750922</v>
          </cell>
          <cell r="B839" t="str">
            <v xml:space="preserve">שעורי עזר לעולים  </v>
          </cell>
        </row>
        <row r="840">
          <cell r="A840">
            <v>1315750923</v>
          </cell>
          <cell r="B840" t="str">
            <v xml:space="preserve">שעורי עזר לנכים   </v>
          </cell>
        </row>
        <row r="841">
          <cell r="A841">
            <v>1315750925</v>
          </cell>
          <cell r="B841" t="str">
            <v xml:space="preserve">קרן השתלמות לשכ"ל </v>
          </cell>
          <cell r="C841">
            <v>-950000</v>
          </cell>
        </row>
        <row r="842">
          <cell r="A842">
            <v>1315750926</v>
          </cell>
          <cell r="B842" t="str">
            <v xml:space="preserve">השאלת מורים לחט"ב </v>
          </cell>
          <cell r="C842">
            <v>-283700</v>
          </cell>
        </row>
        <row r="843">
          <cell r="A843">
            <v>1315750927</v>
          </cell>
          <cell r="B843" t="str">
            <v>תכנית גי"א / מש"ב</v>
          </cell>
        </row>
        <row r="844">
          <cell r="A844">
            <v>1315750928</v>
          </cell>
          <cell r="B844" t="str">
            <v xml:space="preserve">ליווי לטיולים     </v>
          </cell>
          <cell r="C844">
            <v>-262000</v>
          </cell>
        </row>
        <row r="845">
          <cell r="A845">
            <v>1315750930</v>
          </cell>
          <cell r="B845" t="str">
            <v>עוז לתמורה</v>
          </cell>
          <cell r="C845">
            <v>7081800</v>
          </cell>
        </row>
        <row r="846">
          <cell r="A846">
            <v>1315750932</v>
          </cell>
          <cell r="B846" t="str">
            <v>גמול בגרות אחוזי</v>
          </cell>
          <cell r="C846">
            <v>-314000</v>
          </cell>
        </row>
        <row r="847">
          <cell r="A847">
            <v>1315750933</v>
          </cell>
          <cell r="B847" t="str">
            <v>תכנית לאומית-קידום אנגלית</v>
          </cell>
        </row>
        <row r="848">
          <cell r="A848">
            <v>1315750934</v>
          </cell>
          <cell r="B848" t="str">
            <v>הצטיידות טכנולוגית במעבדות</v>
          </cell>
        </row>
        <row r="849">
          <cell r="A849">
            <v>1315750938</v>
          </cell>
          <cell r="B849" t="str">
            <v>השתת' מש' החינוך בטיולים</v>
          </cell>
        </row>
        <row r="850">
          <cell r="A850">
            <v>1315750952</v>
          </cell>
          <cell r="B850" t="str">
            <v>חט"ב - הכלה והשתלבות</v>
          </cell>
        </row>
        <row r="851">
          <cell r="A851">
            <v>1315750953</v>
          </cell>
          <cell r="B851" t="str">
            <v>מערכת גפ"ן</v>
          </cell>
          <cell r="C851">
            <v>-1565000</v>
          </cell>
        </row>
        <row r="852">
          <cell r="A852">
            <v>1315750990</v>
          </cell>
          <cell r="B852" t="str">
            <v>קשישים - שוויון חברתי</v>
          </cell>
        </row>
        <row r="853">
          <cell r="A853" t="str">
            <v>#VALUE!</v>
          </cell>
          <cell r="B853" t="str">
            <v xml:space="preserve">בי"ס תיכון אילון  </v>
          </cell>
        </row>
        <row r="854">
          <cell r="A854">
            <v>13157600</v>
          </cell>
          <cell r="B854" t="str">
            <v xml:space="preserve">בי"ס תיכון יבנה   </v>
          </cell>
        </row>
        <row r="855">
          <cell r="A855">
            <v>1315760312</v>
          </cell>
          <cell r="B855" t="str">
            <v>מסיבות כיתתיות</v>
          </cell>
          <cell r="C855">
            <v>-9000</v>
          </cell>
        </row>
        <row r="856">
          <cell r="A856">
            <v>1315760414</v>
          </cell>
          <cell r="B856" t="str">
            <v>שע' עזר - אולפנא ( הורים )</v>
          </cell>
        </row>
        <row r="857">
          <cell r="A857">
            <v>1315760416</v>
          </cell>
          <cell r="B857" t="str">
            <v>פר' קשישים-משתתפים</v>
          </cell>
        </row>
        <row r="858">
          <cell r="A858">
            <v>1315760417</v>
          </cell>
          <cell r="B858" t="str">
            <v>דמי בחינות</v>
          </cell>
        </row>
        <row r="859">
          <cell r="A859">
            <v>1315760421</v>
          </cell>
          <cell r="B859" t="str">
            <v xml:space="preserve">הכנסות מפסיכולוג  </v>
          </cell>
        </row>
        <row r="860">
          <cell r="A860">
            <v>1315760440</v>
          </cell>
          <cell r="B860" t="str">
            <v>הכנסות גפ"ן בית ספרי</v>
          </cell>
          <cell r="C860">
            <v>-129300</v>
          </cell>
        </row>
        <row r="861">
          <cell r="A861">
            <v>1315760911</v>
          </cell>
          <cell r="B861" t="str">
            <v>פעילות חוויתית יהודית</v>
          </cell>
        </row>
        <row r="862">
          <cell r="A862">
            <v>1315760915</v>
          </cell>
          <cell r="B862" t="str">
            <v>קייטנת קיץ בחט"ב ובתיכוניים</v>
          </cell>
        </row>
        <row r="863">
          <cell r="A863">
            <v>1315760920</v>
          </cell>
          <cell r="B863" t="str">
            <v>השת' הממשלה בשכל"מ</v>
          </cell>
          <cell r="C863">
            <v>-2826300</v>
          </cell>
        </row>
        <row r="864">
          <cell r="A864">
            <v>1315760921</v>
          </cell>
          <cell r="B864" t="str">
            <v>השתת' ממשלה - חט"ב</v>
          </cell>
          <cell r="C864">
            <v>-712100</v>
          </cell>
        </row>
        <row r="865">
          <cell r="A865">
            <v>1315760922</v>
          </cell>
          <cell r="B865" t="str">
            <v xml:space="preserve">שעורי עזר לעולים  </v>
          </cell>
        </row>
        <row r="866">
          <cell r="A866">
            <v>1315760923</v>
          </cell>
          <cell r="B866" t="str">
            <v xml:space="preserve">שעורי עזר לנכים   </v>
          </cell>
          <cell r="C866">
            <v>-12000</v>
          </cell>
        </row>
        <row r="867">
          <cell r="A867">
            <v>1315760924</v>
          </cell>
          <cell r="B867" t="str">
            <v>שעות רב</v>
          </cell>
          <cell r="C867">
            <v>-115000</v>
          </cell>
        </row>
        <row r="868">
          <cell r="A868">
            <v>1315760925</v>
          </cell>
          <cell r="B868" t="str">
            <v xml:space="preserve">קרן השתלמות לשכ"ל </v>
          </cell>
          <cell r="C868">
            <v>-194900</v>
          </cell>
        </row>
        <row r="869">
          <cell r="A869">
            <v>1315760926</v>
          </cell>
          <cell r="B869" t="str">
            <v xml:space="preserve">השאלת מורים לחט"ב </v>
          </cell>
          <cell r="C869">
            <v>-237500</v>
          </cell>
        </row>
        <row r="870">
          <cell r="A870">
            <v>1315760927</v>
          </cell>
          <cell r="B870" t="str">
            <v>תכנית גי"א / מש"ב</v>
          </cell>
        </row>
        <row r="871">
          <cell r="A871">
            <v>1315760928</v>
          </cell>
          <cell r="B871" t="str">
            <v xml:space="preserve">ליווי לטיולים     </v>
          </cell>
          <cell r="C871">
            <v>-60500</v>
          </cell>
        </row>
        <row r="872">
          <cell r="A872">
            <v>1315760929</v>
          </cell>
          <cell r="B872" t="str">
            <v xml:space="preserve">אורח חיים בריא    </v>
          </cell>
        </row>
        <row r="873">
          <cell r="A873">
            <v>1315760930</v>
          </cell>
          <cell r="B873" t="str">
            <v>עוז לתמורה</v>
          </cell>
          <cell r="C873">
            <v>-1661300</v>
          </cell>
        </row>
        <row r="874">
          <cell r="A874">
            <v>1315760932</v>
          </cell>
          <cell r="B874" t="str">
            <v>גמול בגרות אחוזי</v>
          </cell>
          <cell r="C874">
            <v>-91200</v>
          </cell>
        </row>
        <row r="875">
          <cell r="A875">
            <v>1315760933</v>
          </cell>
          <cell r="B875" t="str">
            <v>תכנית לאומית-קידום אנגלית</v>
          </cell>
        </row>
        <row r="876">
          <cell r="A876">
            <v>1315760934</v>
          </cell>
          <cell r="B876" t="str">
            <v>הצטיידות טכנולוגית במעבדות</v>
          </cell>
        </row>
        <row r="877">
          <cell r="A877">
            <v>1315760938</v>
          </cell>
          <cell r="B877" t="str">
            <v>השתת' מש' החינוך בטיולים</v>
          </cell>
        </row>
        <row r="878">
          <cell r="A878">
            <v>1315760952</v>
          </cell>
          <cell r="B878" t="str">
            <v>חט"ב - הכלה והשתלבות</v>
          </cell>
        </row>
        <row r="879">
          <cell r="A879">
            <v>1315760953</v>
          </cell>
          <cell r="B879" t="str">
            <v>מערכת גפ"ן</v>
          </cell>
          <cell r="C879">
            <v>-698000</v>
          </cell>
        </row>
        <row r="880">
          <cell r="A880" t="str">
            <v>#VALUE!</v>
          </cell>
          <cell r="B880" t="str">
            <v xml:space="preserve">בי"ס תיכון יבנה   </v>
          </cell>
        </row>
        <row r="881">
          <cell r="A881">
            <v>13157700</v>
          </cell>
          <cell r="B881" t="str">
            <v>גמנסיה למדעים-קציר</v>
          </cell>
        </row>
        <row r="882">
          <cell r="A882">
            <v>1315770312</v>
          </cell>
          <cell r="B882" t="str">
            <v>מסיבות כיתתיות</v>
          </cell>
          <cell r="C882">
            <v>-30000</v>
          </cell>
        </row>
        <row r="883">
          <cell r="A883">
            <v>1315770410</v>
          </cell>
          <cell r="B883" t="str">
            <v xml:space="preserve">תלמידי חוץ        </v>
          </cell>
        </row>
        <row r="884">
          <cell r="A884">
            <v>1315770417</v>
          </cell>
          <cell r="B884" t="str">
            <v>דמי בחינות</v>
          </cell>
        </row>
        <row r="885">
          <cell r="A885">
            <v>1315770421</v>
          </cell>
          <cell r="B885" t="str">
            <v xml:space="preserve">הכנסות מפסיכולוג  </v>
          </cell>
        </row>
        <row r="886">
          <cell r="A886">
            <v>1315770425</v>
          </cell>
          <cell r="B886" t="str">
            <v>השת'תלמידים-שעורים</v>
          </cell>
        </row>
        <row r="887">
          <cell r="A887">
            <v>1315770429</v>
          </cell>
          <cell r="B887" t="str">
            <v xml:space="preserve">אשכולות פיס       </v>
          </cell>
        </row>
        <row r="888">
          <cell r="A888">
            <v>1315770440</v>
          </cell>
          <cell r="B888" t="str">
            <v>הכנסות גפ"ן בית ספרי</v>
          </cell>
          <cell r="C888">
            <v>-330000</v>
          </cell>
        </row>
        <row r="889">
          <cell r="A889">
            <v>1315770911</v>
          </cell>
          <cell r="B889" t="str">
            <v>פעילות חוויתית יהודית</v>
          </cell>
        </row>
        <row r="890">
          <cell r="A890">
            <v>1315770915</v>
          </cell>
          <cell r="B890" t="str">
            <v>קייטנת קיץ בחט"ב ובתיכוניים</v>
          </cell>
        </row>
        <row r="891">
          <cell r="A891">
            <v>1315770920</v>
          </cell>
          <cell r="B891" t="str">
            <v>השת' הממשלה בשכל"מ</v>
          </cell>
          <cell r="C891">
            <v>-11489300</v>
          </cell>
        </row>
        <row r="892">
          <cell r="A892">
            <v>1315770921</v>
          </cell>
          <cell r="B892" t="str">
            <v>השתת' ממשלה - חט"ב</v>
          </cell>
          <cell r="C892">
            <v>-2237900</v>
          </cell>
        </row>
        <row r="893">
          <cell r="A893">
            <v>1315770922</v>
          </cell>
          <cell r="B893" t="str">
            <v xml:space="preserve">שעורי עזר לעולים  </v>
          </cell>
        </row>
        <row r="894">
          <cell r="A894">
            <v>1315770923</v>
          </cell>
          <cell r="B894" t="str">
            <v xml:space="preserve">שעורי עזר לנכים   </v>
          </cell>
        </row>
        <row r="895">
          <cell r="A895">
            <v>1315770924</v>
          </cell>
          <cell r="B895" t="str">
            <v>תיגבור יהדות</v>
          </cell>
        </row>
        <row r="896">
          <cell r="A896">
            <v>1315770925</v>
          </cell>
          <cell r="B896" t="str">
            <v xml:space="preserve">קרן השתלמות לשכ"ל </v>
          </cell>
          <cell r="C896">
            <v>-822500</v>
          </cell>
        </row>
        <row r="897">
          <cell r="A897">
            <v>1315770926</v>
          </cell>
          <cell r="B897" t="str">
            <v xml:space="preserve">השאלת מורים לחט"ב </v>
          </cell>
          <cell r="C897">
            <v>0</v>
          </cell>
        </row>
        <row r="898">
          <cell r="A898">
            <v>1315770927</v>
          </cell>
          <cell r="B898" t="str">
            <v>תכנית גי"א / מש"ב</v>
          </cell>
        </row>
        <row r="899">
          <cell r="A899">
            <v>1315770928</v>
          </cell>
          <cell r="B899" t="str">
            <v xml:space="preserve">ליווי לטיולים     </v>
          </cell>
          <cell r="C899">
            <v>-227500</v>
          </cell>
        </row>
        <row r="900">
          <cell r="A900">
            <v>1315770929</v>
          </cell>
          <cell r="B900" t="str">
            <v xml:space="preserve">אשכולות פיס       </v>
          </cell>
          <cell r="C900">
            <v>-600000</v>
          </cell>
        </row>
        <row r="901">
          <cell r="A901">
            <v>1315770930</v>
          </cell>
          <cell r="B901" t="str">
            <v>עוז לתמורה</v>
          </cell>
          <cell r="C901">
            <v>-5848300</v>
          </cell>
        </row>
        <row r="902">
          <cell r="A902">
            <v>1315770932</v>
          </cell>
          <cell r="B902" t="str">
            <v>גמול בגרות אחוזי</v>
          </cell>
          <cell r="C902">
            <v>-327200</v>
          </cell>
        </row>
        <row r="903">
          <cell r="A903">
            <v>1315770933</v>
          </cell>
          <cell r="B903" t="str">
            <v>תכנית לאומית-קידום אנגלית</v>
          </cell>
        </row>
        <row r="904">
          <cell r="A904">
            <v>1315770934</v>
          </cell>
          <cell r="B904" t="str">
            <v>הצטיידות טכנולוגית במעבדות</v>
          </cell>
        </row>
        <row r="905">
          <cell r="A905">
            <v>1315770938</v>
          </cell>
          <cell r="B905" t="str">
            <v>השתת' מש' החינוך בטיולים</v>
          </cell>
        </row>
        <row r="906">
          <cell r="A906">
            <v>1315770952</v>
          </cell>
          <cell r="B906" t="str">
            <v>חט"ב - הכלה והשתלבות</v>
          </cell>
        </row>
        <row r="907">
          <cell r="A907">
            <v>1315770953</v>
          </cell>
          <cell r="B907" t="str">
            <v>מערכת גפ"ן</v>
          </cell>
          <cell r="C907">
            <v>-2000000</v>
          </cell>
        </row>
        <row r="908">
          <cell r="A908" t="str">
            <v>#VALUE!</v>
          </cell>
          <cell r="B908" t="str">
            <v>גמנסיה למדעים-קציר</v>
          </cell>
        </row>
        <row r="909">
          <cell r="A909">
            <v>13157800</v>
          </cell>
          <cell r="B909" t="str">
            <v xml:space="preserve">תיכון כרם שלמה    </v>
          </cell>
        </row>
        <row r="910">
          <cell r="A910">
            <v>1315780417</v>
          </cell>
          <cell r="B910" t="str">
            <v>דמי בחינות</v>
          </cell>
        </row>
        <row r="911">
          <cell r="A911">
            <v>1315780920</v>
          </cell>
          <cell r="B911" t="str">
            <v>השת' הממשלה בשכל"מ</v>
          </cell>
        </row>
        <row r="912">
          <cell r="A912">
            <v>1315780921</v>
          </cell>
          <cell r="B912" t="str">
            <v xml:space="preserve">השתת' משרד החינוך </v>
          </cell>
        </row>
        <row r="913">
          <cell r="A913">
            <v>1315780922</v>
          </cell>
          <cell r="B913" t="str">
            <v xml:space="preserve">שעורי עזר לעולים  </v>
          </cell>
        </row>
        <row r="914">
          <cell r="A914">
            <v>1315780923</v>
          </cell>
          <cell r="B914" t="str">
            <v xml:space="preserve">שעורי עזר לנכים  </v>
          </cell>
        </row>
        <row r="915">
          <cell r="A915">
            <v>1315780924</v>
          </cell>
          <cell r="B915" t="str">
            <v>תיגבור יהדות</v>
          </cell>
        </row>
        <row r="916">
          <cell r="A916">
            <v>1315780925</v>
          </cell>
          <cell r="B916" t="str">
            <v xml:space="preserve">קרן השתלמות לשכ"ל </v>
          </cell>
        </row>
        <row r="917">
          <cell r="A917">
            <v>1315780926</v>
          </cell>
          <cell r="B917" t="str">
            <v xml:space="preserve">השאלת מורים לחט"ב </v>
          </cell>
        </row>
        <row r="918">
          <cell r="A918">
            <v>1315780927</v>
          </cell>
          <cell r="B918" t="str">
            <v>שעות גיל</v>
          </cell>
        </row>
        <row r="919">
          <cell r="A919">
            <v>1315780928</v>
          </cell>
          <cell r="B919" t="str">
            <v xml:space="preserve">ליווי לטיולים     </v>
          </cell>
        </row>
        <row r="920">
          <cell r="A920">
            <v>1315780930</v>
          </cell>
          <cell r="B920" t="str">
            <v>עוז לתמורה</v>
          </cell>
        </row>
        <row r="921">
          <cell r="A921">
            <v>1315780932</v>
          </cell>
          <cell r="B921" t="str">
            <v>גמול בגרות אחוזי</v>
          </cell>
        </row>
        <row r="922">
          <cell r="A922">
            <v>1315780933</v>
          </cell>
          <cell r="B922" t="str">
            <v>תכנית לאומית-קידום אנגלית</v>
          </cell>
        </row>
        <row r="923">
          <cell r="A923">
            <v>1315780934</v>
          </cell>
          <cell r="B923" t="str">
            <v>הצטיידות טכנולוגית במעבדות</v>
          </cell>
        </row>
        <row r="924">
          <cell r="A924">
            <v>1315780938</v>
          </cell>
          <cell r="B924" t="str">
            <v>השתת' מש' החינוך בטיולים</v>
          </cell>
        </row>
        <row r="925">
          <cell r="A925" t="str">
            <v>#VALUE!</v>
          </cell>
          <cell r="B925" t="str">
            <v xml:space="preserve">תיכון כרם שלמה    </v>
          </cell>
        </row>
        <row r="926">
          <cell r="A926">
            <v>13157900</v>
          </cell>
          <cell r="B926" t="str">
            <v>תיכון דמוקרטי (יחד)</v>
          </cell>
        </row>
        <row r="927">
          <cell r="A927">
            <v>1315790312</v>
          </cell>
          <cell r="B927" t="str">
            <v>מסיבות כיתתיות</v>
          </cell>
        </row>
        <row r="928">
          <cell r="A928">
            <v>1315790417</v>
          </cell>
          <cell r="B928" t="str">
            <v>דמי בחינות</v>
          </cell>
        </row>
        <row r="929">
          <cell r="A929">
            <v>1315790911</v>
          </cell>
          <cell r="B929" t="str">
            <v>פעילות חוויתית יהודית</v>
          </cell>
        </row>
        <row r="930">
          <cell r="A930">
            <v>1315790921</v>
          </cell>
          <cell r="B930" t="str">
            <v xml:space="preserve">השתת' משרד החינוך </v>
          </cell>
        </row>
        <row r="931">
          <cell r="A931">
            <v>1315790930</v>
          </cell>
          <cell r="B931" t="str">
            <v>עוז לתמורה</v>
          </cell>
        </row>
        <row r="932">
          <cell r="A932">
            <v>1315790933</v>
          </cell>
          <cell r="B932" t="str">
            <v>תכנית לאומית-קידום אנגלית</v>
          </cell>
        </row>
        <row r="933">
          <cell r="A933">
            <v>1315790938</v>
          </cell>
          <cell r="B933" t="str">
            <v>השתת' מש' החינוך בטיולים</v>
          </cell>
        </row>
        <row r="934">
          <cell r="A934">
            <v>1315790952</v>
          </cell>
          <cell r="B934" t="str">
            <v>חט"ב-הכלה והשתלבות</v>
          </cell>
        </row>
        <row r="935">
          <cell r="A935" t="str">
            <v>#VALUE!</v>
          </cell>
          <cell r="B935" t="str">
            <v>תיכון דמוקרטי (יחד)</v>
          </cell>
        </row>
        <row r="936">
          <cell r="A936">
            <v>13158000</v>
          </cell>
          <cell r="B936" t="str">
            <v>בי"ס תיכון עתידים</v>
          </cell>
        </row>
        <row r="937">
          <cell r="A937">
            <v>1315800312</v>
          </cell>
          <cell r="B937" t="str">
            <v>מסיבות כיתתיות</v>
          </cell>
          <cell r="C937">
            <v>-20000</v>
          </cell>
        </row>
        <row r="938">
          <cell r="A938">
            <v>1315800416</v>
          </cell>
          <cell r="B938" t="str">
            <v>פר' קשישים-משתתפים</v>
          </cell>
          <cell r="C938">
            <v>-30000</v>
          </cell>
        </row>
        <row r="939">
          <cell r="A939">
            <v>1315800417</v>
          </cell>
          <cell r="B939" t="str">
            <v>דמי בחינות</v>
          </cell>
        </row>
        <row r="940">
          <cell r="A940">
            <v>1315800440</v>
          </cell>
          <cell r="B940" t="str">
            <v>הכנסות גפ"ן בית ספרי</v>
          </cell>
          <cell r="C940">
            <v>-314000</v>
          </cell>
        </row>
        <row r="941">
          <cell r="A941">
            <v>1315800640</v>
          </cell>
          <cell r="B941" t="str">
            <v>שכר דירה ממזנון</v>
          </cell>
        </row>
        <row r="942">
          <cell r="A942">
            <v>1315800911</v>
          </cell>
          <cell r="B942" t="str">
            <v>פעילות חוויתית יהודית</v>
          </cell>
        </row>
        <row r="943">
          <cell r="A943">
            <v>1315800915</v>
          </cell>
          <cell r="B943" t="str">
            <v>קייטנת קיץ בחט"ב ובתיכוניים</v>
          </cell>
        </row>
        <row r="944">
          <cell r="A944">
            <v>1315800920</v>
          </cell>
          <cell r="B944" t="str">
            <v>השת' הממשלה בשכל"מ</v>
          </cell>
          <cell r="C944">
            <v>-9463500</v>
          </cell>
        </row>
        <row r="945">
          <cell r="A945">
            <v>1315800921</v>
          </cell>
          <cell r="B945" t="str">
            <v>השתת' הממשלה-חט"ב</v>
          </cell>
          <cell r="C945">
            <v>-1418600</v>
          </cell>
        </row>
        <row r="946">
          <cell r="A946">
            <v>1315800922</v>
          </cell>
          <cell r="B946" t="str">
            <v xml:space="preserve">שעורי עזר לעולים  </v>
          </cell>
          <cell r="C946">
            <v>-90000</v>
          </cell>
        </row>
        <row r="947">
          <cell r="A947">
            <v>1315800923</v>
          </cell>
          <cell r="B947" t="str">
            <v>שעורי עזר לנכים</v>
          </cell>
        </row>
        <row r="948">
          <cell r="A948">
            <v>1315800924</v>
          </cell>
          <cell r="B948" t="str">
            <v>תיגבור לימודי יהדות</v>
          </cell>
        </row>
        <row r="949">
          <cell r="A949">
            <v>1315800925</v>
          </cell>
          <cell r="B949" t="str">
            <v xml:space="preserve">קרן השתלמות לשכ"ל </v>
          </cell>
          <cell r="C949">
            <v>-605000</v>
          </cell>
        </row>
        <row r="950">
          <cell r="A950">
            <v>1315800926</v>
          </cell>
          <cell r="B950" t="str">
            <v xml:space="preserve">השאלת מורים לחט"ב </v>
          </cell>
          <cell r="C950">
            <v>-434100</v>
          </cell>
        </row>
        <row r="951">
          <cell r="A951">
            <v>1315800927</v>
          </cell>
          <cell r="B951" t="str">
            <v>תכנית גי"א / מש"ב</v>
          </cell>
        </row>
        <row r="952">
          <cell r="A952">
            <v>1315800928</v>
          </cell>
          <cell r="B952" t="str">
            <v xml:space="preserve">ליווי לטיולים     </v>
          </cell>
          <cell r="C952">
            <v>-114000</v>
          </cell>
        </row>
        <row r="953">
          <cell r="A953">
            <v>1315800930</v>
          </cell>
          <cell r="B953" t="str">
            <v>עוז לתמורה</v>
          </cell>
          <cell r="C953">
            <v>-5197000</v>
          </cell>
        </row>
        <row r="954">
          <cell r="A954">
            <v>1315800932</v>
          </cell>
          <cell r="B954" t="str">
            <v>גמול בגרות אחוזי</v>
          </cell>
          <cell r="C954">
            <v>-231000</v>
          </cell>
        </row>
        <row r="955">
          <cell r="A955">
            <v>1315800933</v>
          </cell>
          <cell r="B955" t="str">
            <v>תכנית לאומית-קידום אנגלית</v>
          </cell>
        </row>
        <row r="956">
          <cell r="A956">
            <v>1315800934</v>
          </cell>
          <cell r="B956" t="str">
            <v>הצטיידות טכנולוגית במעבדות</v>
          </cell>
        </row>
        <row r="957">
          <cell r="A957">
            <v>1315800938</v>
          </cell>
          <cell r="B957" t="str">
            <v>השתת' מש' החינוך בטיולים</v>
          </cell>
        </row>
        <row r="958">
          <cell r="A958">
            <v>1315800952</v>
          </cell>
          <cell r="B958" t="str">
            <v>חט"ב - הכלה והשתלבות</v>
          </cell>
        </row>
        <row r="959">
          <cell r="A959">
            <v>1315800953</v>
          </cell>
          <cell r="B959" t="str">
            <v>מערכת גפ"ן</v>
          </cell>
          <cell r="C959">
            <v>-1588000</v>
          </cell>
        </row>
        <row r="960">
          <cell r="A960">
            <v>1315800990</v>
          </cell>
          <cell r="B960" t="str">
            <v>קשישים - שוויון חברתי</v>
          </cell>
        </row>
        <row r="961">
          <cell r="A961" t="str">
            <v>#VALUE!</v>
          </cell>
          <cell r="B961" t="str">
            <v>שש שנתי עתידים</v>
          </cell>
        </row>
        <row r="962">
          <cell r="A962">
            <v>13158100</v>
          </cell>
          <cell r="B962" t="str">
            <v>בי"ס תיכון הייטק - היי</v>
          </cell>
        </row>
        <row r="963">
          <cell r="A963">
            <v>1315810312</v>
          </cell>
          <cell r="B963" t="str">
            <v>מסיבות כיתתיות</v>
          </cell>
          <cell r="C963">
            <v>-12500</v>
          </cell>
        </row>
        <row r="964">
          <cell r="A964">
            <v>1315810417</v>
          </cell>
          <cell r="B964" t="str">
            <v>דמי בחינות</v>
          </cell>
        </row>
        <row r="965">
          <cell r="A965">
            <v>1315810440</v>
          </cell>
          <cell r="B965" t="str">
            <v>הכנסות גפ"ן בית ספרי</v>
          </cell>
          <cell r="C965">
            <v>-143000</v>
          </cell>
        </row>
        <row r="966">
          <cell r="A966">
            <v>1315810911</v>
          </cell>
          <cell r="B966" t="str">
            <v>פעילות חוויתית יהודית</v>
          </cell>
        </row>
        <row r="967">
          <cell r="A967">
            <v>1315810915</v>
          </cell>
          <cell r="B967" t="str">
            <v>קייטנת קיץ בחט"ב ובתיכוניים</v>
          </cell>
        </row>
        <row r="968">
          <cell r="A968">
            <v>1315810920</v>
          </cell>
          <cell r="B968" t="str">
            <v>השת' הממשלה בשכל"מ</v>
          </cell>
          <cell r="C968">
            <v>-6716900</v>
          </cell>
        </row>
        <row r="969">
          <cell r="A969">
            <v>1315810921</v>
          </cell>
          <cell r="B969" t="str">
            <v>השתת' הממשלה-חט"ב</v>
          </cell>
          <cell r="C969">
            <v>-959500</v>
          </cell>
        </row>
        <row r="970">
          <cell r="A970">
            <v>1315810922</v>
          </cell>
          <cell r="B970" t="str">
            <v xml:space="preserve">שעורי עזר לעולים  </v>
          </cell>
          <cell r="C970">
            <v>-7000</v>
          </cell>
        </row>
        <row r="971">
          <cell r="A971">
            <v>1315810923</v>
          </cell>
          <cell r="B971" t="str">
            <v>שעורי עזר לנכים</v>
          </cell>
        </row>
        <row r="972">
          <cell r="A972">
            <v>1315810924</v>
          </cell>
          <cell r="B972" t="str">
            <v>תיגבור לימודי יהדות</v>
          </cell>
        </row>
        <row r="973">
          <cell r="A973">
            <v>1315810925</v>
          </cell>
          <cell r="B973" t="str">
            <v xml:space="preserve">קרן השתלמות לשכ"ל </v>
          </cell>
          <cell r="C973">
            <v>-380700</v>
          </cell>
        </row>
        <row r="974">
          <cell r="A974">
            <v>1315810926</v>
          </cell>
          <cell r="B974" t="str">
            <v xml:space="preserve">השאלת מורים לחט"ב </v>
          </cell>
        </row>
        <row r="975">
          <cell r="A975">
            <v>1315810927</v>
          </cell>
          <cell r="B975" t="str">
            <v>תכנית גי"א / מש"ב</v>
          </cell>
        </row>
        <row r="976">
          <cell r="A976">
            <v>1315810928</v>
          </cell>
          <cell r="B976" t="str">
            <v xml:space="preserve">ליווי לטיולים     </v>
          </cell>
          <cell r="C976">
            <v>-89000</v>
          </cell>
        </row>
        <row r="977">
          <cell r="A977">
            <v>1315810930</v>
          </cell>
          <cell r="B977" t="str">
            <v>עוז לתמורה</v>
          </cell>
          <cell r="C977">
            <v>-3628100</v>
          </cell>
        </row>
        <row r="978">
          <cell r="A978">
            <v>1315810932</v>
          </cell>
          <cell r="B978" t="str">
            <v>גמול בגרות אחוזי</v>
          </cell>
          <cell r="C978">
            <v>-122900</v>
          </cell>
        </row>
        <row r="979">
          <cell r="A979">
            <v>1315810933</v>
          </cell>
          <cell r="B979" t="str">
            <v>תכנית לאומית-קידום אנגלית</v>
          </cell>
        </row>
        <row r="980">
          <cell r="A980">
            <v>1315810934</v>
          </cell>
          <cell r="B980" t="str">
            <v>הצטיידות טכנולוגית במעבדות</v>
          </cell>
        </row>
        <row r="981">
          <cell r="A981">
            <v>1315810938</v>
          </cell>
          <cell r="B981" t="str">
            <v>השתת' מש' החינוך בטיולים</v>
          </cell>
        </row>
        <row r="982">
          <cell r="A982">
            <v>1315810952</v>
          </cell>
          <cell r="B982" t="str">
            <v>חט"ב - הכלה והשתלבות</v>
          </cell>
        </row>
        <row r="983">
          <cell r="A983">
            <v>1315810953</v>
          </cell>
          <cell r="B983" t="str">
            <v>מערכת גפ"ן</v>
          </cell>
          <cell r="C983">
            <v>-813000</v>
          </cell>
        </row>
        <row r="984">
          <cell r="A984" t="str">
            <v>#VALUE!</v>
          </cell>
          <cell r="B984" t="str">
            <v>בי"ס תיכון הייטק - היי</v>
          </cell>
        </row>
        <row r="985">
          <cell r="A985">
            <v>13158200</v>
          </cell>
          <cell r="B985" t="str">
            <v>תיכון חרדי לווית  חן</v>
          </cell>
        </row>
        <row r="986">
          <cell r="A986">
            <v>1315820312</v>
          </cell>
          <cell r="B986" t="str">
            <v>מסיבות כיתתיות</v>
          </cell>
          <cell r="C986">
            <v>-9000</v>
          </cell>
        </row>
        <row r="987">
          <cell r="A987">
            <v>1315820440</v>
          </cell>
          <cell r="B987" t="str">
            <v>הכנסות גפ"ן בית ספרי</v>
          </cell>
          <cell r="C987">
            <v>-110000</v>
          </cell>
        </row>
        <row r="988">
          <cell r="A988">
            <v>1315820911</v>
          </cell>
          <cell r="B988" t="str">
            <v>פעילות חוויתית יהודית</v>
          </cell>
        </row>
        <row r="989">
          <cell r="A989">
            <v>1315820915</v>
          </cell>
          <cell r="B989" t="str">
            <v>קייטנת קיץ בחט"ב ובתיכוניים</v>
          </cell>
        </row>
        <row r="990">
          <cell r="A990">
            <v>1315820920</v>
          </cell>
          <cell r="B990" t="str">
            <v>השת' הממשלה בשכל"מ</v>
          </cell>
          <cell r="C990">
            <v>-5146800</v>
          </cell>
        </row>
        <row r="991">
          <cell r="A991">
            <v>1315820923</v>
          </cell>
          <cell r="B991" t="str">
            <v>שעורי עזר לנכים</v>
          </cell>
          <cell r="C991">
            <v>-107800</v>
          </cell>
        </row>
        <row r="992">
          <cell r="A992">
            <v>1315820924</v>
          </cell>
          <cell r="B992" t="str">
            <v>תיגבור לימודי יהדות</v>
          </cell>
        </row>
        <row r="993">
          <cell r="A993">
            <v>1315820925</v>
          </cell>
          <cell r="B993" t="str">
            <v xml:space="preserve">קרן השתלמות לשכ"ל </v>
          </cell>
          <cell r="C993">
            <v>-327000</v>
          </cell>
        </row>
        <row r="994">
          <cell r="A994">
            <v>1315820927</v>
          </cell>
          <cell r="B994" t="str">
            <v>תכנית גי"א / מש"ב</v>
          </cell>
        </row>
        <row r="995">
          <cell r="A995">
            <v>1315820928</v>
          </cell>
          <cell r="B995" t="str">
            <v xml:space="preserve">ליווי לטיולים     </v>
          </cell>
          <cell r="C995">
            <v>-80900</v>
          </cell>
        </row>
        <row r="996">
          <cell r="A996">
            <v>1315820930</v>
          </cell>
          <cell r="B996" t="str">
            <v>עוז לתמורה</v>
          </cell>
          <cell r="C996">
            <v>-2215500</v>
          </cell>
        </row>
        <row r="997">
          <cell r="A997">
            <v>1315820932</v>
          </cell>
          <cell r="B997" t="str">
            <v>גמול בגרות אחוזי</v>
          </cell>
          <cell r="C997">
            <v>-89500</v>
          </cell>
        </row>
        <row r="998">
          <cell r="A998">
            <v>1315820933</v>
          </cell>
          <cell r="B998" t="str">
            <v>תכנית לאומית-קידום אנגלית</v>
          </cell>
        </row>
        <row r="999">
          <cell r="A999">
            <v>1315820953</v>
          </cell>
          <cell r="B999" t="str">
            <v>מערכת גפ"ן</v>
          </cell>
          <cell r="C999">
            <v>-502000</v>
          </cell>
        </row>
        <row r="1000">
          <cell r="A1000" t="str">
            <v>#VALUE!</v>
          </cell>
          <cell r="B1000" t="str">
            <v>תיכון חרדי לווית  חן</v>
          </cell>
        </row>
        <row r="1001">
          <cell r="A1001">
            <v>13158300</v>
          </cell>
          <cell r="B1001" t="str">
            <v>תיכון חנקין</v>
          </cell>
        </row>
        <row r="1002">
          <cell r="A1002">
            <v>1315830312</v>
          </cell>
          <cell r="B1002" t="str">
            <v>מסיבות כיתתיות</v>
          </cell>
          <cell r="C1002">
            <v>-8600</v>
          </cell>
        </row>
        <row r="1003">
          <cell r="A1003">
            <v>1315830921</v>
          </cell>
          <cell r="B1003" t="str">
            <v>השתת' ממשלה-חט"ב</v>
          </cell>
          <cell r="C1003">
            <v>-835800</v>
          </cell>
        </row>
        <row r="1004">
          <cell r="A1004">
            <v>1315830953</v>
          </cell>
          <cell r="B1004" t="str">
            <v>מערכת גפ"ן</v>
          </cell>
        </row>
        <row r="1005">
          <cell r="A1005" t="str">
            <v>#VALUE!</v>
          </cell>
          <cell r="B1005" t="str">
            <v>תיכון חנקין</v>
          </cell>
        </row>
        <row r="1006">
          <cell r="A1006">
            <v>13170000</v>
          </cell>
          <cell r="B1006" t="str">
            <v xml:space="preserve">שרותים נוספים     </v>
          </cell>
        </row>
        <row r="1007">
          <cell r="A1007">
            <v>1317000221</v>
          </cell>
          <cell r="B1007" t="str">
            <v>אג' חנוך גני ילדים</v>
          </cell>
        </row>
        <row r="1008">
          <cell r="A1008">
            <v>1317000222</v>
          </cell>
          <cell r="B1008" t="str">
            <v xml:space="preserve">בריאות השן - גנ"י </v>
          </cell>
        </row>
        <row r="1009">
          <cell r="A1009">
            <v>1317000223</v>
          </cell>
          <cell r="B1009" t="str">
            <v xml:space="preserve">אגרת שירותים      </v>
          </cell>
          <cell r="C1009">
            <v>-4112700</v>
          </cell>
        </row>
        <row r="1010">
          <cell r="A1010">
            <v>1317000420</v>
          </cell>
          <cell r="B1010" t="str">
            <v>ביטוח תלמידי תיכון</v>
          </cell>
          <cell r="C1010">
            <v>-666000</v>
          </cell>
        </row>
        <row r="1011">
          <cell r="A1011">
            <v>1317000421</v>
          </cell>
          <cell r="B1011" t="str">
            <v>השאלת ספרים מבתי"ס</v>
          </cell>
        </row>
        <row r="1012">
          <cell r="A1012">
            <v>1317000430</v>
          </cell>
          <cell r="B1012" t="str">
            <v>הכנסות ביטוח אורט</v>
          </cell>
        </row>
        <row r="1013">
          <cell r="A1013">
            <v>1317000490</v>
          </cell>
          <cell r="B1013" t="str">
            <v>שמירה - חברות בנות</v>
          </cell>
          <cell r="C1013">
            <v>0</v>
          </cell>
        </row>
        <row r="1014">
          <cell r="A1014">
            <v>1317000921</v>
          </cell>
          <cell r="B1014" t="str">
            <v xml:space="preserve">השתתפות בשיכפול   </v>
          </cell>
        </row>
        <row r="1015">
          <cell r="A1015">
            <v>1317000922</v>
          </cell>
          <cell r="B1015" t="str">
            <v xml:space="preserve">סל לעולים         </v>
          </cell>
          <cell r="C1015">
            <v>-146200</v>
          </cell>
        </row>
        <row r="1016">
          <cell r="A1016">
            <v>1317000923</v>
          </cell>
          <cell r="B1016" t="str">
            <v>משרד חינוך-שיפוצים</v>
          </cell>
        </row>
        <row r="1017">
          <cell r="A1017">
            <v>1317000924</v>
          </cell>
          <cell r="B1017" t="str">
            <v>השאלת ספרי לימוד</v>
          </cell>
        </row>
        <row r="1018">
          <cell r="A1018">
            <v>1317000925</v>
          </cell>
          <cell r="B1018" t="str">
            <v xml:space="preserve">בריאות השן-ממשלה  </v>
          </cell>
        </row>
        <row r="1019">
          <cell r="A1019">
            <v>1317000926</v>
          </cell>
          <cell r="B1019" t="str">
            <v>השת' מ'חינוך באגרה</v>
          </cell>
          <cell r="C1019">
            <v>-135000</v>
          </cell>
        </row>
        <row r="1020">
          <cell r="A1020">
            <v>1317000990</v>
          </cell>
          <cell r="B1020" t="str">
            <v>השת' הממשלה בשמירה</v>
          </cell>
          <cell r="C1020">
            <v>-8232000</v>
          </cell>
        </row>
        <row r="1021">
          <cell r="A1021" t="str">
            <v>#VALUE!</v>
          </cell>
          <cell r="B1021" t="str">
            <v xml:space="preserve">שרותים נוספים     </v>
          </cell>
        </row>
        <row r="1022">
          <cell r="A1022">
            <v>13172000</v>
          </cell>
          <cell r="B1022" t="str">
            <v xml:space="preserve">מכללת חנקין       </v>
          </cell>
        </row>
        <row r="1023">
          <cell r="A1023">
            <v>1317200410</v>
          </cell>
          <cell r="B1023" t="str">
            <v xml:space="preserve">שכר לימוד         </v>
          </cell>
        </row>
        <row r="1024">
          <cell r="A1024">
            <v>1317200422</v>
          </cell>
          <cell r="B1024" t="str">
            <v xml:space="preserve">מרכז מחשבים       </v>
          </cell>
        </row>
        <row r="1025">
          <cell r="A1025">
            <v>1317200490</v>
          </cell>
          <cell r="B1025" t="str">
            <v xml:space="preserve">ארועים והשתלמויות </v>
          </cell>
        </row>
        <row r="1026">
          <cell r="A1026">
            <v>1317200640</v>
          </cell>
          <cell r="B1026" t="str">
            <v xml:space="preserve">השכרות            </v>
          </cell>
        </row>
        <row r="1027">
          <cell r="A1027">
            <v>1317200641</v>
          </cell>
          <cell r="B1027" t="str">
            <v xml:space="preserve">ביטוח-כנגד הוצאות             </v>
          </cell>
        </row>
        <row r="1028">
          <cell r="A1028">
            <v>1317200920</v>
          </cell>
          <cell r="B1028" t="str">
            <v>שרת'+ מז' מרכז מתי</v>
          </cell>
        </row>
        <row r="1029">
          <cell r="A1029">
            <v>1317200922</v>
          </cell>
          <cell r="B1029" t="str">
            <v xml:space="preserve">מרכז מחשבים       </v>
          </cell>
        </row>
        <row r="1030">
          <cell r="A1030">
            <v>1317200927</v>
          </cell>
          <cell r="B1030" t="str">
            <v>משרד ראש הממשלה</v>
          </cell>
        </row>
        <row r="1031">
          <cell r="A1031" t="str">
            <v>#VALUE!</v>
          </cell>
          <cell r="B1031" t="str">
            <v xml:space="preserve">מכללת חנקין       </v>
          </cell>
        </row>
        <row r="1032">
          <cell r="A1032">
            <v>13172100</v>
          </cell>
          <cell r="B1032" t="str">
            <v xml:space="preserve">מרכזיה פדגוגית    </v>
          </cell>
        </row>
        <row r="1033">
          <cell r="A1033">
            <v>1317210420</v>
          </cell>
          <cell r="B1033" t="str">
            <v xml:space="preserve">הכנסות ממשתלמים   </v>
          </cell>
        </row>
        <row r="1034">
          <cell r="A1034">
            <v>1317210422</v>
          </cell>
          <cell r="B1034" t="str">
            <v xml:space="preserve">מרכז מחשבים       </v>
          </cell>
        </row>
        <row r="1035">
          <cell r="A1035">
            <v>1317210920</v>
          </cell>
          <cell r="B1035" t="str">
            <v>הכנסות משרד החינוך</v>
          </cell>
          <cell r="C1035">
            <v>-30000</v>
          </cell>
        </row>
        <row r="1036">
          <cell r="A1036">
            <v>1317210922</v>
          </cell>
          <cell r="B1036" t="str">
            <v>מרכז מחשבים מ.ח.</v>
          </cell>
        </row>
        <row r="1037">
          <cell r="A1037" t="str">
            <v>#VALUE!</v>
          </cell>
          <cell r="B1037" t="str">
            <v xml:space="preserve">מרכזיה פדגוגית    </v>
          </cell>
        </row>
        <row r="1038">
          <cell r="A1038">
            <v>13173000</v>
          </cell>
          <cell r="B1038" t="str">
            <v>שרותים פסיכולוגיים</v>
          </cell>
        </row>
        <row r="1039">
          <cell r="A1039">
            <v>1317300420</v>
          </cell>
          <cell r="B1039" t="str">
            <v>הש'-יוזמות ואיבחון</v>
          </cell>
          <cell r="C1039">
            <v>-30000</v>
          </cell>
        </row>
        <row r="1040">
          <cell r="A1040">
            <v>1317300421</v>
          </cell>
          <cell r="B1040" t="str">
            <v xml:space="preserve">שרות משלים        </v>
          </cell>
          <cell r="C1040">
            <v>-450000</v>
          </cell>
        </row>
        <row r="1041">
          <cell r="A1041">
            <v>1317300422</v>
          </cell>
          <cell r="B1041" t="str">
            <v>הכלה שפ"מ</v>
          </cell>
          <cell r="C1041">
            <v>500000</v>
          </cell>
        </row>
        <row r="1042">
          <cell r="A1042">
            <v>1317300920</v>
          </cell>
          <cell r="B1042" t="str">
            <v xml:space="preserve">שרות פסיכולוגי    </v>
          </cell>
          <cell r="C1042">
            <v>-7481100</v>
          </cell>
        </row>
        <row r="1043">
          <cell r="A1043">
            <v>1317300921</v>
          </cell>
          <cell r="B1043" t="str">
            <v>איבחונים חט"ע</v>
          </cell>
        </row>
        <row r="1044">
          <cell r="A1044">
            <v>1317300922</v>
          </cell>
          <cell r="B1044" t="str">
            <v>יוזמות שפ"י</v>
          </cell>
          <cell r="C1044">
            <v>-40000</v>
          </cell>
        </row>
        <row r="1045">
          <cell r="A1045">
            <v>1317300923</v>
          </cell>
          <cell r="B1045" t="str">
            <v xml:space="preserve">השתל' והדרכה משה"ח   </v>
          </cell>
          <cell r="C1045">
            <v>-177400</v>
          </cell>
        </row>
        <row r="1046">
          <cell r="A1046">
            <v>1317300924</v>
          </cell>
          <cell r="B1046" t="str">
            <v>השת' שפ"י-השתלמויות</v>
          </cell>
        </row>
        <row r="1047">
          <cell r="A1047" t="str">
            <v>#VALUE!</v>
          </cell>
          <cell r="B1047" t="str">
            <v>שרותים פסיכולוגיים</v>
          </cell>
        </row>
        <row r="1048">
          <cell r="A1048">
            <v>13176000</v>
          </cell>
          <cell r="B1048" t="str">
            <v xml:space="preserve">רווחה חינוכית     </v>
          </cell>
        </row>
        <row r="1049">
          <cell r="A1049">
            <v>1317600420</v>
          </cell>
          <cell r="B1049" t="str">
            <v xml:space="preserve">רווחה חינוכית     </v>
          </cell>
        </row>
        <row r="1050">
          <cell r="A1050">
            <v>1317600421</v>
          </cell>
          <cell r="B1050" t="str">
            <v>בי"הס להורים</v>
          </cell>
        </row>
        <row r="1051">
          <cell r="A1051">
            <v>1317600423</v>
          </cell>
          <cell r="B1051" t="str">
            <v>הזנה בלתי פורמלית</v>
          </cell>
        </row>
        <row r="1052">
          <cell r="A1052">
            <v>1317600781</v>
          </cell>
          <cell r="B1052" t="str">
            <v>משה"ח - רווחה</v>
          </cell>
        </row>
        <row r="1053">
          <cell r="A1053">
            <v>1317600921</v>
          </cell>
          <cell r="B1053" t="str">
            <v xml:space="preserve">משרד החינוך רווחה </v>
          </cell>
        </row>
        <row r="1054">
          <cell r="A1054">
            <v>1317600922</v>
          </cell>
          <cell r="B1054" t="str">
            <v>מ.חינוך בי"ס הורים</v>
          </cell>
        </row>
        <row r="1055">
          <cell r="A1055">
            <v>1317600923</v>
          </cell>
          <cell r="B1055" t="str">
            <v>מגשרת בוכרית+אתיופית</v>
          </cell>
          <cell r="C1055">
            <v>-60000</v>
          </cell>
        </row>
        <row r="1056">
          <cell r="A1056">
            <v>1317600980</v>
          </cell>
          <cell r="B1056" t="str">
            <v xml:space="preserve">תכנית התנופה      </v>
          </cell>
        </row>
        <row r="1057">
          <cell r="A1057" t="str">
            <v>#VALUE!</v>
          </cell>
          <cell r="B1057" t="str">
            <v xml:space="preserve">רווחה חינוכית     </v>
          </cell>
        </row>
        <row r="1058">
          <cell r="A1058">
            <v>13178000</v>
          </cell>
          <cell r="B1058" t="str">
            <v>הכנסות מהסעת ילדים</v>
          </cell>
        </row>
        <row r="1059">
          <cell r="A1059">
            <v>1317800420</v>
          </cell>
          <cell r="B1059" t="str">
            <v xml:space="preserve">השת' הורים בהסעות </v>
          </cell>
          <cell r="C1059">
            <v>-200000</v>
          </cell>
        </row>
        <row r="1060">
          <cell r="A1060">
            <v>1317800421</v>
          </cell>
          <cell r="B1060" t="str">
            <v>מחוננים</v>
          </cell>
        </row>
        <row r="1061">
          <cell r="A1061">
            <v>1317800422</v>
          </cell>
          <cell r="B1061" t="str">
            <v>בי"ס ממ"ד</v>
          </cell>
        </row>
        <row r="1062">
          <cell r="A1062">
            <v>1317800423</v>
          </cell>
          <cell r="B1062" t="str">
            <v>גנים ממ"ד</v>
          </cell>
        </row>
        <row r="1063">
          <cell r="A1063">
            <v>1317800424</v>
          </cell>
          <cell r="B1063" t="str">
            <v>בי"ס דמוקרטי</v>
          </cell>
        </row>
        <row r="1064">
          <cell r="A1064">
            <v>1317800425</v>
          </cell>
          <cell r="B1064" t="str">
            <v>גנים רגילים</v>
          </cell>
        </row>
        <row r="1065">
          <cell r="A1065">
            <v>1317800426</v>
          </cell>
          <cell r="B1065" t="str">
            <v>רשויות-הסע' משותפת</v>
          </cell>
        </row>
        <row r="1066">
          <cell r="A1066">
            <v>1317800920</v>
          </cell>
          <cell r="B1066" t="str">
            <v>השת' הממשלה בהסעות</v>
          </cell>
          <cell r="C1066">
            <v>-16170000</v>
          </cell>
        </row>
        <row r="1067">
          <cell r="A1067">
            <v>1317800921</v>
          </cell>
          <cell r="B1067" t="str">
            <v xml:space="preserve">השתתפות בכרטיסים  </v>
          </cell>
        </row>
        <row r="1068">
          <cell r="A1068">
            <v>1317800922</v>
          </cell>
          <cell r="B1068" t="str">
            <v>מלווים בהסעים</v>
          </cell>
          <cell r="C1068">
            <v>-13500000</v>
          </cell>
        </row>
        <row r="1069">
          <cell r="A1069">
            <v>1317800923</v>
          </cell>
          <cell r="B1069" t="str">
            <v>הסעות גילאי 3 - 0</v>
          </cell>
        </row>
        <row r="1070">
          <cell r="A1070">
            <v>1317800924</v>
          </cell>
          <cell r="B1070" t="str">
            <v>הסעות מסגרות קיץ</v>
          </cell>
          <cell r="C1070">
            <v>-20000</v>
          </cell>
        </row>
        <row r="1071">
          <cell r="A1071" t="str">
            <v>#VALUE!</v>
          </cell>
          <cell r="B1071" t="str">
            <v>הכנסות מהסעת ילדים</v>
          </cell>
        </row>
        <row r="1072">
          <cell r="A1072">
            <v>13179200</v>
          </cell>
          <cell r="B1072" t="str">
            <v>תחנה לטיפול בדיבור</v>
          </cell>
        </row>
        <row r="1073">
          <cell r="A1073">
            <v>1317920420</v>
          </cell>
          <cell r="B1073" t="str">
            <v>הכנ' הורים-טיפולים</v>
          </cell>
        </row>
        <row r="1074">
          <cell r="A1074">
            <v>1317920920</v>
          </cell>
          <cell r="B1074" t="str">
            <v xml:space="preserve">שרתים ומזכירות    </v>
          </cell>
        </row>
        <row r="1075">
          <cell r="A1075" t="str">
            <v>#VALUE!</v>
          </cell>
          <cell r="B1075" t="str">
            <v>תחנה לטיפול בדיבור</v>
          </cell>
        </row>
        <row r="1076">
          <cell r="A1076">
            <v>13179300</v>
          </cell>
          <cell r="B1076" t="str">
            <v xml:space="preserve">תיאטרון סל-תרבות  </v>
          </cell>
        </row>
        <row r="1077">
          <cell r="A1077">
            <v>1317930424</v>
          </cell>
          <cell r="B1077" t="str">
            <v xml:space="preserve">הכנסות מתיאטרון   </v>
          </cell>
          <cell r="C1077">
            <v>-2000000</v>
          </cell>
        </row>
        <row r="1078">
          <cell r="A1078" t="str">
            <v>#VALUE!</v>
          </cell>
          <cell r="B1078" t="str">
            <v xml:space="preserve">תיאטרון סל-תרבות  </v>
          </cell>
        </row>
        <row r="1079">
          <cell r="A1079">
            <v>13180000</v>
          </cell>
          <cell r="B1079" t="str">
            <v xml:space="preserve">חינוך מבוגרים     </v>
          </cell>
        </row>
        <row r="1080">
          <cell r="A1080">
            <v>13182000</v>
          </cell>
          <cell r="B1080" t="str">
            <v xml:space="preserve">פרוייקט תהילה     </v>
          </cell>
        </row>
        <row r="1081">
          <cell r="A1081">
            <v>1318200410</v>
          </cell>
          <cell r="B1081" t="str">
            <v xml:space="preserve">תהילה דרום+גאולים </v>
          </cell>
        </row>
        <row r="1082">
          <cell r="A1082">
            <v>1318200420</v>
          </cell>
          <cell r="B1082" t="str">
            <v>עד הלו"ם</v>
          </cell>
        </row>
        <row r="1083">
          <cell r="A1083">
            <v>1318200920</v>
          </cell>
          <cell r="B1083" t="str">
            <v>השת' הממשלה בתהילה</v>
          </cell>
        </row>
        <row r="1084">
          <cell r="A1084">
            <v>1318200990</v>
          </cell>
          <cell r="B1084" t="str">
            <v>משרד ראש הממשלה</v>
          </cell>
        </row>
        <row r="1085">
          <cell r="A1085" t="str">
            <v>#VALUE!</v>
          </cell>
          <cell r="B1085" t="str">
            <v xml:space="preserve">פרוייקט תהילה     </v>
          </cell>
        </row>
        <row r="1086">
          <cell r="A1086">
            <v>13200000</v>
          </cell>
          <cell r="B1086" t="str">
            <v xml:space="preserve">תרבות             </v>
          </cell>
        </row>
        <row r="1087">
          <cell r="A1087">
            <v>13220000</v>
          </cell>
          <cell r="B1087" t="str">
            <v xml:space="preserve">פעולות  תרבות     </v>
          </cell>
        </row>
        <row r="1088">
          <cell r="A1088">
            <v>13222000</v>
          </cell>
          <cell r="B1088" t="str">
            <v xml:space="preserve">פעולות תרבותיות   </v>
          </cell>
        </row>
        <row r="1089">
          <cell r="A1089">
            <v>1322200420</v>
          </cell>
          <cell r="B1089" t="str">
            <v xml:space="preserve">השתת' עצמית תרבות </v>
          </cell>
        </row>
        <row r="1090">
          <cell r="A1090">
            <v>1322200421</v>
          </cell>
          <cell r="B1090" t="str">
            <v>הכנסות ממחלקת  צעירים</v>
          </cell>
        </row>
        <row r="1091">
          <cell r="A1091">
            <v>1322200424</v>
          </cell>
          <cell r="B1091" t="str">
            <v>תרבות תורנית</v>
          </cell>
        </row>
        <row r="1092">
          <cell r="A1092">
            <v>1322200425</v>
          </cell>
          <cell r="B1092" t="str">
            <v xml:space="preserve">מורשת ישראל       </v>
          </cell>
        </row>
        <row r="1093">
          <cell r="A1093">
            <v>1322200902</v>
          </cell>
          <cell r="B1093" t="str">
            <v>משרד לשוויון חברתי</v>
          </cell>
        </row>
        <row r="1094">
          <cell r="A1094">
            <v>1322200920</v>
          </cell>
          <cell r="B1094" t="str">
            <v>מש' החינוך - תרבות תורנית</v>
          </cell>
        </row>
        <row r="1095">
          <cell r="A1095" t="str">
            <v>#VALUE!</v>
          </cell>
          <cell r="B1095" t="str">
            <v xml:space="preserve">פעולות תרבותיות   </v>
          </cell>
        </row>
        <row r="1096">
          <cell r="A1096">
            <v>13227000</v>
          </cell>
          <cell r="B1096" t="str">
            <v xml:space="preserve">חוגי העשרה        </v>
          </cell>
        </row>
        <row r="1097">
          <cell r="A1097">
            <v>1322700420</v>
          </cell>
          <cell r="B1097" t="str">
            <v xml:space="preserve">חוגי העשרה        </v>
          </cell>
        </row>
        <row r="1098">
          <cell r="A1098">
            <v>1322700421</v>
          </cell>
          <cell r="B1098" t="str">
            <v>מבחנים פסיכולוגיים</v>
          </cell>
        </row>
        <row r="1099">
          <cell r="A1099">
            <v>1322700422</v>
          </cell>
          <cell r="B1099" t="str">
            <v xml:space="preserve">הכנסות מפעולות    </v>
          </cell>
        </row>
        <row r="1100">
          <cell r="A1100">
            <v>1322700491</v>
          </cell>
          <cell r="B1100" t="str">
            <v>טיולים ) מהכנסות (</v>
          </cell>
        </row>
        <row r="1101">
          <cell r="A1101">
            <v>1322700920</v>
          </cell>
          <cell r="B1101" t="str">
            <v xml:space="preserve">חוגי העשרה-ממשלה  </v>
          </cell>
        </row>
        <row r="1102">
          <cell r="A1102">
            <v>1322700929</v>
          </cell>
          <cell r="B1102" t="str">
            <v>הכנ' משרד החינוך</v>
          </cell>
        </row>
        <row r="1103">
          <cell r="A1103" t="str">
            <v>#VALUE!</v>
          </cell>
          <cell r="B1103" t="str">
            <v xml:space="preserve">חוגי העשרה        </v>
          </cell>
        </row>
        <row r="1104">
          <cell r="A1104">
            <v>13230000</v>
          </cell>
          <cell r="B1104" t="str">
            <v xml:space="preserve">ספריות            </v>
          </cell>
        </row>
        <row r="1105">
          <cell r="A1105">
            <v>1323000413</v>
          </cell>
          <cell r="B1105" t="str">
            <v>דמ''ש</v>
          </cell>
        </row>
        <row r="1106">
          <cell r="A1106">
            <v>1323000420</v>
          </cell>
          <cell r="B1106" t="str">
            <v xml:space="preserve">מנויים            </v>
          </cell>
        </row>
        <row r="1107">
          <cell r="A1107">
            <v>1323000421</v>
          </cell>
          <cell r="B1107" t="str">
            <v>הכנסות מפסטיבל אישה</v>
          </cell>
        </row>
        <row r="1108">
          <cell r="A1108">
            <v>1323000429</v>
          </cell>
          <cell r="B1108" t="str">
            <v>הכנ' מפעולות השלמה</v>
          </cell>
        </row>
        <row r="1109">
          <cell r="A1109">
            <v>1323000491</v>
          </cell>
          <cell r="B1109" t="str">
            <v xml:space="preserve">הכנסות משבוע הספר </v>
          </cell>
        </row>
        <row r="1110">
          <cell r="A1110">
            <v>1323000640</v>
          </cell>
          <cell r="B1110" t="str">
            <v>מדיטק - שכר דירה</v>
          </cell>
        </row>
        <row r="1111">
          <cell r="A1111">
            <v>1323000641</v>
          </cell>
          <cell r="B1111" t="str">
            <v>ביטוח כנגד הוצאות</v>
          </cell>
          <cell r="C1111">
            <v>-20600</v>
          </cell>
        </row>
        <row r="1112">
          <cell r="A1112">
            <v>1323000651</v>
          </cell>
          <cell r="B1112" t="str">
            <v>השכרת חדרים</v>
          </cell>
        </row>
        <row r="1113">
          <cell r="A1113">
            <v>1323000790</v>
          </cell>
          <cell r="B1113" t="str">
            <v>קרן ברכה - עיצוב</v>
          </cell>
        </row>
        <row r="1114">
          <cell r="A1114">
            <v>1323000920</v>
          </cell>
          <cell r="B1114" t="str">
            <v xml:space="preserve">השתת' משרד החינוך </v>
          </cell>
        </row>
        <row r="1115">
          <cell r="A1115">
            <v>1323000921</v>
          </cell>
          <cell r="B1115" t="str">
            <v>מיחשוב-מש' התרבות</v>
          </cell>
        </row>
        <row r="1116">
          <cell r="A1116">
            <v>1323000935</v>
          </cell>
          <cell r="B1116" t="str">
            <v>כנס עיצוב-מ' פיתוח אזורי</v>
          </cell>
        </row>
        <row r="1117">
          <cell r="A1117" t="str">
            <v>#VALUE!</v>
          </cell>
          <cell r="B1117" t="str">
            <v xml:space="preserve">ספריות            </v>
          </cell>
        </row>
        <row r="1118">
          <cell r="A1118">
            <v>13250000</v>
          </cell>
          <cell r="B1118" t="str">
            <v xml:space="preserve">מוסיקה ומחול      </v>
          </cell>
        </row>
        <row r="1119">
          <cell r="A1119">
            <v>13255000</v>
          </cell>
          <cell r="B1119" t="str">
            <v xml:space="preserve">להקות עירוניות    </v>
          </cell>
        </row>
        <row r="1120">
          <cell r="A1120">
            <v>1325500420</v>
          </cell>
          <cell r="B1120" t="str">
            <v xml:space="preserve">הכנסות מחוגים     </v>
          </cell>
        </row>
        <row r="1121">
          <cell r="A1121">
            <v>1325500491</v>
          </cell>
          <cell r="B1121" t="str">
            <v xml:space="preserve">ארועים            </v>
          </cell>
        </row>
        <row r="1122">
          <cell r="A1122">
            <v>1325500492</v>
          </cell>
          <cell r="B1122" t="str">
            <v xml:space="preserve">השכרות            </v>
          </cell>
        </row>
        <row r="1123">
          <cell r="A1123" t="str">
            <v>#VALUE!</v>
          </cell>
          <cell r="B1123" t="str">
            <v xml:space="preserve">להקות עירוניות    </v>
          </cell>
        </row>
        <row r="1124">
          <cell r="A1124">
            <v>13261000</v>
          </cell>
          <cell r="B1124" t="str">
            <v xml:space="preserve">תיאטרון חולון     </v>
          </cell>
        </row>
        <row r="1125">
          <cell r="A1125">
            <v>1326100413</v>
          </cell>
          <cell r="B1125" t="str">
            <v>דמ''ש</v>
          </cell>
        </row>
        <row r="1126">
          <cell r="A1126">
            <v>1326100640</v>
          </cell>
          <cell r="B1126" t="str">
            <v>דמי שכירות</v>
          </cell>
        </row>
        <row r="1127">
          <cell r="A1127">
            <v>1326100641</v>
          </cell>
          <cell r="B1127" t="str">
            <v xml:space="preserve">ביטוח-כנגד הוצאות             </v>
          </cell>
          <cell r="C1127">
            <v>-29400</v>
          </cell>
        </row>
        <row r="1128">
          <cell r="A1128">
            <v>1326100920</v>
          </cell>
          <cell r="B1128" t="str">
            <v>השתתפות משרד חינוך</v>
          </cell>
        </row>
        <row r="1129">
          <cell r="A1129">
            <v>1326100935</v>
          </cell>
          <cell r="B1129" t="str">
            <v>אשה-השת' מש' רוה"מ</v>
          </cell>
        </row>
        <row r="1130">
          <cell r="A1130" t="str">
            <v>#VALUE!</v>
          </cell>
          <cell r="B1130" t="str">
            <v xml:space="preserve">תיאטרון חולון     </v>
          </cell>
        </row>
        <row r="1131">
          <cell r="A1131">
            <v>13261200</v>
          </cell>
          <cell r="B1131" t="str">
            <v>מוזיאון הקריקטורות</v>
          </cell>
        </row>
        <row r="1132">
          <cell r="A1132">
            <v>1326120413</v>
          </cell>
          <cell r="B1132" t="str">
            <v>דמ''ש</v>
          </cell>
        </row>
        <row r="1133">
          <cell r="A1133" t="str">
            <v>#VALUE!</v>
          </cell>
          <cell r="B1133" t="str">
            <v>מוזיאון הקריקטורות</v>
          </cell>
        </row>
        <row r="1134">
          <cell r="A1134">
            <v>13263000</v>
          </cell>
          <cell r="B1134" t="str">
            <v>מוזיאון עולמות ילד</v>
          </cell>
        </row>
        <row r="1135">
          <cell r="A1135">
            <v>1326300413</v>
          </cell>
          <cell r="B1135" t="str">
            <v>דמ''ש</v>
          </cell>
        </row>
        <row r="1136">
          <cell r="A1136">
            <v>1326300640</v>
          </cell>
          <cell r="B1136" t="str">
            <v xml:space="preserve">שכר דירה    </v>
          </cell>
          <cell r="C1136">
            <v>-40000</v>
          </cell>
        </row>
        <row r="1137">
          <cell r="A1137">
            <v>1326300641</v>
          </cell>
          <cell r="B1137" t="str">
            <v xml:space="preserve">ביטוח-כנגד הוצאות             </v>
          </cell>
          <cell r="C1137">
            <v>-45500</v>
          </cell>
        </row>
        <row r="1138">
          <cell r="A1138" t="str">
            <v>#VALUE!</v>
          </cell>
          <cell r="B1138" t="str">
            <v>מוזיאון עולמות ילד</v>
          </cell>
        </row>
        <row r="1139">
          <cell r="A1139">
            <v>13264000</v>
          </cell>
          <cell r="B1139" t="str">
            <v>מתנ"ס ע"ש שטיינברג</v>
          </cell>
        </row>
        <row r="1140">
          <cell r="A1140">
            <v>1326400413</v>
          </cell>
          <cell r="B1140" t="str">
            <v>דמ''ש</v>
          </cell>
        </row>
        <row r="1141">
          <cell r="A1141">
            <v>1326400421</v>
          </cell>
          <cell r="B1141" t="str">
            <v>פסיטבל בובות</v>
          </cell>
        </row>
        <row r="1142">
          <cell r="A1142">
            <v>1326400425</v>
          </cell>
          <cell r="B1142" t="str">
            <v>צלילי ילדות</v>
          </cell>
        </row>
        <row r="1143">
          <cell r="A1143">
            <v>1326400426</v>
          </cell>
          <cell r="B1143" t="str">
            <v>מסך הקסם</v>
          </cell>
        </row>
        <row r="1144">
          <cell r="A1144">
            <v>1326400641</v>
          </cell>
          <cell r="B1144" t="str">
            <v xml:space="preserve">ביטוח-כנגד הוצאות             </v>
          </cell>
          <cell r="C1144">
            <v>-13500</v>
          </cell>
        </row>
        <row r="1145">
          <cell r="A1145">
            <v>1326400920</v>
          </cell>
          <cell r="B1145" t="str">
            <v>פסיטבל בובות-משה"ח</v>
          </cell>
        </row>
        <row r="1146">
          <cell r="A1146" t="str">
            <v>#VALUE!</v>
          </cell>
          <cell r="B1146" t="str">
            <v>מתנ"ס ע"ש שטיינברג</v>
          </cell>
        </row>
        <row r="1147">
          <cell r="A1147">
            <v>13265000</v>
          </cell>
          <cell r="B1147" t="str">
            <v xml:space="preserve">המחלקה לארועים    </v>
          </cell>
        </row>
        <row r="1148">
          <cell r="A1148">
            <v>1326500420</v>
          </cell>
          <cell r="B1148" t="str">
            <v>השכרת תלבושות</v>
          </cell>
        </row>
        <row r="1149">
          <cell r="A1149">
            <v>1326500491</v>
          </cell>
          <cell r="B1149" t="str">
            <v>הכנס'מחלקת אירועים</v>
          </cell>
        </row>
        <row r="1150">
          <cell r="A1150">
            <v>1326500740</v>
          </cell>
          <cell r="B1150" t="str">
            <v xml:space="preserve">השת' מפעל הפיס    </v>
          </cell>
        </row>
        <row r="1151">
          <cell r="A1151">
            <v>1326500920</v>
          </cell>
          <cell r="B1151" t="str">
            <v>תוכנית סל"ע מ.תרבות</v>
          </cell>
          <cell r="C1151">
            <v>200000</v>
          </cell>
        </row>
        <row r="1152">
          <cell r="A1152">
            <v>1326500930</v>
          </cell>
          <cell r="B1152" t="str">
            <v>ארועי שנת ה - 60</v>
          </cell>
        </row>
        <row r="1153">
          <cell r="A1153" t="str">
            <v>#VALUE!</v>
          </cell>
          <cell r="B1153" t="str">
            <v xml:space="preserve">המחלקה לארועים    </v>
          </cell>
        </row>
        <row r="1154">
          <cell r="A1154">
            <v>13267000</v>
          </cell>
          <cell r="B1154" t="str">
            <v>מרכז סירקין</v>
          </cell>
        </row>
        <row r="1155">
          <cell r="A1155">
            <v>1326700920</v>
          </cell>
          <cell r="B1155" t="str">
            <v>הכנ' ממשרד התרבות</v>
          </cell>
        </row>
        <row r="1156">
          <cell r="A1156">
            <v>1326700990</v>
          </cell>
          <cell r="B1156" t="str">
            <v>הכנסות ממשרד התרבות</v>
          </cell>
          <cell r="C1156">
            <v>-350000</v>
          </cell>
        </row>
        <row r="1157">
          <cell r="A1157" t="str">
            <v>#VALUE!</v>
          </cell>
          <cell r="B1157" t="str">
            <v>מרכז סירקין</v>
          </cell>
        </row>
        <row r="1158">
          <cell r="A1158">
            <v>13268000</v>
          </cell>
          <cell r="B1158" t="str">
            <v>מוזיאון העיצוב</v>
          </cell>
        </row>
        <row r="1159">
          <cell r="A1159">
            <v>1326800413</v>
          </cell>
          <cell r="B1159" t="str">
            <v>דמ''ש</v>
          </cell>
        </row>
        <row r="1160">
          <cell r="A1160">
            <v>1326800641</v>
          </cell>
          <cell r="B1160" t="str">
            <v>ביטוח כנגד הוצאות</v>
          </cell>
          <cell r="C1160">
            <v>-45000</v>
          </cell>
        </row>
        <row r="1161">
          <cell r="A1161" t="str">
            <v>#VALUE!</v>
          </cell>
          <cell r="B1161" t="str">
            <v>מוזיאון העיצוב</v>
          </cell>
        </row>
        <row r="1162">
          <cell r="A1162">
            <v>13280000</v>
          </cell>
          <cell r="B1162" t="str">
            <v>נוער + מרכ' קהילתי</v>
          </cell>
        </row>
        <row r="1163">
          <cell r="A1163">
            <v>13281000</v>
          </cell>
          <cell r="B1163" t="str">
            <v>מינהלת מחלקת הנוער</v>
          </cell>
        </row>
        <row r="1164">
          <cell r="A1164">
            <v>1328100420</v>
          </cell>
          <cell r="B1164" t="str">
            <v xml:space="preserve">הכנסות מפעולות    </v>
          </cell>
        </row>
        <row r="1165">
          <cell r="A1165">
            <v>1328100423</v>
          </cell>
          <cell r="B1165" t="str">
            <v>מניעת אלימות</v>
          </cell>
        </row>
        <row r="1166">
          <cell r="A1166">
            <v>1328100424</v>
          </cell>
          <cell r="B1166" t="str">
            <v xml:space="preserve">פעילות חצ"ב       </v>
          </cell>
        </row>
        <row r="1167">
          <cell r="A1167">
            <v>1328100444</v>
          </cell>
          <cell r="B1167" t="str">
            <v>אירוע התרמה</v>
          </cell>
        </row>
        <row r="1168">
          <cell r="A1168">
            <v>1328100490</v>
          </cell>
          <cell r="B1168" t="str">
            <v xml:space="preserve">הכנסות מרכז שואה  </v>
          </cell>
        </row>
        <row r="1169">
          <cell r="A1169">
            <v>1328100491</v>
          </cell>
          <cell r="B1169" t="str">
            <v xml:space="preserve">הכנסות מארועים    </v>
          </cell>
        </row>
        <row r="1170">
          <cell r="A1170">
            <v>1328100492</v>
          </cell>
          <cell r="B1170" t="str">
            <v xml:space="preserve">אתר הנצחה לשואה   </v>
          </cell>
        </row>
        <row r="1171">
          <cell r="A1171">
            <v>1328100790</v>
          </cell>
          <cell r="B1171" t="str">
            <v>מעשים טובים-הרוח הטובה</v>
          </cell>
        </row>
        <row r="1172">
          <cell r="A1172">
            <v>1328100792</v>
          </cell>
          <cell r="B1172" t="str">
            <v>מועצת אירגוני הנוער - רכזת</v>
          </cell>
        </row>
        <row r="1173">
          <cell r="A1173">
            <v>1328100920</v>
          </cell>
          <cell r="B1173" t="str">
            <v>נוער הרואה ערך כדרך-משה"ח</v>
          </cell>
        </row>
        <row r="1174">
          <cell r="A1174">
            <v>1328100921</v>
          </cell>
          <cell r="B1174" t="str">
            <v>הרשות למלחמה בסמים</v>
          </cell>
        </row>
        <row r="1175">
          <cell r="A1175">
            <v>1328100922</v>
          </cell>
          <cell r="B1175" t="str">
            <v>משרד לביטחון פנים</v>
          </cell>
        </row>
        <row r="1176">
          <cell r="A1176">
            <v>1328100923</v>
          </cell>
          <cell r="B1176" t="str">
            <v>אס"א</v>
          </cell>
        </row>
        <row r="1177">
          <cell r="A1177">
            <v>1328100924</v>
          </cell>
          <cell r="B1177" t="str">
            <v>משרד החינוך</v>
          </cell>
        </row>
        <row r="1178">
          <cell r="A1178">
            <v>1328100929</v>
          </cell>
          <cell r="B1178" t="str">
            <v>הכנ' משרד החינוך</v>
          </cell>
          <cell r="C1178">
            <v>-369000</v>
          </cell>
        </row>
        <row r="1179">
          <cell r="A1179" t="str">
            <v>#VALUE!</v>
          </cell>
          <cell r="B1179" t="str">
            <v>מינהלת מחלקת הנוער</v>
          </cell>
        </row>
        <row r="1180">
          <cell r="A1180">
            <v>13281200</v>
          </cell>
          <cell r="B1180" t="str">
            <v xml:space="preserve">קידום נוער        </v>
          </cell>
        </row>
        <row r="1181">
          <cell r="A1181">
            <v>1328120444</v>
          </cell>
          <cell r="B1181" t="str">
            <v xml:space="preserve">הכנסות קידום נוער </v>
          </cell>
        </row>
        <row r="1182">
          <cell r="A1182">
            <v>1328120790</v>
          </cell>
          <cell r="B1182" t="str">
            <v>צ'קפוינט - תרומה</v>
          </cell>
        </row>
        <row r="1183">
          <cell r="A1183">
            <v>1328120922</v>
          </cell>
          <cell r="B1183" t="str">
            <v xml:space="preserve">קידום נוער        </v>
          </cell>
        </row>
        <row r="1184">
          <cell r="A1184">
            <v>1328120929</v>
          </cell>
          <cell r="B1184" t="str">
            <v>הכנ' משרד החינוך</v>
          </cell>
          <cell r="C1184">
            <v>-500000</v>
          </cell>
        </row>
        <row r="1185">
          <cell r="A1185" t="str">
            <v>#VALUE!</v>
          </cell>
          <cell r="B1185" t="str">
            <v xml:space="preserve">קידום נוער        </v>
          </cell>
        </row>
        <row r="1186">
          <cell r="A1186">
            <v>13281300</v>
          </cell>
          <cell r="B1186" t="str">
            <v>אגף קהילה וצעירים</v>
          </cell>
        </row>
        <row r="1187">
          <cell r="A1187">
            <v>1328130421</v>
          </cell>
          <cell r="B1187" t="str">
            <v xml:space="preserve">הכנסות ממחלקת צעירים </v>
          </cell>
        </row>
        <row r="1188">
          <cell r="A1188">
            <v>1328130691</v>
          </cell>
          <cell r="B1188" t="str">
            <v>הכנסות אירוע התנדבות</v>
          </cell>
        </row>
        <row r="1189">
          <cell r="A1189">
            <v>1328130970</v>
          </cell>
          <cell r="B1189" t="str">
            <v>השת' משרד הביטחון</v>
          </cell>
        </row>
        <row r="1190">
          <cell r="A1190">
            <v>1328130451</v>
          </cell>
          <cell r="B1190" t="str">
            <v>המשרד לשיוויון חברתי</v>
          </cell>
        </row>
        <row r="1191">
          <cell r="A1191" t="str">
            <v>#VALUE!</v>
          </cell>
          <cell r="B1191" t="str">
            <v>אגף קהילה וצעירים</v>
          </cell>
        </row>
        <row r="1192">
          <cell r="A1192">
            <v>13282000</v>
          </cell>
          <cell r="B1192" t="str">
            <v xml:space="preserve">המח' לקהילה ופנאי </v>
          </cell>
        </row>
        <row r="1193">
          <cell r="A1193">
            <v>1328200413</v>
          </cell>
          <cell r="B1193" t="str">
            <v>דמ''ש</v>
          </cell>
        </row>
        <row r="1194">
          <cell r="A1194">
            <v>1328200420</v>
          </cell>
          <cell r="B1194" t="str">
            <v>העברה לבתי ספר</v>
          </cell>
        </row>
        <row r="1195">
          <cell r="A1195">
            <v>1328200491</v>
          </cell>
          <cell r="B1195" t="str">
            <v xml:space="preserve">הכנסות מארועים    </v>
          </cell>
        </row>
        <row r="1196">
          <cell r="A1196">
            <v>1328200523</v>
          </cell>
          <cell r="B1196" t="str">
            <v>מפעל הפיס נוער בסיכון</v>
          </cell>
        </row>
        <row r="1197">
          <cell r="A1197">
            <v>1328200640</v>
          </cell>
          <cell r="B1197" t="str">
            <v>דמי שכירות</v>
          </cell>
        </row>
        <row r="1198">
          <cell r="A1198">
            <v>1328200641</v>
          </cell>
          <cell r="B1198" t="str">
            <v xml:space="preserve">ביטוח-כנגד הוצאות             </v>
          </cell>
          <cell r="C1198">
            <v>-35300</v>
          </cell>
        </row>
        <row r="1199">
          <cell r="A1199">
            <v>1328200990</v>
          </cell>
          <cell r="B1199" t="str">
            <v>סיבסוד קייטנות בפריפריה</v>
          </cell>
        </row>
        <row r="1200">
          <cell r="A1200">
            <v>1328200991</v>
          </cell>
          <cell r="B1200" t="str">
            <v>מפעל הפיס-נוער בסיכון</v>
          </cell>
        </row>
        <row r="1201">
          <cell r="A1201" t="str">
            <v>#VALUE!</v>
          </cell>
          <cell r="B1201" t="str">
            <v xml:space="preserve">המח' לקהילה ופנאי </v>
          </cell>
        </row>
        <row r="1202">
          <cell r="A1202">
            <v>13282400</v>
          </cell>
          <cell r="B1202" t="str">
            <v xml:space="preserve">המרכז לאומנויות   </v>
          </cell>
        </row>
        <row r="1203">
          <cell r="A1203">
            <v>1328240413</v>
          </cell>
          <cell r="B1203" t="str">
            <v>דמ''ש</v>
          </cell>
        </row>
        <row r="1204">
          <cell r="A1204">
            <v>1328240420</v>
          </cell>
          <cell r="B1204" t="str">
            <v xml:space="preserve">מרכז לאומנויות    </v>
          </cell>
        </row>
        <row r="1205">
          <cell r="A1205">
            <v>1328240421</v>
          </cell>
          <cell r="B1205" t="str">
            <v xml:space="preserve">קייטנת פסח        </v>
          </cell>
        </row>
        <row r="1206">
          <cell r="A1206">
            <v>1328240422</v>
          </cell>
          <cell r="B1206" t="str">
            <v xml:space="preserve">קייטנת קיץ        </v>
          </cell>
        </row>
        <row r="1207">
          <cell r="A1207">
            <v>1328240425</v>
          </cell>
          <cell r="B1207" t="str">
            <v>הכנ' מסדנאות בתי"ס</v>
          </cell>
        </row>
        <row r="1208">
          <cell r="A1208">
            <v>1328240427</v>
          </cell>
          <cell r="B1208" t="str">
            <v xml:space="preserve">חוגים בקבלנות     </v>
          </cell>
        </row>
        <row r="1209">
          <cell r="A1209">
            <v>1328240431</v>
          </cell>
          <cell r="B1209" t="str">
            <v>חשמל - אומנות דיגיטלית</v>
          </cell>
        </row>
        <row r="1210">
          <cell r="A1210">
            <v>1328240491</v>
          </cell>
          <cell r="B1210" t="str">
            <v xml:space="preserve">ארועים            </v>
          </cell>
        </row>
        <row r="1211">
          <cell r="A1211">
            <v>1328240492</v>
          </cell>
          <cell r="B1211" t="str">
            <v xml:space="preserve">חווידע            </v>
          </cell>
        </row>
        <row r="1212">
          <cell r="A1212">
            <v>1328240495</v>
          </cell>
          <cell r="B1212" t="str">
            <v xml:space="preserve">הכנסות מהובלות    </v>
          </cell>
        </row>
        <row r="1213">
          <cell r="A1213">
            <v>1328240641</v>
          </cell>
          <cell r="B1213" t="str">
            <v xml:space="preserve">ביטוח-כנגד הוצאות             </v>
          </cell>
          <cell r="C1213">
            <v>-4400</v>
          </cell>
        </row>
        <row r="1214">
          <cell r="A1214">
            <v>1328240920</v>
          </cell>
          <cell r="B1214" t="str">
            <v>משרד התרבות והספורט</v>
          </cell>
        </row>
        <row r="1215">
          <cell r="A1215" t="str">
            <v>#VALUE!</v>
          </cell>
          <cell r="B1215" t="str">
            <v xml:space="preserve">המרכז לאומנויות   </v>
          </cell>
        </row>
        <row r="1216">
          <cell r="A1216">
            <v>13290000</v>
          </cell>
          <cell r="B1216" t="str">
            <v xml:space="preserve">ספורט             </v>
          </cell>
        </row>
        <row r="1217">
          <cell r="A1217">
            <v>13291000</v>
          </cell>
          <cell r="B1217" t="str">
            <v xml:space="preserve">מינהל הספורט      </v>
          </cell>
        </row>
        <row r="1218">
          <cell r="A1218">
            <v>1329100413</v>
          </cell>
          <cell r="B1218" t="str">
            <v>דמ''ש</v>
          </cell>
        </row>
        <row r="1219">
          <cell r="A1219">
            <v>1329100420</v>
          </cell>
          <cell r="B1219" t="str">
            <v>מועדון לספורט עממי</v>
          </cell>
        </row>
        <row r="1220">
          <cell r="A1220">
            <v>1329100421</v>
          </cell>
          <cell r="B1220" t="str">
            <v>אגודת הישג אליצור</v>
          </cell>
        </row>
        <row r="1221">
          <cell r="A1221">
            <v>1329100491</v>
          </cell>
          <cell r="B1221" t="str">
            <v xml:space="preserve">הכנסות מארועים    </v>
          </cell>
        </row>
        <row r="1222">
          <cell r="A1222">
            <v>1329100641</v>
          </cell>
          <cell r="B1222" t="str">
            <v xml:space="preserve">ביטוח-כנגד הוצאות             </v>
          </cell>
          <cell r="C1222">
            <v>-43900</v>
          </cell>
        </row>
        <row r="1223">
          <cell r="A1223">
            <v>1329100652</v>
          </cell>
          <cell r="B1223" t="str">
            <v xml:space="preserve">דמי שימוש באולם   </v>
          </cell>
          <cell r="C1223">
            <v>-795000</v>
          </cell>
        </row>
        <row r="1224">
          <cell r="A1224">
            <v>1329100790</v>
          </cell>
          <cell r="B1224" t="str">
            <v>אולימפ' הילדים-טוטו ווינר</v>
          </cell>
        </row>
        <row r="1225">
          <cell r="A1225">
            <v>1329100920</v>
          </cell>
          <cell r="B1225" t="str">
            <v xml:space="preserve">סל ספורט          </v>
          </cell>
        </row>
        <row r="1226">
          <cell r="A1226">
            <v>1329100921</v>
          </cell>
          <cell r="B1226" t="str">
            <v xml:space="preserve">חוגי ספורט        </v>
          </cell>
        </row>
        <row r="1227">
          <cell r="A1227">
            <v>1329100922</v>
          </cell>
          <cell r="B1227" t="str">
            <v>מועדוני ספ' תרבות</v>
          </cell>
        </row>
        <row r="1228">
          <cell r="A1228">
            <v>1329100923</v>
          </cell>
          <cell r="B1228" t="str">
            <v>מרכזי מצוינות</v>
          </cell>
        </row>
        <row r="1229">
          <cell r="A1229">
            <v>1329100924</v>
          </cell>
          <cell r="B1229" t="str">
            <v>משה"ח - זוזו</v>
          </cell>
        </row>
        <row r="1230">
          <cell r="A1230">
            <v>1329100925</v>
          </cell>
          <cell r="B1230" t="str">
            <v>אולימפ' הילדים-טוטו ווינר</v>
          </cell>
        </row>
        <row r="1231">
          <cell r="A1231">
            <v>1329100990</v>
          </cell>
          <cell r="B1231" t="str">
            <v xml:space="preserve">סל ספורט          </v>
          </cell>
          <cell r="C1231">
            <v>-300700</v>
          </cell>
        </row>
        <row r="1232">
          <cell r="A1232">
            <v>1329100991</v>
          </cell>
          <cell r="B1232" t="str">
            <v>מועדוני ספ' תרבות</v>
          </cell>
          <cell r="C1232">
            <v>-155000</v>
          </cell>
        </row>
        <row r="1233">
          <cell r="A1233">
            <v>1329100992</v>
          </cell>
          <cell r="B1233" t="str">
            <v>מרכזי מצוינות</v>
          </cell>
          <cell r="C1233">
            <v>-110000</v>
          </cell>
        </row>
        <row r="1234">
          <cell r="A1234">
            <v>1329100993</v>
          </cell>
          <cell r="B1234" t="str">
            <v>פרחי ספורט</v>
          </cell>
        </row>
        <row r="1235">
          <cell r="A1235" t="str">
            <v>#VALUE!</v>
          </cell>
          <cell r="B1235" t="str">
            <v xml:space="preserve">מינהל הספורט      </v>
          </cell>
        </row>
        <row r="1236">
          <cell r="A1236">
            <v>13400000</v>
          </cell>
          <cell r="B1236" t="str">
            <v xml:space="preserve">רווחה             </v>
          </cell>
        </row>
        <row r="1237">
          <cell r="A1237">
            <v>13410000</v>
          </cell>
          <cell r="B1237" t="str">
            <v xml:space="preserve">מינהל הרווחה      </v>
          </cell>
        </row>
        <row r="1238">
          <cell r="A1238">
            <v>1341000421</v>
          </cell>
          <cell r="B1238" t="str">
            <v xml:space="preserve">הכנסות עבור יעוץ  </v>
          </cell>
          <cell r="C1238">
            <v>-80000</v>
          </cell>
        </row>
        <row r="1239">
          <cell r="A1239">
            <v>1341000423</v>
          </cell>
          <cell r="B1239" t="str">
            <v xml:space="preserve">החזר שכר מזכירה   </v>
          </cell>
        </row>
        <row r="1240">
          <cell r="A1240">
            <v>1341000491</v>
          </cell>
          <cell r="B1240" t="str">
            <v xml:space="preserve">הכנסות מהשתלמיות  </v>
          </cell>
        </row>
        <row r="1241">
          <cell r="A1241">
            <v>1341000494</v>
          </cell>
          <cell r="B1241" t="str">
            <v xml:space="preserve">השתלמות  מרוכזת   </v>
          </cell>
        </row>
        <row r="1242">
          <cell r="A1242">
            <v>1341000690</v>
          </cell>
          <cell r="B1242" t="str">
            <v>בטל"א-תחזוקה</v>
          </cell>
          <cell r="C1242">
            <v>-35000</v>
          </cell>
        </row>
        <row r="1243">
          <cell r="A1243">
            <v>1341000696</v>
          </cell>
          <cell r="B1243" t="str">
            <v xml:space="preserve">הכנסות שונות      </v>
          </cell>
          <cell r="C1243">
            <v>0</v>
          </cell>
        </row>
        <row r="1244">
          <cell r="A1244">
            <v>1341000790</v>
          </cell>
          <cell r="B1244" t="str">
            <v xml:space="preserve">תרומות            </v>
          </cell>
        </row>
        <row r="1245">
          <cell r="A1245">
            <v>1341000932</v>
          </cell>
          <cell r="B1245" t="str">
            <v>הצטיידות מועדונית</v>
          </cell>
        </row>
        <row r="1246">
          <cell r="A1246">
            <v>1341000933</v>
          </cell>
          <cell r="B1246" t="str">
            <v>הוצאות אירגוניות</v>
          </cell>
        </row>
        <row r="1247">
          <cell r="A1247">
            <v>1341000934</v>
          </cell>
          <cell r="B1247" t="str">
            <v>שכר עובדים 1013410</v>
          </cell>
        </row>
        <row r="1248">
          <cell r="A1248">
            <v>1341000935</v>
          </cell>
          <cell r="B1248" t="str">
            <v>מאבטחים - רווחה</v>
          </cell>
          <cell r="C1248">
            <v>-240100</v>
          </cell>
        </row>
        <row r="1249">
          <cell r="A1249">
            <v>1341000936</v>
          </cell>
          <cell r="B1249" t="str">
            <v xml:space="preserve">הכנסות שונות      </v>
          </cell>
        </row>
        <row r="1250">
          <cell r="A1250">
            <v>1341000937</v>
          </cell>
          <cell r="B1250" t="str">
            <v>הערכות לחירום</v>
          </cell>
          <cell r="C1250">
            <v>-57000</v>
          </cell>
        </row>
        <row r="1251">
          <cell r="A1251">
            <v>1341000938</v>
          </cell>
          <cell r="B1251" t="str">
            <v>חליפת מיגון</v>
          </cell>
          <cell r="C1251">
            <v>-60000</v>
          </cell>
        </row>
        <row r="1252">
          <cell r="A1252">
            <v>1341000944</v>
          </cell>
          <cell r="B1252" t="str">
            <v>החזר הבראה ויובל</v>
          </cell>
        </row>
        <row r="1253">
          <cell r="A1253" t="str">
            <v>#VALUE!</v>
          </cell>
          <cell r="B1253" t="str">
            <v xml:space="preserve">מינהל הרווחה      </v>
          </cell>
        </row>
        <row r="1254">
          <cell r="A1254">
            <v>13420000</v>
          </cell>
          <cell r="B1254" t="str">
            <v>רווחת הפרט והמשפחה</v>
          </cell>
        </row>
        <row r="1255">
          <cell r="A1255">
            <v>13425000</v>
          </cell>
          <cell r="B1255" t="str">
            <v xml:space="preserve">טיפול במשפחה      </v>
          </cell>
        </row>
        <row r="1256">
          <cell r="A1256">
            <v>1342500421</v>
          </cell>
          <cell r="B1256" t="str">
            <v xml:space="preserve">השתתפות פונים     </v>
          </cell>
          <cell r="C1256">
            <v>-5000</v>
          </cell>
        </row>
        <row r="1257">
          <cell r="A1257">
            <v>1342500422</v>
          </cell>
          <cell r="B1257" t="str">
            <v>תאום הורי</v>
          </cell>
        </row>
        <row r="1258">
          <cell r="A1258">
            <v>1342500423</v>
          </cell>
          <cell r="B1258" t="str">
            <v>השת'-טיפול באלימות</v>
          </cell>
          <cell r="C1258">
            <v>-17000</v>
          </cell>
        </row>
        <row r="1259">
          <cell r="A1259">
            <v>1342500690</v>
          </cell>
          <cell r="B1259" t="str">
            <v>החזר יתרות ממוסדות</v>
          </cell>
        </row>
        <row r="1260">
          <cell r="A1260">
            <v>1342500791</v>
          </cell>
          <cell r="B1260" t="str">
            <v>אג'לשיקום האסיר50%</v>
          </cell>
          <cell r="C1260">
            <v>-112500</v>
          </cell>
        </row>
        <row r="1261">
          <cell r="A1261">
            <v>1342500931</v>
          </cell>
          <cell r="B1261" t="str">
            <v>משפ' במצוקה1025410</v>
          </cell>
          <cell r="C1261">
            <v>-444400</v>
          </cell>
        </row>
        <row r="1262">
          <cell r="A1262">
            <v>1342500932</v>
          </cell>
          <cell r="B1262" t="str">
            <v xml:space="preserve">עולים מצ' 1073180 </v>
          </cell>
          <cell r="C1262">
            <v>-60000</v>
          </cell>
        </row>
        <row r="1263">
          <cell r="A1263">
            <v>1342500933</v>
          </cell>
          <cell r="B1263" t="str">
            <v>פגיעות מיניות</v>
          </cell>
          <cell r="C1263">
            <v>-233600</v>
          </cell>
        </row>
        <row r="1264">
          <cell r="A1264">
            <v>1342500934</v>
          </cell>
          <cell r="B1264" t="str">
            <v>שכר משפחה  1013410</v>
          </cell>
          <cell r="C1264">
            <v>18375000</v>
          </cell>
        </row>
        <row r="1265">
          <cell r="A1265">
            <v>1342500935</v>
          </cell>
          <cell r="B1265" t="str">
            <v>מ.בריאות-טיפות חלב</v>
          </cell>
        </row>
        <row r="1266">
          <cell r="A1266">
            <v>1342500936</v>
          </cell>
          <cell r="B1266" t="str">
            <v>טיפול בשורדות ז'</v>
          </cell>
          <cell r="C1266">
            <v>-140000</v>
          </cell>
        </row>
        <row r="1267">
          <cell r="A1267">
            <v>1342500937</v>
          </cell>
          <cell r="B1267" t="str">
            <v>תכנית קהילה למשפחות</v>
          </cell>
          <cell r="C1267">
            <v>-192800</v>
          </cell>
        </row>
        <row r="1268">
          <cell r="A1268">
            <v>1342500938</v>
          </cell>
          <cell r="B1268" t="str">
            <v>בית הויס   1026080</v>
          </cell>
        </row>
        <row r="1269">
          <cell r="A1269">
            <v>1342500939</v>
          </cell>
          <cell r="B1269" t="str">
            <v>שירותים בקהילה</v>
          </cell>
          <cell r="C1269">
            <v>-43400</v>
          </cell>
        </row>
        <row r="1270">
          <cell r="A1270">
            <v>1342500940</v>
          </cell>
          <cell r="B1270" t="str">
            <v xml:space="preserve">דרי רחוב 1025510  </v>
          </cell>
          <cell r="C1270">
            <v>-375000</v>
          </cell>
        </row>
        <row r="1271">
          <cell r="A1271">
            <v>1342500941</v>
          </cell>
          <cell r="B1271" t="str">
            <v>מרכז אלימות1026090</v>
          </cell>
          <cell r="C1271">
            <v>-350000</v>
          </cell>
        </row>
        <row r="1272">
          <cell r="A1272">
            <v>1342500942</v>
          </cell>
          <cell r="B1272" t="str">
            <v xml:space="preserve">מקלט לנשים מוכות  </v>
          </cell>
          <cell r="C1272">
            <v>-750000</v>
          </cell>
        </row>
        <row r="1273">
          <cell r="A1273">
            <v>1342500944</v>
          </cell>
          <cell r="B1273" t="str">
            <v xml:space="preserve">טיפול בדיירי רחוב </v>
          </cell>
        </row>
        <row r="1274">
          <cell r="A1274">
            <v>1342500945</v>
          </cell>
          <cell r="B1274" t="str">
            <v>תרגום שפה-פגישות חוק נוער</v>
          </cell>
          <cell r="C1274">
            <v>-37500</v>
          </cell>
        </row>
        <row r="1275">
          <cell r="A1275">
            <v>1342500946</v>
          </cell>
          <cell r="B1275" t="str">
            <v>חומש אתיופים-פעולות</v>
          </cell>
          <cell r="C1275">
            <v>-184000</v>
          </cell>
        </row>
        <row r="1276">
          <cell r="A1276">
            <v>1342500949</v>
          </cell>
          <cell r="B1276" t="str">
            <v>טיפול באובדן ושכול</v>
          </cell>
          <cell r="C1276">
            <v>-87000</v>
          </cell>
        </row>
        <row r="1277">
          <cell r="A1277">
            <v>1342500954</v>
          </cell>
          <cell r="B1277" t="str">
            <v>עובד קהילתי - קליטה</v>
          </cell>
        </row>
        <row r="1278">
          <cell r="A1278" t="str">
            <v>#VALUE!</v>
          </cell>
          <cell r="B1278" t="str">
            <v xml:space="preserve">טיפול במשפחה      </v>
          </cell>
        </row>
        <row r="1279">
          <cell r="A1279">
            <v>13426000</v>
          </cell>
          <cell r="B1279" t="str">
            <v>התחנה ליעוץ למשפחה</v>
          </cell>
        </row>
        <row r="1280">
          <cell r="A1280">
            <v>1342600421</v>
          </cell>
          <cell r="B1280" t="str">
            <v xml:space="preserve">הכנסות עבור יעוץ  </v>
          </cell>
        </row>
        <row r="1281">
          <cell r="A1281">
            <v>1342600423</v>
          </cell>
          <cell r="B1281" t="str">
            <v xml:space="preserve">החזר שכר מזכירה   </v>
          </cell>
        </row>
        <row r="1282">
          <cell r="A1282">
            <v>1342600931</v>
          </cell>
          <cell r="B1282" t="str">
            <v>מרכז אלימות1026090</v>
          </cell>
        </row>
        <row r="1283">
          <cell r="A1283">
            <v>1342600932</v>
          </cell>
          <cell r="B1283" t="str">
            <v xml:space="preserve">מקלט לנשים מוכות  </v>
          </cell>
        </row>
        <row r="1284">
          <cell r="A1284">
            <v>1342600934</v>
          </cell>
          <cell r="B1284" t="str">
            <v>שכר עובדים 1013410</v>
          </cell>
        </row>
        <row r="1285">
          <cell r="A1285" t="str">
            <v>#VALUE!</v>
          </cell>
          <cell r="B1285" t="str">
            <v>התחנה ליעוץ למשפחה</v>
          </cell>
        </row>
        <row r="1286">
          <cell r="A1286">
            <v>13430000</v>
          </cell>
          <cell r="B1286" t="str">
            <v>שרותים לילד ולנוער</v>
          </cell>
        </row>
        <row r="1287">
          <cell r="A1287">
            <v>13438000</v>
          </cell>
          <cell r="B1287" t="str">
            <v xml:space="preserve">טיפול בילד ובנוער </v>
          </cell>
        </row>
        <row r="1288">
          <cell r="A1288">
            <v>1343800421</v>
          </cell>
          <cell r="B1288" t="str">
            <v>ילד בפנמיו 1038410</v>
          </cell>
          <cell r="C1288">
            <v>-315000</v>
          </cell>
        </row>
        <row r="1289">
          <cell r="A1289">
            <v>1343800422</v>
          </cell>
          <cell r="B1289" t="str">
            <v>הכנסות פנדה</v>
          </cell>
          <cell r="C1289">
            <v>-70000</v>
          </cell>
        </row>
        <row r="1290">
          <cell r="A1290">
            <v>1343800812</v>
          </cell>
          <cell r="B1290" t="str">
            <v>ילד פנימיות1038411</v>
          </cell>
        </row>
        <row r="1291">
          <cell r="A1291">
            <v>1343800920</v>
          </cell>
          <cell r="B1291" t="str">
            <v>נוער חרדי</v>
          </cell>
          <cell r="C1291">
            <v>-470000</v>
          </cell>
        </row>
        <row r="1292">
          <cell r="A1292">
            <v>1343800931</v>
          </cell>
          <cell r="B1292" t="str">
            <v>ילד בפנמיו 1038410</v>
          </cell>
          <cell r="C1292">
            <v>-13600000</v>
          </cell>
        </row>
        <row r="1293">
          <cell r="A1293">
            <v>1343800932</v>
          </cell>
          <cell r="B1293" t="str">
            <v>ילד פנימיות1038411</v>
          </cell>
          <cell r="C1293">
            <v>-1575000</v>
          </cell>
        </row>
        <row r="1294">
          <cell r="A1294">
            <v>1343800933</v>
          </cell>
          <cell r="B1294" t="str">
            <v>מעונות יום 0422143</v>
          </cell>
        </row>
        <row r="1295">
          <cell r="A1295">
            <v>1343800934</v>
          </cell>
          <cell r="B1295" t="str">
            <v>שכר עובדים 1013410</v>
          </cell>
        </row>
        <row r="1296">
          <cell r="A1296">
            <v>1343800935</v>
          </cell>
          <cell r="B1296" t="str">
            <v>ילד במעונו 0442140</v>
          </cell>
          <cell r="C1296">
            <v>-4650000</v>
          </cell>
        </row>
        <row r="1297">
          <cell r="A1297">
            <v>1343800936</v>
          </cell>
          <cell r="B1297" t="str">
            <v xml:space="preserve">משפחתון 0422131   </v>
          </cell>
        </row>
        <row r="1298">
          <cell r="A1298">
            <v>1343800937</v>
          </cell>
          <cell r="B1298" t="str">
            <v>טיפול בילד בקהילה</v>
          </cell>
          <cell r="C1298">
            <v>-2140000</v>
          </cell>
        </row>
        <row r="1299">
          <cell r="A1299">
            <v>1343800938</v>
          </cell>
          <cell r="B1299" t="str">
            <v>מפתן ממשלתי</v>
          </cell>
        </row>
        <row r="1300">
          <cell r="A1300">
            <v>1343800939</v>
          </cell>
          <cell r="B1300" t="str">
            <v>מפתן מקומי 1134410</v>
          </cell>
          <cell r="C1300">
            <v>-210000</v>
          </cell>
        </row>
        <row r="1301">
          <cell r="A1301">
            <v>1343800941</v>
          </cell>
          <cell r="B1301" t="str">
            <v>תכנית לילדים בסיכון</v>
          </cell>
          <cell r="C1301">
            <v>-2626800</v>
          </cell>
        </row>
        <row r="1302">
          <cell r="A1302">
            <v>1343800942</v>
          </cell>
          <cell r="B1302" t="str">
            <v>מרכז חכ"ם</v>
          </cell>
          <cell r="C1302">
            <v>-675000</v>
          </cell>
        </row>
        <row r="1303">
          <cell r="A1303">
            <v>1343800943</v>
          </cell>
          <cell r="B1303" t="str">
            <v>חולון 360 שנים קודמות</v>
          </cell>
          <cell r="C1303">
            <v>-1300000</v>
          </cell>
        </row>
        <row r="1304">
          <cell r="A1304">
            <v>1343800988</v>
          </cell>
          <cell r="B1304" t="str">
            <v>תוכניות טיפול בעולים</v>
          </cell>
          <cell r="C1304">
            <v>-177000</v>
          </cell>
        </row>
        <row r="1305">
          <cell r="A1305">
            <v>1343800990</v>
          </cell>
          <cell r="B1305" t="str">
            <v>שכר עובדים משרד התמ"ת</v>
          </cell>
        </row>
        <row r="1306">
          <cell r="A1306">
            <v>1343800991</v>
          </cell>
          <cell r="B1306" t="str">
            <v>משפחתון ילדי רווחה</v>
          </cell>
        </row>
        <row r="1307">
          <cell r="A1307">
            <v>1343800992</v>
          </cell>
          <cell r="B1307" t="str">
            <v>ילדים סיכון1039480</v>
          </cell>
        </row>
        <row r="1308">
          <cell r="A1308">
            <v>1343800993</v>
          </cell>
          <cell r="B1308" t="str">
            <v>ילד'במצוקה 1073160</v>
          </cell>
          <cell r="C1308">
            <v>0</v>
          </cell>
        </row>
        <row r="1309">
          <cell r="A1309">
            <v>1343800994</v>
          </cell>
          <cell r="B1309" t="str">
            <v>מועד'משותפ'1039441</v>
          </cell>
          <cell r="C1309">
            <v>-750000</v>
          </cell>
        </row>
        <row r="1310">
          <cell r="A1310">
            <v>1343800995</v>
          </cell>
          <cell r="B1310" t="str">
            <v>הפנים לקהי' 1038417</v>
          </cell>
          <cell r="C1310">
            <v>-1272000</v>
          </cell>
        </row>
        <row r="1311">
          <cell r="A1311">
            <v>1343800996</v>
          </cell>
          <cell r="B1311" t="str">
            <v>ט'משפ'אומנה1038051</v>
          </cell>
          <cell r="C1311">
            <v>-1323100</v>
          </cell>
        </row>
        <row r="1312">
          <cell r="A1312">
            <v>1343800997</v>
          </cell>
          <cell r="B1312" t="str">
            <v>מרכז אורים</v>
          </cell>
        </row>
        <row r="1313">
          <cell r="A1313">
            <v>1343800999</v>
          </cell>
          <cell r="B1313" t="str">
            <v>טיפול בפגיעות מיניות</v>
          </cell>
          <cell r="C1313">
            <v>-660000</v>
          </cell>
        </row>
        <row r="1314">
          <cell r="A1314" t="str">
            <v>#VALUE!</v>
          </cell>
          <cell r="B1314" t="str">
            <v xml:space="preserve">טיפול בילד ובנוער </v>
          </cell>
        </row>
        <row r="1315">
          <cell r="A1315">
            <v>13440000</v>
          </cell>
          <cell r="B1315" t="str">
            <v xml:space="preserve">שרותים לקשיש      </v>
          </cell>
        </row>
        <row r="1316">
          <cell r="A1316">
            <v>13443000</v>
          </cell>
          <cell r="B1316" t="str">
            <v xml:space="preserve">טיפול בזקן        </v>
          </cell>
        </row>
        <row r="1317">
          <cell r="A1317">
            <v>1344300421</v>
          </cell>
          <cell r="B1317" t="str">
            <v>השתתפות קשישים</v>
          </cell>
          <cell r="C1317">
            <v>-5000</v>
          </cell>
        </row>
        <row r="1318">
          <cell r="A1318">
            <v>1344300422</v>
          </cell>
          <cell r="B1318" t="str">
            <v xml:space="preserve">מט"ב עצמיות       </v>
          </cell>
          <cell r="C1318">
            <v>0</v>
          </cell>
        </row>
        <row r="1319">
          <cell r="A1319">
            <v>1344300423</v>
          </cell>
          <cell r="B1319" t="str">
            <v>פרוייקט קשישים ק"ש</v>
          </cell>
        </row>
        <row r="1320">
          <cell r="A1320">
            <v>1344300424</v>
          </cell>
          <cell r="B1320" t="str">
            <v>פרוייקט אשל</v>
          </cell>
          <cell r="C1320">
            <v>0</v>
          </cell>
        </row>
        <row r="1321">
          <cell r="A1321">
            <v>1344300425</v>
          </cell>
          <cell r="B1321" t="str">
            <v>ארוחות לזק 1043445</v>
          </cell>
        </row>
        <row r="1322">
          <cell r="A1322">
            <v>1344300426</v>
          </cell>
          <cell r="B1322" t="str">
            <v>השת' קשישים-מעונות</v>
          </cell>
          <cell r="C1322">
            <v>-800000</v>
          </cell>
        </row>
        <row r="1323">
          <cell r="A1323">
            <v>1344300523</v>
          </cell>
          <cell r="B1323" t="str">
            <v>תכנית אב לאזרחים ותיקים</v>
          </cell>
          <cell r="C1323">
            <v>-675200</v>
          </cell>
        </row>
        <row r="1324">
          <cell r="A1324">
            <v>1344300930</v>
          </cell>
          <cell r="B1324" t="str">
            <v>אח.במעונות 1042410</v>
          </cell>
        </row>
        <row r="1325">
          <cell r="A1325">
            <v>1344300931</v>
          </cell>
          <cell r="B1325" t="str">
            <v>סיוע לאזרחים ותיקים</v>
          </cell>
          <cell r="C1325">
            <v>-225000</v>
          </cell>
        </row>
        <row r="1326">
          <cell r="A1326">
            <v>1344300932</v>
          </cell>
          <cell r="B1326" t="str">
            <v xml:space="preserve">שכונה תומכת       </v>
          </cell>
        </row>
        <row r="1327">
          <cell r="A1327">
            <v>1344300933</v>
          </cell>
          <cell r="B1327" t="str">
            <v xml:space="preserve">טיפול שיניים      </v>
          </cell>
        </row>
        <row r="1328">
          <cell r="A1328">
            <v>1344300934</v>
          </cell>
          <cell r="B1328" t="str">
            <v xml:space="preserve">שכר סיעוד 1013410 </v>
          </cell>
        </row>
        <row r="1329">
          <cell r="A1329">
            <v>1344300935</v>
          </cell>
          <cell r="B1329" t="str">
            <v>מניעת התעללות בזקן</v>
          </cell>
        </row>
        <row r="1330">
          <cell r="A1330">
            <v>1344300936</v>
          </cell>
          <cell r="B1330" t="str">
            <v>מועדונים משודרגים</v>
          </cell>
        </row>
        <row r="1331">
          <cell r="A1331">
            <v>1344300937</v>
          </cell>
          <cell r="B1331" t="str">
            <v>אח'במעונות 1042410</v>
          </cell>
          <cell r="C1331">
            <v>-6550000</v>
          </cell>
        </row>
        <row r="1332">
          <cell r="A1332">
            <v>1344300938</v>
          </cell>
          <cell r="B1332" t="str">
            <v>הזדקנות מיטבית בקהילה</v>
          </cell>
          <cell r="C1332">
            <v>-1350000</v>
          </cell>
        </row>
        <row r="1333">
          <cell r="A1333">
            <v>1344300939</v>
          </cell>
          <cell r="B1333" t="str">
            <v>טיפול בזקן 1043600</v>
          </cell>
        </row>
        <row r="1334">
          <cell r="A1334">
            <v>1344300940</v>
          </cell>
          <cell r="B1334" t="str">
            <v>שרותים לניצולי שואה</v>
          </cell>
          <cell r="C1334">
            <v>-1173000</v>
          </cell>
        </row>
        <row r="1335">
          <cell r="A1335">
            <v>1344300990</v>
          </cell>
          <cell r="B1335" t="str">
            <v>תכנית אב לאזרחים ותיקים</v>
          </cell>
        </row>
        <row r="1336">
          <cell r="A1336">
            <v>1344300991</v>
          </cell>
          <cell r="B1336" t="str">
            <v>muni 100</v>
          </cell>
        </row>
        <row r="1337">
          <cell r="A1337">
            <v>1344300992</v>
          </cell>
          <cell r="B1337" t="str">
            <v>עמותת עמדא</v>
          </cell>
        </row>
        <row r="1338">
          <cell r="A1338">
            <v>1344300993</v>
          </cell>
          <cell r="B1338" t="str">
            <v>קול קורא תכנית ש' חברתי</v>
          </cell>
        </row>
        <row r="1339">
          <cell r="A1339" t="str">
            <v>#VALUE!</v>
          </cell>
          <cell r="B1339" t="str">
            <v xml:space="preserve">טיפול בזקן        </v>
          </cell>
        </row>
        <row r="1340">
          <cell r="A1340">
            <v>13445000</v>
          </cell>
          <cell r="B1340" t="str">
            <v>תעס'+מרכז יום קשיש</v>
          </cell>
        </row>
        <row r="1341">
          <cell r="A1341">
            <v>1344500931</v>
          </cell>
          <cell r="B1341" t="str">
            <v>מועדוני קש 1043430</v>
          </cell>
          <cell r="C1341">
            <v>-250000</v>
          </cell>
        </row>
        <row r="1342">
          <cell r="A1342" t="str">
            <v>#VALUE!</v>
          </cell>
          <cell r="B1342" t="str">
            <v>תעס'+מרכז יום קשיש</v>
          </cell>
        </row>
        <row r="1343">
          <cell r="A1343">
            <v>13450000</v>
          </cell>
          <cell r="B1343" t="str">
            <v xml:space="preserve">שרותים לבעלי מוגבלות שכה"ת    </v>
          </cell>
        </row>
        <row r="1344">
          <cell r="A1344">
            <v>13452000</v>
          </cell>
          <cell r="B1344" t="str">
            <v>מוגבלים שכה"ת במוסדות יום</v>
          </cell>
        </row>
        <row r="1345">
          <cell r="A1345">
            <v>1345200731</v>
          </cell>
          <cell r="B1345" t="str">
            <v>שיפוץ דירה-הצטידות</v>
          </cell>
        </row>
        <row r="1346">
          <cell r="A1346">
            <v>1345200791</v>
          </cell>
          <cell r="B1346" t="str">
            <v xml:space="preserve">סקט"א פארארפואי   </v>
          </cell>
        </row>
        <row r="1347">
          <cell r="A1347">
            <v>1345200935</v>
          </cell>
          <cell r="B1347" t="str">
            <v xml:space="preserve">הצטיידות עופרים   </v>
          </cell>
        </row>
        <row r="1348">
          <cell r="A1348" t="str">
            <v>#VALUE!</v>
          </cell>
          <cell r="B1348" t="str">
            <v xml:space="preserve">שרותים לבעלי מוגבלות שכה"ת    </v>
          </cell>
        </row>
        <row r="1349">
          <cell r="A1349">
            <v>13453000</v>
          </cell>
          <cell r="B1349" t="str">
            <v xml:space="preserve">שרות למוגבלים שכה"ת-קהילתי </v>
          </cell>
        </row>
        <row r="1350">
          <cell r="A1350">
            <v>1345300421</v>
          </cell>
          <cell r="B1350" t="str">
            <v>השתתפויות</v>
          </cell>
          <cell r="C1350">
            <v>-610000</v>
          </cell>
        </row>
        <row r="1351">
          <cell r="A1351">
            <v>1345300692</v>
          </cell>
          <cell r="B1351" t="str">
            <v>קרן שלם</v>
          </cell>
        </row>
        <row r="1352">
          <cell r="A1352">
            <v>1345300693</v>
          </cell>
          <cell r="B1352" t="str">
            <v>"אחים"-קרן שלם</v>
          </cell>
        </row>
        <row r="1353">
          <cell r="A1353">
            <v>1345300791</v>
          </cell>
          <cell r="B1353" t="str">
            <v xml:space="preserve">השתתפות עו"ז      </v>
          </cell>
        </row>
        <row r="1354">
          <cell r="A1354">
            <v>1345300931</v>
          </cell>
          <cell r="B1354" t="str">
            <v>מעונות יום 0855410</v>
          </cell>
          <cell r="C1354">
            <v>-75000</v>
          </cell>
        </row>
        <row r="1355">
          <cell r="A1355">
            <v>1345300932</v>
          </cell>
          <cell r="B1355" t="str">
            <v>מע' יום טפו 855420</v>
          </cell>
          <cell r="C1355">
            <v>-4635300</v>
          </cell>
        </row>
        <row r="1356">
          <cell r="A1356">
            <v>1345300933</v>
          </cell>
          <cell r="B1356" t="str">
            <v>שר' תומכים 0855430</v>
          </cell>
        </row>
        <row r="1357">
          <cell r="A1357">
            <v>1345300934</v>
          </cell>
          <cell r="B1357" t="str">
            <v xml:space="preserve">מטפלים לחריגים    </v>
          </cell>
        </row>
        <row r="1358">
          <cell r="A1358">
            <v>1345300936</v>
          </cell>
          <cell r="B1358" t="str">
            <v>הסעות למוגבלים שכה"ת</v>
          </cell>
          <cell r="C1358">
            <v>-1234500</v>
          </cell>
        </row>
        <row r="1359">
          <cell r="A1359">
            <v>1345300937</v>
          </cell>
          <cell r="B1359" t="str">
            <v>סידור מוסד 0856410</v>
          </cell>
          <cell r="C1359">
            <v>-36300000</v>
          </cell>
        </row>
        <row r="1360">
          <cell r="A1360">
            <v>1345300938</v>
          </cell>
          <cell r="B1360" t="str">
            <v>מוסדות ממש 0873890</v>
          </cell>
          <cell r="C1360">
            <v>-5750000</v>
          </cell>
        </row>
        <row r="1361">
          <cell r="A1361">
            <v>1345300939</v>
          </cell>
          <cell r="B1361" t="str">
            <v>סביבה תומכת לבוגרים</v>
          </cell>
          <cell r="C1361">
            <v>-180000</v>
          </cell>
        </row>
        <row r="1362">
          <cell r="A1362">
            <v>1345300991</v>
          </cell>
          <cell r="B1362" t="str">
            <v xml:space="preserve">נופשון 0855920    </v>
          </cell>
        </row>
        <row r="1363">
          <cell r="A1363">
            <v>1345300992</v>
          </cell>
          <cell r="B1363" t="str">
            <v>תעסוקה עד הבית</v>
          </cell>
        </row>
        <row r="1364">
          <cell r="A1364" t="str">
            <v>#VALUE!</v>
          </cell>
          <cell r="B1364" t="str">
            <v xml:space="preserve">ש. למוגבלים שכה"ת-קהילתי </v>
          </cell>
        </row>
        <row r="1365">
          <cell r="A1365">
            <v>13454000</v>
          </cell>
          <cell r="B1365" t="str">
            <v>מרכז קש"ת</v>
          </cell>
        </row>
        <row r="1366">
          <cell r="A1366">
            <v>1345400421</v>
          </cell>
          <cell r="B1366" t="str">
            <v xml:space="preserve">השתתפות צד-שלישי  </v>
          </cell>
          <cell r="C1366">
            <v>-140000</v>
          </cell>
        </row>
        <row r="1367">
          <cell r="A1367">
            <v>1345400422</v>
          </cell>
          <cell r="B1367" t="str">
            <v>הכנ' מקייטנת אקי"ם</v>
          </cell>
        </row>
        <row r="1368">
          <cell r="A1368">
            <v>1345400423</v>
          </cell>
          <cell r="B1368" t="str">
            <v xml:space="preserve">חניכים הסעות      </v>
          </cell>
        </row>
        <row r="1369">
          <cell r="A1369">
            <v>1345400690</v>
          </cell>
          <cell r="B1369" t="str">
            <v>הכנסות מייצור עצמי</v>
          </cell>
        </row>
        <row r="1370">
          <cell r="A1370">
            <v>1345400692</v>
          </cell>
          <cell r="B1370" t="str">
            <v>הכנסות קרן שלם</v>
          </cell>
        </row>
        <row r="1371">
          <cell r="A1371">
            <v>1345400931</v>
          </cell>
          <cell r="B1371" t="str">
            <v xml:space="preserve">מע"ש ממשלה0855470 </v>
          </cell>
          <cell r="C1371">
            <v>-1548800</v>
          </cell>
        </row>
        <row r="1372">
          <cell r="A1372">
            <v>1345400934</v>
          </cell>
          <cell r="B1372" t="str">
            <v>שכר עובדים 1013410</v>
          </cell>
        </row>
        <row r="1373">
          <cell r="A1373" t="str">
            <v>#VALUE!</v>
          </cell>
          <cell r="B1373" t="str">
            <v>מרכז קש"ת</v>
          </cell>
        </row>
        <row r="1374">
          <cell r="A1374">
            <v>13460000</v>
          </cell>
          <cell r="B1374" t="str">
            <v xml:space="preserve">שרותי שיקום       </v>
          </cell>
        </row>
        <row r="1375">
          <cell r="A1375">
            <v>13462000</v>
          </cell>
          <cell r="B1375" t="str">
            <v xml:space="preserve">טיפול בעיור       </v>
          </cell>
        </row>
        <row r="1376">
          <cell r="A1376">
            <v>1346200931</v>
          </cell>
          <cell r="B1376" t="str">
            <v>מ שיקום עיו 662080</v>
          </cell>
        </row>
        <row r="1377">
          <cell r="A1377">
            <v>1346200932</v>
          </cell>
          <cell r="B1377" t="str">
            <v>מועדון חברתי לבוגרים</v>
          </cell>
          <cell r="C1377">
            <v>-525000</v>
          </cell>
        </row>
        <row r="1378">
          <cell r="A1378">
            <v>1346200933</v>
          </cell>
          <cell r="B1378" t="str">
            <v>הכש'מקצועי 0662150</v>
          </cell>
        </row>
        <row r="1379">
          <cell r="A1379">
            <v>1346200934</v>
          </cell>
          <cell r="B1379" t="str">
            <v>מועד'עיוור'0662510</v>
          </cell>
        </row>
        <row r="1380">
          <cell r="A1380">
            <v>1346200936</v>
          </cell>
          <cell r="B1380" t="str">
            <v>מע' עיור 0662510</v>
          </cell>
        </row>
        <row r="1381">
          <cell r="A1381">
            <v>1346200937</v>
          </cell>
          <cell r="B1381" t="str">
            <v>דמי לווי   0662300</v>
          </cell>
        </row>
        <row r="1382">
          <cell r="A1382">
            <v>1346200938</v>
          </cell>
          <cell r="B1382" t="str">
            <v>ילדים במוס 0662410</v>
          </cell>
          <cell r="C1382">
            <v>-474800</v>
          </cell>
        </row>
        <row r="1383">
          <cell r="A1383">
            <v>1346200939</v>
          </cell>
          <cell r="B1383" t="str">
            <v>הדרכת עוור 0662430</v>
          </cell>
          <cell r="C1383">
            <v>-210000</v>
          </cell>
        </row>
        <row r="1384">
          <cell r="A1384" t="str">
            <v>#VALUE!</v>
          </cell>
          <cell r="B1384" t="str">
            <v xml:space="preserve">טיפול בעיוור       </v>
          </cell>
        </row>
        <row r="1385">
          <cell r="A1385">
            <v>13465000</v>
          </cell>
          <cell r="B1385" t="str">
            <v xml:space="preserve">שיקום נכים        </v>
          </cell>
        </row>
        <row r="1386">
          <cell r="A1386">
            <v>1346500421</v>
          </cell>
          <cell r="B1386" t="str">
            <v>השתתפויות</v>
          </cell>
          <cell r="C1386">
            <v>-1450000</v>
          </cell>
        </row>
        <row r="1387">
          <cell r="A1387">
            <v>1346500931</v>
          </cell>
          <cell r="B1387" t="str">
            <v>מרכזי איבחון ושיקום</v>
          </cell>
          <cell r="C1387">
            <v>-240000</v>
          </cell>
        </row>
        <row r="1388">
          <cell r="A1388">
            <v>1346500932</v>
          </cell>
          <cell r="B1388" t="str">
            <v>הסעות נכים 0622100</v>
          </cell>
          <cell r="C1388">
            <v>-37500</v>
          </cell>
        </row>
        <row r="1389">
          <cell r="A1389">
            <v>1346500933</v>
          </cell>
          <cell r="B1389" t="str">
            <v>שיקום מוגבלויות</v>
          </cell>
          <cell r="C1389">
            <v>-525000</v>
          </cell>
        </row>
        <row r="1390">
          <cell r="A1390">
            <v>1346500934</v>
          </cell>
          <cell r="B1390" t="str">
            <v>אוטיסטים</v>
          </cell>
        </row>
        <row r="1391">
          <cell r="A1391">
            <v>1346500935</v>
          </cell>
          <cell r="B1391" t="str">
            <v>פעולות קיץ לאוטיסטים</v>
          </cell>
          <cell r="C1391">
            <v>-117000</v>
          </cell>
        </row>
        <row r="1392">
          <cell r="A1392">
            <v>1346500936</v>
          </cell>
          <cell r="B1392" t="str">
            <v>מרכז נוער לשיקום</v>
          </cell>
          <cell r="C1392">
            <v>-375000</v>
          </cell>
        </row>
        <row r="1393">
          <cell r="A1393">
            <v>1346500937</v>
          </cell>
          <cell r="B1393" t="str">
            <v>נכים קשים בקהילה</v>
          </cell>
          <cell r="C1393">
            <v>-165000</v>
          </cell>
        </row>
        <row r="1394">
          <cell r="A1394">
            <v>1346500938</v>
          </cell>
          <cell r="B1394" t="str">
            <v>תעסוקה מוגנת למוגבל</v>
          </cell>
          <cell r="C1394">
            <v>-1149000</v>
          </cell>
        </row>
        <row r="1395">
          <cell r="A1395">
            <v>1346500939</v>
          </cell>
          <cell r="B1395" t="str">
            <v>הסעות למעונות יום</v>
          </cell>
          <cell r="C1395">
            <v>-2079000</v>
          </cell>
        </row>
        <row r="1396">
          <cell r="A1396">
            <v>1346500941</v>
          </cell>
          <cell r="B1396" t="str">
            <v>קהילה תומכת</v>
          </cell>
          <cell r="C1396">
            <v>-240000</v>
          </cell>
        </row>
        <row r="1397">
          <cell r="A1397">
            <v>1346500942</v>
          </cell>
          <cell r="B1397" t="str">
            <v>מלווים למעונות יום</v>
          </cell>
          <cell r="C1397">
            <v>-1200000</v>
          </cell>
        </row>
        <row r="1398">
          <cell r="A1398">
            <v>1346500946</v>
          </cell>
          <cell r="B1398" t="str">
            <v>מועדונית חינוך מיוחד</v>
          </cell>
        </row>
        <row r="1399">
          <cell r="A1399">
            <v>1346500947</v>
          </cell>
          <cell r="B1399" t="str">
            <v>תכניות תעסוקה</v>
          </cell>
          <cell r="C1399">
            <v>-450000</v>
          </cell>
        </row>
        <row r="1400">
          <cell r="A1400">
            <v>1346500982</v>
          </cell>
          <cell r="B1400" t="str">
            <v>נפגעי ראש</v>
          </cell>
          <cell r="C1400">
            <v>-1050000</v>
          </cell>
        </row>
        <row r="1401">
          <cell r="A1401">
            <v>1346500986</v>
          </cell>
          <cell r="B1401" t="str">
            <v xml:space="preserve">מועדון הדרים      </v>
          </cell>
        </row>
        <row r="1402">
          <cell r="A1402">
            <v>1346500987</v>
          </cell>
          <cell r="B1402" t="str">
            <v>מ.יום שיקומי622110</v>
          </cell>
          <cell r="C1402">
            <v>-5808000</v>
          </cell>
        </row>
        <row r="1403">
          <cell r="A1403">
            <v>1346500988</v>
          </cell>
          <cell r="B1403" t="str">
            <v>מעטפת מגורים בקהילה</v>
          </cell>
          <cell r="C1403">
            <v>-25300</v>
          </cell>
        </row>
        <row r="1404">
          <cell r="A1404">
            <v>1346500990</v>
          </cell>
          <cell r="B1404" t="str">
            <v>ט'בילד חריג0202260</v>
          </cell>
          <cell r="C1404">
            <v>-360000</v>
          </cell>
        </row>
        <row r="1405">
          <cell r="A1405">
            <v>1346500991</v>
          </cell>
          <cell r="B1405" t="str">
            <v>מוס'ממש'שיק0682950</v>
          </cell>
          <cell r="C1405">
            <v>-413700</v>
          </cell>
        </row>
        <row r="1406">
          <cell r="A1406">
            <v>1346500992</v>
          </cell>
          <cell r="B1406" t="str">
            <v>הסעות לאוטיסטים</v>
          </cell>
          <cell r="C1406">
            <v>-225000</v>
          </cell>
        </row>
        <row r="1407">
          <cell r="A1407">
            <v>1346500993</v>
          </cell>
          <cell r="B1407" t="str">
            <v>מועדונית שיקום</v>
          </cell>
        </row>
        <row r="1408">
          <cell r="A1408">
            <v>1346500994</v>
          </cell>
          <cell r="B1408" t="str">
            <v>אוטיסטים</v>
          </cell>
          <cell r="C1408">
            <v>-24335000</v>
          </cell>
        </row>
        <row r="1409">
          <cell r="A1409">
            <v>1346500995</v>
          </cell>
          <cell r="B1409" t="str">
            <v>נופשונים מש"ה ושיקום</v>
          </cell>
          <cell r="C1409">
            <v>-195000</v>
          </cell>
        </row>
        <row r="1410">
          <cell r="A1410">
            <v>1346500996</v>
          </cell>
          <cell r="B1410" t="str">
            <v>מרכז למשפחה</v>
          </cell>
          <cell r="C1410">
            <v>-207400</v>
          </cell>
        </row>
        <row r="1411">
          <cell r="A1411">
            <v>1346500997</v>
          </cell>
          <cell r="B1411" t="str">
            <v>נכים בפנימ'0621040</v>
          </cell>
          <cell r="C1411">
            <v>-12988800</v>
          </cell>
        </row>
        <row r="1412">
          <cell r="A1412">
            <v>1346500998</v>
          </cell>
          <cell r="B1412" t="str">
            <v>נכה באומנה 0621050</v>
          </cell>
          <cell r="C1412">
            <v>-405000</v>
          </cell>
        </row>
        <row r="1413">
          <cell r="A1413" t="str">
            <v>#VALUE!</v>
          </cell>
          <cell r="B1413" t="str">
            <v xml:space="preserve">שיקום נכים        </v>
          </cell>
        </row>
        <row r="1414">
          <cell r="A1414">
            <v>13470000</v>
          </cell>
          <cell r="B1414" t="str">
            <v xml:space="preserve">שרותי תיקון       </v>
          </cell>
        </row>
        <row r="1415">
          <cell r="A1415">
            <v>13471000</v>
          </cell>
          <cell r="B1415" t="str">
            <v xml:space="preserve">נוער מצוקה        </v>
          </cell>
        </row>
        <row r="1416">
          <cell r="A1416">
            <v>1347100931</v>
          </cell>
          <cell r="B1416" t="str">
            <v>מט"ל</v>
          </cell>
        </row>
        <row r="1417">
          <cell r="A1417">
            <v>1347100932</v>
          </cell>
          <cell r="B1417" t="str">
            <v>בתים חמים לנערות</v>
          </cell>
        </row>
        <row r="1418">
          <cell r="A1418">
            <v>1347100933</v>
          </cell>
          <cell r="B1418" t="str">
            <v xml:space="preserve">מע' חסות 1166030  </v>
          </cell>
          <cell r="C1418">
            <v>-1456500</v>
          </cell>
        </row>
        <row r="1419">
          <cell r="A1419">
            <v>1347100934</v>
          </cell>
          <cell r="B1419" t="str">
            <v>תכנית "אפיקים"</v>
          </cell>
        </row>
        <row r="1420">
          <cell r="A1420">
            <v>1347100935</v>
          </cell>
          <cell r="B1420" t="str">
            <v>תכנית צל"ש</v>
          </cell>
        </row>
        <row r="1421">
          <cell r="A1421">
            <v>1347100936</v>
          </cell>
          <cell r="B1421" t="str">
            <v>נוער וצעירים 1164023</v>
          </cell>
        </row>
        <row r="1422">
          <cell r="A1422">
            <v>1347100937</v>
          </cell>
          <cell r="B1422" t="str">
            <v>נוצץ שירותים בקהילה</v>
          </cell>
          <cell r="C1422">
            <v>-1277200</v>
          </cell>
        </row>
        <row r="1423">
          <cell r="A1423">
            <v>1347100938</v>
          </cell>
          <cell r="B1423" t="str">
            <v>חוץ ביתי נוצץ</v>
          </cell>
          <cell r="C1423">
            <v>-187500</v>
          </cell>
        </row>
        <row r="1424">
          <cell r="A1424">
            <v>1347100939</v>
          </cell>
          <cell r="B1424" t="str">
            <v>מוגנות קיץ</v>
          </cell>
        </row>
        <row r="1425">
          <cell r="A1425">
            <v>1347100940</v>
          </cell>
          <cell r="B1425" t="str">
            <v>תכנית מית"ר</v>
          </cell>
          <cell r="C1425">
            <v>-980000</v>
          </cell>
        </row>
        <row r="1426">
          <cell r="A1426">
            <v>1347100941</v>
          </cell>
          <cell r="B1426" t="str">
            <v>תכנית "יתד"</v>
          </cell>
          <cell r="C1426">
            <v>-567000</v>
          </cell>
        </row>
        <row r="1427">
          <cell r="A1427">
            <v>1347100942</v>
          </cell>
          <cell r="B1427" t="str">
            <v>תכנית ניצוץ</v>
          </cell>
        </row>
        <row r="1428">
          <cell r="A1428">
            <v>1347100943</v>
          </cell>
          <cell r="B1428" t="str">
            <v>צעירים חוץ ביתי</v>
          </cell>
          <cell r="C1428">
            <v>-336000</v>
          </cell>
        </row>
        <row r="1429">
          <cell r="A1429" t="str">
            <v>#VALUE!</v>
          </cell>
          <cell r="B1429" t="str">
            <v xml:space="preserve">נוער מצוקה        </v>
          </cell>
        </row>
        <row r="1430">
          <cell r="A1430">
            <v>13473000</v>
          </cell>
          <cell r="B1430" t="str">
            <v xml:space="preserve">מלחמה בסמים       </v>
          </cell>
        </row>
        <row r="1431">
          <cell r="A1431">
            <v>1347300421</v>
          </cell>
          <cell r="B1431" t="str">
            <v>השתתפות נפגעי סמים</v>
          </cell>
          <cell r="C1431">
            <v>-45000</v>
          </cell>
        </row>
        <row r="1432">
          <cell r="A1432">
            <v>1347300422</v>
          </cell>
          <cell r="B1432" t="str">
            <v>טיפול במשפחות מכורים</v>
          </cell>
          <cell r="C1432">
            <v>-20000</v>
          </cell>
        </row>
        <row r="1433">
          <cell r="A1433">
            <v>1347300931</v>
          </cell>
          <cell r="B1433" t="str">
            <v>בדיקות שתן 1125070</v>
          </cell>
        </row>
        <row r="1434">
          <cell r="A1434">
            <v>1347300932</v>
          </cell>
          <cell r="B1434" t="str">
            <v xml:space="preserve">מרכז יום 1125061  </v>
          </cell>
        </row>
        <row r="1435">
          <cell r="A1435">
            <v>1347300933</v>
          </cell>
          <cell r="B1435" t="str">
            <v>טיפול בהתמכרויות</v>
          </cell>
          <cell r="C1435">
            <v>-410000</v>
          </cell>
        </row>
        <row r="1436">
          <cell r="A1436">
            <v>1347300934</v>
          </cell>
          <cell r="B1436" t="str">
            <v xml:space="preserve">שכר עובדים        </v>
          </cell>
        </row>
        <row r="1437">
          <cell r="A1437">
            <v>1347300935</v>
          </cell>
          <cell r="B1437" t="str">
            <v>גמילת נוער</v>
          </cell>
        </row>
        <row r="1438">
          <cell r="A1438">
            <v>1347300936</v>
          </cell>
          <cell r="B1438" t="str">
            <v>פרוייקטים לנגמלים</v>
          </cell>
        </row>
        <row r="1439">
          <cell r="A1439">
            <v>1347300937</v>
          </cell>
          <cell r="B1439" t="str">
            <v>טיפול בעולים נפגעי סמים</v>
          </cell>
        </row>
        <row r="1440">
          <cell r="A1440" t="str">
            <v>#VALUE!</v>
          </cell>
          <cell r="B1440" t="str">
            <v xml:space="preserve">מלחמה בסמים       </v>
          </cell>
        </row>
        <row r="1441">
          <cell r="A1441">
            <v>13480000</v>
          </cell>
          <cell r="B1441" t="str">
            <v xml:space="preserve">עבודה קהילתית     </v>
          </cell>
        </row>
        <row r="1442">
          <cell r="A1442">
            <v>13481000</v>
          </cell>
          <cell r="B1442" t="str">
            <v xml:space="preserve">עבודה קהילתית     </v>
          </cell>
        </row>
        <row r="1443">
          <cell r="A1443">
            <v>1348100421</v>
          </cell>
          <cell r="B1443" t="str">
            <v>השת' למשפחות בקהילה</v>
          </cell>
          <cell r="C1443">
            <v>-7500</v>
          </cell>
        </row>
        <row r="1444">
          <cell r="A1444">
            <v>1348100931</v>
          </cell>
          <cell r="B1444" t="str">
            <v>פע' התנדבות 094030</v>
          </cell>
          <cell r="C1444">
            <v>-37500</v>
          </cell>
        </row>
        <row r="1445">
          <cell r="A1445">
            <v>1348100932</v>
          </cell>
          <cell r="B1445" t="str">
            <v>פרוייקט עוצמה</v>
          </cell>
          <cell r="C1445">
            <v>-255000</v>
          </cell>
        </row>
        <row r="1446">
          <cell r="A1446">
            <v>1348100933</v>
          </cell>
          <cell r="B1446" t="str">
            <v>אחז'מרכ'קהל1072410</v>
          </cell>
          <cell r="C1446">
            <v>-14300</v>
          </cell>
        </row>
        <row r="1447">
          <cell r="A1447">
            <v>1348100934</v>
          </cell>
          <cell r="B1447" t="str">
            <v>עו"ש עולים 1073120</v>
          </cell>
        </row>
        <row r="1448">
          <cell r="A1448">
            <v>1348100936</v>
          </cell>
          <cell r="B1448" t="str">
            <v>לשכת יעוץ לאזרח</v>
          </cell>
          <cell r="C1448">
            <v>-4000</v>
          </cell>
        </row>
        <row r="1449">
          <cell r="A1449">
            <v>1348100937</v>
          </cell>
          <cell r="B1449" t="str">
            <v>פ.קהילתי גאוגרפי</v>
          </cell>
        </row>
        <row r="1450">
          <cell r="A1450">
            <v>1348100938</v>
          </cell>
          <cell r="B1450" t="str">
            <v>מוטב יחדיו</v>
          </cell>
        </row>
        <row r="1451">
          <cell r="A1451">
            <v>1348100939</v>
          </cell>
          <cell r="B1451" t="str">
            <v>סל תכניות התנדבות</v>
          </cell>
        </row>
        <row r="1452">
          <cell r="A1452">
            <v>1348100980</v>
          </cell>
          <cell r="B1452" t="str">
            <v>תנופה - מש' השיכון</v>
          </cell>
        </row>
        <row r="1453">
          <cell r="A1453" t="str">
            <v>#VALUE!</v>
          </cell>
          <cell r="B1453" t="str">
            <v xml:space="preserve">עבודה קהילתית     </v>
          </cell>
        </row>
        <row r="1454">
          <cell r="A1454">
            <v>13600000</v>
          </cell>
          <cell r="B1454" t="str">
            <v xml:space="preserve">קליטת עליה        </v>
          </cell>
        </row>
        <row r="1455">
          <cell r="A1455">
            <v>13680000</v>
          </cell>
          <cell r="B1455" t="str">
            <v xml:space="preserve">אולפנים לעברית    </v>
          </cell>
        </row>
        <row r="1456">
          <cell r="A1456">
            <v>1368000490</v>
          </cell>
          <cell r="B1456" t="str">
            <v>הכנסה מקרן עזבונות</v>
          </cell>
        </row>
        <row r="1457">
          <cell r="A1457">
            <v>1368000491</v>
          </cell>
          <cell r="B1457" t="str">
            <v xml:space="preserve">הכנסות מארועים    </v>
          </cell>
        </row>
        <row r="1458">
          <cell r="A1458">
            <v>1368000750</v>
          </cell>
          <cell r="B1458" t="str">
            <v xml:space="preserve">אולפני סוכנות     </v>
          </cell>
        </row>
        <row r="1459">
          <cell r="A1459">
            <v>1368000920</v>
          </cell>
          <cell r="B1459" t="str">
            <v>משרד הקליטה - שכר עובדים</v>
          </cell>
        </row>
        <row r="1460">
          <cell r="A1460">
            <v>1368000950</v>
          </cell>
          <cell r="B1460" t="str">
            <v xml:space="preserve">השתת' משרד הקליטה </v>
          </cell>
        </row>
        <row r="1461">
          <cell r="A1461">
            <v>1368000951</v>
          </cell>
          <cell r="B1461" t="str">
            <v>משרד הקליטה-ארועים</v>
          </cell>
        </row>
        <row r="1462">
          <cell r="A1462" t="str">
            <v>#VALUE!</v>
          </cell>
          <cell r="B1462" t="str">
            <v xml:space="preserve">אולפנים לעברית    </v>
          </cell>
        </row>
        <row r="1463">
          <cell r="A1463">
            <v>13690000</v>
          </cell>
          <cell r="B1463" t="str">
            <v>שרותים לקליטת עליה</v>
          </cell>
        </row>
        <row r="1464">
          <cell r="A1464">
            <v>1369000490</v>
          </cell>
          <cell r="B1464" t="str">
            <v>הכנסות מארועים</v>
          </cell>
        </row>
        <row r="1465">
          <cell r="A1465">
            <v>1369000670</v>
          </cell>
          <cell r="B1465" t="str">
            <v xml:space="preserve">דמי זיכיון        </v>
          </cell>
        </row>
        <row r="1466">
          <cell r="A1466">
            <v>1369000790</v>
          </cell>
          <cell r="B1466" t="str">
            <v>שכירת חדרים</v>
          </cell>
        </row>
        <row r="1467">
          <cell r="A1467">
            <v>1369000950</v>
          </cell>
          <cell r="B1467" t="str">
            <v xml:space="preserve">הכנסות משנים קודמות-קליטה </v>
          </cell>
        </row>
        <row r="1468">
          <cell r="A1468">
            <v>1369000951</v>
          </cell>
          <cell r="B1468" t="str">
            <v>משרד הקליטה-ארועים</v>
          </cell>
        </row>
        <row r="1469">
          <cell r="A1469" t="str">
            <v>#VALUE!</v>
          </cell>
          <cell r="B1469" t="str">
            <v>שרותים לקליטת עליה</v>
          </cell>
        </row>
        <row r="1470">
          <cell r="A1470">
            <v>13700000</v>
          </cell>
          <cell r="B1470" t="str">
            <v xml:space="preserve">איכות הסביבה      </v>
          </cell>
        </row>
        <row r="1471">
          <cell r="A1471">
            <v>13790000</v>
          </cell>
          <cell r="B1471" t="str">
            <v xml:space="preserve">יח' לאיכות סביבה  </v>
          </cell>
        </row>
        <row r="1472">
          <cell r="A1472">
            <v>1379000690</v>
          </cell>
          <cell r="B1472" t="str">
            <v>קנסות-זיהום ממפעלים</v>
          </cell>
        </row>
        <row r="1473">
          <cell r="A1473">
            <v>1379000790</v>
          </cell>
          <cell r="B1473" t="str">
            <v>השתתפות מועצת אזור</v>
          </cell>
        </row>
        <row r="1474">
          <cell r="A1474">
            <v>1379000791</v>
          </cell>
          <cell r="B1474" t="str">
            <v>הכנסות מפעילות לתושבים</v>
          </cell>
        </row>
        <row r="1475">
          <cell r="A1475">
            <v>1379000990</v>
          </cell>
          <cell r="B1475" t="str">
            <v xml:space="preserve">מש' איכות הסביבה  </v>
          </cell>
        </row>
        <row r="1476">
          <cell r="A1476">
            <v>1379000991</v>
          </cell>
          <cell r="B1476" t="str">
            <v>קרן לשמירת הנקיון-מ'איכות</v>
          </cell>
        </row>
        <row r="1477">
          <cell r="A1477" t="str">
            <v>#VALUE!</v>
          </cell>
          <cell r="B1477" t="str">
            <v xml:space="preserve">יח' לאיכות סביבה  </v>
          </cell>
        </row>
        <row r="1478">
          <cell r="A1478">
            <v>14000000</v>
          </cell>
          <cell r="B1478" t="str">
            <v xml:space="preserve">מפעלים            </v>
          </cell>
        </row>
        <row r="1479">
          <cell r="A1479">
            <v>14100000</v>
          </cell>
          <cell r="B1479" t="str">
            <v xml:space="preserve">מים               </v>
          </cell>
        </row>
        <row r="1480">
          <cell r="A1480">
            <v>14120000</v>
          </cell>
          <cell r="B1480" t="str">
            <v xml:space="preserve">גביה              </v>
          </cell>
        </row>
        <row r="1481">
          <cell r="A1481">
            <v>1412000111</v>
          </cell>
          <cell r="B1481" t="str">
            <v>החזר הנחות מימון</v>
          </cell>
        </row>
        <row r="1482">
          <cell r="A1482">
            <v>1412000211</v>
          </cell>
          <cell r="B1482" t="str">
            <v xml:space="preserve">אספקת מים גביה    </v>
          </cell>
        </row>
        <row r="1483">
          <cell r="A1483">
            <v>1412000212</v>
          </cell>
          <cell r="B1483" t="str">
            <v xml:space="preserve">דמי בדיקת מדים    </v>
          </cell>
        </row>
        <row r="1484">
          <cell r="A1484">
            <v>1412000213</v>
          </cell>
          <cell r="B1484" t="str">
            <v>אג' ניתוק/חיבור מד</v>
          </cell>
        </row>
        <row r="1485">
          <cell r="A1485">
            <v>1412000214</v>
          </cell>
          <cell r="B1485" t="str">
            <v>גביה - חב' מילגם</v>
          </cell>
        </row>
        <row r="1486">
          <cell r="A1486">
            <v>1412000215</v>
          </cell>
          <cell r="B1486" t="str">
            <v>שינוי ח' מים-צרכן</v>
          </cell>
        </row>
        <row r="1487">
          <cell r="A1487">
            <v>1412000216</v>
          </cell>
          <cell r="B1487" t="str">
            <v>הכנסות מ"מי שיקמה"</v>
          </cell>
        </row>
        <row r="1488">
          <cell r="A1488">
            <v>1412000661</v>
          </cell>
          <cell r="B1488" t="str">
            <v>עמלת גביה</v>
          </cell>
        </row>
        <row r="1489">
          <cell r="A1489">
            <v>1412000662</v>
          </cell>
          <cell r="B1489" t="str">
            <v>שרותים לתאגיד</v>
          </cell>
        </row>
        <row r="1490">
          <cell r="A1490">
            <v>1412000663</v>
          </cell>
          <cell r="B1490" t="str">
            <v>שיפוי שכר תאגיד המים</v>
          </cell>
        </row>
        <row r="1491">
          <cell r="A1491">
            <v>1412000664</v>
          </cell>
          <cell r="B1491" t="str">
            <v>השתתפות במל"ח</v>
          </cell>
        </row>
        <row r="1492">
          <cell r="A1492" t="str">
            <v>#VALUE!</v>
          </cell>
          <cell r="B1492" t="str">
            <v>מים גבייה</v>
          </cell>
        </row>
        <row r="1493">
          <cell r="A1493">
            <v>14300000</v>
          </cell>
          <cell r="B1493" t="str">
            <v xml:space="preserve">נכסים             </v>
          </cell>
        </row>
        <row r="1494">
          <cell r="A1494">
            <v>14330000</v>
          </cell>
          <cell r="B1494" t="str">
            <v xml:space="preserve">משרדים ועסקים     </v>
          </cell>
        </row>
        <row r="1495">
          <cell r="A1495">
            <v>1433000420</v>
          </cell>
          <cell r="B1495" t="str">
            <v>שכ"ד - בית קפה "קקאו"710</v>
          </cell>
          <cell r="C1495">
            <v>-347000</v>
          </cell>
        </row>
        <row r="1496">
          <cell r="A1496">
            <v>1433000429</v>
          </cell>
          <cell r="B1496" t="str">
            <v>בנות יעל-מעיין החינוך התורני</v>
          </cell>
        </row>
        <row r="1497">
          <cell r="A1497">
            <v>1433000430</v>
          </cell>
          <cell r="B1497" t="str">
            <v>בית קפה-גן בח' - 300</v>
          </cell>
          <cell r="C1497">
            <v>-895000</v>
          </cell>
        </row>
        <row r="1498">
          <cell r="A1498">
            <v>1433000431</v>
          </cell>
          <cell r="B1498" t="str">
            <v>חשמל - בית קפה "קקאו"</v>
          </cell>
          <cell r="C1498">
            <v>-40000</v>
          </cell>
        </row>
        <row r="1499">
          <cell r="A1499">
            <v>1433000640</v>
          </cell>
          <cell r="B1499" t="str">
            <v>שכ"ד - חכ"ל  686</v>
          </cell>
        </row>
        <row r="1500">
          <cell r="A1500">
            <v>1433000641</v>
          </cell>
          <cell r="B1500" t="str">
            <v>שכ"ד - מזנון העירייה</v>
          </cell>
        </row>
        <row r="1501">
          <cell r="A1501">
            <v>1433000642</v>
          </cell>
          <cell r="B1501" t="str">
            <v>דמ"ח חכ"ל - 716</v>
          </cell>
        </row>
        <row r="1502">
          <cell r="A1502">
            <v>1433000643</v>
          </cell>
          <cell r="B1502" t="str">
            <v>שכ"ד - משען  683</v>
          </cell>
        </row>
        <row r="1503">
          <cell r="A1503">
            <v>1433000644</v>
          </cell>
          <cell r="B1503" t="str">
            <v>שכ"ד-מכון טכנולוגי  684</v>
          </cell>
        </row>
        <row r="1504">
          <cell r="A1504">
            <v>1433000645</v>
          </cell>
          <cell r="B1504" t="str">
            <v>שכ"ד - אג"ד  555</v>
          </cell>
        </row>
        <row r="1505">
          <cell r="A1505">
            <v>1433000646</v>
          </cell>
          <cell r="B1505" t="str">
            <v>שכ"ד - תלפיות 685</v>
          </cell>
        </row>
        <row r="1506">
          <cell r="A1506">
            <v>1433000647</v>
          </cell>
          <cell r="B1506" t="str">
            <v>שכ"ד - עמותת אל"י</v>
          </cell>
        </row>
        <row r="1507">
          <cell r="A1507">
            <v>1433000648</v>
          </cell>
          <cell r="B1507" t="str">
            <v>שכ"ד - נכס אילון פינת גולדה</v>
          </cell>
          <cell r="C1507">
            <v>-179000</v>
          </cell>
        </row>
        <row r="1508">
          <cell r="A1508">
            <v>1433000649</v>
          </cell>
          <cell r="B1508" t="str">
            <v>שכ"ד - שיקום הילד 693</v>
          </cell>
        </row>
        <row r="1509">
          <cell r="A1509">
            <v>1433000650</v>
          </cell>
          <cell r="B1509" t="str">
            <v>שכ"ד - דן 105</v>
          </cell>
        </row>
        <row r="1510">
          <cell r="A1510">
            <v>1433000651</v>
          </cell>
          <cell r="B1510" t="str">
            <v>דמ"ח מרפאות בריאות כללית</v>
          </cell>
        </row>
        <row r="1511">
          <cell r="A1511">
            <v>1433000652</v>
          </cell>
          <cell r="B1511" t="str">
            <v>שכ"ד-מרפאה לבריאות הנפש</v>
          </cell>
        </row>
        <row r="1512">
          <cell r="A1512">
            <v>1433000653</v>
          </cell>
          <cell r="B1512" t="str">
            <v>דמ"ש פוטו וולטאי</v>
          </cell>
          <cell r="C1512">
            <v>-300000</v>
          </cell>
        </row>
        <row r="1513">
          <cell r="A1513">
            <v>1433000691</v>
          </cell>
          <cell r="B1513" t="str">
            <v>החזר מס רכוש</v>
          </cell>
        </row>
        <row r="1514">
          <cell r="A1514" t="str">
            <v>#VALUE!</v>
          </cell>
          <cell r="B1514" t="str">
            <v xml:space="preserve">משרדים ועסקים     </v>
          </cell>
        </row>
        <row r="1515">
          <cell r="A1515">
            <v>14390000</v>
          </cell>
          <cell r="B1515" t="str">
            <v xml:space="preserve">דמי זיכיון        </v>
          </cell>
        </row>
        <row r="1516">
          <cell r="A1516">
            <v>1439000413</v>
          </cell>
          <cell r="B1516" t="str">
            <v>דמי שימוש בקרקע ציבורית</v>
          </cell>
        </row>
        <row r="1517">
          <cell r="A1517">
            <v>1439000670</v>
          </cell>
          <cell r="B1517" t="str">
            <v>דמ"ז - ח' לבידור  556</v>
          </cell>
        </row>
        <row r="1518">
          <cell r="A1518">
            <v>1439000671</v>
          </cell>
          <cell r="B1518" t="str">
            <v xml:space="preserve">דמי זכיון  משלטים        </v>
          </cell>
        </row>
        <row r="1519">
          <cell r="A1519">
            <v>1439000672</v>
          </cell>
          <cell r="B1519" t="str">
            <v>זיכיון-סככות אוטו'</v>
          </cell>
        </row>
        <row r="1520">
          <cell r="A1520">
            <v>1439000673</v>
          </cell>
          <cell r="B1520" t="str">
            <v>הרשאה - מוניות קניון 694</v>
          </cell>
        </row>
        <row r="1521">
          <cell r="A1521">
            <v>1439000801</v>
          </cell>
          <cell r="B1521" t="str">
            <v>דמי זיכיון רשת קהילה ופנאי</v>
          </cell>
        </row>
        <row r="1522">
          <cell r="A1522">
            <v>1439000802</v>
          </cell>
          <cell r="B1522" t="str">
            <v>דמ"ז החברה לפיתוח תאטרון</v>
          </cell>
        </row>
        <row r="1523">
          <cell r="A1523">
            <v>1439000803</v>
          </cell>
          <cell r="B1523" t="str">
            <v>זכות הפעלה החב' לפיתוח תאטרון</v>
          </cell>
        </row>
        <row r="1524">
          <cell r="A1524">
            <v>1439000804</v>
          </cell>
          <cell r="B1524" t="str">
            <v>זכות הפעלה רשת קהילה ופנאי</v>
          </cell>
        </row>
        <row r="1525">
          <cell r="A1525" t="str">
            <v>#VALUE!</v>
          </cell>
          <cell r="B1525" t="str">
            <v xml:space="preserve">דמי זיכיון        </v>
          </cell>
        </row>
        <row r="1526">
          <cell r="A1526">
            <v>14700000</v>
          </cell>
          <cell r="B1526" t="str">
            <v xml:space="preserve">מפעל הביוב        </v>
          </cell>
        </row>
        <row r="1527">
          <cell r="A1527">
            <v>14720000</v>
          </cell>
          <cell r="B1527" t="str">
            <v xml:space="preserve">ביוב עירוני       </v>
          </cell>
        </row>
        <row r="1528">
          <cell r="A1528">
            <v>1472000111</v>
          </cell>
          <cell r="B1528" t="str">
            <v>החזר הנחות מימון</v>
          </cell>
        </row>
        <row r="1529">
          <cell r="A1529">
            <v>1472000210</v>
          </cell>
          <cell r="B1529" t="str">
            <v xml:space="preserve">אג' ביוב-איגוד ערים         </v>
          </cell>
        </row>
        <row r="1530">
          <cell r="A1530">
            <v>1472000211</v>
          </cell>
          <cell r="B1530" t="str">
            <v>אגרת ביוב- מקומית</v>
          </cell>
        </row>
        <row r="1531">
          <cell r="A1531">
            <v>1472000212</v>
          </cell>
          <cell r="B1531" t="str">
            <v>אגרת ביוב- פחת</v>
          </cell>
        </row>
        <row r="1532">
          <cell r="A1532">
            <v>1472000213</v>
          </cell>
          <cell r="B1532" t="str">
            <v>אגרת ביוב- שידרוג</v>
          </cell>
        </row>
        <row r="1533">
          <cell r="A1533">
            <v>1472000410</v>
          </cell>
          <cell r="B1533" t="str">
            <v>חיבור ביוב ע"ח צרכן</v>
          </cell>
        </row>
        <row r="1534">
          <cell r="A1534" t="str">
            <v>#VALUE!</v>
          </cell>
          <cell r="B1534" t="str">
            <v xml:space="preserve">ביוב עירוני       </v>
          </cell>
        </row>
        <row r="1535">
          <cell r="A1535">
            <v>15000000</v>
          </cell>
          <cell r="B1535" t="str">
            <v xml:space="preserve">תקבולים לא רגילים </v>
          </cell>
        </row>
        <row r="1536">
          <cell r="A1536">
            <v>15100000</v>
          </cell>
          <cell r="B1536" t="str">
            <v>ריב'+החזר הוצ' ש.ק</v>
          </cell>
        </row>
        <row r="1537">
          <cell r="A1537">
            <v>15110000</v>
          </cell>
          <cell r="B1537" t="str">
            <v xml:space="preserve">ריבית ודיווידנדים </v>
          </cell>
        </row>
        <row r="1538">
          <cell r="A1538">
            <v>1511000662</v>
          </cell>
          <cell r="B1538" t="str">
            <v xml:space="preserve">רבית ודיוידנדים   </v>
          </cell>
          <cell r="C1538">
            <v>-2000000</v>
          </cell>
        </row>
        <row r="1539">
          <cell r="A1539">
            <v>1511000663</v>
          </cell>
          <cell r="B1539" t="str">
            <v>דיבידנד מ"מי שיקמה"</v>
          </cell>
        </row>
        <row r="1540">
          <cell r="A1540" t="str">
            <v>#VALUE!</v>
          </cell>
          <cell r="B1540" t="str">
            <v xml:space="preserve">ריבית ודיווידנדים </v>
          </cell>
        </row>
        <row r="1541">
          <cell r="A1541">
            <v>15120000</v>
          </cell>
          <cell r="B1541" t="str">
            <v>ריבית מהקדמת תשלום</v>
          </cell>
        </row>
        <row r="1542">
          <cell r="A1542">
            <v>1512000661</v>
          </cell>
          <cell r="B1542" t="str">
            <v xml:space="preserve">רבית מהקדמת תשלום </v>
          </cell>
        </row>
        <row r="1543">
          <cell r="A1543">
            <v>1512000662</v>
          </cell>
          <cell r="B1543" t="str">
            <v>הנחות מימון אשפה</v>
          </cell>
        </row>
        <row r="1544">
          <cell r="A1544">
            <v>1512000664</v>
          </cell>
          <cell r="B1544" t="str">
            <v xml:space="preserve">רבית משקים חוזרים </v>
          </cell>
        </row>
        <row r="1545">
          <cell r="A1545" t="str">
            <v>#VALUE!</v>
          </cell>
          <cell r="B1545" t="str">
            <v>ריבית מהקדמת תשלום</v>
          </cell>
        </row>
        <row r="1546">
          <cell r="A1546">
            <v>15130000</v>
          </cell>
          <cell r="B1546" t="str">
            <v>החזרים-שנים קודמות</v>
          </cell>
        </row>
        <row r="1547">
          <cell r="A1547">
            <v>1513000690</v>
          </cell>
          <cell r="B1547" t="str">
            <v>הכנסות-שנים קודמות</v>
          </cell>
        </row>
        <row r="1548">
          <cell r="A1548">
            <v>1513000691</v>
          </cell>
          <cell r="B1548" t="str">
            <v>קרן עודפים</v>
          </cell>
        </row>
        <row r="1549">
          <cell r="A1549">
            <v>1513000692</v>
          </cell>
          <cell r="B1549" t="str">
            <v>העברה מעודף מצטבר</v>
          </cell>
        </row>
        <row r="1550">
          <cell r="A1550">
            <v>1513000920</v>
          </cell>
          <cell r="B1550" t="str">
            <v>מש' החינוך-שנים קודמות</v>
          </cell>
        </row>
        <row r="1551">
          <cell r="A1551">
            <v>1513000693</v>
          </cell>
          <cell r="B1551" t="str">
            <v>הכנסות ש.ק.מ.טכנולוגי (אנטנות)</v>
          </cell>
        </row>
        <row r="1552">
          <cell r="A1552" t="str">
            <v>#VALUE!</v>
          </cell>
          <cell r="B1552" t="str">
            <v>החזרים-שנים קודמות</v>
          </cell>
        </row>
        <row r="1553">
          <cell r="A1553">
            <v>15900000</v>
          </cell>
          <cell r="B1553" t="str">
            <v xml:space="preserve">הכנסות מיוחדות    </v>
          </cell>
        </row>
        <row r="1554">
          <cell r="A1554">
            <v>15940000</v>
          </cell>
          <cell r="B1554" t="str">
            <v xml:space="preserve">הכנסות מיוחדות    </v>
          </cell>
        </row>
        <row r="1555">
          <cell r="A1555">
            <v>1594000690</v>
          </cell>
          <cell r="B1555" t="str">
            <v>חדרי שנאים חברת חשמל-נת"ע</v>
          </cell>
        </row>
        <row r="1556">
          <cell r="A1556">
            <v>1594000691</v>
          </cell>
          <cell r="B1556" t="str">
            <v>תקב'-הביטוח הלאומי</v>
          </cell>
        </row>
        <row r="1557">
          <cell r="A1557">
            <v>1594000692</v>
          </cell>
          <cell r="B1557" t="str">
            <v xml:space="preserve">השתתפות בגימלה    </v>
          </cell>
        </row>
        <row r="1558">
          <cell r="A1558">
            <v>1594000693</v>
          </cell>
          <cell r="B1558" t="str">
            <v xml:space="preserve">החזר הוצ' משפטיות </v>
          </cell>
          <cell r="C1558" t="str">
            <v>50,000-</v>
          </cell>
        </row>
        <row r="1559">
          <cell r="A1559">
            <v>1594000694</v>
          </cell>
          <cell r="B1559" t="str">
            <v xml:space="preserve">הכנסות שונות      </v>
          </cell>
          <cell r="C1559">
            <v>-200000</v>
          </cell>
        </row>
        <row r="1560">
          <cell r="A1560">
            <v>1594000695</v>
          </cell>
          <cell r="B1560" t="str">
            <v>חשמל - מוזיאון הקריקטורות</v>
          </cell>
          <cell r="C1560">
            <v>-15000</v>
          </cell>
        </row>
        <row r="1561">
          <cell r="A1561">
            <v>1594000696</v>
          </cell>
          <cell r="B1561" t="str">
            <v>תביעות משפטיות מפיתוח</v>
          </cell>
        </row>
        <row r="1562">
          <cell r="A1562">
            <v>1594000697</v>
          </cell>
          <cell r="B1562" t="str">
            <v>מיחזור הלוואה-קרן</v>
          </cell>
        </row>
        <row r="1563">
          <cell r="A1563">
            <v>1594000698</v>
          </cell>
          <cell r="B1563" t="str">
            <v>מיחזור הלוואה-ריבית</v>
          </cell>
        </row>
        <row r="1564">
          <cell r="A1564">
            <v>1594000699</v>
          </cell>
          <cell r="B1564" t="str">
            <v>מיחזור הלוואה-הצמדה</v>
          </cell>
        </row>
        <row r="1565">
          <cell r="A1565">
            <v>1594000790</v>
          </cell>
          <cell r="B1565" t="str">
            <v>תחזוקת משאיות התאגיד</v>
          </cell>
        </row>
        <row r="1566">
          <cell r="A1566">
            <v>1594000791</v>
          </cell>
          <cell r="B1566" t="str">
            <v xml:space="preserve">הכנסות משכ"ל    </v>
          </cell>
        </row>
        <row r="1567">
          <cell r="A1567">
            <v>1594000930</v>
          </cell>
          <cell r="B1567" t="str">
            <v>לא פעיל</v>
          </cell>
        </row>
        <row r="1568">
          <cell r="A1568">
            <v>1594000931</v>
          </cell>
          <cell r="B1568" t="str">
            <v>מענק תיאגוד</v>
          </cell>
        </row>
        <row r="1569">
          <cell r="A1569" t="str">
            <v>#VALUE!</v>
          </cell>
          <cell r="B1569" t="str">
            <v xml:space="preserve">הכנסות מיוחדות    </v>
          </cell>
        </row>
        <row r="1570">
          <cell r="A1570">
            <v>15990000</v>
          </cell>
          <cell r="B1570" t="str">
            <v>הכנסות-קרנות הרשות</v>
          </cell>
        </row>
        <row r="1571">
          <cell r="A1571">
            <v>1599000690</v>
          </cell>
          <cell r="B1571" t="str">
            <v>הכנס' מקרנות הרשות</v>
          </cell>
        </row>
        <row r="1572">
          <cell r="A1572" t="str">
            <v>#VALUE!</v>
          </cell>
          <cell r="B1572" t="str">
            <v>הכנסות-קרנות הרשות</v>
          </cell>
        </row>
        <row r="1573">
          <cell r="A1573">
            <v>15993000</v>
          </cell>
          <cell r="B1573" t="str">
            <v>העברות</v>
          </cell>
        </row>
        <row r="1574">
          <cell r="A1574">
            <v>1599300690</v>
          </cell>
          <cell r="B1574" t="str">
            <v>העברת יתרות</v>
          </cell>
        </row>
        <row r="1575">
          <cell r="A1575" t="str">
            <v>#VALUE!</v>
          </cell>
          <cell r="B1575" t="str">
            <v>העברות</v>
          </cell>
        </row>
        <row r="1576">
          <cell r="A1576">
            <v>0</v>
          </cell>
          <cell r="B1576">
            <v>0</v>
          </cell>
        </row>
        <row r="1577">
          <cell r="A1577">
            <v>0</v>
          </cell>
          <cell r="B1577" t="str">
            <v>תשלומים</v>
          </cell>
        </row>
        <row r="1578">
          <cell r="A1578">
            <v>16000000</v>
          </cell>
          <cell r="B1578" t="str">
            <v xml:space="preserve">הנהלה כללית       </v>
          </cell>
        </row>
        <row r="1579">
          <cell r="A1579">
            <v>16100000</v>
          </cell>
          <cell r="B1579" t="str">
            <v xml:space="preserve">מינהל כללי        </v>
          </cell>
        </row>
        <row r="1580">
          <cell r="A1580">
            <v>16110000</v>
          </cell>
          <cell r="B1580" t="str">
            <v xml:space="preserve">ההנהלה והמועצה    </v>
          </cell>
        </row>
        <row r="1581">
          <cell r="A1581">
            <v>16111000</v>
          </cell>
          <cell r="B1581" t="str">
            <v xml:space="preserve">ראש  הרשות וסגניו </v>
          </cell>
        </row>
        <row r="1582">
          <cell r="A1582">
            <v>1611100100</v>
          </cell>
          <cell r="B1582" t="str">
            <v>שכר עובדים לפי תקן</v>
          </cell>
        </row>
        <row r="1583">
          <cell r="A1583">
            <v>1611100110</v>
          </cell>
          <cell r="B1583" t="str">
            <v>השכר הקובע-תקציבית</v>
          </cell>
          <cell r="C1583">
            <v>0</v>
          </cell>
        </row>
        <row r="1584">
          <cell r="A1584">
            <v>1611100119</v>
          </cell>
          <cell r="B1584" t="str">
            <v xml:space="preserve">השכר הקובע-צוברת  </v>
          </cell>
          <cell r="C1584">
            <v>7482100</v>
          </cell>
        </row>
        <row r="1585">
          <cell r="A1585">
            <v>1611100122</v>
          </cell>
          <cell r="B1585" t="str">
            <v xml:space="preserve">ביגוד             </v>
          </cell>
          <cell r="C1585">
            <v>64000</v>
          </cell>
        </row>
        <row r="1586">
          <cell r="A1586">
            <v>1611100126</v>
          </cell>
          <cell r="B1586" t="str">
            <v xml:space="preserve">דמי הבראה         </v>
          </cell>
          <cell r="C1586">
            <v>103500</v>
          </cell>
        </row>
        <row r="1587">
          <cell r="A1587">
            <v>1611100130</v>
          </cell>
          <cell r="B1587" t="str">
            <v xml:space="preserve">שעות נוספות       </v>
          </cell>
          <cell r="C1587">
            <v>6000</v>
          </cell>
        </row>
        <row r="1588">
          <cell r="A1588">
            <v>1611100140</v>
          </cell>
          <cell r="B1588" t="str">
            <v>השתתפות באחזקת רכב</v>
          </cell>
          <cell r="C1588">
            <v>592000</v>
          </cell>
        </row>
        <row r="1589">
          <cell r="A1589">
            <v>1611100210</v>
          </cell>
          <cell r="B1589" t="str">
            <v xml:space="preserve">השכר הקובע        </v>
          </cell>
        </row>
        <row r="1590">
          <cell r="A1590">
            <v>1611100253</v>
          </cell>
          <cell r="B1590" t="str">
            <v xml:space="preserve">עובד חיצוני       </v>
          </cell>
        </row>
        <row r="1591">
          <cell r="A1591">
            <v>1611100350</v>
          </cell>
          <cell r="B1591" t="str">
            <v>ליסינג</v>
          </cell>
          <cell r="C1591">
            <v>60000</v>
          </cell>
        </row>
        <row r="1592">
          <cell r="A1592">
            <v>1611100351</v>
          </cell>
          <cell r="B1592" t="str">
            <v>הוצאות</v>
          </cell>
          <cell r="C1592">
            <v>25000</v>
          </cell>
        </row>
        <row r="1593">
          <cell r="A1593">
            <v>1611100352</v>
          </cell>
          <cell r="B1593" t="str">
            <v>לא פעיל</v>
          </cell>
        </row>
        <row r="1594">
          <cell r="A1594">
            <v>1611100353</v>
          </cell>
          <cell r="B1594" t="str">
            <v>הוצ' רכב 838-36-002</v>
          </cell>
          <cell r="C1594">
            <v>20000</v>
          </cell>
        </row>
        <row r="1595">
          <cell r="A1595">
            <v>1611100400</v>
          </cell>
          <cell r="B1595" t="str">
            <v>אחזקת בנינים וציוד</v>
          </cell>
        </row>
        <row r="1596">
          <cell r="A1596">
            <v>1611100441</v>
          </cell>
          <cell r="B1596" t="str">
            <v>בטוח אחריות בכירים</v>
          </cell>
          <cell r="C1596">
            <v>250000</v>
          </cell>
        </row>
        <row r="1597">
          <cell r="A1597">
            <v>1611100471</v>
          </cell>
          <cell r="B1597" t="str">
            <v xml:space="preserve">מכשירי כתיבה      </v>
          </cell>
          <cell r="C1597">
            <v>30700</v>
          </cell>
        </row>
        <row r="1598">
          <cell r="A1598">
            <v>1611100492</v>
          </cell>
          <cell r="B1598" t="str">
            <v xml:space="preserve">השתתפות בעזר 092  </v>
          </cell>
          <cell r="C1598">
            <v>431000</v>
          </cell>
        </row>
        <row r="1599">
          <cell r="A1599">
            <v>1611100500</v>
          </cell>
          <cell r="B1599" t="str">
            <v xml:space="preserve">הוצאות מינהליות   </v>
          </cell>
        </row>
        <row r="1600">
          <cell r="A1600">
            <v>1611100511</v>
          </cell>
          <cell r="B1600" t="str">
            <v xml:space="preserve">אירוח וכיבוד      </v>
          </cell>
          <cell r="C1600">
            <v>56000</v>
          </cell>
        </row>
        <row r="1601">
          <cell r="A1601">
            <v>1611100512</v>
          </cell>
          <cell r="B1601" t="str">
            <v xml:space="preserve">נסיעות ואש"ל      </v>
          </cell>
          <cell r="C1601">
            <v>1900</v>
          </cell>
        </row>
        <row r="1602">
          <cell r="A1602">
            <v>1611100522</v>
          </cell>
          <cell r="B1602" t="str">
            <v xml:space="preserve">ספרים ועיתונים    </v>
          </cell>
          <cell r="C1602">
            <v>17100</v>
          </cell>
        </row>
        <row r="1603">
          <cell r="A1603">
            <v>1611100540</v>
          </cell>
          <cell r="B1603" t="str">
            <v xml:space="preserve">הוצאות טלפון      </v>
          </cell>
          <cell r="C1603">
            <v>1700</v>
          </cell>
        </row>
        <row r="1604">
          <cell r="A1604">
            <v>1611100543</v>
          </cell>
          <cell r="B1604" t="str">
            <v xml:space="preserve">טלפונים סלולריים  </v>
          </cell>
          <cell r="C1604">
            <v>21400</v>
          </cell>
        </row>
        <row r="1605">
          <cell r="A1605">
            <v>1611100544</v>
          </cell>
          <cell r="B1605" t="str">
            <v xml:space="preserve">הוצאות דאר        </v>
          </cell>
          <cell r="C1605">
            <v>34200</v>
          </cell>
        </row>
        <row r="1606">
          <cell r="A1606">
            <v>1611100550</v>
          </cell>
          <cell r="B1606" t="str">
            <v>פרסומים</v>
          </cell>
        </row>
        <row r="1607">
          <cell r="A1607">
            <v>1611100551</v>
          </cell>
          <cell r="B1607" t="str">
            <v>מבצע פרסום</v>
          </cell>
        </row>
        <row r="1608">
          <cell r="A1608">
            <v>1611100552</v>
          </cell>
          <cell r="B1608" t="str">
            <v>דוברות</v>
          </cell>
          <cell r="C1608">
            <v>1000000</v>
          </cell>
        </row>
        <row r="1609">
          <cell r="A1609">
            <v>1611100553</v>
          </cell>
          <cell r="B1609" t="str">
            <v>יחסי ציבור ומיתוג</v>
          </cell>
          <cell r="C1609">
            <v>528600</v>
          </cell>
        </row>
        <row r="1610">
          <cell r="A1610">
            <v>1611100554</v>
          </cell>
          <cell r="B1610" t="str">
            <v>פרסום הליכות ג'יין</v>
          </cell>
          <cell r="C1610">
            <v>25000</v>
          </cell>
        </row>
        <row r="1611">
          <cell r="A1611">
            <v>1611100561</v>
          </cell>
          <cell r="B1611" t="str">
            <v xml:space="preserve">שיכפולים          </v>
          </cell>
          <cell r="C1611">
            <v>8600</v>
          </cell>
        </row>
        <row r="1612">
          <cell r="A1612">
            <v>1611100562</v>
          </cell>
          <cell r="B1612" t="str">
            <v xml:space="preserve">הדפסות            </v>
          </cell>
          <cell r="C1612">
            <v>6000</v>
          </cell>
        </row>
        <row r="1613">
          <cell r="A1613">
            <v>1611100563</v>
          </cell>
          <cell r="B1613" t="str">
            <v xml:space="preserve">הדפסת פרטיכלים    </v>
          </cell>
          <cell r="C1613">
            <v>18000</v>
          </cell>
        </row>
        <row r="1614">
          <cell r="A1614">
            <v>1611100571</v>
          </cell>
          <cell r="B1614" t="str">
            <v xml:space="preserve">מיכון וענ"א       </v>
          </cell>
        </row>
        <row r="1615">
          <cell r="A1615">
            <v>1611100596</v>
          </cell>
          <cell r="B1615" t="str">
            <v xml:space="preserve">השתתפות בעזר 096  </v>
          </cell>
        </row>
        <row r="1616">
          <cell r="A1616">
            <v>1611100710</v>
          </cell>
          <cell r="B1616" t="str">
            <v xml:space="preserve">הובלות  והסעות    </v>
          </cell>
        </row>
        <row r="1617">
          <cell r="A1617">
            <v>1611100715</v>
          </cell>
          <cell r="B1617" t="str">
            <v>עבודות קבלניות-רכב</v>
          </cell>
        </row>
        <row r="1618">
          <cell r="A1618">
            <v>1611100753</v>
          </cell>
          <cell r="B1618" t="str">
            <v xml:space="preserve">עובד חיצוני       </v>
          </cell>
        </row>
        <row r="1619">
          <cell r="A1619">
            <v>1611100780</v>
          </cell>
          <cell r="B1619" t="str">
            <v xml:space="preserve">הוצ' לחברי המועצה </v>
          </cell>
        </row>
        <row r="1620">
          <cell r="A1620">
            <v>1611100782</v>
          </cell>
          <cell r="B1620" t="str">
            <v>פרוייקט ג'ויינט(הכ')</v>
          </cell>
        </row>
        <row r="1621">
          <cell r="A1621">
            <v>1611100961</v>
          </cell>
          <cell r="B1621" t="str">
            <v>רז' פעולות ורכישות</v>
          </cell>
        </row>
        <row r="1622">
          <cell r="A1622" t="str">
            <v>#VALUE!</v>
          </cell>
          <cell r="B1622" t="str">
            <v xml:space="preserve">ראש  הרשות וסגניו </v>
          </cell>
        </row>
        <row r="1623">
          <cell r="A1623">
            <v>16120000</v>
          </cell>
          <cell r="B1623" t="str">
            <v xml:space="preserve">מבקר הרשות        </v>
          </cell>
        </row>
        <row r="1624">
          <cell r="A1624">
            <v>1612000100</v>
          </cell>
          <cell r="B1624" t="str">
            <v>שכר עובדים לפי תקן</v>
          </cell>
        </row>
        <row r="1625">
          <cell r="A1625">
            <v>1612000110</v>
          </cell>
          <cell r="B1625" t="str">
            <v>השכר הקובע-תקציבית</v>
          </cell>
          <cell r="C1625">
            <v>0</v>
          </cell>
        </row>
        <row r="1626">
          <cell r="A1626">
            <v>1612000119</v>
          </cell>
          <cell r="B1626" t="str">
            <v xml:space="preserve">השכר הקובע-צוברת  </v>
          </cell>
          <cell r="C1626">
            <v>1902900</v>
          </cell>
        </row>
        <row r="1627">
          <cell r="A1627">
            <v>1612000122</v>
          </cell>
          <cell r="B1627" t="str">
            <v xml:space="preserve">ביגוד             </v>
          </cell>
          <cell r="C1627">
            <v>62500</v>
          </cell>
        </row>
        <row r="1628">
          <cell r="A1628">
            <v>1612000126</v>
          </cell>
          <cell r="B1628" t="str">
            <v xml:space="preserve">דמי הבראה         </v>
          </cell>
          <cell r="C1628">
            <v>35000</v>
          </cell>
        </row>
        <row r="1629">
          <cell r="A1629">
            <v>1612000130</v>
          </cell>
          <cell r="B1629" t="str">
            <v xml:space="preserve">שעות נוספות       </v>
          </cell>
        </row>
        <row r="1630">
          <cell r="A1630">
            <v>1612000140</v>
          </cell>
          <cell r="B1630" t="str">
            <v>השתתפות באחזקת רכב</v>
          </cell>
          <cell r="C1630">
            <v>225500</v>
          </cell>
        </row>
        <row r="1631">
          <cell r="A1631">
            <v>1612000253</v>
          </cell>
          <cell r="B1631" t="str">
            <v xml:space="preserve">עובדים חיצוניים   </v>
          </cell>
        </row>
        <row r="1632">
          <cell r="A1632">
            <v>1612000350</v>
          </cell>
          <cell r="B1632" t="str">
            <v>ליסינג - 162-53-902</v>
          </cell>
          <cell r="C1632">
            <v>54000</v>
          </cell>
        </row>
        <row r="1633">
          <cell r="A1633">
            <v>1612000351</v>
          </cell>
          <cell r="B1633" t="str">
            <v>הוצאות - 162-53-902</v>
          </cell>
          <cell r="C1633">
            <v>20000</v>
          </cell>
        </row>
        <row r="1634">
          <cell r="A1634">
            <v>1612000400</v>
          </cell>
          <cell r="B1634" t="str">
            <v>אחזקת בנינים וציוד</v>
          </cell>
        </row>
        <row r="1635">
          <cell r="A1635">
            <v>1612000470</v>
          </cell>
          <cell r="B1635" t="str">
            <v xml:space="preserve">אחזקת מכונות      </v>
          </cell>
          <cell r="C1635">
            <v>2100</v>
          </cell>
        </row>
        <row r="1636">
          <cell r="A1636">
            <v>1612000471</v>
          </cell>
          <cell r="B1636" t="str">
            <v xml:space="preserve">מכשירי כתיבה      </v>
          </cell>
          <cell r="C1636">
            <v>12000</v>
          </cell>
        </row>
        <row r="1637">
          <cell r="A1637">
            <v>1612000492</v>
          </cell>
          <cell r="B1637" t="str">
            <v xml:space="preserve">השתתפות בעזר 092  </v>
          </cell>
        </row>
        <row r="1638">
          <cell r="A1638">
            <v>1612000500</v>
          </cell>
          <cell r="B1638" t="str">
            <v xml:space="preserve">הוצאות מינהליות   </v>
          </cell>
        </row>
        <row r="1639">
          <cell r="A1639">
            <v>1612000511</v>
          </cell>
          <cell r="B1639" t="str">
            <v xml:space="preserve">אירוח וכיבוד      </v>
          </cell>
          <cell r="C1639">
            <v>7000</v>
          </cell>
        </row>
        <row r="1640">
          <cell r="A1640">
            <v>1612000512</v>
          </cell>
          <cell r="B1640" t="str">
            <v xml:space="preserve">נסיעות ואש"ל      </v>
          </cell>
          <cell r="C1640">
            <v>1000</v>
          </cell>
        </row>
        <row r="1641">
          <cell r="A1641">
            <v>1612000521</v>
          </cell>
          <cell r="B1641" t="str">
            <v>השתלמות עובדים</v>
          </cell>
          <cell r="C1641">
            <v>20000</v>
          </cell>
        </row>
        <row r="1642">
          <cell r="A1642">
            <v>1612000522</v>
          </cell>
          <cell r="B1642" t="str">
            <v xml:space="preserve">ספרים ועיתונים    </v>
          </cell>
          <cell r="C1642">
            <v>9000</v>
          </cell>
        </row>
        <row r="1643">
          <cell r="A1643">
            <v>1612000523</v>
          </cell>
          <cell r="B1643" t="str">
            <v xml:space="preserve">דמי חבר           </v>
          </cell>
        </row>
        <row r="1644">
          <cell r="A1644">
            <v>1612000561</v>
          </cell>
          <cell r="B1644" t="str">
            <v xml:space="preserve">שיכפולים          </v>
          </cell>
        </row>
        <row r="1645">
          <cell r="A1645">
            <v>1612000562</v>
          </cell>
          <cell r="B1645" t="str">
            <v xml:space="preserve">הדפסות            </v>
          </cell>
          <cell r="C1645">
            <v>17200</v>
          </cell>
        </row>
        <row r="1646">
          <cell r="A1646">
            <v>1612000571</v>
          </cell>
          <cell r="B1646" t="str">
            <v xml:space="preserve">מיכון וענ"א       </v>
          </cell>
        </row>
        <row r="1647">
          <cell r="A1647">
            <v>1612000580</v>
          </cell>
          <cell r="B1647" t="str">
            <v>סקרים ויעוץ חיצוני</v>
          </cell>
          <cell r="C1647">
            <v>300000</v>
          </cell>
        </row>
        <row r="1648">
          <cell r="A1648">
            <v>1612000596</v>
          </cell>
          <cell r="B1648" t="str">
            <v xml:space="preserve">השתתפות בעזר 096  </v>
          </cell>
        </row>
        <row r="1649">
          <cell r="A1649">
            <v>1612000781</v>
          </cell>
          <cell r="B1649" t="str">
            <v>פעולות סמנכ''ל</v>
          </cell>
          <cell r="C1649">
            <v>11000</v>
          </cell>
        </row>
        <row r="1650">
          <cell r="A1650">
            <v>1612000794</v>
          </cell>
          <cell r="B1650" t="str">
            <v xml:space="preserve">השתתפות בעזר 094  </v>
          </cell>
        </row>
        <row r="1651">
          <cell r="A1651">
            <v>1612000931</v>
          </cell>
          <cell r="B1651" t="str">
            <v xml:space="preserve">רכישות חד פעמיות  </v>
          </cell>
        </row>
        <row r="1652">
          <cell r="A1652">
            <v>1612000961</v>
          </cell>
          <cell r="B1652" t="str">
            <v>רז' פעולות ורכישות</v>
          </cell>
        </row>
        <row r="1653">
          <cell r="A1653" t="str">
            <v>#VALUE!</v>
          </cell>
          <cell r="B1653" t="str">
            <v xml:space="preserve">מבקר הרשות        </v>
          </cell>
        </row>
        <row r="1654">
          <cell r="A1654">
            <v>16130000</v>
          </cell>
          <cell r="B1654" t="str">
            <v xml:space="preserve">מזכירות           </v>
          </cell>
        </row>
        <row r="1655">
          <cell r="A1655">
            <v>16131000</v>
          </cell>
          <cell r="B1655" t="str">
            <v>משרד מנכ"ל העירייה</v>
          </cell>
        </row>
        <row r="1656">
          <cell r="A1656">
            <v>1613100100</v>
          </cell>
          <cell r="B1656" t="str">
            <v>שכר עובדים לפי תקן</v>
          </cell>
        </row>
        <row r="1657">
          <cell r="A1657">
            <v>1613100110</v>
          </cell>
          <cell r="B1657" t="str">
            <v>השכר הקובע-תקציבית</v>
          </cell>
          <cell r="C1657">
            <v>211400</v>
          </cell>
        </row>
        <row r="1658">
          <cell r="A1658">
            <v>1613100119</v>
          </cell>
          <cell r="B1658" t="str">
            <v xml:space="preserve">השכר הקובע-צוברת  </v>
          </cell>
          <cell r="C1658">
            <v>2990800</v>
          </cell>
        </row>
        <row r="1659">
          <cell r="A1659">
            <v>1613100122</v>
          </cell>
          <cell r="B1659" t="str">
            <v xml:space="preserve">ביגוד             </v>
          </cell>
          <cell r="C1659">
            <v>32000</v>
          </cell>
        </row>
        <row r="1660">
          <cell r="A1660">
            <v>1613100126</v>
          </cell>
          <cell r="B1660" t="str">
            <v xml:space="preserve">דמי הבראה         </v>
          </cell>
          <cell r="C1660">
            <v>62500</v>
          </cell>
        </row>
        <row r="1661">
          <cell r="A1661">
            <v>1613100130</v>
          </cell>
          <cell r="B1661" t="str">
            <v xml:space="preserve">שעות נוספות       </v>
          </cell>
          <cell r="C1661">
            <v>47900</v>
          </cell>
        </row>
        <row r="1662">
          <cell r="A1662">
            <v>1613100140</v>
          </cell>
          <cell r="B1662" t="str">
            <v>השתתפות באחזקת רכב</v>
          </cell>
          <cell r="C1662">
            <v>297600</v>
          </cell>
        </row>
        <row r="1663">
          <cell r="A1663">
            <v>1613100210</v>
          </cell>
          <cell r="B1663" t="str">
            <v>שכר ללא תקן</v>
          </cell>
        </row>
        <row r="1664">
          <cell r="A1664">
            <v>1613100253</v>
          </cell>
          <cell r="B1664" t="str">
            <v xml:space="preserve">עובדים חיצוניים   </v>
          </cell>
        </row>
        <row r="1665">
          <cell r="A1665">
            <v>1613100350</v>
          </cell>
          <cell r="B1665" t="str">
            <v xml:space="preserve">שעות נוספות       </v>
          </cell>
          <cell r="C1665">
            <v>110000</v>
          </cell>
        </row>
        <row r="1666">
          <cell r="A1666">
            <v>1613100351</v>
          </cell>
          <cell r="B1666" t="str">
            <v>השתתפות באחזקת רכב</v>
          </cell>
          <cell r="C1666">
            <v>48300</v>
          </cell>
        </row>
        <row r="1667">
          <cell r="A1667">
            <v>1613100400</v>
          </cell>
          <cell r="B1667" t="str">
            <v>אחזקת בנינים וציוד</v>
          </cell>
        </row>
        <row r="1668">
          <cell r="A1668">
            <v>1613100471</v>
          </cell>
          <cell r="B1668" t="str">
            <v xml:space="preserve">מכשירי כתיבה      </v>
          </cell>
          <cell r="C1668">
            <v>13500</v>
          </cell>
        </row>
        <row r="1669">
          <cell r="A1669">
            <v>1613100500</v>
          </cell>
          <cell r="B1669" t="str">
            <v xml:space="preserve">הוצאות מינהליות   </v>
          </cell>
        </row>
        <row r="1670">
          <cell r="A1670">
            <v>1613100511</v>
          </cell>
          <cell r="B1670" t="str">
            <v xml:space="preserve">אירוח וכיבוד      </v>
          </cell>
          <cell r="C1670">
            <v>9500</v>
          </cell>
        </row>
        <row r="1671">
          <cell r="A1671">
            <v>1613100512</v>
          </cell>
          <cell r="B1671" t="str">
            <v xml:space="preserve">נסיעות ואש"ל      </v>
          </cell>
          <cell r="C1671">
            <v>1400</v>
          </cell>
        </row>
        <row r="1672">
          <cell r="A1672">
            <v>1613100513</v>
          </cell>
          <cell r="B1672" t="str">
            <v>חוזר מנכ''ל</v>
          </cell>
          <cell r="C1672">
            <v>50000</v>
          </cell>
        </row>
        <row r="1673">
          <cell r="A1673">
            <v>1613100522</v>
          </cell>
          <cell r="B1673" t="str">
            <v xml:space="preserve">ספרים ועיתונים    </v>
          </cell>
          <cell r="C1673">
            <v>4000</v>
          </cell>
        </row>
        <row r="1674">
          <cell r="A1674">
            <v>1613100540</v>
          </cell>
          <cell r="B1674" t="str">
            <v xml:space="preserve">הוצאות טלפון      </v>
          </cell>
        </row>
        <row r="1675">
          <cell r="A1675">
            <v>1613100544</v>
          </cell>
          <cell r="B1675" t="str">
            <v xml:space="preserve">הוצאות דאר        </v>
          </cell>
          <cell r="C1675">
            <v>10300</v>
          </cell>
        </row>
        <row r="1676">
          <cell r="A1676">
            <v>1613100561</v>
          </cell>
          <cell r="B1676" t="str">
            <v xml:space="preserve">שיכפולים          </v>
          </cell>
          <cell r="C1676">
            <v>3400</v>
          </cell>
        </row>
        <row r="1677">
          <cell r="A1677">
            <v>1613100562</v>
          </cell>
          <cell r="B1677" t="str">
            <v xml:space="preserve">הדפסות            </v>
          </cell>
          <cell r="C1677">
            <v>900</v>
          </cell>
        </row>
        <row r="1678">
          <cell r="A1678">
            <v>1613100571</v>
          </cell>
          <cell r="B1678" t="str">
            <v xml:space="preserve">מיכון וענ"א       </v>
          </cell>
        </row>
        <row r="1679">
          <cell r="A1679">
            <v>1613100580</v>
          </cell>
          <cell r="B1679" t="str">
            <v xml:space="preserve">פעולות שונות      </v>
          </cell>
          <cell r="C1679">
            <v>52000</v>
          </cell>
        </row>
        <row r="1680">
          <cell r="A1680">
            <v>1613100581</v>
          </cell>
          <cell r="B1680" t="str">
            <v>פעולות מנכ"ל מינהל</v>
          </cell>
          <cell r="C1680">
            <v>33000</v>
          </cell>
        </row>
        <row r="1681">
          <cell r="A1681">
            <v>1613100596</v>
          </cell>
          <cell r="B1681" t="str">
            <v xml:space="preserve">השתתפות בעזר 096  </v>
          </cell>
        </row>
        <row r="1682">
          <cell r="A1682">
            <v>1613100700</v>
          </cell>
          <cell r="B1682" t="str">
            <v xml:space="preserve">הוצאות לפעולות    </v>
          </cell>
        </row>
        <row r="1683">
          <cell r="A1683">
            <v>1613100753</v>
          </cell>
          <cell r="B1683" t="str">
            <v xml:space="preserve">עובדים חיצוניים   </v>
          </cell>
        </row>
        <row r="1684">
          <cell r="A1684">
            <v>1613100780</v>
          </cell>
          <cell r="B1684" t="str">
            <v>שיווק והסברה דיגיטלים</v>
          </cell>
          <cell r="C1684">
            <v>180000</v>
          </cell>
        </row>
        <row r="1685">
          <cell r="A1685">
            <v>1613100781</v>
          </cell>
          <cell r="B1685" t="str">
            <v>ניהול הרשות במדיה החברתית</v>
          </cell>
          <cell r="C1685">
            <v>156000</v>
          </cell>
        </row>
        <row r="1686">
          <cell r="A1686">
            <v>1613100782</v>
          </cell>
          <cell r="B1686" t="str">
            <v>פסטיבל אישה</v>
          </cell>
        </row>
        <row r="1687">
          <cell r="A1687">
            <v>1613100783</v>
          </cell>
          <cell r="B1687" t="str">
            <v>ארועי סוקולוב</v>
          </cell>
        </row>
        <row r="1688">
          <cell r="A1688">
            <v>1613100784</v>
          </cell>
          <cell r="B1688" t="str">
            <v>תחום התנדבות</v>
          </cell>
        </row>
        <row r="1689">
          <cell r="A1689">
            <v>1613100785</v>
          </cell>
          <cell r="B1689" t="str">
            <v>טקס מגן רה"ע</v>
          </cell>
          <cell r="C1689">
            <v>30000</v>
          </cell>
        </row>
        <row r="1690">
          <cell r="A1690">
            <v>1613100786</v>
          </cell>
          <cell r="B1690" t="str">
            <v>אירוע שנתי למתנדבים</v>
          </cell>
        </row>
        <row r="1691">
          <cell r="A1691">
            <v>1613100787</v>
          </cell>
          <cell r="B1691" t="str">
            <v>שיח ברשתות החברתיות</v>
          </cell>
          <cell r="C1691">
            <v>69000</v>
          </cell>
        </row>
        <row r="1692">
          <cell r="A1692">
            <v>1613100788</v>
          </cell>
          <cell r="B1692" t="str">
            <v>סיורי תוואי רקל</v>
          </cell>
          <cell r="C1692">
            <v>10000</v>
          </cell>
        </row>
        <row r="1693">
          <cell r="A1693">
            <v>1613100871</v>
          </cell>
          <cell r="B1693" t="str">
            <v>פסטיבל אישה</v>
          </cell>
        </row>
        <row r="1694">
          <cell r="A1694">
            <v>1613100961</v>
          </cell>
          <cell r="B1694" t="str">
            <v>רז' פעולות ורכישות</v>
          </cell>
        </row>
        <row r="1695">
          <cell r="A1695" t="str">
            <v>#VALUE!</v>
          </cell>
          <cell r="B1695" t="str">
            <v>משרד מנכ"ל העירייה</v>
          </cell>
        </row>
        <row r="1696">
          <cell r="A1696">
            <v>16132000</v>
          </cell>
          <cell r="B1696" t="str">
            <v>מז' תיפעול  ומינהל</v>
          </cell>
        </row>
        <row r="1697">
          <cell r="A1697">
            <v>1613200100</v>
          </cell>
          <cell r="B1697" t="str">
            <v>שכר עובדים לפי תקן</v>
          </cell>
        </row>
        <row r="1698">
          <cell r="A1698">
            <v>1613200110</v>
          </cell>
          <cell r="B1698" t="str">
            <v>השכר הקובע-תקציבית</v>
          </cell>
          <cell r="C1698">
            <v>0</v>
          </cell>
        </row>
        <row r="1699">
          <cell r="A1699">
            <v>1613200119</v>
          </cell>
          <cell r="B1699" t="str">
            <v xml:space="preserve">השכר הקובע-צוברת  </v>
          </cell>
          <cell r="C1699">
            <v>2369000</v>
          </cell>
        </row>
        <row r="1700">
          <cell r="A1700">
            <v>1613200122</v>
          </cell>
          <cell r="B1700" t="str">
            <v xml:space="preserve">ביגוד             </v>
          </cell>
          <cell r="C1700">
            <v>19000</v>
          </cell>
        </row>
        <row r="1701">
          <cell r="A1701">
            <v>1613200126</v>
          </cell>
          <cell r="B1701" t="str">
            <v xml:space="preserve">דמי הבראה         </v>
          </cell>
          <cell r="C1701">
            <v>43000</v>
          </cell>
        </row>
        <row r="1702">
          <cell r="A1702">
            <v>1613200130</v>
          </cell>
          <cell r="B1702" t="str">
            <v xml:space="preserve">שעות נוספות       </v>
          </cell>
          <cell r="C1702">
            <v>4000</v>
          </cell>
        </row>
        <row r="1703">
          <cell r="A1703">
            <v>1613200140</v>
          </cell>
          <cell r="B1703" t="str">
            <v>השתתפות באחזקת רכב</v>
          </cell>
          <cell r="C1703">
            <v>212100</v>
          </cell>
        </row>
        <row r="1704">
          <cell r="A1704">
            <v>1613200253</v>
          </cell>
          <cell r="B1704" t="str">
            <v xml:space="preserve">שרותי כח - אדם    </v>
          </cell>
        </row>
        <row r="1705">
          <cell r="A1705">
            <v>1613200350</v>
          </cell>
          <cell r="B1705" t="str">
            <v>ליסינג - 548-86-802</v>
          </cell>
          <cell r="C1705">
            <v>0</v>
          </cell>
        </row>
        <row r="1706">
          <cell r="A1706">
            <v>1613200351</v>
          </cell>
          <cell r="B1706" t="str">
            <v>הוצאות - 548-86-802</v>
          </cell>
          <cell r="C1706">
            <v>0</v>
          </cell>
        </row>
        <row r="1707">
          <cell r="A1707">
            <v>1613200400</v>
          </cell>
          <cell r="B1707" t="str">
            <v>אחזקת בנינים וציוד</v>
          </cell>
        </row>
        <row r="1708">
          <cell r="A1708">
            <v>1613200470</v>
          </cell>
          <cell r="B1708" t="str">
            <v xml:space="preserve">אחזקת מכונות משרד </v>
          </cell>
          <cell r="C1708">
            <v>16700</v>
          </cell>
        </row>
        <row r="1709">
          <cell r="A1709">
            <v>1613200471</v>
          </cell>
          <cell r="B1709" t="str">
            <v xml:space="preserve">מכשירי כתיבה      </v>
          </cell>
          <cell r="C1709">
            <v>18700</v>
          </cell>
        </row>
        <row r="1710">
          <cell r="A1710">
            <v>1613200492</v>
          </cell>
          <cell r="B1710" t="str">
            <v xml:space="preserve">השתתפות בעזר 092  </v>
          </cell>
        </row>
        <row r="1711">
          <cell r="A1711">
            <v>1613200500</v>
          </cell>
          <cell r="B1711" t="str">
            <v xml:space="preserve">הוצאות מינהליות   </v>
          </cell>
        </row>
        <row r="1712">
          <cell r="A1712">
            <v>1613200511</v>
          </cell>
          <cell r="B1712" t="str">
            <v xml:space="preserve">אירוח וכיבוד      </v>
          </cell>
          <cell r="C1712">
            <v>12000</v>
          </cell>
        </row>
        <row r="1713">
          <cell r="A1713">
            <v>1613200512</v>
          </cell>
          <cell r="B1713" t="str">
            <v xml:space="preserve">נסיעות ואש"ל      </v>
          </cell>
          <cell r="C1713">
            <v>630</v>
          </cell>
        </row>
        <row r="1714">
          <cell r="A1714">
            <v>1613200522</v>
          </cell>
          <cell r="B1714" t="str">
            <v xml:space="preserve">ספרים ועיתונים    </v>
          </cell>
          <cell r="C1714">
            <v>4100</v>
          </cell>
        </row>
        <row r="1715">
          <cell r="A1715">
            <v>1613200540</v>
          </cell>
          <cell r="B1715" t="str">
            <v xml:space="preserve">הוצאות טלפון      </v>
          </cell>
        </row>
        <row r="1716">
          <cell r="A1716">
            <v>1613200541</v>
          </cell>
          <cell r="B1716" t="str">
            <v xml:space="preserve">משלוחים           </v>
          </cell>
          <cell r="C1716">
            <v>51300</v>
          </cell>
        </row>
        <row r="1717">
          <cell r="A1717">
            <v>1613200544</v>
          </cell>
          <cell r="B1717" t="str">
            <v xml:space="preserve">הוצאות דאר        </v>
          </cell>
          <cell r="C1717">
            <v>8600</v>
          </cell>
        </row>
        <row r="1718">
          <cell r="A1718">
            <v>1613200561</v>
          </cell>
          <cell r="B1718" t="str">
            <v xml:space="preserve">שיכפולים          </v>
          </cell>
          <cell r="C1718">
            <v>900</v>
          </cell>
        </row>
        <row r="1719">
          <cell r="A1719">
            <v>1613200562</v>
          </cell>
          <cell r="B1719" t="str">
            <v xml:space="preserve">הדפסות            </v>
          </cell>
          <cell r="C1719">
            <v>700</v>
          </cell>
        </row>
        <row r="1720">
          <cell r="A1720">
            <v>1613200563</v>
          </cell>
          <cell r="B1720" t="str">
            <v xml:space="preserve">הדפסת פרטיכלים    </v>
          </cell>
          <cell r="C1720">
            <v>900</v>
          </cell>
        </row>
        <row r="1721">
          <cell r="A1721">
            <v>1613200571</v>
          </cell>
          <cell r="B1721" t="str">
            <v xml:space="preserve">מיכון וענ"א       </v>
          </cell>
        </row>
        <row r="1722">
          <cell r="A1722">
            <v>1613200580</v>
          </cell>
          <cell r="B1722" t="str">
            <v xml:space="preserve">סקר חשמל  </v>
          </cell>
          <cell r="C1722">
            <v>80000</v>
          </cell>
        </row>
        <row r="1723">
          <cell r="A1723">
            <v>1613200581</v>
          </cell>
          <cell r="B1723" t="str">
            <v>בקרת אנרגיה</v>
          </cell>
        </row>
        <row r="1724">
          <cell r="A1724">
            <v>1613200582</v>
          </cell>
          <cell r="B1724" t="str">
            <v>ייעוץ</v>
          </cell>
        </row>
        <row r="1725">
          <cell r="A1725">
            <v>1613200583</v>
          </cell>
          <cell r="B1725" t="str">
            <v>ייעוץ להתייעלות אנרגטית</v>
          </cell>
        </row>
        <row r="1726">
          <cell r="A1726">
            <v>1613200596</v>
          </cell>
          <cell r="B1726" t="str">
            <v xml:space="preserve">השתתפות בעזר 096  </v>
          </cell>
        </row>
        <row r="1727">
          <cell r="A1727">
            <v>1613200700</v>
          </cell>
          <cell r="B1727" t="str">
            <v xml:space="preserve">הוצאות לפעולות    </v>
          </cell>
        </row>
        <row r="1728">
          <cell r="A1728">
            <v>1613200753</v>
          </cell>
          <cell r="B1728" t="str">
            <v xml:space="preserve">שרותי כח - אדם    </v>
          </cell>
        </row>
        <row r="1729">
          <cell r="A1729">
            <v>1613200755</v>
          </cell>
          <cell r="B1729" t="str">
            <v xml:space="preserve">כ"א חיצוני        </v>
          </cell>
        </row>
        <row r="1730">
          <cell r="A1730">
            <v>1613200763</v>
          </cell>
          <cell r="B1730" t="str">
            <v xml:space="preserve">עובדי חברת מוסדות </v>
          </cell>
        </row>
        <row r="1731">
          <cell r="A1731">
            <v>1613200780</v>
          </cell>
          <cell r="B1731" t="str">
            <v>עיר בריאה ומקיימת</v>
          </cell>
        </row>
        <row r="1732">
          <cell r="A1732">
            <v>1613200781</v>
          </cell>
          <cell r="B1732" t="str">
            <v>פעולות סמנכ"ל</v>
          </cell>
          <cell r="C1732">
            <v>40000</v>
          </cell>
        </row>
        <row r="1733">
          <cell r="A1733">
            <v>1613200784</v>
          </cell>
          <cell r="B1733" t="str">
            <v>עיר בריאה ומקיימת - חינוך</v>
          </cell>
        </row>
        <row r="1734">
          <cell r="A1734">
            <v>1613200794</v>
          </cell>
          <cell r="B1734" t="str">
            <v xml:space="preserve">השתתפות בעזר 094  </v>
          </cell>
        </row>
        <row r="1735">
          <cell r="A1735">
            <v>1613200961</v>
          </cell>
          <cell r="B1735" t="str">
            <v>רז' פעולות ורכישות</v>
          </cell>
        </row>
        <row r="1736">
          <cell r="A1736" t="str">
            <v>#VALUE!</v>
          </cell>
          <cell r="B1736" t="str">
            <v>מז' תיפעול  ומינהל</v>
          </cell>
        </row>
        <row r="1737">
          <cell r="A1737">
            <v>16132200</v>
          </cell>
          <cell r="B1737" t="str">
            <v>האגף למערכות מידע ותקשוב</v>
          </cell>
        </row>
        <row r="1738">
          <cell r="A1738">
            <v>1613220100</v>
          </cell>
          <cell r="B1738" t="str">
            <v>שכר עובדים לפי תקן</v>
          </cell>
        </row>
        <row r="1739">
          <cell r="A1739">
            <v>1613220119</v>
          </cell>
          <cell r="B1739" t="str">
            <v xml:space="preserve">השכר הקובע-צוברת  </v>
          </cell>
          <cell r="C1739">
            <v>2003600</v>
          </cell>
        </row>
        <row r="1740">
          <cell r="A1740">
            <v>1613220122</v>
          </cell>
          <cell r="B1740" t="str">
            <v xml:space="preserve">ביגוד             </v>
          </cell>
          <cell r="C1740">
            <v>15000</v>
          </cell>
        </row>
        <row r="1741">
          <cell r="A1741">
            <v>1613220126</v>
          </cell>
          <cell r="B1741" t="str">
            <v xml:space="preserve">דמי הבראה         </v>
          </cell>
          <cell r="C1741">
            <v>36200</v>
          </cell>
        </row>
        <row r="1742">
          <cell r="A1742">
            <v>1613220130</v>
          </cell>
          <cell r="B1742" t="str">
            <v xml:space="preserve">שעות נוספות       </v>
          </cell>
        </row>
        <row r="1743">
          <cell r="A1743">
            <v>1613220140</v>
          </cell>
          <cell r="B1743" t="str">
            <v>השתתפות באחזקת רכב</v>
          </cell>
          <cell r="C1743">
            <v>328300</v>
          </cell>
        </row>
        <row r="1744">
          <cell r="A1744">
            <v>1613220253</v>
          </cell>
          <cell r="B1744" t="str">
            <v xml:space="preserve">עובדים חיצוניים   </v>
          </cell>
          <cell r="C1744">
            <v>4967000</v>
          </cell>
        </row>
        <row r="1745">
          <cell r="A1745">
            <v>1613220350</v>
          </cell>
          <cell r="B1745" t="str">
            <v>ליסינג 489-03-303</v>
          </cell>
          <cell r="C1745">
            <v>44000</v>
          </cell>
        </row>
        <row r="1746">
          <cell r="A1746">
            <v>1613220351</v>
          </cell>
          <cell r="B1746" t="str">
            <v>הוצאות 489-03-303</v>
          </cell>
          <cell r="C1746">
            <v>25400</v>
          </cell>
        </row>
        <row r="1747">
          <cell r="A1747">
            <v>1613220400</v>
          </cell>
          <cell r="B1747" t="str">
            <v>אחזקת בנינים וציוד</v>
          </cell>
        </row>
        <row r="1748">
          <cell r="A1748">
            <v>1613220435</v>
          </cell>
          <cell r="B1748" t="str">
            <v xml:space="preserve">תחזוקת תוכנה      </v>
          </cell>
          <cell r="C1748">
            <v>2763045</v>
          </cell>
        </row>
        <row r="1749">
          <cell r="A1749">
            <v>1613220438</v>
          </cell>
          <cell r="B1749" t="str">
            <v xml:space="preserve">תחזוקת חומרה-חוזה </v>
          </cell>
          <cell r="C1749">
            <v>726100</v>
          </cell>
        </row>
        <row r="1750">
          <cell r="A1750">
            <v>1613220439</v>
          </cell>
          <cell r="B1750" t="str">
            <v>שאילתות מינהל האוכלוסין</v>
          </cell>
          <cell r="C1750">
            <v>63000</v>
          </cell>
        </row>
        <row r="1751">
          <cell r="A1751">
            <v>1613220441</v>
          </cell>
          <cell r="B1751" t="str">
            <v>האגף למערכות מידע ותקשוב</v>
          </cell>
        </row>
        <row r="1752">
          <cell r="A1752">
            <v>1613220471</v>
          </cell>
          <cell r="B1752" t="str">
            <v>שכר עובדים לפי תקן</v>
          </cell>
        </row>
        <row r="1753">
          <cell r="A1753">
            <v>1613220492</v>
          </cell>
          <cell r="B1753" t="str">
            <v>השכר הקובע-צוברת&amp;nbsp;</v>
          </cell>
        </row>
        <row r="1754">
          <cell r="A1754">
            <v>1613220511</v>
          </cell>
          <cell r="B1754" t="str">
            <v>ביגוד&amp;nbsp;&amp;nbsp;&amp;nbsp;&amp;nbsp;&amp;nbsp;&amp;nbsp;&amp;nbsp;&amp;nbsp;&amp;nbsp;&amp;nbsp;&amp;nbsp;&amp;nbsp;</v>
          </cell>
        </row>
        <row r="1755">
          <cell r="A1755">
            <v>1613220521</v>
          </cell>
          <cell r="B1755" t="str">
            <v>דמי הבראה&amp;nbsp;&amp;nbsp;&amp;nbsp;&amp;nbsp;&amp;nbsp;&amp;nbsp;&amp;nbsp;&amp;nbsp;</v>
          </cell>
        </row>
        <row r="1756">
          <cell r="A1756">
            <v>1613220522</v>
          </cell>
          <cell r="B1756" t="str">
            <v>שעות נוספות&amp;nbsp;&amp;nbsp;&amp;nbsp;&amp;nbsp;&amp;nbsp;&amp;nbsp;</v>
          </cell>
        </row>
        <row r="1757">
          <cell r="A1757">
            <v>1613220561</v>
          </cell>
          <cell r="B1757" t="str">
            <v xml:space="preserve">שיכפולים          </v>
          </cell>
          <cell r="C1757">
            <v>600</v>
          </cell>
        </row>
        <row r="1758">
          <cell r="A1758">
            <v>1613220700</v>
          </cell>
          <cell r="B1758" t="str">
            <v xml:space="preserve">הוצאות לפעולות    </v>
          </cell>
        </row>
        <row r="1759">
          <cell r="A1759">
            <v>1613220723</v>
          </cell>
          <cell r="B1759" t="str">
            <v xml:space="preserve">חומרים אוזלים     </v>
          </cell>
          <cell r="C1759">
            <v>71800</v>
          </cell>
        </row>
        <row r="1760">
          <cell r="A1760">
            <v>1613220743</v>
          </cell>
          <cell r="B1760" t="str">
            <v xml:space="preserve">אחזקה עפ"י קריאה  </v>
          </cell>
        </row>
        <row r="1761">
          <cell r="A1761">
            <v>1613220753</v>
          </cell>
          <cell r="B1761" t="str">
            <v>שכר עובדי אוטומציה</v>
          </cell>
        </row>
        <row r="1762">
          <cell r="A1762">
            <v>1613220755</v>
          </cell>
          <cell r="B1762" t="str">
            <v>תוכניתנים חיצוניים</v>
          </cell>
          <cell r="C1762">
            <v>513500</v>
          </cell>
        </row>
        <row r="1763">
          <cell r="A1763">
            <v>1613220794</v>
          </cell>
          <cell r="B1763" t="str">
            <v xml:space="preserve">השתתפות בעזר 094  </v>
          </cell>
        </row>
        <row r="1764">
          <cell r="A1764">
            <v>1613220900</v>
          </cell>
          <cell r="B1764" t="str">
            <v xml:space="preserve">הוצאות חד פעמיות  </v>
          </cell>
        </row>
        <row r="1765">
          <cell r="A1765">
            <v>1613220931</v>
          </cell>
          <cell r="B1765" t="str">
            <v>רכישות / העברה לתב"ר</v>
          </cell>
        </row>
        <row r="1766">
          <cell r="A1766">
            <v>1613220932</v>
          </cell>
          <cell r="B1766" t="str">
            <v>קיזוז עלויות תאגיד</v>
          </cell>
        </row>
        <row r="1767">
          <cell r="A1767">
            <v>1613220934</v>
          </cell>
          <cell r="B1767" t="str">
            <v xml:space="preserve">רכישות            </v>
          </cell>
        </row>
        <row r="1768">
          <cell r="A1768">
            <v>1613220961</v>
          </cell>
          <cell r="B1768" t="str">
            <v>רז' פעולות ורכישות</v>
          </cell>
        </row>
        <row r="1769">
          <cell r="A1769" t="str">
            <v>#VALUE!</v>
          </cell>
          <cell r="B1769" t="str">
            <v>אגף למע' מידע ותקשוב</v>
          </cell>
        </row>
        <row r="1770">
          <cell r="A1770">
            <v>16132210</v>
          </cell>
          <cell r="B1770" t="str">
            <v>האגף למערכות מידע ותקשוב</v>
          </cell>
        </row>
        <row r="1771">
          <cell r="A1771">
            <v>1613221571</v>
          </cell>
          <cell r="B1771" t="str">
            <v xml:space="preserve">שרותי מיכון וענ"א </v>
          </cell>
        </row>
        <row r="1772">
          <cell r="A1772" t="str">
            <v>#VALUE!</v>
          </cell>
          <cell r="B1772" t="str">
            <v>אגף למע' מידע ותקשוב</v>
          </cell>
        </row>
        <row r="1773">
          <cell r="A1773">
            <v>16133000</v>
          </cell>
          <cell r="B1773" t="str">
            <v xml:space="preserve">גנזך ומוזיאון     </v>
          </cell>
        </row>
        <row r="1774">
          <cell r="A1774">
            <v>1613300100</v>
          </cell>
          <cell r="B1774" t="str">
            <v>שכר עובדים לפי תקן</v>
          </cell>
        </row>
        <row r="1775">
          <cell r="A1775">
            <v>1613300110</v>
          </cell>
          <cell r="B1775" t="str">
            <v>השכר הקובע-תקציבית</v>
          </cell>
          <cell r="C1775">
            <v>173900</v>
          </cell>
        </row>
        <row r="1776">
          <cell r="A1776">
            <v>1613300119</v>
          </cell>
          <cell r="B1776" t="str">
            <v xml:space="preserve">השכר הקובע-צוברת  </v>
          </cell>
          <cell r="C1776">
            <v>77700</v>
          </cell>
        </row>
        <row r="1777">
          <cell r="A1777">
            <v>1613300122</v>
          </cell>
          <cell r="B1777" t="str">
            <v xml:space="preserve">ביגוד             </v>
          </cell>
          <cell r="C1777">
            <v>2300</v>
          </cell>
        </row>
        <row r="1778">
          <cell r="A1778">
            <v>1613300126</v>
          </cell>
          <cell r="B1778" t="str">
            <v xml:space="preserve">דמי הבראה         </v>
          </cell>
          <cell r="C1778">
            <v>9500</v>
          </cell>
        </row>
        <row r="1779">
          <cell r="A1779">
            <v>1613300130</v>
          </cell>
          <cell r="B1779" t="str">
            <v xml:space="preserve">שעות נוספות       </v>
          </cell>
        </row>
        <row r="1780">
          <cell r="A1780">
            <v>1613300140</v>
          </cell>
          <cell r="B1780" t="str">
            <v>השתתפות באחזקת רכב</v>
          </cell>
          <cell r="C1780">
            <v>42300</v>
          </cell>
        </row>
        <row r="1781">
          <cell r="A1781">
            <v>1613300253</v>
          </cell>
          <cell r="B1781" t="str">
            <v xml:space="preserve">עובדים חיצוניים   </v>
          </cell>
        </row>
        <row r="1782">
          <cell r="A1782">
            <v>1613300400</v>
          </cell>
          <cell r="B1782" t="str">
            <v>אחזקת בנינים וציוד</v>
          </cell>
        </row>
        <row r="1783">
          <cell r="A1783">
            <v>1613300410</v>
          </cell>
          <cell r="B1783" t="str">
            <v xml:space="preserve">השתת במס ועד בית  </v>
          </cell>
          <cell r="C1783">
            <v>5000</v>
          </cell>
        </row>
        <row r="1784">
          <cell r="A1784">
            <v>1613300420</v>
          </cell>
          <cell r="B1784" t="str">
            <v xml:space="preserve">כיבוי אש          </v>
          </cell>
          <cell r="C1784">
            <v>2000</v>
          </cell>
        </row>
        <row r="1785">
          <cell r="A1785">
            <v>1613300423</v>
          </cell>
          <cell r="B1785" t="str">
            <v xml:space="preserve">תחזוקת מבנה       </v>
          </cell>
        </row>
        <row r="1786">
          <cell r="A1786">
            <v>1613300431</v>
          </cell>
          <cell r="B1786" t="str">
            <v xml:space="preserve">חשמל              </v>
          </cell>
          <cell r="C1786">
            <v>6600</v>
          </cell>
        </row>
        <row r="1787">
          <cell r="A1787">
            <v>1613300432</v>
          </cell>
          <cell r="B1787" t="str">
            <v xml:space="preserve">מים               </v>
          </cell>
        </row>
        <row r="1788">
          <cell r="A1788">
            <v>1613300433</v>
          </cell>
          <cell r="B1788" t="str">
            <v xml:space="preserve">חומרי נקיון       </v>
          </cell>
        </row>
        <row r="1789">
          <cell r="A1789">
            <v>1613300434</v>
          </cell>
          <cell r="B1789" t="str">
            <v xml:space="preserve">חיטוי והדברה      </v>
          </cell>
        </row>
        <row r="1790">
          <cell r="A1790">
            <v>1613300437</v>
          </cell>
          <cell r="B1790" t="str">
            <v xml:space="preserve">אחזקת אזעקה       </v>
          </cell>
          <cell r="C1790">
            <v>1300</v>
          </cell>
        </row>
        <row r="1791">
          <cell r="A1791">
            <v>1613300441</v>
          </cell>
          <cell r="B1791" t="str">
            <v xml:space="preserve">ביטוח             </v>
          </cell>
        </row>
        <row r="1792">
          <cell r="A1792">
            <v>1613300470</v>
          </cell>
          <cell r="B1792" t="str">
            <v xml:space="preserve">אחזקת מכונות משרד </v>
          </cell>
        </row>
        <row r="1793">
          <cell r="A1793">
            <v>1613300471</v>
          </cell>
          <cell r="B1793" t="str">
            <v xml:space="preserve">מכשירי כתיבה      </v>
          </cell>
        </row>
        <row r="1794">
          <cell r="A1794">
            <v>1613300511</v>
          </cell>
          <cell r="B1794" t="str">
            <v xml:space="preserve">אירוח וכיבוד      </v>
          </cell>
        </row>
        <row r="1795">
          <cell r="A1795">
            <v>1613300522</v>
          </cell>
          <cell r="B1795" t="str">
            <v xml:space="preserve">ספרים ועיתונים    </v>
          </cell>
        </row>
        <row r="1796">
          <cell r="A1796">
            <v>1613300540</v>
          </cell>
          <cell r="B1796" t="str">
            <v xml:space="preserve">הוצאות טלפון      </v>
          </cell>
        </row>
        <row r="1797">
          <cell r="A1797">
            <v>1613300544</v>
          </cell>
          <cell r="B1797" t="str">
            <v xml:space="preserve">הוצאות דאר        </v>
          </cell>
        </row>
        <row r="1798">
          <cell r="A1798">
            <v>1613300550</v>
          </cell>
          <cell r="B1798" t="str">
            <v xml:space="preserve">פירסומים          </v>
          </cell>
        </row>
        <row r="1799">
          <cell r="A1799">
            <v>1613300561</v>
          </cell>
          <cell r="B1799" t="str">
            <v xml:space="preserve">שיכפולים          </v>
          </cell>
        </row>
        <row r="1800">
          <cell r="A1800">
            <v>1613300562</v>
          </cell>
          <cell r="B1800" t="str">
            <v xml:space="preserve">הדפסות            </v>
          </cell>
        </row>
        <row r="1801">
          <cell r="A1801">
            <v>1613300565</v>
          </cell>
          <cell r="B1801" t="str">
            <v xml:space="preserve">צילומי מיקרופיש   </v>
          </cell>
        </row>
        <row r="1802">
          <cell r="A1802">
            <v>1613300566</v>
          </cell>
          <cell r="B1802" t="str">
            <v xml:space="preserve">צילומים לארכיון   </v>
          </cell>
        </row>
        <row r="1803">
          <cell r="A1803">
            <v>1613300571</v>
          </cell>
          <cell r="B1803" t="str">
            <v xml:space="preserve">מיכון וענ"א       </v>
          </cell>
          <cell r="C1803">
            <v>32500</v>
          </cell>
        </row>
        <row r="1804">
          <cell r="A1804">
            <v>1613300700</v>
          </cell>
          <cell r="B1804" t="str">
            <v xml:space="preserve">הוצאות לפעולות    </v>
          </cell>
        </row>
        <row r="1805">
          <cell r="A1805">
            <v>1613300710</v>
          </cell>
          <cell r="B1805" t="str">
            <v xml:space="preserve">הובלות והסעות     </v>
          </cell>
        </row>
        <row r="1806">
          <cell r="A1806">
            <v>1613300721</v>
          </cell>
          <cell r="B1806" t="str">
            <v>חמרים-חחזוקת מבנים</v>
          </cell>
          <cell r="C1806">
            <v>500</v>
          </cell>
        </row>
        <row r="1807">
          <cell r="A1807">
            <v>1613300722</v>
          </cell>
          <cell r="B1807" t="str">
            <v>חמרים-תחזוקה עצמית</v>
          </cell>
        </row>
        <row r="1808">
          <cell r="A1808">
            <v>1613300723</v>
          </cell>
          <cell r="B1808" t="str">
            <v xml:space="preserve">חמרים לארכיון     </v>
          </cell>
        </row>
        <row r="1809">
          <cell r="A1809">
            <v>1613300741</v>
          </cell>
          <cell r="B1809" t="str">
            <v>כריכה+שיקום פרטיכל</v>
          </cell>
        </row>
        <row r="1810">
          <cell r="A1810">
            <v>1613300751</v>
          </cell>
          <cell r="B1810" t="str">
            <v xml:space="preserve">עבודות קבלניות    </v>
          </cell>
          <cell r="C1810">
            <v>1400</v>
          </cell>
        </row>
        <row r="1811">
          <cell r="A1811">
            <v>1613300752</v>
          </cell>
          <cell r="B1811" t="str">
            <v xml:space="preserve">נקיון בקבלנות     </v>
          </cell>
          <cell r="C1811">
            <v>51000</v>
          </cell>
        </row>
        <row r="1812">
          <cell r="A1812">
            <v>1613300753</v>
          </cell>
          <cell r="B1812" t="str">
            <v xml:space="preserve">עובדים חיצוניים   </v>
          </cell>
        </row>
        <row r="1813">
          <cell r="A1813">
            <v>1613300757</v>
          </cell>
          <cell r="B1813" t="str">
            <v>שרותי גניזה</v>
          </cell>
          <cell r="C1813">
            <v>13500</v>
          </cell>
        </row>
        <row r="1814">
          <cell r="A1814">
            <v>1613300794</v>
          </cell>
          <cell r="B1814" t="str">
            <v xml:space="preserve">השתתפות בעזר 094  </v>
          </cell>
          <cell r="C1814">
            <v>2100</v>
          </cell>
        </row>
        <row r="1815">
          <cell r="A1815">
            <v>1613300900</v>
          </cell>
          <cell r="B1815" t="str">
            <v xml:space="preserve">הוצאות חד-פעמיות  </v>
          </cell>
        </row>
        <row r="1816">
          <cell r="A1816">
            <v>1613300931</v>
          </cell>
          <cell r="B1816" t="str">
            <v xml:space="preserve">רכישות            </v>
          </cell>
        </row>
        <row r="1817">
          <cell r="A1817">
            <v>1613300961</v>
          </cell>
          <cell r="B1817" t="str">
            <v>רז' פעולות ורכישות</v>
          </cell>
        </row>
        <row r="1818">
          <cell r="A1818" t="str">
            <v>#VALUE!</v>
          </cell>
          <cell r="B1818" t="str">
            <v xml:space="preserve">גנזך ומוזיאון     </v>
          </cell>
        </row>
        <row r="1819">
          <cell r="A1819">
            <v>16134000</v>
          </cell>
          <cell r="B1819" t="str">
            <v xml:space="preserve">רשום תכולה        </v>
          </cell>
        </row>
        <row r="1820">
          <cell r="A1820">
            <v>1613400100</v>
          </cell>
          <cell r="B1820" t="str">
            <v>שכר עובדים לפי תקן</v>
          </cell>
        </row>
        <row r="1821">
          <cell r="A1821">
            <v>1613400110</v>
          </cell>
          <cell r="B1821" t="str">
            <v>השכר הקובע-תקציבית</v>
          </cell>
          <cell r="C1821">
            <v>0</v>
          </cell>
        </row>
        <row r="1822">
          <cell r="A1822">
            <v>1613400119</v>
          </cell>
          <cell r="B1822" t="str">
            <v xml:space="preserve">השכר הקובע-צוברת  </v>
          </cell>
          <cell r="C1822">
            <v>0</v>
          </cell>
        </row>
        <row r="1823">
          <cell r="A1823">
            <v>1613400122</v>
          </cell>
          <cell r="B1823" t="str">
            <v xml:space="preserve">ביגוד             </v>
          </cell>
          <cell r="C1823">
            <v>0</v>
          </cell>
        </row>
        <row r="1824">
          <cell r="A1824">
            <v>1613400126</v>
          </cell>
          <cell r="B1824" t="str">
            <v xml:space="preserve">דמי הבראה         </v>
          </cell>
          <cell r="C1824">
            <v>0</v>
          </cell>
        </row>
        <row r="1825">
          <cell r="A1825">
            <v>1613400130</v>
          </cell>
          <cell r="B1825" t="str">
            <v xml:space="preserve">שעות נוספות       </v>
          </cell>
        </row>
        <row r="1826">
          <cell r="A1826">
            <v>1613400140</v>
          </cell>
          <cell r="B1826" t="str">
            <v>השתתפות באחזקת רכב</v>
          </cell>
          <cell r="C1826">
            <v>0</v>
          </cell>
        </row>
        <row r="1827">
          <cell r="A1827">
            <v>1613400400</v>
          </cell>
          <cell r="B1827" t="str">
            <v>אחזקת בנינים וציוד</v>
          </cell>
        </row>
        <row r="1828">
          <cell r="A1828">
            <v>1613400561</v>
          </cell>
          <cell r="B1828" t="str">
            <v xml:space="preserve">שיכפולים          </v>
          </cell>
        </row>
        <row r="1829">
          <cell r="A1829">
            <v>1613400571</v>
          </cell>
          <cell r="B1829" t="str">
            <v xml:space="preserve">מיכון וענ"א       </v>
          </cell>
        </row>
        <row r="1830">
          <cell r="A1830">
            <v>1613400710</v>
          </cell>
          <cell r="B1830" t="str">
            <v xml:space="preserve">הובלות והסעות     </v>
          </cell>
          <cell r="C1830">
            <v>25000</v>
          </cell>
        </row>
        <row r="1831">
          <cell r="A1831">
            <v>1613400961</v>
          </cell>
          <cell r="B1831" t="str">
            <v>רז' פעולות ורכישות</v>
          </cell>
        </row>
        <row r="1832">
          <cell r="A1832" t="str">
            <v>#VALUE!</v>
          </cell>
          <cell r="B1832" t="str">
            <v xml:space="preserve">רשום תכולה        </v>
          </cell>
        </row>
        <row r="1833">
          <cell r="A1833">
            <v>16150000</v>
          </cell>
          <cell r="B1833" t="str">
            <v>משאבי אנוש</v>
          </cell>
        </row>
        <row r="1834">
          <cell r="A1834">
            <v>1615000100</v>
          </cell>
          <cell r="B1834" t="str">
            <v>שכר עובדים לפי תקן</v>
          </cell>
        </row>
        <row r="1835">
          <cell r="A1835">
            <v>1615000110</v>
          </cell>
          <cell r="B1835" t="str">
            <v>השכר הקובע-תקציבית</v>
          </cell>
          <cell r="C1835">
            <v>873000</v>
          </cell>
        </row>
        <row r="1836">
          <cell r="A1836">
            <v>1615000119</v>
          </cell>
          <cell r="B1836" t="str">
            <v xml:space="preserve">השכר הקובע-צוברת  </v>
          </cell>
          <cell r="C1836">
            <v>3315500</v>
          </cell>
        </row>
        <row r="1837">
          <cell r="A1837">
            <v>1615000122</v>
          </cell>
          <cell r="B1837" t="str">
            <v xml:space="preserve">ביגוד             </v>
          </cell>
          <cell r="C1837">
            <v>43000</v>
          </cell>
        </row>
        <row r="1838">
          <cell r="A1838">
            <v>1615000126</v>
          </cell>
          <cell r="B1838" t="str">
            <v xml:space="preserve">דמי הבראה         </v>
          </cell>
          <cell r="C1838">
            <v>98000</v>
          </cell>
        </row>
        <row r="1839">
          <cell r="A1839">
            <v>1615000130</v>
          </cell>
          <cell r="B1839" t="str">
            <v xml:space="preserve">שעות נוספות       </v>
          </cell>
          <cell r="C1839">
            <v>6500</v>
          </cell>
        </row>
        <row r="1840">
          <cell r="A1840">
            <v>1615000140</v>
          </cell>
          <cell r="B1840" t="str">
            <v>השתתפות באחזקת רכב</v>
          </cell>
          <cell r="C1840">
            <v>401000</v>
          </cell>
        </row>
        <row r="1841">
          <cell r="A1841">
            <v>1615000200</v>
          </cell>
          <cell r="B1841" t="str">
            <v>שכר עובדים ללא תקן</v>
          </cell>
        </row>
        <row r="1842">
          <cell r="A1842">
            <v>1615000210</v>
          </cell>
          <cell r="B1842" t="str">
            <v xml:space="preserve">השכר הקובע        </v>
          </cell>
        </row>
        <row r="1843">
          <cell r="A1843">
            <v>1615000253</v>
          </cell>
          <cell r="B1843" t="str">
            <v>עובדי חברות כח-אדם</v>
          </cell>
        </row>
        <row r="1844">
          <cell r="A1844">
            <v>1615000255</v>
          </cell>
          <cell r="B1844" t="str">
            <v>מ"מ עובדים חיצוניים</v>
          </cell>
          <cell r="C1844">
            <v>100000</v>
          </cell>
        </row>
        <row r="1845">
          <cell r="A1845">
            <v>1615000350</v>
          </cell>
          <cell r="B1845" t="str">
            <v>ליסינג לשני רכבים</v>
          </cell>
          <cell r="C1845">
            <v>120000</v>
          </cell>
        </row>
        <row r="1846">
          <cell r="A1846">
            <v>1615000351</v>
          </cell>
          <cell r="B1846" t="str">
            <v>הוצאות לשני רכבים</v>
          </cell>
          <cell r="C1846">
            <v>30500</v>
          </cell>
        </row>
        <row r="1847">
          <cell r="A1847">
            <v>1615000400</v>
          </cell>
          <cell r="B1847" t="str">
            <v>אחזקת בנינים וציוד</v>
          </cell>
        </row>
        <row r="1848">
          <cell r="A1848">
            <v>1615000471</v>
          </cell>
          <cell r="B1848" t="str">
            <v xml:space="preserve">מכשירי כתיבה      </v>
          </cell>
          <cell r="C1848">
            <v>26600</v>
          </cell>
        </row>
        <row r="1849">
          <cell r="A1849">
            <v>1615000500</v>
          </cell>
          <cell r="B1849" t="str">
            <v xml:space="preserve">הוצאות מינהליות   </v>
          </cell>
        </row>
        <row r="1850">
          <cell r="A1850">
            <v>1615000511</v>
          </cell>
          <cell r="B1850" t="str">
            <v xml:space="preserve">אירוח וכיבוד      </v>
          </cell>
          <cell r="C1850">
            <v>4300</v>
          </cell>
        </row>
        <row r="1851">
          <cell r="A1851">
            <v>1615000512</v>
          </cell>
          <cell r="B1851" t="str">
            <v xml:space="preserve">נסיעות ואש"ל      </v>
          </cell>
          <cell r="C1851">
            <v>500</v>
          </cell>
        </row>
        <row r="1852">
          <cell r="A1852">
            <v>1615000521</v>
          </cell>
          <cell r="B1852" t="str">
            <v>השתלמויות-ימי עיון</v>
          </cell>
          <cell r="C1852">
            <v>562000</v>
          </cell>
        </row>
        <row r="1853">
          <cell r="A1853">
            <v>1615000522</v>
          </cell>
          <cell r="B1853" t="str">
            <v xml:space="preserve">ספרים ועיתונים    </v>
          </cell>
          <cell r="C1853">
            <v>4300</v>
          </cell>
        </row>
        <row r="1854">
          <cell r="A1854">
            <v>1615000523</v>
          </cell>
          <cell r="B1854" t="str">
            <v xml:space="preserve">השתתפות באירגונים </v>
          </cell>
          <cell r="C1854">
            <v>100000</v>
          </cell>
        </row>
        <row r="1855">
          <cell r="A1855">
            <v>1615000524</v>
          </cell>
          <cell r="B1855" t="str">
            <v xml:space="preserve">קורסים מקצועיים   </v>
          </cell>
          <cell r="C1855">
            <v>133000</v>
          </cell>
        </row>
        <row r="1856">
          <cell r="A1856">
            <v>1615000525</v>
          </cell>
          <cell r="B1856" t="str">
            <v xml:space="preserve">השתת' בשכר לימוד  </v>
          </cell>
          <cell r="C1856">
            <v>204000</v>
          </cell>
        </row>
        <row r="1857">
          <cell r="A1857">
            <v>1615000526</v>
          </cell>
          <cell r="B1857" t="str">
            <v>חברות-עמותות השתל'</v>
          </cell>
          <cell r="C1857">
            <v>488000</v>
          </cell>
        </row>
        <row r="1858">
          <cell r="A1858">
            <v>1615000527</v>
          </cell>
          <cell r="B1858" t="str">
            <v>עמותת "שלך"</v>
          </cell>
        </row>
        <row r="1859">
          <cell r="A1859">
            <v>1615000540</v>
          </cell>
          <cell r="B1859" t="str">
            <v xml:space="preserve">הוצאות טלפון      </v>
          </cell>
        </row>
        <row r="1860">
          <cell r="A1860">
            <v>1615000544</v>
          </cell>
          <cell r="B1860" t="str">
            <v xml:space="preserve">הוצאות דאר        </v>
          </cell>
          <cell r="C1860">
            <v>4300</v>
          </cell>
        </row>
        <row r="1861">
          <cell r="A1861">
            <v>1615000550</v>
          </cell>
          <cell r="B1861" t="str">
            <v xml:space="preserve">פירסומים          </v>
          </cell>
          <cell r="C1861">
            <v>218500</v>
          </cell>
        </row>
        <row r="1862">
          <cell r="A1862">
            <v>1615000561</v>
          </cell>
          <cell r="B1862" t="str">
            <v xml:space="preserve">שיכפולים          </v>
          </cell>
        </row>
        <row r="1863">
          <cell r="A1863">
            <v>1615000562</v>
          </cell>
          <cell r="B1863" t="str">
            <v xml:space="preserve">הדפסות            </v>
          </cell>
          <cell r="C1863">
            <v>1500</v>
          </cell>
        </row>
        <row r="1864">
          <cell r="A1864">
            <v>1615000565</v>
          </cell>
          <cell r="B1864" t="str">
            <v>עובדים שרותיים ומוערכים</v>
          </cell>
          <cell r="C1864">
            <v>27000</v>
          </cell>
        </row>
        <row r="1865">
          <cell r="A1865">
            <v>1615000571</v>
          </cell>
          <cell r="B1865" t="str">
            <v xml:space="preserve">מיכון וענ"א       </v>
          </cell>
        </row>
        <row r="1866">
          <cell r="A1866">
            <v>1615000580</v>
          </cell>
          <cell r="B1866" t="str">
            <v>בדיקות פסיכוטכניות</v>
          </cell>
          <cell r="C1866">
            <v>180000</v>
          </cell>
        </row>
        <row r="1867">
          <cell r="A1867">
            <v>1615000581</v>
          </cell>
          <cell r="B1867" t="str">
            <v xml:space="preserve">בדיקות רפואיות    </v>
          </cell>
          <cell r="C1867">
            <v>10800</v>
          </cell>
        </row>
        <row r="1868">
          <cell r="A1868">
            <v>1615000582</v>
          </cell>
          <cell r="B1868" t="str">
            <v>יעוץ משפטי</v>
          </cell>
          <cell r="C1868">
            <v>284000</v>
          </cell>
        </row>
        <row r="1869">
          <cell r="A1869">
            <v>1615000700</v>
          </cell>
          <cell r="B1869" t="str">
            <v xml:space="preserve">הוצאות לפעולות    </v>
          </cell>
        </row>
        <row r="1870">
          <cell r="A1870">
            <v>1615000753</v>
          </cell>
          <cell r="B1870" t="str">
            <v>עובדי חברות כח-אדם</v>
          </cell>
        </row>
        <row r="1871">
          <cell r="A1871">
            <v>1615000755</v>
          </cell>
          <cell r="B1871" t="str">
            <v>מ"מ עובדים חיצוניי</v>
          </cell>
        </row>
        <row r="1872">
          <cell r="A1872">
            <v>1615000757</v>
          </cell>
          <cell r="B1872" t="str">
            <v>שרותי סיוע לנושאי פנסיה</v>
          </cell>
          <cell r="C1872">
            <v>72600</v>
          </cell>
        </row>
        <row r="1873">
          <cell r="A1873">
            <v>1615000763</v>
          </cell>
          <cell r="B1873" t="str">
            <v xml:space="preserve">עובדי חברת מוסדות </v>
          </cell>
        </row>
        <row r="1874">
          <cell r="A1874">
            <v>1615000780</v>
          </cell>
          <cell r="B1874" t="str">
            <v>ארועים לעובדים</v>
          </cell>
          <cell r="C1874">
            <v>250000</v>
          </cell>
        </row>
        <row r="1875">
          <cell r="A1875">
            <v>1615000781</v>
          </cell>
          <cell r="B1875" t="str">
            <v xml:space="preserve">טיפול  בפנסיונרים </v>
          </cell>
          <cell r="C1875">
            <v>38500</v>
          </cell>
        </row>
        <row r="1876">
          <cell r="A1876">
            <v>1615000782</v>
          </cell>
          <cell r="B1876" t="str">
            <v xml:space="preserve">עובד מצטיין       </v>
          </cell>
          <cell r="C1876">
            <v>49590</v>
          </cell>
        </row>
        <row r="1877">
          <cell r="A1877">
            <v>1615000783</v>
          </cell>
          <cell r="B1877" t="str">
            <v>השתלמות מקצועית לעובדים</v>
          </cell>
          <cell r="C1877">
            <v>2300000</v>
          </cell>
        </row>
        <row r="1878">
          <cell r="A1878">
            <v>1615000784</v>
          </cell>
          <cell r="B1878" t="str">
            <v>שי לעובדים חדשים</v>
          </cell>
          <cell r="C1878">
            <v>6000</v>
          </cell>
        </row>
        <row r="1879">
          <cell r="A1879">
            <v>1615000785</v>
          </cell>
          <cell r="B1879" t="str">
            <v>קבוצות ספורט-עיריית חולון</v>
          </cell>
          <cell r="C1879">
            <v>89800</v>
          </cell>
        </row>
        <row r="1880">
          <cell r="A1880">
            <v>1615000786</v>
          </cell>
          <cell r="B1880" t="str">
            <v>פעולות סמנכ"ל</v>
          </cell>
          <cell r="C1880">
            <v>10000</v>
          </cell>
        </row>
        <row r="1881">
          <cell r="A1881">
            <v>1615000787</v>
          </cell>
          <cell r="B1881" t="str">
            <v>פיתוח משאבי אנוש</v>
          </cell>
          <cell r="C1881">
            <v>187700</v>
          </cell>
        </row>
        <row r="1882">
          <cell r="A1882">
            <v>1615000788</v>
          </cell>
          <cell r="B1882" t="str">
            <v>יום עיון לעובדים חדשים</v>
          </cell>
          <cell r="C1882">
            <v>6800</v>
          </cell>
        </row>
        <row r="1883">
          <cell r="A1883">
            <v>1615000789</v>
          </cell>
          <cell r="B1883" t="str">
            <v>יום האישה</v>
          </cell>
          <cell r="C1883">
            <v>36000</v>
          </cell>
        </row>
        <row r="1884">
          <cell r="A1884">
            <v>1615000900</v>
          </cell>
          <cell r="B1884" t="str">
            <v xml:space="preserve">הוצאות חד פעמיות  </v>
          </cell>
        </row>
        <row r="1885">
          <cell r="A1885">
            <v>1615000932</v>
          </cell>
          <cell r="B1885" t="str">
            <v xml:space="preserve">רכישות            </v>
          </cell>
          <cell r="C1885">
            <v>3400</v>
          </cell>
        </row>
        <row r="1886">
          <cell r="A1886">
            <v>1615000961</v>
          </cell>
          <cell r="B1886" t="str">
            <v>רז' פעולות ורכישות</v>
          </cell>
        </row>
        <row r="1887">
          <cell r="A1887" t="str">
            <v>#VALUE!</v>
          </cell>
          <cell r="B1887" t="str">
            <v>משאבי אנוש</v>
          </cell>
        </row>
        <row r="1888">
          <cell r="A1888">
            <v>16160000</v>
          </cell>
          <cell r="B1888" t="str">
            <v>אגף איכות ותהלכי עבודה</v>
          </cell>
        </row>
        <row r="1889">
          <cell r="A1889">
            <v>1616000100</v>
          </cell>
          <cell r="B1889" t="str">
            <v>שכר עובדים לפי תקן</v>
          </cell>
        </row>
        <row r="1890">
          <cell r="A1890">
            <v>1616000110</v>
          </cell>
          <cell r="B1890" t="str">
            <v>השכר הקובע-תקציבית</v>
          </cell>
          <cell r="C1890">
            <v>0</v>
          </cell>
        </row>
        <row r="1891">
          <cell r="A1891">
            <v>1616000119</v>
          </cell>
          <cell r="B1891" t="str">
            <v xml:space="preserve">השכר הקובע-צוברת  </v>
          </cell>
          <cell r="C1891">
            <v>0</v>
          </cell>
        </row>
        <row r="1892">
          <cell r="A1892">
            <v>1616000122</v>
          </cell>
          <cell r="B1892" t="str">
            <v xml:space="preserve">ביגוד             </v>
          </cell>
          <cell r="C1892">
            <v>0</v>
          </cell>
        </row>
        <row r="1893">
          <cell r="A1893">
            <v>1616000126</v>
          </cell>
          <cell r="B1893" t="str">
            <v xml:space="preserve">דמי הבראה         </v>
          </cell>
          <cell r="C1893">
            <v>5500</v>
          </cell>
        </row>
        <row r="1894">
          <cell r="A1894">
            <v>1616000130</v>
          </cell>
          <cell r="B1894" t="str">
            <v xml:space="preserve">שעות נוספות       </v>
          </cell>
        </row>
        <row r="1895">
          <cell r="A1895">
            <v>1616000140</v>
          </cell>
          <cell r="B1895" t="str">
            <v>השתתפות באחזקת רכב</v>
          </cell>
          <cell r="C1895">
            <v>0</v>
          </cell>
        </row>
        <row r="1896">
          <cell r="A1896">
            <v>1616000253</v>
          </cell>
          <cell r="B1896" t="str">
            <v>עובדי חברה</v>
          </cell>
        </row>
        <row r="1897">
          <cell r="A1897">
            <v>1616000350</v>
          </cell>
          <cell r="B1897" t="str">
            <v>ליסינג - 162-58-802</v>
          </cell>
        </row>
        <row r="1898">
          <cell r="A1898">
            <v>1616000351</v>
          </cell>
          <cell r="B1898" t="str">
            <v>הוצאות- 162-58-802</v>
          </cell>
        </row>
        <row r="1899">
          <cell r="A1899">
            <v>1616000470</v>
          </cell>
          <cell r="B1899" t="str">
            <v xml:space="preserve">אחזקת מכונות משרד </v>
          </cell>
        </row>
        <row r="1900">
          <cell r="A1900">
            <v>1616000471</v>
          </cell>
          <cell r="B1900" t="str">
            <v xml:space="preserve">מכשירי כתיבה      </v>
          </cell>
        </row>
        <row r="1901">
          <cell r="A1901">
            <v>1616000511</v>
          </cell>
          <cell r="B1901" t="str">
            <v xml:space="preserve">אירוח וכיבוד      </v>
          </cell>
        </row>
        <row r="1902">
          <cell r="A1902">
            <v>1616000522</v>
          </cell>
          <cell r="B1902" t="str">
            <v xml:space="preserve">ספרים ועיתונים    </v>
          </cell>
        </row>
        <row r="1903">
          <cell r="A1903">
            <v>1616000561</v>
          </cell>
          <cell r="B1903" t="str">
            <v xml:space="preserve">שיכפולים          </v>
          </cell>
        </row>
        <row r="1904">
          <cell r="A1904">
            <v>1616000571</v>
          </cell>
          <cell r="B1904" t="str">
            <v xml:space="preserve">מיכון וענ"א       </v>
          </cell>
        </row>
        <row r="1905">
          <cell r="A1905">
            <v>1616000580</v>
          </cell>
          <cell r="B1905" t="str">
            <v>סקרים ויעוץ חיצוני</v>
          </cell>
        </row>
        <row r="1906">
          <cell r="A1906">
            <v>1616000585</v>
          </cell>
          <cell r="B1906" t="str">
            <v>ממשקים</v>
          </cell>
        </row>
        <row r="1907">
          <cell r="A1907">
            <v>1616000753</v>
          </cell>
          <cell r="B1907" t="str">
            <v xml:space="preserve">עובד חיצוני       </v>
          </cell>
        </row>
        <row r="1908">
          <cell r="A1908">
            <v>1616000780</v>
          </cell>
          <cell r="B1908" t="str">
            <v>מערך ארגון ושיטות</v>
          </cell>
        </row>
        <row r="1909">
          <cell r="A1909">
            <v>1616000781</v>
          </cell>
          <cell r="B1909" t="str">
            <v>השתלמות אמנת שירות</v>
          </cell>
        </row>
        <row r="1910">
          <cell r="A1910">
            <v>1616000961</v>
          </cell>
          <cell r="B1910" t="str">
            <v>רז' פעולות ורכישות</v>
          </cell>
        </row>
        <row r="1911">
          <cell r="A1911" t="str">
            <v>#VALUE!</v>
          </cell>
          <cell r="B1911" t="str">
            <v>אגף איכות ותהלכי עבודה</v>
          </cell>
        </row>
        <row r="1912">
          <cell r="A1912">
            <v>16170000</v>
          </cell>
          <cell r="B1912" t="str">
            <v xml:space="preserve">שרות משפטי        </v>
          </cell>
        </row>
        <row r="1913">
          <cell r="A1913">
            <v>1617000100</v>
          </cell>
          <cell r="B1913" t="str">
            <v>שכר עובדים לפי תקן</v>
          </cell>
        </row>
        <row r="1914">
          <cell r="A1914">
            <v>1617000110</v>
          </cell>
          <cell r="B1914" t="str">
            <v>השכר הקובע-תקציבית</v>
          </cell>
          <cell r="C1914">
            <v>0</v>
          </cell>
        </row>
        <row r="1915">
          <cell r="A1915">
            <v>1617000119</v>
          </cell>
          <cell r="B1915" t="str">
            <v xml:space="preserve">השכר הקובע-צוברת  </v>
          </cell>
          <cell r="C1915">
            <v>5499000</v>
          </cell>
        </row>
        <row r="1916">
          <cell r="A1916">
            <v>1617000122</v>
          </cell>
          <cell r="B1916" t="str">
            <v xml:space="preserve">ביגוד             </v>
          </cell>
          <cell r="C1916">
            <v>44000</v>
          </cell>
        </row>
        <row r="1917">
          <cell r="A1917">
            <v>1617000126</v>
          </cell>
          <cell r="B1917" t="str">
            <v xml:space="preserve">דמי הבראה         </v>
          </cell>
          <cell r="C1917">
            <v>106000</v>
          </cell>
        </row>
        <row r="1918">
          <cell r="A1918">
            <v>1617000130</v>
          </cell>
          <cell r="B1918" t="str">
            <v xml:space="preserve">שעות נוספות       </v>
          </cell>
          <cell r="C1918">
            <v>13800</v>
          </cell>
        </row>
        <row r="1919">
          <cell r="A1919">
            <v>1617000140</v>
          </cell>
          <cell r="B1919" t="str">
            <v>השתתפות באחזקת רכב</v>
          </cell>
          <cell r="C1919">
            <v>312000</v>
          </cell>
        </row>
        <row r="1920">
          <cell r="A1920">
            <v>1617000253</v>
          </cell>
          <cell r="B1920" t="str">
            <v xml:space="preserve">עובדים חיצוניים   </v>
          </cell>
        </row>
        <row r="1921">
          <cell r="A1921">
            <v>1617000350</v>
          </cell>
          <cell r="B1921" t="str">
            <v>ליסינג - 300-14-002</v>
          </cell>
          <cell r="C1921">
            <v>96000</v>
          </cell>
        </row>
        <row r="1922">
          <cell r="A1922">
            <v>1617000351</v>
          </cell>
          <cell r="B1922" t="str">
            <v>הוצאות - 300-14-002</v>
          </cell>
          <cell r="C1922">
            <v>40000</v>
          </cell>
        </row>
        <row r="1923">
          <cell r="A1923">
            <v>1617000400</v>
          </cell>
          <cell r="B1923" t="str">
            <v>אחזקת בנינים וציוד</v>
          </cell>
        </row>
        <row r="1924">
          <cell r="A1924">
            <v>1617000470</v>
          </cell>
          <cell r="B1924" t="str">
            <v xml:space="preserve">אחזקת מכונות משרד </v>
          </cell>
          <cell r="C1924">
            <v>2200</v>
          </cell>
        </row>
        <row r="1925">
          <cell r="A1925">
            <v>1617000471</v>
          </cell>
          <cell r="B1925" t="str">
            <v xml:space="preserve">מכשירי כתיבה      </v>
          </cell>
          <cell r="C1925">
            <v>30000</v>
          </cell>
        </row>
        <row r="1926">
          <cell r="A1926">
            <v>1617000511</v>
          </cell>
          <cell r="B1926" t="str">
            <v xml:space="preserve">אירוח וכיבוד      </v>
          </cell>
          <cell r="C1926">
            <v>7200</v>
          </cell>
        </row>
        <row r="1927">
          <cell r="A1927">
            <v>1617000512</v>
          </cell>
          <cell r="B1927" t="str">
            <v xml:space="preserve">נסיעות ואש"ל      </v>
          </cell>
          <cell r="C1927">
            <v>3600</v>
          </cell>
        </row>
        <row r="1928">
          <cell r="A1928">
            <v>1617000522</v>
          </cell>
          <cell r="B1928" t="str">
            <v xml:space="preserve">ספרים ועיתונים    </v>
          </cell>
          <cell r="C1928">
            <v>4500</v>
          </cell>
        </row>
        <row r="1929">
          <cell r="A1929">
            <v>1617000525</v>
          </cell>
          <cell r="B1929" t="str">
            <v>רכישת תוכנות וידע</v>
          </cell>
          <cell r="C1929">
            <v>20000</v>
          </cell>
        </row>
        <row r="1930">
          <cell r="A1930">
            <v>1617000540</v>
          </cell>
          <cell r="B1930" t="str">
            <v xml:space="preserve">הוצאות טלפון      </v>
          </cell>
        </row>
        <row r="1931">
          <cell r="A1931">
            <v>1617000544</v>
          </cell>
          <cell r="B1931" t="str">
            <v xml:space="preserve">הוצאות דאר        </v>
          </cell>
          <cell r="C1931">
            <v>4300</v>
          </cell>
        </row>
        <row r="1932">
          <cell r="A1932">
            <v>1617000561</v>
          </cell>
          <cell r="B1932" t="str">
            <v xml:space="preserve">שיכפולים          </v>
          </cell>
          <cell r="C1932">
            <v>900</v>
          </cell>
        </row>
        <row r="1933">
          <cell r="A1933">
            <v>1617000571</v>
          </cell>
          <cell r="B1933" t="str">
            <v xml:space="preserve">מיכון וענ"א       </v>
          </cell>
        </row>
        <row r="1934">
          <cell r="A1934">
            <v>1617000581</v>
          </cell>
          <cell r="B1934" t="str">
            <v xml:space="preserve">ייעוץ משפטי       </v>
          </cell>
          <cell r="C1934">
            <v>500000</v>
          </cell>
        </row>
        <row r="1935">
          <cell r="A1935">
            <v>1617000582</v>
          </cell>
          <cell r="B1935" t="str">
            <v xml:space="preserve">הוצאות משפטיות    </v>
          </cell>
          <cell r="C1935">
            <v>190000</v>
          </cell>
        </row>
        <row r="1936">
          <cell r="A1936">
            <v>1617000741</v>
          </cell>
          <cell r="B1936" t="str">
            <v xml:space="preserve">כריכת ספרים       </v>
          </cell>
        </row>
        <row r="1937">
          <cell r="A1937">
            <v>1617000753</v>
          </cell>
          <cell r="B1937" t="str">
            <v xml:space="preserve">עובדים חיצוניים   </v>
          </cell>
        </row>
        <row r="1938">
          <cell r="A1938">
            <v>1617000781</v>
          </cell>
          <cell r="B1938" t="str">
            <v>פעולות סמנכ"ל</v>
          </cell>
          <cell r="C1938">
            <v>10000</v>
          </cell>
        </row>
        <row r="1939">
          <cell r="A1939">
            <v>1617000961</v>
          </cell>
          <cell r="B1939" t="str">
            <v>רז' פעולות ורכישות</v>
          </cell>
        </row>
        <row r="1940">
          <cell r="A1940" t="str">
            <v>#VALUE!</v>
          </cell>
          <cell r="B1940" t="str">
            <v xml:space="preserve">שרות משפטי        </v>
          </cell>
        </row>
        <row r="1941">
          <cell r="A1941">
            <v>16180000</v>
          </cell>
          <cell r="B1941" t="str">
            <v>תכנון אסטרטגי+מידע</v>
          </cell>
        </row>
        <row r="1942">
          <cell r="A1942">
            <v>1618000110</v>
          </cell>
          <cell r="B1942" t="str">
            <v>השכר הקובע-תקציבית</v>
          </cell>
          <cell r="C1942">
            <v>179700</v>
          </cell>
        </row>
        <row r="1943">
          <cell r="A1943">
            <v>1618000119</v>
          </cell>
          <cell r="B1943" t="str">
            <v xml:space="preserve">השכר הקובע-צוברת  </v>
          </cell>
          <cell r="C1943">
            <v>2304500</v>
          </cell>
        </row>
        <row r="1944">
          <cell r="A1944">
            <v>1618000122</v>
          </cell>
          <cell r="B1944" t="str">
            <v xml:space="preserve">ביגוד             </v>
          </cell>
          <cell r="C1944">
            <v>17000</v>
          </cell>
        </row>
        <row r="1945">
          <cell r="A1945">
            <v>1618000126</v>
          </cell>
          <cell r="B1945" t="str">
            <v xml:space="preserve">דמי הבראה         </v>
          </cell>
          <cell r="C1945">
            <v>35000</v>
          </cell>
        </row>
        <row r="1946">
          <cell r="A1946">
            <v>1618000130</v>
          </cell>
          <cell r="B1946" t="str">
            <v xml:space="preserve">שעות נוספות       </v>
          </cell>
          <cell r="C1946">
            <v>31600</v>
          </cell>
        </row>
        <row r="1947">
          <cell r="A1947">
            <v>1618000140</v>
          </cell>
          <cell r="B1947" t="str">
            <v>השתתפות באחזקת רכב</v>
          </cell>
          <cell r="C1947">
            <v>180900</v>
          </cell>
        </row>
        <row r="1948">
          <cell r="A1948">
            <v>1618000253</v>
          </cell>
          <cell r="B1948" t="str">
            <v xml:space="preserve">עובדים חיצוניים   </v>
          </cell>
        </row>
        <row r="1949">
          <cell r="A1949">
            <v>1618000471</v>
          </cell>
          <cell r="B1949" t="str">
            <v xml:space="preserve">מכשירי כתיבה      </v>
          </cell>
          <cell r="C1949">
            <v>4800</v>
          </cell>
        </row>
        <row r="1950">
          <cell r="A1950">
            <v>1618000511</v>
          </cell>
          <cell r="B1950" t="str">
            <v xml:space="preserve">אירוח וכיבוד      </v>
          </cell>
          <cell r="C1950">
            <v>1800</v>
          </cell>
        </row>
        <row r="1951">
          <cell r="A1951">
            <v>1618000522</v>
          </cell>
          <cell r="B1951" t="str">
            <v xml:space="preserve">ספרים ועיתונים    </v>
          </cell>
        </row>
        <row r="1952">
          <cell r="A1952">
            <v>1618000540</v>
          </cell>
          <cell r="B1952" t="str">
            <v xml:space="preserve">הוצאות טלפון      </v>
          </cell>
        </row>
        <row r="1953">
          <cell r="A1953">
            <v>1618000544</v>
          </cell>
          <cell r="B1953" t="str">
            <v xml:space="preserve">הוצאות דאר        </v>
          </cell>
        </row>
        <row r="1954">
          <cell r="A1954">
            <v>1618000550</v>
          </cell>
          <cell r="B1954" t="str">
            <v>פרסום הליכות ג'יין</v>
          </cell>
        </row>
        <row r="1955">
          <cell r="A1955">
            <v>1618000561</v>
          </cell>
          <cell r="B1955" t="str">
            <v xml:space="preserve">שיכפולים          </v>
          </cell>
        </row>
        <row r="1956">
          <cell r="A1956">
            <v>1618000562</v>
          </cell>
          <cell r="B1956" t="str">
            <v xml:space="preserve">שנתון סטטיסטי     </v>
          </cell>
          <cell r="C1956">
            <v>60000</v>
          </cell>
        </row>
        <row r="1957">
          <cell r="A1957">
            <v>1618000571</v>
          </cell>
          <cell r="B1957" t="str">
            <v xml:space="preserve">מיכון וענ"א       </v>
          </cell>
          <cell r="C1957">
            <v>63100</v>
          </cell>
        </row>
        <row r="1958">
          <cell r="A1958">
            <v>1618000580</v>
          </cell>
          <cell r="B1958" t="str">
            <v xml:space="preserve">סקרים             </v>
          </cell>
          <cell r="C1958">
            <v>139000</v>
          </cell>
        </row>
        <row r="1959">
          <cell r="A1959">
            <v>1618000582</v>
          </cell>
          <cell r="B1959" t="str">
            <v>ריכוז נתונים ומידע</v>
          </cell>
          <cell r="C1959">
            <v>63300</v>
          </cell>
        </row>
        <row r="1960">
          <cell r="A1960">
            <v>1618000753</v>
          </cell>
          <cell r="B1960" t="str">
            <v xml:space="preserve">עובדים חיצוניים   </v>
          </cell>
        </row>
        <row r="1961">
          <cell r="A1961">
            <v>1618000780</v>
          </cell>
          <cell r="B1961" t="str">
            <v>מערך ארגון ושיטות</v>
          </cell>
          <cell r="C1961">
            <v>95000</v>
          </cell>
        </row>
        <row r="1962">
          <cell r="A1962">
            <v>1618000781</v>
          </cell>
          <cell r="B1962" t="str">
            <v xml:space="preserve">תוכניות עבודה </v>
          </cell>
          <cell r="C1962">
            <v>63000</v>
          </cell>
        </row>
        <row r="1963">
          <cell r="A1963">
            <v>1618000782</v>
          </cell>
          <cell r="B1963" t="str">
            <v>פרוייקט ג'ויינט(הכ')</v>
          </cell>
        </row>
        <row r="1964">
          <cell r="A1964">
            <v>1618000783</v>
          </cell>
          <cell r="B1964" t="str">
            <v>מפגשי מנהלים</v>
          </cell>
          <cell r="C1964">
            <v>10000</v>
          </cell>
        </row>
        <row r="1965">
          <cell r="A1965">
            <v>1618000961</v>
          </cell>
          <cell r="B1965" t="str">
            <v>רז' פעולות ורכישות</v>
          </cell>
        </row>
        <row r="1966">
          <cell r="A1966" t="str">
            <v>#VALUE!</v>
          </cell>
          <cell r="B1966" t="str">
            <v>תכנון אסטרטגי+מידע</v>
          </cell>
        </row>
        <row r="1967">
          <cell r="A1967">
            <v>16190000</v>
          </cell>
          <cell r="B1967" t="str">
            <v>בחירות:רשות מקומית</v>
          </cell>
        </row>
        <row r="1968">
          <cell r="A1968">
            <v>1619000130</v>
          </cell>
          <cell r="B1968" t="str">
            <v xml:space="preserve">שעות נוספות       </v>
          </cell>
        </row>
        <row r="1969">
          <cell r="A1969">
            <v>1619000210</v>
          </cell>
          <cell r="B1969" t="str">
            <v>השכר הקובע</v>
          </cell>
        </row>
        <row r="1970">
          <cell r="A1970">
            <v>1619000961</v>
          </cell>
          <cell r="B1970" t="str">
            <v>רז' פעולות ורכישות</v>
          </cell>
        </row>
        <row r="1971">
          <cell r="A1971">
            <v>1619000980</v>
          </cell>
          <cell r="B1971" t="str">
            <v>בחירות:רשות מקומית</v>
          </cell>
        </row>
        <row r="1972">
          <cell r="A1972">
            <v>1619000981</v>
          </cell>
          <cell r="B1972" t="str">
            <v>שכר בחירות</v>
          </cell>
        </row>
        <row r="1973">
          <cell r="A1973" t="str">
            <v>#VALUE!</v>
          </cell>
          <cell r="B1973" t="str">
            <v>בחירות:רשות מקומית</v>
          </cell>
        </row>
        <row r="1974">
          <cell r="A1974">
            <v>16200000</v>
          </cell>
          <cell r="B1974" t="str">
            <v xml:space="preserve">מינהל כספי        </v>
          </cell>
        </row>
        <row r="1975">
          <cell r="A1975">
            <v>16210000</v>
          </cell>
          <cell r="B1975" t="str">
            <v xml:space="preserve">הנהלת הגזברות     </v>
          </cell>
        </row>
        <row r="1976">
          <cell r="A1976">
            <v>16211000</v>
          </cell>
          <cell r="B1976" t="str">
            <v>משרד גזבר העירייה</v>
          </cell>
        </row>
        <row r="1977">
          <cell r="A1977">
            <v>1621100100</v>
          </cell>
          <cell r="B1977" t="str">
            <v>שכר עובדים לפי תקן</v>
          </cell>
        </row>
        <row r="1978">
          <cell r="A1978">
            <v>1621100110</v>
          </cell>
          <cell r="B1978" t="str">
            <v>השכר הקובע-תקציבית</v>
          </cell>
        </row>
        <row r="1979">
          <cell r="A1979">
            <v>1621100119</v>
          </cell>
          <cell r="B1979" t="str">
            <v xml:space="preserve">השכר הקובע-צוברת  </v>
          </cell>
          <cell r="C1979">
            <v>1582100</v>
          </cell>
        </row>
        <row r="1980">
          <cell r="A1980">
            <v>1621100122</v>
          </cell>
          <cell r="B1980" t="str">
            <v xml:space="preserve">ביגוד             </v>
          </cell>
          <cell r="C1980">
            <v>10500</v>
          </cell>
        </row>
        <row r="1981">
          <cell r="A1981">
            <v>1621100126</v>
          </cell>
          <cell r="B1981" t="str">
            <v xml:space="preserve">דמי הבראה         </v>
          </cell>
          <cell r="C1981">
            <v>22200</v>
          </cell>
        </row>
        <row r="1982">
          <cell r="A1982">
            <v>1621100130</v>
          </cell>
          <cell r="B1982" t="str">
            <v xml:space="preserve">שעות נוספות       </v>
          </cell>
          <cell r="C1982">
            <v>4000</v>
          </cell>
        </row>
        <row r="1983">
          <cell r="A1983">
            <v>1621100140</v>
          </cell>
          <cell r="B1983" t="str">
            <v>השתתפות באחזקת רכב</v>
          </cell>
          <cell r="C1983">
            <v>93500</v>
          </cell>
        </row>
        <row r="1984">
          <cell r="A1984">
            <v>1621100253</v>
          </cell>
          <cell r="B1984" t="str">
            <v xml:space="preserve">עובדים חיצוניים   </v>
          </cell>
        </row>
        <row r="1985">
          <cell r="A1985">
            <v>1621100350</v>
          </cell>
          <cell r="B1985" t="str">
            <v>ליסינג - 523-32-003</v>
          </cell>
          <cell r="C1985">
            <v>52600</v>
          </cell>
        </row>
        <row r="1986">
          <cell r="A1986">
            <v>1621100351</v>
          </cell>
          <cell r="B1986" t="str">
            <v>הוצאות - 523-32-003</v>
          </cell>
          <cell r="C1986">
            <v>1000</v>
          </cell>
        </row>
        <row r="1987">
          <cell r="A1987">
            <v>1621100400</v>
          </cell>
          <cell r="B1987" t="str">
            <v>אחזקת בנינים וציוד</v>
          </cell>
        </row>
        <row r="1988">
          <cell r="A1988">
            <v>1621100438</v>
          </cell>
          <cell r="B1988" t="str">
            <v xml:space="preserve">תחזוקת תוכנה      </v>
          </cell>
        </row>
        <row r="1989">
          <cell r="A1989">
            <v>1621100470</v>
          </cell>
          <cell r="B1989" t="str">
            <v xml:space="preserve">אחזקת מכונות משרד </v>
          </cell>
          <cell r="C1989">
            <v>6000</v>
          </cell>
        </row>
        <row r="1990">
          <cell r="A1990">
            <v>1621100471</v>
          </cell>
          <cell r="B1990" t="str">
            <v xml:space="preserve">מכשירי כתיבה      </v>
          </cell>
          <cell r="C1990">
            <v>6300</v>
          </cell>
        </row>
        <row r="1991">
          <cell r="A1991">
            <v>1621100492</v>
          </cell>
          <cell r="B1991" t="str">
            <v xml:space="preserve">השתתפות בעזר 092  </v>
          </cell>
        </row>
        <row r="1992">
          <cell r="A1992">
            <v>1621100500</v>
          </cell>
          <cell r="B1992" t="str">
            <v xml:space="preserve">הוצאות מינהליות   </v>
          </cell>
        </row>
        <row r="1993">
          <cell r="A1993">
            <v>1621100511</v>
          </cell>
          <cell r="B1993" t="str">
            <v xml:space="preserve">אירוח וכיבוד      </v>
          </cell>
          <cell r="C1993">
            <v>5100</v>
          </cell>
        </row>
        <row r="1994">
          <cell r="A1994">
            <v>1621100512</v>
          </cell>
          <cell r="B1994" t="str">
            <v xml:space="preserve">נסיעות ואש"ל      </v>
          </cell>
          <cell r="C1994">
            <v>2200</v>
          </cell>
        </row>
        <row r="1995">
          <cell r="A1995">
            <v>1621100522</v>
          </cell>
          <cell r="B1995" t="str">
            <v xml:space="preserve">ספרים ועיתונים    </v>
          </cell>
          <cell r="C1995">
            <v>7700</v>
          </cell>
        </row>
        <row r="1996">
          <cell r="A1996">
            <v>1621100540</v>
          </cell>
          <cell r="B1996" t="str">
            <v xml:space="preserve">הוצאות טלפון      </v>
          </cell>
        </row>
        <row r="1997">
          <cell r="A1997">
            <v>1621100544</v>
          </cell>
          <cell r="B1997" t="str">
            <v xml:space="preserve">הוצאות דאר        </v>
          </cell>
          <cell r="C1997">
            <v>4500</v>
          </cell>
        </row>
        <row r="1998">
          <cell r="A1998">
            <v>1621100550</v>
          </cell>
          <cell r="B1998" t="str">
            <v>פרסומים</v>
          </cell>
          <cell r="C1998">
            <v>4300</v>
          </cell>
        </row>
        <row r="1999">
          <cell r="A1999">
            <v>1621100561</v>
          </cell>
          <cell r="B1999" t="str">
            <v xml:space="preserve">שיכפולים          </v>
          </cell>
        </row>
        <row r="2000">
          <cell r="A2000">
            <v>1621100562</v>
          </cell>
          <cell r="B2000" t="str">
            <v xml:space="preserve">הדפסות            </v>
          </cell>
        </row>
        <row r="2001">
          <cell r="A2001">
            <v>1621100571</v>
          </cell>
          <cell r="B2001" t="str">
            <v xml:space="preserve">מיכון וענ"א       </v>
          </cell>
        </row>
        <row r="2002">
          <cell r="A2002">
            <v>1621100580</v>
          </cell>
          <cell r="B2002" t="str">
            <v xml:space="preserve">יעוץ כלכלי        </v>
          </cell>
          <cell r="C2002">
            <v>500000</v>
          </cell>
        </row>
        <row r="2003">
          <cell r="A2003">
            <v>1621100700</v>
          </cell>
          <cell r="B2003" t="str">
            <v xml:space="preserve">הוצאות לפעולות    </v>
          </cell>
        </row>
        <row r="2004">
          <cell r="A2004">
            <v>1621100753</v>
          </cell>
          <cell r="B2004" t="str">
            <v xml:space="preserve">עובדים חיצוניים   </v>
          </cell>
        </row>
        <row r="2005">
          <cell r="A2005">
            <v>1621100781</v>
          </cell>
          <cell r="B2005" t="str">
            <v>פעולות סמנכ"ל</v>
          </cell>
          <cell r="C2005">
            <v>30000</v>
          </cell>
        </row>
        <row r="2006">
          <cell r="A2006">
            <v>1621100794</v>
          </cell>
          <cell r="B2006" t="str">
            <v xml:space="preserve">השתתפות בעזר 094  </v>
          </cell>
        </row>
        <row r="2007">
          <cell r="A2007">
            <v>1621100961</v>
          </cell>
          <cell r="B2007" t="str">
            <v>רז' פעולות ורכישות</v>
          </cell>
          <cell r="C2007">
            <v>500000</v>
          </cell>
        </row>
        <row r="2008">
          <cell r="A2008" t="str">
            <v>#VALUE!</v>
          </cell>
          <cell r="B2008" t="str">
            <v>משרד גזבר העירייה</v>
          </cell>
        </row>
        <row r="2009">
          <cell r="A2009">
            <v>16212000</v>
          </cell>
          <cell r="B2009" t="str">
            <v>תקציבים ובקרה</v>
          </cell>
        </row>
        <row r="2010">
          <cell r="A2010">
            <v>1621200100</v>
          </cell>
          <cell r="B2010" t="str">
            <v>שכר עובדים לפי תקן</v>
          </cell>
        </row>
        <row r="2011">
          <cell r="A2011">
            <v>1621200110</v>
          </cell>
          <cell r="B2011" t="str">
            <v>השכר הקובע-תקציבית</v>
          </cell>
          <cell r="C2011">
            <v>629300</v>
          </cell>
        </row>
        <row r="2012">
          <cell r="A2012">
            <v>1621200119</v>
          </cell>
          <cell r="B2012" t="str">
            <v xml:space="preserve">השכר הקובע-צוברת  </v>
          </cell>
          <cell r="C2012">
            <v>4816200</v>
          </cell>
        </row>
        <row r="2013">
          <cell r="A2013">
            <v>1621200122</v>
          </cell>
          <cell r="B2013" t="str">
            <v xml:space="preserve">ביגוד             </v>
          </cell>
          <cell r="C2013">
            <v>64300</v>
          </cell>
        </row>
        <row r="2014">
          <cell r="A2014">
            <v>1621200126</v>
          </cell>
          <cell r="B2014" t="str">
            <v xml:space="preserve">דמי הבראה         </v>
          </cell>
          <cell r="C2014">
            <v>146400</v>
          </cell>
        </row>
        <row r="2015">
          <cell r="A2015">
            <v>1621200130</v>
          </cell>
          <cell r="B2015" t="str">
            <v xml:space="preserve">שעות נוספות       </v>
          </cell>
          <cell r="C2015">
            <v>71200</v>
          </cell>
        </row>
        <row r="2016">
          <cell r="A2016">
            <v>1621200140</v>
          </cell>
          <cell r="B2016" t="str">
            <v>השתתפות באחזקת רכב</v>
          </cell>
          <cell r="C2016">
            <v>646000</v>
          </cell>
        </row>
        <row r="2017">
          <cell r="A2017">
            <v>1621200253</v>
          </cell>
          <cell r="B2017" t="str">
            <v xml:space="preserve">עובד חיצוני       </v>
          </cell>
        </row>
        <row r="2018">
          <cell r="A2018">
            <v>1621200350</v>
          </cell>
          <cell r="B2018" t="str">
            <v xml:space="preserve">ליסינג </v>
          </cell>
          <cell r="C2018">
            <v>120000</v>
          </cell>
        </row>
        <row r="2019">
          <cell r="A2019">
            <v>1621200351</v>
          </cell>
          <cell r="B2019" t="str">
            <v xml:space="preserve">הוצאות ליסינג </v>
          </cell>
          <cell r="C2019">
            <v>64000</v>
          </cell>
        </row>
        <row r="2020">
          <cell r="A2020">
            <v>1621200400</v>
          </cell>
          <cell r="B2020" t="str">
            <v>אחזקת בנינים וציוד</v>
          </cell>
        </row>
        <row r="2021">
          <cell r="A2021">
            <v>1621200470</v>
          </cell>
          <cell r="B2021" t="str">
            <v xml:space="preserve">אחזקת מכונות משרד </v>
          </cell>
          <cell r="C2021">
            <v>1000</v>
          </cell>
        </row>
        <row r="2022">
          <cell r="A2022">
            <v>1621200471</v>
          </cell>
          <cell r="B2022" t="str">
            <v xml:space="preserve">מכשירי כתיבה      </v>
          </cell>
          <cell r="C2022">
            <v>20500</v>
          </cell>
        </row>
        <row r="2023">
          <cell r="A2023">
            <v>1621200511</v>
          </cell>
          <cell r="B2023" t="str">
            <v xml:space="preserve">אירוח וכיבוד      </v>
          </cell>
          <cell r="C2023">
            <v>1700</v>
          </cell>
        </row>
        <row r="2024">
          <cell r="A2024">
            <v>1621200522</v>
          </cell>
          <cell r="B2024" t="str">
            <v xml:space="preserve">ספרים ועיתונים    </v>
          </cell>
          <cell r="C2024">
            <v>4100</v>
          </cell>
        </row>
        <row r="2025">
          <cell r="A2025">
            <v>1621200561</v>
          </cell>
          <cell r="B2025" t="str">
            <v xml:space="preserve">שיכפולים          </v>
          </cell>
        </row>
        <row r="2026">
          <cell r="A2026">
            <v>1621200563</v>
          </cell>
          <cell r="B2026" t="str">
            <v xml:space="preserve">הדפסות            </v>
          </cell>
          <cell r="C2026">
            <v>5600</v>
          </cell>
        </row>
        <row r="2027">
          <cell r="A2027">
            <v>1621200571</v>
          </cell>
          <cell r="B2027" t="str">
            <v xml:space="preserve">מיכון וענ"א       </v>
          </cell>
        </row>
        <row r="2028">
          <cell r="A2028">
            <v>1621200573</v>
          </cell>
          <cell r="B2028" t="str">
            <v>מע' חשבונות ממוחשבת</v>
          </cell>
          <cell r="C2028">
            <v>200000</v>
          </cell>
        </row>
        <row r="2029">
          <cell r="A2029">
            <v>1621200580</v>
          </cell>
          <cell r="B2029" t="str">
            <v xml:space="preserve">יעוץ כלכלי        </v>
          </cell>
          <cell r="C2029">
            <v>34200</v>
          </cell>
        </row>
        <row r="2030">
          <cell r="A2030">
            <v>1621200700</v>
          </cell>
          <cell r="B2030" t="str">
            <v xml:space="preserve">הוצאות לפעולות    </v>
          </cell>
        </row>
        <row r="2031">
          <cell r="A2031">
            <v>1621200753</v>
          </cell>
          <cell r="B2031" t="str">
            <v xml:space="preserve">עובד חיצוני       </v>
          </cell>
        </row>
        <row r="2032">
          <cell r="A2032">
            <v>1621200764</v>
          </cell>
          <cell r="B2032" t="str">
            <v xml:space="preserve">עובדי חברת מוסדות </v>
          </cell>
        </row>
        <row r="2033">
          <cell r="A2033">
            <v>1621200961</v>
          </cell>
          <cell r="B2033" t="str">
            <v>רז' פעולות ורכישות</v>
          </cell>
        </row>
        <row r="2034">
          <cell r="A2034" t="str">
            <v>#VALUE!</v>
          </cell>
          <cell r="B2034" t="str">
            <v>תקציבים ובקרה</v>
          </cell>
        </row>
        <row r="2035">
          <cell r="A2035">
            <v>16213000</v>
          </cell>
          <cell r="B2035" t="str">
            <v xml:space="preserve">הנה"ח המרכזית     </v>
          </cell>
        </row>
        <row r="2036">
          <cell r="A2036">
            <v>1621300100</v>
          </cell>
          <cell r="B2036" t="str">
            <v>שכר עובדים לפי תקן</v>
          </cell>
        </row>
        <row r="2037">
          <cell r="A2037">
            <v>1621300110</v>
          </cell>
          <cell r="B2037" t="str">
            <v>השכר הקובע-תקציבית</v>
          </cell>
        </row>
        <row r="2038">
          <cell r="A2038">
            <v>1621300119</v>
          </cell>
          <cell r="B2038" t="str">
            <v xml:space="preserve">השכר הקובע-צוברת  </v>
          </cell>
          <cell r="C2038">
            <v>1728300</v>
          </cell>
        </row>
        <row r="2039">
          <cell r="A2039">
            <v>1621300122</v>
          </cell>
          <cell r="B2039" t="str">
            <v xml:space="preserve">ביגוד             </v>
          </cell>
          <cell r="C2039">
            <v>17000</v>
          </cell>
        </row>
        <row r="2040">
          <cell r="A2040">
            <v>1621300126</v>
          </cell>
          <cell r="B2040" t="str">
            <v xml:space="preserve">דמי הבראה         </v>
          </cell>
          <cell r="C2040">
            <v>40000</v>
          </cell>
        </row>
        <row r="2041">
          <cell r="A2041">
            <v>1621300130</v>
          </cell>
          <cell r="B2041" t="str">
            <v xml:space="preserve">שעות נוספות       </v>
          </cell>
          <cell r="C2041">
            <v>30800</v>
          </cell>
        </row>
        <row r="2042">
          <cell r="A2042">
            <v>1621300140</v>
          </cell>
          <cell r="B2042" t="str">
            <v>השתתפות באחזקת רכב</v>
          </cell>
          <cell r="C2042">
            <v>169600</v>
          </cell>
        </row>
        <row r="2043">
          <cell r="A2043">
            <v>1621300200</v>
          </cell>
          <cell r="B2043" t="str">
            <v>שכר עובדים ללא תקן</v>
          </cell>
        </row>
        <row r="2044">
          <cell r="A2044">
            <v>1621300210</v>
          </cell>
          <cell r="B2044" t="str">
            <v xml:space="preserve">השכר הקובע        </v>
          </cell>
        </row>
        <row r="2045">
          <cell r="A2045">
            <v>1621300253</v>
          </cell>
          <cell r="B2045" t="str">
            <v xml:space="preserve">עובדת חברה        </v>
          </cell>
        </row>
        <row r="2046">
          <cell r="A2046">
            <v>1621300400</v>
          </cell>
          <cell r="B2046" t="str">
            <v>אחזקת בנינים וציוד</v>
          </cell>
        </row>
        <row r="2047">
          <cell r="A2047">
            <v>1621300438</v>
          </cell>
          <cell r="B2047" t="str">
            <v xml:space="preserve">תוכנת ניירות ערך  </v>
          </cell>
        </row>
        <row r="2048">
          <cell r="A2048">
            <v>1621300470</v>
          </cell>
          <cell r="B2048" t="str">
            <v xml:space="preserve">אחזקת מכונות משרד </v>
          </cell>
        </row>
        <row r="2049">
          <cell r="A2049">
            <v>1621300471</v>
          </cell>
          <cell r="B2049" t="str">
            <v xml:space="preserve">מכשירי כתיבה      </v>
          </cell>
          <cell r="C2049">
            <v>10000</v>
          </cell>
        </row>
        <row r="2050">
          <cell r="A2050">
            <v>1621300511</v>
          </cell>
          <cell r="B2050" t="str">
            <v xml:space="preserve">אירוח וכיבוד      </v>
          </cell>
          <cell r="C2050">
            <v>1300</v>
          </cell>
        </row>
        <row r="2051">
          <cell r="A2051">
            <v>1621300522</v>
          </cell>
          <cell r="B2051" t="str">
            <v xml:space="preserve">ספרים ועיתונים    </v>
          </cell>
          <cell r="C2051">
            <v>11700</v>
          </cell>
        </row>
        <row r="2052">
          <cell r="A2052">
            <v>1621300561</v>
          </cell>
          <cell r="B2052" t="str">
            <v xml:space="preserve">שיכפולים          </v>
          </cell>
          <cell r="C2052">
            <v>1800</v>
          </cell>
        </row>
        <row r="2053">
          <cell r="A2053">
            <v>1621300562</v>
          </cell>
          <cell r="B2053" t="str">
            <v xml:space="preserve">הדפסות            </v>
          </cell>
          <cell r="C2053">
            <v>1800</v>
          </cell>
        </row>
        <row r="2054">
          <cell r="A2054">
            <v>1621300563</v>
          </cell>
          <cell r="B2054" t="str">
            <v xml:space="preserve">הדפסת דוחות       </v>
          </cell>
          <cell r="C2054">
            <v>4500</v>
          </cell>
        </row>
        <row r="2055">
          <cell r="A2055">
            <v>1621300570</v>
          </cell>
          <cell r="B2055" t="str">
            <v xml:space="preserve">שידורי תנועות בנק </v>
          </cell>
        </row>
        <row r="2056">
          <cell r="A2056">
            <v>1621300571</v>
          </cell>
          <cell r="B2056" t="str">
            <v xml:space="preserve">מיכון וענ"א       </v>
          </cell>
        </row>
        <row r="2057">
          <cell r="A2057">
            <v>1621300573</v>
          </cell>
          <cell r="B2057" t="str">
            <v>מיחשוב הנה"ח</v>
          </cell>
          <cell r="C2057">
            <v>982800</v>
          </cell>
        </row>
        <row r="2058">
          <cell r="A2058">
            <v>1621300580</v>
          </cell>
          <cell r="B2058" t="str">
            <v xml:space="preserve">יעוץ חיצוני       </v>
          </cell>
          <cell r="C2058">
            <v>36000</v>
          </cell>
        </row>
        <row r="2059">
          <cell r="A2059">
            <v>1621300700</v>
          </cell>
          <cell r="B2059" t="str">
            <v xml:space="preserve">הוצאות לפעולות    </v>
          </cell>
        </row>
        <row r="2060">
          <cell r="A2060">
            <v>1621300753</v>
          </cell>
          <cell r="B2060" t="str">
            <v xml:space="preserve">עובדת חברה        </v>
          </cell>
        </row>
        <row r="2061">
          <cell r="A2061">
            <v>1621300757</v>
          </cell>
          <cell r="B2061" t="str">
            <v xml:space="preserve">שרותי הנה"ח       </v>
          </cell>
          <cell r="C2061">
            <v>45000</v>
          </cell>
        </row>
        <row r="2062">
          <cell r="A2062">
            <v>1621300961</v>
          </cell>
          <cell r="B2062" t="str">
            <v>רז' פעולות ורכישות</v>
          </cell>
        </row>
        <row r="2063">
          <cell r="A2063" t="str">
            <v>#VALUE!</v>
          </cell>
          <cell r="B2063" t="str">
            <v xml:space="preserve">הנה"ח המרכזית     </v>
          </cell>
        </row>
        <row r="2064">
          <cell r="A2064">
            <v>16215000</v>
          </cell>
          <cell r="B2064" t="str">
            <v xml:space="preserve">מחלקת שכר         </v>
          </cell>
        </row>
        <row r="2065">
          <cell r="A2065">
            <v>1621500110</v>
          </cell>
          <cell r="B2065" t="str">
            <v>השכר הקובע-תקציבית</v>
          </cell>
          <cell r="C2065">
            <v>191000</v>
          </cell>
        </row>
        <row r="2066">
          <cell r="A2066">
            <v>1621500119</v>
          </cell>
          <cell r="B2066" t="str">
            <v xml:space="preserve">השכר הקובע-צוברת  </v>
          </cell>
          <cell r="C2066">
            <v>1168300</v>
          </cell>
        </row>
        <row r="2067">
          <cell r="A2067">
            <v>1621500122</v>
          </cell>
          <cell r="B2067" t="str">
            <v xml:space="preserve">ביגוד             </v>
          </cell>
          <cell r="C2067">
            <v>12600</v>
          </cell>
        </row>
        <row r="2068">
          <cell r="A2068">
            <v>1621500126</v>
          </cell>
          <cell r="B2068" t="str">
            <v xml:space="preserve">דמי הבראה         </v>
          </cell>
          <cell r="C2068">
            <v>31000</v>
          </cell>
        </row>
        <row r="2069">
          <cell r="A2069">
            <v>1621500130</v>
          </cell>
          <cell r="B2069" t="str">
            <v xml:space="preserve">שעות נוספות       </v>
          </cell>
          <cell r="C2069">
            <v>52900</v>
          </cell>
        </row>
        <row r="2070">
          <cell r="A2070">
            <v>1621500140</v>
          </cell>
          <cell r="B2070" t="str">
            <v>השתתפות באחזקת רכב</v>
          </cell>
          <cell r="C2070">
            <v>133500</v>
          </cell>
        </row>
        <row r="2071">
          <cell r="A2071">
            <v>1621500253</v>
          </cell>
          <cell r="B2071" t="str">
            <v xml:space="preserve">עובדת חברה        </v>
          </cell>
        </row>
        <row r="2072">
          <cell r="A2072">
            <v>1621500471</v>
          </cell>
          <cell r="B2072" t="str">
            <v xml:space="preserve">מכשירי כתיבה      </v>
          </cell>
          <cell r="C2072">
            <v>6000</v>
          </cell>
        </row>
        <row r="2073">
          <cell r="A2073">
            <v>1621500512</v>
          </cell>
          <cell r="B2073" t="str">
            <v xml:space="preserve">נסיעות ואש"ל      </v>
          </cell>
        </row>
        <row r="2074">
          <cell r="A2074">
            <v>1621500540</v>
          </cell>
          <cell r="B2074" t="str">
            <v xml:space="preserve">הוצאות טלפון      </v>
          </cell>
        </row>
        <row r="2075">
          <cell r="A2075">
            <v>1621500544</v>
          </cell>
          <cell r="B2075" t="str">
            <v xml:space="preserve">הוצאות דאר        </v>
          </cell>
          <cell r="C2075">
            <v>12900</v>
          </cell>
        </row>
        <row r="2076">
          <cell r="A2076">
            <v>1621500561</v>
          </cell>
          <cell r="B2076" t="str">
            <v xml:space="preserve">שיכפולים          </v>
          </cell>
        </row>
        <row r="2077">
          <cell r="A2077">
            <v>1621500565</v>
          </cell>
          <cell r="B2077" t="str">
            <v>ארכיבאות מגנטית</v>
          </cell>
          <cell r="C2077">
            <v>4500</v>
          </cell>
        </row>
        <row r="2078">
          <cell r="A2078">
            <v>1621500566</v>
          </cell>
          <cell r="B2078" t="str">
            <v>מצבת גימלאים</v>
          </cell>
          <cell r="C2078">
            <v>900</v>
          </cell>
        </row>
        <row r="2079">
          <cell r="A2079">
            <v>1621500570</v>
          </cell>
          <cell r="B2079" t="str">
            <v xml:space="preserve">תשלום לאוטומציה   </v>
          </cell>
          <cell r="C2079">
            <v>800000</v>
          </cell>
        </row>
        <row r="2080">
          <cell r="A2080">
            <v>1621500571</v>
          </cell>
          <cell r="B2080" t="str">
            <v xml:space="preserve">מיכון וענ"א       </v>
          </cell>
        </row>
        <row r="2081">
          <cell r="A2081">
            <v>1621500753</v>
          </cell>
          <cell r="B2081" t="str">
            <v xml:space="preserve">עובדת חברה        </v>
          </cell>
        </row>
        <row r="2082">
          <cell r="A2082">
            <v>1621500757</v>
          </cell>
          <cell r="B2082" t="str">
            <v>שרותי חשבות שכר</v>
          </cell>
        </row>
        <row r="2083">
          <cell r="A2083">
            <v>1621500758</v>
          </cell>
          <cell r="B2083" t="str">
            <v>שרותי סליקה פנסיונית</v>
          </cell>
          <cell r="C2083">
            <v>90000</v>
          </cell>
        </row>
        <row r="2084">
          <cell r="A2084">
            <v>1621500764</v>
          </cell>
          <cell r="B2084" t="str">
            <v xml:space="preserve">עובדי חברת מוסדות </v>
          </cell>
        </row>
        <row r="2085">
          <cell r="A2085">
            <v>1621500961</v>
          </cell>
          <cell r="B2085" t="str">
            <v>רז' פעולות ורכישות</v>
          </cell>
        </row>
        <row r="2086">
          <cell r="A2086" t="str">
            <v>#VALUE!</v>
          </cell>
          <cell r="B2086" t="str">
            <v xml:space="preserve">מחלקת שכר         </v>
          </cell>
        </row>
        <row r="2087">
          <cell r="A2087">
            <v>16218000</v>
          </cell>
          <cell r="B2087" t="str">
            <v xml:space="preserve">פרוייקטים מיוחדים </v>
          </cell>
        </row>
        <row r="2088">
          <cell r="A2088">
            <v>1621800110</v>
          </cell>
          <cell r="B2088" t="str">
            <v>השכר הקובע-תקציבית</v>
          </cell>
          <cell r="C2088">
            <v>357600</v>
          </cell>
        </row>
        <row r="2089">
          <cell r="A2089">
            <v>1621800119</v>
          </cell>
          <cell r="B2089" t="str">
            <v xml:space="preserve">השכר הקובע-צוברת  </v>
          </cell>
          <cell r="C2089">
            <v>1032500</v>
          </cell>
        </row>
        <row r="2090">
          <cell r="A2090">
            <v>1621800122</v>
          </cell>
          <cell r="B2090" t="str">
            <v xml:space="preserve">ביגוד             </v>
          </cell>
          <cell r="C2090">
            <v>7500</v>
          </cell>
        </row>
        <row r="2091">
          <cell r="A2091">
            <v>1621800126</v>
          </cell>
          <cell r="B2091" t="str">
            <v xml:space="preserve">דמי הבראה         </v>
          </cell>
          <cell r="C2091">
            <v>32000</v>
          </cell>
        </row>
        <row r="2092">
          <cell r="A2092">
            <v>1621800130</v>
          </cell>
          <cell r="B2092" t="str">
            <v xml:space="preserve">שעות נוספות       </v>
          </cell>
          <cell r="C2092">
            <v>30900</v>
          </cell>
        </row>
        <row r="2093">
          <cell r="A2093">
            <v>1621800140</v>
          </cell>
          <cell r="B2093" t="str">
            <v>השתתפות באחזקת רכב</v>
          </cell>
          <cell r="C2093">
            <v>165900</v>
          </cell>
        </row>
        <row r="2094">
          <cell r="A2094">
            <v>1621800253</v>
          </cell>
          <cell r="B2094" t="str">
            <v xml:space="preserve">עובדים חיצוניים   </v>
          </cell>
        </row>
        <row r="2095">
          <cell r="A2095">
            <v>1621800471</v>
          </cell>
          <cell r="B2095" t="str">
            <v xml:space="preserve">מכשירי כתיבה      </v>
          </cell>
          <cell r="C2095">
            <v>6000</v>
          </cell>
        </row>
        <row r="2096">
          <cell r="A2096">
            <v>1621800511</v>
          </cell>
          <cell r="B2096" t="str">
            <v xml:space="preserve">אירוח וכיבוד      </v>
          </cell>
          <cell r="C2096">
            <v>1000</v>
          </cell>
        </row>
        <row r="2097">
          <cell r="A2097">
            <v>1621800522</v>
          </cell>
          <cell r="B2097" t="str">
            <v xml:space="preserve">ספרים ועיתונים    </v>
          </cell>
          <cell r="C2097">
            <v>3200</v>
          </cell>
        </row>
        <row r="2098">
          <cell r="A2098">
            <v>1621800550</v>
          </cell>
          <cell r="B2098" t="str">
            <v xml:space="preserve">פירסומים          </v>
          </cell>
          <cell r="C2098">
            <v>9000</v>
          </cell>
        </row>
        <row r="2099">
          <cell r="A2099">
            <v>1621800561</v>
          </cell>
          <cell r="B2099" t="str">
            <v xml:space="preserve">שיכפולים          </v>
          </cell>
          <cell r="C2099">
            <v>1700</v>
          </cell>
        </row>
        <row r="2100">
          <cell r="A2100">
            <v>1621800571</v>
          </cell>
          <cell r="B2100" t="str">
            <v xml:space="preserve">מיכון וענ"א       </v>
          </cell>
        </row>
        <row r="2101">
          <cell r="A2101">
            <v>1621800580</v>
          </cell>
          <cell r="B2101" t="str">
            <v xml:space="preserve">יעוץ חיצוני       </v>
          </cell>
          <cell r="C2101">
            <v>9000</v>
          </cell>
        </row>
        <row r="2102">
          <cell r="A2102">
            <v>1621800758</v>
          </cell>
          <cell r="B2102" t="str">
            <v>מערכת מכרזים</v>
          </cell>
          <cell r="C2102">
            <v>13200</v>
          </cell>
        </row>
        <row r="2103">
          <cell r="A2103">
            <v>1621800961</v>
          </cell>
          <cell r="B2103" t="str">
            <v>רז' פעולות ורכישות</v>
          </cell>
        </row>
        <row r="2104">
          <cell r="A2104" t="str">
            <v>#VALUE!</v>
          </cell>
          <cell r="B2104" t="str">
            <v xml:space="preserve">פרוייקטים מיוחדים </v>
          </cell>
        </row>
        <row r="2105">
          <cell r="A2105">
            <v>16220000</v>
          </cell>
          <cell r="B2105" t="str">
            <v xml:space="preserve">שומה              </v>
          </cell>
        </row>
        <row r="2106">
          <cell r="A2106">
            <v>1622000100</v>
          </cell>
          <cell r="B2106" t="str">
            <v>שכר עובדים לפי תקן</v>
          </cell>
        </row>
        <row r="2107">
          <cell r="A2107">
            <v>1622000110</v>
          </cell>
          <cell r="B2107" t="str">
            <v>השכר הקובע-תקציבית</v>
          </cell>
        </row>
        <row r="2108">
          <cell r="A2108">
            <v>1622000119</v>
          </cell>
          <cell r="B2108" t="str">
            <v xml:space="preserve">השכר הקובע-צוברת  </v>
          </cell>
        </row>
        <row r="2109">
          <cell r="A2109">
            <v>1622000122</v>
          </cell>
          <cell r="B2109" t="str">
            <v xml:space="preserve">ביגוד             </v>
          </cell>
        </row>
        <row r="2110">
          <cell r="A2110">
            <v>1622000126</v>
          </cell>
          <cell r="B2110" t="str">
            <v xml:space="preserve">דמי הבראה         </v>
          </cell>
        </row>
        <row r="2111">
          <cell r="A2111">
            <v>1622000130</v>
          </cell>
          <cell r="B2111" t="str">
            <v xml:space="preserve">שעות נוספות       </v>
          </cell>
        </row>
        <row r="2112">
          <cell r="A2112">
            <v>1622000140</v>
          </cell>
          <cell r="B2112" t="str">
            <v>השתתפות באחזקת רכב</v>
          </cell>
        </row>
        <row r="2113">
          <cell r="A2113">
            <v>1622000200</v>
          </cell>
          <cell r="B2113" t="str">
            <v>שכר עובדים ללא תקן</v>
          </cell>
        </row>
        <row r="2114">
          <cell r="A2114">
            <v>1622000210</v>
          </cell>
          <cell r="B2114" t="str">
            <v xml:space="preserve">השכר הקובע        </v>
          </cell>
        </row>
        <row r="2115">
          <cell r="A2115">
            <v>1622000253</v>
          </cell>
          <cell r="B2115" t="str">
            <v xml:space="preserve">עובדים חיצוניים   </v>
          </cell>
        </row>
        <row r="2116">
          <cell r="A2116">
            <v>1622000350</v>
          </cell>
          <cell r="B2116" t="str">
            <v xml:space="preserve"> ליסינג 661-36-602</v>
          </cell>
          <cell r="C2116">
            <v>41000</v>
          </cell>
        </row>
        <row r="2117">
          <cell r="A2117">
            <v>1622000351</v>
          </cell>
          <cell r="B2117" t="str">
            <v>הוצאות 661-36-602</v>
          </cell>
          <cell r="C2117">
            <v>18400</v>
          </cell>
        </row>
        <row r="2118">
          <cell r="A2118">
            <v>1622000400</v>
          </cell>
          <cell r="B2118" t="str">
            <v>אחזקת בנינים וציוד</v>
          </cell>
        </row>
        <row r="2119">
          <cell r="A2119">
            <v>1622000471</v>
          </cell>
          <cell r="B2119" t="str">
            <v xml:space="preserve">מכשירי כתיבה      </v>
          </cell>
        </row>
        <row r="2120">
          <cell r="A2120">
            <v>1622000492</v>
          </cell>
          <cell r="B2120" t="str">
            <v xml:space="preserve">השתתפות בעזר 092  </v>
          </cell>
        </row>
        <row r="2121">
          <cell r="A2121">
            <v>1622000500</v>
          </cell>
          <cell r="B2121" t="str">
            <v xml:space="preserve">הוצאות מינהליות   </v>
          </cell>
        </row>
        <row r="2122">
          <cell r="A2122">
            <v>1622000540</v>
          </cell>
          <cell r="B2122" t="str">
            <v xml:space="preserve">הוצאות טלפון      </v>
          </cell>
        </row>
        <row r="2123">
          <cell r="A2123">
            <v>1622000541</v>
          </cell>
          <cell r="B2123" t="str">
            <v xml:space="preserve">משלוחים           </v>
          </cell>
        </row>
        <row r="2124">
          <cell r="A2124">
            <v>1622000544</v>
          </cell>
          <cell r="B2124" t="str">
            <v xml:space="preserve">הוצאות דאר        </v>
          </cell>
        </row>
        <row r="2125">
          <cell r="A2125">
            <v>1622000561</v>
          </cell>
          <cell r="B2125" t="str">
            <v xml:space="preserve">שיכפולים          </v>
          </cell>
        </row>
        <row r="2126">
          <cell r="A2126">
            <v>1622000562</v>
          </cell>
          <cell r="B2126" t="str">
            <v xml:space="preserve">הדפסות            </v>
          </cell>
        </row>
        <row r="2127">
          <cell r="A2127">
            <v>1622000563</v>
          </cell>
          <cell r="B2127" t="str">
            <v xml:space="preserve">הדפסת פרטיכלים    </v>
          </cell>
          <cell r="C2127">
            <v>28000</v>
          </cell>
        </row>
        <row r="2128">
          <cell r="A2128">
            <v>1622000571</v>
          </cell>
          <cell r="B2128" t="str">
            <v xml:space="preserve">מיכון וענ"א       </v>
          </cell>
        </row>
        <row r="2129">
          <cell r="A2129">
            <v>1622000580</v>
          </cell>
          <cell r="B2129" t="str">
            <v xml:space="preserve">סקרים             </v>
          </cell>
          <cell r="C2129">
            <v>480000</v>
          </cell>
        </row>
        <row r="2130">
          <cell r="A2130">
            <v>1622000581</v>
          </cell>
          <cell r="B2130" t="str">
            <v>הוצ' משפטיות - ועדת ערר</v>
          </cell>
          <cell r="C2130">
            <v>1100000</v>
          </cell>
        </row>
        <row r="2131">
          <cell r="A2131">
            <v>1622000753</v>
          </cell>
          <cell r="B2131" t="str">
            <v xml:space="preserve">עובדים חיצוניים   </v>
          </cell>
        </row>
        <row r="2132">
          <cell r="A2132">
            <v>1622000780</v>
          </cell>
          <cell r="B2132" t="str">
            <v>הוצ' חברי ועדת ערר</v>
          </cell>
          <cell r="C2132">
            <v>243000</v>
          </cell>
        </row>
        <row r="2133">
          <cell r="A2133">
            <v>1622000794</v>
          </cell>
          <cell r="B2133" t="str">
            <v xml:space="preserve">השתתפות בעזר 094  </v>
          </cell>
        </row>
        <row r="2134">
          <cell r="A2134">
            <v>1622000961</v>
          </cell>
          <cell r="B2134" t="str">
            <v>רז' פעולות ורכישות</v>
          </cell>
          <cell r="C2134">
            <v>4300</v>
          </cell>
        </row>
        <row r="2135">
          <cell r="A2135" t="str">
            <v>#VALUE!</v>
          </cell>
          <cell r="B2135" t="str">
            <v xml:space="preserve">שומה              </v>
          </cell>
        </row>
        <row r="2136">
          <cell r="A2136">
            <v>16230000</v>
          </cell>
          <cell r="B2136" t="str">
            <v xml:space="preserve">גביה              </v>
          </cell>
        </row>
        <row r="2137">
          <cell r="A2137">
            <v>16231000</v>
          </cell>
          <cell r="B2137" t="str">
            <v xml:space="preserve">אגף ההכנסות     </v>
          </cell>
        </row>
        <row r="2138">
          <cell r="A2138">
            <v>1623100100</v>
          </cell>
          <cell r="B2138" t="str">
            <v>שכר עובדים לפי תקן</v>
          </cell>
        </row>
        <row r="2139">
          <cell r="A2139">
            <v>1623100110</v>
          </cell>
          <cell r="B2139" t="str">
            <v>השכר הקובע-תקציבית</v>
          </cell>
          <cell r="C2139">
            <v>439700</v>
          </cell>
        </row>
        <row r="2140">
          <cell r="A2140">
            <v>1623100119</v>
          </cell>
          <cell r="B2140" t="str">
            <v xml:space="preserve">השכר הקובע-צוברת  </v>
          </cell>
          <cell r="C2140">
            <v>8612400</v>
          </cell>
        </row>
        <row r="2141">
          <cell r="A2141">
            <v>1623100122</v>
          </cell>
          <cell r="B2141" t="str">
            <v xml:space="preserve">ביגוד             </v>
          </cell>
          <cell r="C2141">
            <v>129000</v>
          </cell>
        </row>
        <row r="2142">
          <cell r="A2142">
            <v>1623100126</v>
          </cell>
          <cell r="B2142" t="str">
            <v xml:space="preserve">דמי הבראה         </v>
          </cell>
          <cell r="C2142">
            <v>300000</v>
          </cell>
        </row>
        <row r="2143">
          <cell r="A2143">
            <v>1623100130</v>
          </cell>
          <cell r="B2143" t="str">
            <v xml:space="preserve">שעות נוספות       </v>
          </cell>
          <cell r="C2143">
            <v>92000</v>
          </cell>
        </row>
        <row r="2144">
          <cell r="A2144">
            <v>1623100140</v>
          </cell>
          <cell r="B2144" t="str">
            <v>השתתפות באחזקת רכב</v>
          </cell>
          <cell r="C2144">
            <v>990800</v>
          </cell>
        </row>
        <row r="2145">
          <cell r="A2145">
            <v>1623100253</v>
          </cell>
          <cell r="B2145" t="str">
            <v xml:space="preserve">עובדים חיצוניים   </v>
          </cell>
          <cell r="C2145">
            <v>100000</v>
          </cell>
        </row>
        <row r="2146">
          <cell r="A2146">
            <v>1623100400</v>
          </cell>
          <cell r="B2146" t="str">
            <v>אחזקת בנינים וציוד</v>
          </cell>
        </row>
        <row r="2147">
          <cell r="A2147">
            <v>1623100471</v>
          </cell>
          <cell r="B2147" t="str">
            <v xml:space="preserve">מכשירי כתיבה      </v>
          </cell>
          <cell r="C2147">
            <v>128300</v>
          </cell>
        </row>
        <row r="2148">
          <cell r="A2148">
            <v>1623100511</v>
          </cell>
          <cell r="B2148" t="str">
            <v xml:space="preserve">אירוח וכיבוד      </v>
          </cell>
          <cell r="C2148">
            <v>4300</v>
          </cell>
        </row>
        <row r="2149">
          <cell r="A2149">
            <v>1623100541</v>
          </cell>
          <cell r="B2149" t="str">
            <v xml:space="preserve">משלוחים           </v>
          </cell>
          <cell r="C2149">
            <v>500000</v>
          </cell>
        </row>
        <row r="2150">
          <cell r="A2150">
            <v>1623100544</v>
          </cell>
          <cell r="B2150" t="str">
            <v xml:space="preserve">הוצאות דאר        </v>
          </cell>
        </row>
        <row r="2151">
          <cell r="A2151">
            <v>1623100562</v>
          </cell>
          <cell r="B2151" t="str">
            <v xml:space="preserve">הדפסות            </v>
          </cell>
          <cell r="C2151">
            <v>399000</v>
          </cell>
        </row>
        <row r="2152">
          <cell r="A2152">
            <v>1623100571</v>
          </cell>
          <cell r="B2152" t="str">
            <v xml:space="preserve">מיכון וענ"א       </v>
          </cell>
        </row>
        <row r="2153">
          <cell r="A2153">
            <v>1623100753</v>
          </cell>
          <cell r="B2153" t="str">
            <v xml:space="preserve">עובדים חיצוניים   </v>
          </cell>
        </row>
        <row r="2154">
          <cell r="A2154">
            <v>1623100757</v>
          </cell>
          <cell r="B2154" t="str">
            <v xml:space="preserve">שרותי הנה"ח       </v>
          </cell>
        </row>
        <row r="2155">
          <cell r="A2155">
            <v>1623100758</v>
          </cell>
          <cell r="B2155" t="str">
            <v>דמי סליקה לוטרינריה</v>
          </cell>
          <cell r="C2155">
            <v>7000</v>
          </cell>
        </row>
        <row r="2156">
          <cell r="A2156">
            <v>1623100931</v>
          </cell>
          <cell r="B2156" t="str">
            <v xml:space="preserve">רכישת סורק מסמכים </v>
          </cell>
        </row>
        <row r="2157">
          <cell r="A2157">
            <v>1623100961</v>
          </cell>
          <cell r="B2157" t="str">
            <v>רז' פעולות ורכישות</v>
          </cell>
        </row>
        <row r="2158">
          <cell r="A2158" t="str">
            <v>#VALUE!</v>
          </cell>
          <cell r="B2158" t="str">
            <v xml:space="preserve">אגף ההכנסות     </v>
          </cell>
        </row>
        <row r="2159">
          <cell r="A2159">
            <v>16232000</v>
          </cell>
          <cell r="B2159" t="str">
            <v xml:space="preserve">גביה              </v>
          </cell>
        </row>
        <row r="2160">
          <cell r="A2160">
            <v>1623200100</v>
          </cell>
          <cell r="B2160" t="str">
            <v>שכר עובדים לפי תקן</v>
          </cell>
        </row>
        <row r="2161">
          <cell r="A2161">
            <v>1623200110</v>
          </cell>
          <cell r="B2161" t="str">
            <v>השכר הקובע-תקציבית</v>
          </cell>
        </row>
        <row r="2162">
          <cell r="A2162">
            <v>1623200119</v>
          </cell>
          <cell r="B2162" t="str">
            <v xml:space="preserve">השכר הקובע-צוברת  </v>
          </cell>
        </row>
        <row r="2163">
          <cell r="A2163">
            <v>1623200122</v>
          </cell>
          <cell r="B2163" t="str">
            <v xml:space="preserve">ביגוד             </v>
          </cell>
        </row>
        <row r="2164">
          <cell r="A2164">
            <v>1623200126</v>
          </cell>
          <cell r="B2164" t="str">
            <v xml:space="preserve">דמי הבראה         </v>
          </cell>
        </row>
        <row r="2165">
          <cell r="A2165">
            <v>1623200130</v>
          </cell>
          <cell r="B2165" t="str">
            <v xml:space="preserve">שעות נוספות       </v>
          </cell>
        </row>
        <row r="2166">
          <cell r="A2166">
            <v>1623200140</v>
          </cell>
          <cell r="B2166" t="str">
            <v>השתתפות באחזקת רכב</v>
          </cell>
        </row>
        <row r="2167">
          <cell r="A2167">
            <v>1623200200</v>
          </cell>
          <cell r="B2167" t="str">
            <v>שכר עובדים ללא תקן</v>
          </cell>
        </row>
        <row r="2168">
          <cell r="A2168">
            <v>1623200210</v>
          </cell>
          <cell r="B2168" t="str">
            <v xml:space="preserve">השכר הקובע        </v>
          </cell>
        </row>
        <row r="2169">
          <cell r="A2169">
            <v>1623200253</v>
          </cell>
          <cell r="B2169" t="str">
            <v xml:space="preserve">עובדים חיצוניים   </v>
          </cell>
        </row>
        <row r="2170">
          <cell r="A2170">
            <v>1623200258</v>
          </cell>
          <cell r="B2170" t="str">
            <v>הפעלת הקו הפתוח</v>
          </cell>
        </row>
        <row r="2171">
          <cell r="A2171">
            <v>1623200400</v>
          </cell>
          <cell r="B2171" t="str">
            <v>אחזקת בנינים וציוד</v>
          </cell>
        </row>
        <row r="2172">
          <cell r="A2172">
            <v>1623200471</v>
          </cell>
          <cell r="B2172" t="str">
            <v xml:space="preserve">מכשירי כתיבה      </v>
          </cell>
        </row>
        <row r="2173">
          <cell r="A2173">
            <v>1623200492</v>
          </cell>
          <cell r="B2173" t="str">
            <v xml:space="preserve">השתתפות בעזר 092  </v>
          </cell>
        </row>
        <row r="2174">
          <cell r="A2174">
            <v>1623200500</v>
          </cell>
          <cell r="B2174" t="str">
            <v xml:space="preserve">הוצאות מינהליות   </v>
          </cell>
        </row>
        <row r="2175">
          <cell r="A2175">
            <v>1623200540</v>
          </cell>
          <cell r="B2175" t="str">
            <v xml:space="preserve">הוצאות טלפון      </v>
          </cell>
        </row>
        <row r="2176">
          <cell r="A2176">
            <v>1623200541</v>
          </cell>
          <cell r="B2176" t="str">
            <v xml:space="preserve">משלוחים           </v>
          </cell>
        </row>
        <row r="2177">
          <cell r="A2177">
            <v>1623200542</v>
          </cell>
          <cell r="B2177" t="str">
            <v xml:space="preserve">מענה קולי         </v>
          </cell>
        </row>
        <row r="2178">
          <cell r="A2178">
            <v>1623200544</v>
          </cell>
          <cell r="B2178" t="str">
            <v xml:space="preserve">הוצאות דאר        </v>
          </cell>
          <cell r="C2178">
            <v>250000</v>
          </cell>
        </row>
        <row r="2179">
          <cell r="A2179">
            <v>1623200550</v>
          </cell>
          <cell r="B2179" t="str">
            <v xml:space="preserve">פירסומים          </v>
          </cell>
          <cell r="C2179">
            <v>25700</v>
          </cell>
        </row>
        <row r="2180">
          <cell r="A2180">
            <v>1623200551</v>
          </cell>
          <cell r="B2180" t="str">
            <v xml:space="preserve">מודעות והדבקתן    </v>
          </cell>
        </row>
        <row r="2181">
          <cell r="A2181">
            <v>1623200561</v>
          </cell>
          <cell r="B2181" t="str">
            <v xml:space="preserve">שיכפולים          </v>
          </cell>
        </row>
        <row r="2182">
          <cell r="A2182">
            <v>1623200562</v>
          </cell>
          <cell r="B2182" t="str">
            <v xml:space="preserve">הדפסות            </v>
          </cell>
        </row>
        <row r="2183">
          <cell r="A2183">
            <v>1623200565</v>
          </cell>
          <cell r="B2183" t="str">
            <v xml:space="preserve">סורק אופטי        </v>
          </cell>
        </row>
        <row r="2184">
          <cell r="A2184">
            <v>1623200571</v>
          </cell>
          <cell r="B2184" t="str">
            <v xml:space="preserve">מיכון וענ"א       </v>
          </cell>
        </row>
        <row r="2185">
          <cell r="A2185">
            <v>1623200572</v>
          </cell>
          <cell r="B2185" t="str">
            <v>אוטומציה - עיקולי רכב</v>
          </cell>
        </row>
        <row r="2186">
          <cell r="A2186">
            <v>1623200573</v>
          </cell>
          <cell r="B2186" t="str">
            <v>מיחשוב גבייה</v>
          </cell>
          <cell r="C2186">
            <v>1207500</v>
          </cell>
        </row>
        <row r="2187">
          <cell r="A2187">
            <v>1623200581</v>
          </cell>
          <cell r="B2187" t="str">
            <v xml:space="preserve">הוצאות משפטיות    </v>
          </cell>
          <cell r="C2187">
            <v>1200000</v>
          </cell>
        </row>
        <row r="2188">
          <cell r="A2188">
            <v>1623200582</v>
          </cell>
          <cell r="B2188" t="str">
            <v xml:space="preserve">אגרות משפט        </v>
          </cell>
          <cell r="C2188">
            <v>300000</v>
          </cell>
        </row>
        <row r="2189">
          <cell r="A2189">
            <v>1623200700</v>
          </cell>
          <cell r="B2189" t="str">
            <v xml:space="preserve">הוצאות לפעולות    </v>
          </cell>
        </row>
        <row r="2190">
          <cell r="A2190">
            <v>1623200715</v>
          </cell>
          <cell r="B2190" t="str">
            <v>עבודות קבלניות-רכב</v>
          </cell>
        </row>
        <row r="2191">
          <cell r="A2191">
            <v>1623200722</v>
          </cell>
          <cell r="B2191" t="str">
            <v>חמרים-תחזוקה עצמית</v>
          </cell>
        </row>
        <row r="2192">
          <cell r="A2192">
            <v>1623200753</v>
          </cell>
          <cell r="B2192" t="str">
            <v xml:space="preserve">עובדים חיצוניים   </v>
          </cell>
        </row>
        <row r="2193">
          <cell r="A2193">
            <v>1623200756</v>
          </cell>
          <cell r="B2193" t="str">
            <v xml:space="preserve">שמירה בקבלנות     </v>
          </cell>
          <cell r="C2193">
            <v>150000</v>
          </cell>
        </row>
        <row r="2194">
          <cell r="A2194">
            <v>1623200757</v>
          </cell>
          <cell r="B2194" t="str">
            <v xml:space="preserve">אכיפת גביה        </v>
          </cell>
          <cell r="C2194">
            <v>1150000</v>
          </cell>
        </row>
        <row r="2195">
          <cell r="A2195">
            <v>1623200758</v>
          </cell>
          <cell r="B2195" t="str">
            <v>אכיפת גביה - חניה</v>
          </cell>
          <cell r="C2195">
            <v>2000000</v>
          </cell>
        </row>
        <row r="2196">
          <cell r="A2196">
            <v>1623200759</v>
          </cell>
          <cell r="B2196" t="str">
            <v>אכיפת קנסות ברירת משפט</v>
          </cell>
          <cell r="C2196">
            <v>10000</v>
          </cell>
        </row>
        <row r="2197">
          <cell r="A2197">
            <v>1623200794</v>
          </cell>
          <cell r="B2197" t="str">
            <v xml:space="preserve">השתתפות בעזר 094  </v>
          </cell>
        </row>
        <row r="2198">
          <cell r="A2198">
            <v>1623200961</v>
          </cell>
          <cell r="B2198" t="str">
            <v>רז' פעולות ורכישות</v>
          </cell>
        </row>
        <row r="2199">
          <cell r="A2199" t="str">
            <v>#VALUE!</v>
          </cell>
          <cell r="B2199" t="str">
            <v xml:space="preserve">גביה              </v>
          </cell>
        </row>
        <row r="2200">
          <cell r="A2200">
            <v>16237000</v>
          </cell>
          <cell r="B2200" t="str">
            <v xml:space="preserve">הקופה             </v>
          </cell>
        </row>
        <row r="2201">
          <cell r="A2201">
            <v>1623700100</v>
          </cell>
          <cell r="B2201" t="str">
            <v>שכר עובדים לפי תקן</v>
          </cell>
        </row>
        <row r="2202">
          <cell r="A2202">
            <v>1623700110</v>
          </cell>
          <cell r="B2202" t="str">
            <v>השכר הקובע-תקציבית</v>
          </cell>
        </row>
        <row r="2203">
          <cell r="A2203">
            <v>1623700119</v>
          </cell>
          <cell r="B2203" t="str">
            <v xml:space="preserve">השכר הקובע-צוברת  </v>
          </cell>
        </row>
        <row r="2204">
          <cell r="A2204">
            <v>1623700122</v>
          </cell>
          <cell r="B2204" t="str">
            <v xml:space="preserve">ביגוד             </v>
          </cell>
        </row>
        <row r="2205">
          <cell r="A2205">
            <v>1623700126</v>
          </cell>
          <cell r="B2205" t="str">
            <v xml:space="preserve">דמי הבראה         </v>
          </cell>
        </row>
        <row r="2206">
          <cell r="A2206">
            <v>1623700130</v>
          </cell>
          <cell r="B2206" t="str">
            <v xml:space="preserve">שעות נוספות       </v>
          </cell>
        </row>
        <row r="2207">
          <cell r="A2207">
            <v>1623700140</v>
          </cell>
          <cell r="B2207" t="str">
            <v>השתתפות באחזקת רכב</v>
          </cell>
        </row>
        <row r="2208">
          <cell r="A2208">
            <v>1623700253</v>
          </cell>
          <cell r="B2208" t="str">
            <v xml:space="preserve">עובדת חברה        </v>
          </cell>
        </row>
        <row r="2209">
          <cell r="A2209">
            <v>1623700400</v>
          </cell>
          <cell r="B2209" t="str">
            <v>אחזקת בנינים וציוד</v>
          </cell>
        </row>
        <row r="2210">
          <cell r="A2210">
            <v>1623700437</v>
          </cell>
          <cell r="B2210" t="str">
            <v xml:space="preserve">אחזקת אזעקה       </v>
          </cell>
          <cell r="C2210">
            <v>1300</v>
          </cell>
        </row>
        <row r="2211">
          <cell r="A2211">
            <v>1623700441</v>
          </cell>
          <cell r="B2211" t="str">
            <v xml:space="preserve">ביטוח כספים       </v>
          </cell>
          <cell r="C2211">
            <v>8200</v>
          </cell>
        </row>
        <row r="2212">
          <cell r="A2212">
            <v>1623700471</v>
          </cell>
          <cell r="B2212" t="str">
            <v xml:space="preserve">מכשירי כתיבה      </v>
          </cell>
        </row>
        <row r="2213">
          <cell r="A2213">
            <v>1623700500</v>
          </cell>
          <cell r="B2213" t="str">
            <v xml:space="preserve">הוצאות מינהליות   </v>
          </cell>
        </row>
        <row r="2214">
          <cell r="A2214">
            <v>1623700512</v>
          </cell>
          <cell r="B2214" t="str">
            <v xml:space="preserve">נסיעות ואש"ל      </v>
          </cell>
        </row>
        <row r="2215">
          <cell r="A2215">
            <v>1623700561</v>
          </cell>
          <cell r="B2215" t="str">
            <v xml:space="preserve">שיכפולים          </v>
          </cell>
        </row>
        <row r="2216">
          <cell r="A2216">
            <v>1623700562</v>
          </cell>
          <cell r="B2216" t="str">
            <v xml:space="preserve">הדפסות            </v>
          </cell>
        </row>
        <row r="2217">
          <cell r="A2217">
            <v>1623700571</v>
          </cell>
          <cell r="B2217" t="str">
            <v xml:space="preserve">מיכון וענ"א       </v>
          </cell>
        </row>
        <row r="2218">
          <cell r="A2218">
            <v>1623700753</v>
          </cell>
          <cell r="B2218" t="str">
            <v xml:space="preserve">עובדת חברה        </v>
          </cell>
        </row>
        <row r="2219">
          <cell r="A2219">
            <v>1623700931</v>
          </cell>
          <cell r="B2219" t="str">
            <v xml:space="preserve">רכישות חד-פעמיות  </v>
          </cell>
        </row>
        <row r="2220">
          <cell r="A2220">
            <v>1623700961</v>
          </cell>
          <cell r="B2220" t="str">
            <v>רז' פעולות ורכישות</v>
          </cell>
        </row>
        <row r="2221">
          <cell r="A2221" t="str">
            <v>#VALUE!</v>
          </cell>
          <cell r="B2221" t="str">
            <v xml:space="preserve">הקופה             </v>
          </cell>
        </row>
        <row r="2222">
          <cell r="A2222">
            <v>16300000</v>
          </cell>
          <cell r="B2222" t="str">
            <v xml:space="preserve">הוצאות מימון      </v>
          </cell>
        </row>
        <row r="2223">
          <cell r="A2223">
            <v>16310000</v>
          </cell>
          <cell r="B2223" t="str">
            <v>עמלות והוצ' בנקאיות</v>
          </cell>
        </row>
        <row r="2224">
          <cell r="A2224">
            <v>1631000610</v>
          </cell>
          <cell r="B2224" t="str">
            <v xml:space="preserve">עמלות תשלומי דלפק </v>
          </cell>
        </row>
        <row r="2225">
          <cell r="A2225">
            <v>1631000611</v>
          </cell>
          <cell r="B2225" t="str">
            <v>עמלות כרטיסי אשראי+ BIT</v>
          </cell>
          <cell r="C2225">
            <v>2560000</v>
          </cell>
        </row>
        <row r="2226">
          <cell r="A2226">
            <v>1631000612</v>
          </cell>
          <cell r="B2226" t="str">
            <v xml:space="preserve">עמלת תשלום חוזרים </v>
          </cell>
        </row>
        <row r="2227">
          <cell r="A2227">
            <v>1631000613</v>
          </cell>
          <cell r="B2227" t="str">
            <v xml:space="preserve">עמלות הוראות קבע  </v>
          </cell>
        </row>
        <row r="2228">
          <cell r="A2228">
            <v>1631000614</v>
          </cell>
          <cell r="B2228" t="str">
            <v>עמלות שקים מעותדים</v>
          </cell>
        </row>
        <row r="2229">
          <cell r="A2229">
            <v>1631000615</v>
          </cell>
          <cell r="B2229" t="str">
            <v>סרטים מגנטיים-גביה</v>
          </cell>
        </row>
        <row r="2230">
          <cell r="A2230">
            <v>1631000616</v>
          </cell>
          <cell r="B2230" t="str">
            <v xml:space="preserve">דמי ניהול חשבון   </v>
          </cell>
        </row>
        <row r="2231">
          <cell r="A2231">
            <v>1631000617</v>
          </cell>
          <cell r="B2231" t="str">
            <v xml:space="preserve">העברות בין בנקים  </v>
          </cell>
        </row>
        <row r="2232">
          <cell r="A2232">
            <v>1631000619</v>
          </cell>
          <cell r="B2232" t="str">
            <v>ע'אחרות+פנקסי שקים</v>
          </cell>
        </row>
        <row r="2233">
          <cell r="A2233">
            <v>1631000620</v>
          </cell>
          <cell r="B2233" t="str">
            <v>ע' דאר-קנס ביהמ"ש</v>
          </cell>
        </row>
        <row r="2234">
          <cell r="A2234">
            <v>1631000694</v>
          </cell>
          <cell r="B2234" t="str">
            <v>החזר הצמדת פק' פינוי פסולת</v>
          </cell>
        </row>
        <row r="2235">
          <cell r="A2235" t="str">
            <v>#VALUE!</v>
          </cell>
          <cell r="B2235" t="str">
            <v>עמלות והוצ' בנקאיות</v>
          </cell>
        </row>
        <row r="2236">
          <cell r="A2236">
            <v>16320000</v>
          </cell>
          <cell r="B2236" t="str">
            <v xml:space="preserve">הוצאות מימון      </v>
          </cell>
        </row>
        <row r="2237">
          <cell r="A2237">
            <v>1632000620</v>
          </cell>
          <cell r="B2237" t="str">
            <v>ריבית על משיכת יתר</v>
          </cell>
        </row>
        <row r="2238">
          <cell r="A2238">
            <v>1632000621</v>
          </cell>
          <cell r="B2238" t="str">
            <v>שיערוכים</v>
          </cell>
        </row>
        <row r="2239">
          <cell r="A2239">
            <v>1632000622</v>
          </cell>
          <cell r="B2239" t="str">
            <v>ריבית והצמדה לפיקדון</v>
          </cell>
        </row>
        <row r="2240">
          <cell r="A2240" t="str">
            <v>#VALUE!</v>
          </cell>
          <cell r="B2240" t="str">
            <v xml:space="preserve">הוצאות מימון      </v>
          </cell>
        </row>
        <row r="2241">
          <cell r="A2241">
            <v>16330000</v>
          </cell>
          <cell r="B2241" t="str">
            <v xml:space="preserve">הנחות למשלמי מס   </v>
          </cell>
        </row>
        <row r="2242">
          <cell r="A2242">
            <v>1633000860</v>
          </cell>
          <cell r="B2242" t="str">
            <v xml:space="preserve">הנחות למשלמים מראש   </v>
          </cell>
        </row>
        <row r="2243">
          <cell r="A2243">
            <v>1633000861</v>
          </cell>
          <cell r="B2243" t="str">
            <v>הנחות למשלמ'בה'קבע</v>
          </cell>
        </row>
        <row r="2244">
          <cell r="A2244" t="str">
            <v>#VALUE!</v>
          </cell>
          <cell r="B2244" t="str">
            <v xml:space="preserve">הנחות למשלמי מס   </v>
          </cell>
        </row>
        <row r="2245">
          <cell r="A2245">
            <v>16400000</v>
          </cell>
          <cell r="B2245" t="str">
            <v xml:space="preserve">פרעון מלוות       </v>
          </cell>
        </row>
        <row r="2246">
          <cell r="A2246">
            <v>16480000</v>
          </cell>
          <cell r="B2246" t="str">
            <v>פרעון מלוות - עצמי</v>
          </cell>
        </row>
        <row r="2247">
          <cell r="A2247">
            <v>1648000691</v>
          </cell>
          <cell r="B2247" t="str">
            <v xml:space="preserve">תשלומים ע"ח הקרן  </v>
          </cell>
          <cell r="C2247">
            <v>27487000</v>
          </cell>
        </row>
        <row r="2248">
          <cell r="A2248">
            <v>1648000692</v>
          </cell>
          <cell r="B2248" t="str">
            <v>תשלומים ע"ח הריבית</v>
          </cell>
          <cell r="C2248">
            <v>15160000</v>
          </cell>
        </row>
        <row r="2249">
          <cell r="A2249">
            <v>1648000693</v>
          </cell>
          <cell r="B2249" t="str">
            <v>תש' ע"ח הצמדה וערך</v>
          </cell>
          <cell r="C2249">
            <v>863000</v>
          </cell>
        </row>
        <row r="2250">
          <cell r="A2250">
            <v>1648000694</v>
          </cell>
          <cell r="B2250" t="str">
            <v>תשל' ע"ח קרן-מים</v>
          </cell>
        </row>
        <row r="2251">
          <cell r="A2251">
            <v>1648000695</v>
          </cell>
          <cell r="B2251" t="str">
            <v>תשל' ע"ח ריבית-מים</v>
          </cell>
        </row>
        <row r="2252">
          <cell r="A2252">
            <v>1648000696</v>
          </cell>
          <cell r="B2252" t="str">
            <v>תשל' ע"ח הצמדה-מים</v>
          </cell>
        </row>
        <row r="2253">
          <cell r="A2253">
            <v>1648000697</v>
          </cell>
          <cell r="B2253" t="str">
            <v>תשל' ע"ח קרן-ביוב</v>
          </cell>
        </row>
        <row r="2254">
          <cell r="A2254">
            <v>1648000698</v>
          </cell>
          <cell r="B2254" t="str">
            <v>תשל' ע"ח ריבית-ביוב</v>
          </cell>
        </row>
        <row r="2255">
          <cell r="A2255">
            <v>1648000699</v>
          </cell>
          <cell r="B2255" t="str">
            <v>תשל' ע"ח הצמדה-ביוב</v>
          </cell>
        </row>
        <row r="2256">
          <cell r="A2256">
            <v>1648000701</v>
          </cell>
          <cell r="B2256" t="str">
            <v>קרן - הלוואה  לממשלה</v>
          </cell>
          <cell r="C2256">
            <v>888100</v>
          </cell>
        </row>
        <row r="2257">
          <cell r="A2257">
            <v>1648000702</v>
          </cell>
          <cell r="B2257" t="str">
            <v>ריבית - הלוואה  לממשלה</v>
          </cell>
          <cell r="C2257">
            <v>18700</v>
          </cell>
        </row>
        <row r="2258">
          <cell r="A2258">
            <v>1648000703</v>
          </cell>
          <cell r="B2258" t="str">
            <v>הצמדה - הלוואה  לממשלה</v>
          </cell>
        </row>
        <row r="2259">
          <cell r="A2259" t="str">
            <v>#VALUE!</v>
          </cell>
          <cell r="B2259" t="str">
            <v>פרעון מלוות - עצמי</v>
          </cell>
        </row>
        <row r="2260">
          <cell r="A2260">
            <v>17000000</v>
          </cell>
          <cell r="B2260" t="str">
            <v xml:space="preserve">שרותים מקומיים    </v>
          </cell>
        </row>
        <row r="2261">
          <cell r="A2261">
            <v>17100000</v>
          </cell>
          <cell r="B2261" t="str">
            <v>אגף שפ"ע</v>
          </cell>
        </row>
        <row r="2262">
          <cell r="A2262">
            <v>17110000</v>
          </cell>
          <cell r="B2262" t="str">
            <v>מינהל תברואה ואיכות  סב'</v>
          </cell>
        </row>
        <row r="2263">
          <cell r="A2263">
            <v>17111000</v>
          </cell>
          <cell r="B2263" t="str">
            <v xml:space="preserve">מינהל תברואה      </v>
          </cell>
        </row>
        <row r="2264">
          <cell r="A2264">
            <v>1711100100</v>
          </cell>
          <cell r="B2264" t="str">
            <v>שכר עובדים לפי תקן</v>
          </cell>
        </row>
        <row r="2265">
          <cell r="A2265">
            <v>1711100110</v>
          </cell>
          <cell r="B2265" t="str">
            <v>השכר הקובע-תקציבית</v>
          </cell>
          <cell r="C2265">
            <v>1287000</v>
          </cell>
        </row>
        <row r="2266">
          <cell r="A2266">
            <v>1711100119</v>
          </cell>
          <cell r="B2266" t="str">
            <v xml:space="preserve">השכר הקובע-צוברת  </v>
          </cell>
          <cell r="C2266">
            <v>4326000</v>
          </cell>
        </row>
        <row r="2267">
          <cell r="A2267">
            <v>1711100122</v>
          </cell>
          <cell r="B2267" t="str">
            <v xml:space="preserve">ביגוד             </v>
          </cell>
          <cell r="C2267">
            <v>60000</v>
          </cell>
        </row>
        <row r="2268">
          <cell r="A2268">
            <v>1711100126</v>
          </cell>
          <cell r="B2268" t="str">
            <v xml:space="preserve">דמי הבראה         </v>
          </cell>
          <cell r="C2268">
            <v>140000</v>
          </cell>
        </row>
        <row r="2269">
          <cell r="A2269">
            <v>1711100130</v>
          </cell>
          <cell r="B2269" t="str">
            <v xml:space="preserve">שעות נוספות       </v>
          </cell>
          <cell r="C2269">
            <v>827000</v>
          </cell>
        </row>
        <row r="2270">
          <cell r="A2270">
            <v>1711100140</v>
          </cell>
          <cell r="B2270" t="str">
            <v>השתתפות באחזקת רכב</v>
          </cell>
          <cell r="C2270">
            <v>475500</v>
          </cell>
        </row>
        <row r="2271">
          <cell r="A2271">
            <v>1711100253</v>
          </cell>
          <cell r="B2271" t="str">
            <v xml:space="preserve">עובדים חיצוניים   </v>
          </cell>
        </row>
        <row r="2272">
          <cell r="A2272">
            <v>1711100350</v>
          </cell>
          <cell r="B2272" t="str">
            <v>ליסינג 363-92-903</v>
          </cell>
          <cell r="C2272">
            <v>53000</v>
          </cell>
        </row>
        <row r="2273">
          <cell r="A2273">
            <v>1711100351</v>
          </cell>
          <cell r="B2273" t="str">
            <v>הוצאות-363-92-903</v>
          </cell>
          <cell r="C2273">
            <v>10000</v>
          </cell>
        </row>
        <row r="2274">
          <cell r="A2274">
            <v>1711100400</v>
          </cell>
          <cell r="B2274" t="str">
            <v>אחזקת בנינים וציוד</v>
          </cell>
        </row>
        <row r="2275">
          <cell r="A2275">
            <v>1711100470</v>
          </cell>
          <cell r="B2275" t="str">
            <v xml:space="preserve">אחזקת מכונות משרד </v>
          </cell>
          <cell r="C2275">
            <v>2100</v>
          </cell>
        </row>
        <row r="2276">
          <cell r="A2276">
            <v>1711100471</v>
          </cell>
          <cell r="B2276" t="str">
            <v xml:space="preserve">מכשירי כתיבה      </v>
          </cell>
          <cell r="C2276">
            <v>25700</v>
          </cell>
        </row>
        <row r="2277">
          <cell r="A2277">
            <v>1711100492</v>
          </cell>
          <cell r="B2277" t="str">
            <v xml:space="preserve">השתתפות בעזר 092  </v>
          </cell>
        </row>
        <row r="2278">
          <cell r="A2278">
            <v>1711100500</v>
          </cell>
          <cell r="B2278" t="str">
            <v xml:space="preserve">הוצאות מינהליות   </v>
          </cell>
        </row>
        <row r="2279">
          <cell r="A2279">
            <v>1711100511</v>
          </cell>
          <cell r="B2279" t="str">
            <v xml:space="preserve">אירוח וכיבוד      </v>
          </cell>
          <cell r="C2279">
            <v>2100</v>
          </cell>
        </row>
        <row r="2280">
          <cell r="A2280">
            <v>1711100512</v>
          </cell>
          <cell r="B2280" t="str">
            <v xml:space="preserve">נסיעות ואש"ל      </v>
          </cell>
          <cell r="C2280">
            <v>900</v>
          </cell>
        </row>
        <row r="2281">
          <cell r="A2281">
            <v>1711100522</v>
          </cell>
          <cell r="B2281" t="str">
            <v xml:space="preserve">ספרים ועיתונים    </v>
          </cell>
        </row>
        <row r="2282">
          <cell r="A2282">
            <v>1711100540</v>
          </cell>
          <cell r="B2282" t="str">
            <v xml:space="preserve">הוצאות טלפון      </v>
          </cell>
        </row>
        <row r="2283">
          <cell r="A2283">
            <v>1711100544</v>
          </cell>
          <cell r="B2283" t="str">
            <v xml:space="preserve">הוצאות דאר        </v>
          </cell>
          <cell r="C2283">
            <v>1700</v>
          </cell>
        </row>
        <row r="2284">
          <cell r="A2284">
            <v>1711100550</v>
          </cell>
          <cell r="B2284" t="str">
            <v xml:space="preserve">פירסומים          </v>
          </cell>
        </row>
        <row r="2285">
          <cell r="A2285">
            <v>1711100561</v>
          </cell>
          <cell r="B2285" t="str">
            <v xml:space="preserve">שיכפולים          </v>
          </cell>
          <cell r="C2285">
            <v>800</v>
          </cell>
        </row>
        <row r="2286">
          <cell r="A2286">
            <v>1711100562</v>
          </cell>
          <cell r="B2286" t="str">
            <v xml:space="preserve">הדפסות            </v>
          </cell>
          <cell r="C2286">
            <v>2800</v>
          </cell>
        </row>
        <row r="2287">
          <cell r="A2287">
            <v>1711100571</v>
          </cell>
          <cell r="B2287" t="str">
            <v xml:space="preserve">מיכון וענ"א       </v>
          </cell>
        </row>
        <row r="2288">
          <cell r="A2288">
            <v>1711100580</v>
          </cell>
          <cell r="B2288" t="str">
            <v xml:space="preserve">יעוץ חיצוני       </v>
          </cell>
        </row>
        <row r="2289">
          <cell r="A2289">
            <v>1711100596</v>
          </cell>
          <cell r="B2289" t="str">
            <v xml:space="preserve">השתתפות בעזר 096  </v>
          </cell>
        </row>
        <row r="2290">
          <cell r="A2290">
            <v>1711100753</v>
          </cell>
          <cell r="B2290" t="str">
            <v xml:space="preserve">פקידת מוקד חיצוני </v>
          </cell>
        </row>
        <row r="2291">
          <cell r="A2291">
            <v>1711100794</v>
          </cell>
          <cell r="B2291" t="str">
            <v xml:space="preserve">השתתפות בעזר 094  </v>
          </cell>
        </row>
        <row r="2292">
          <cell r="A2292">
            <v>1711100931</v>
          </cell>
          <cell r="B2292" t="str">
            <v>שיקום אתר הפסולת</v>
          </cell>
        </row>
        <row r="2293">
          <cell r="A2293">
            <v>1711100961</v>
          </cell>
          <cell r="B2293" t="str">
            <v>רז' פעולות ורכישות</v>
          </cell>
        </row>
        <row r="2294">
          <cell r="A2294" t="str">
            <v>#VALUE!</v>
          </cell>
          <cell r="B2294" t="str">
            <v>אגף שפ"ע</v>
          </cell>
        </row>
        <row r="2295">
          <cell r="A2295">
            <v>17112000</v>
          </cell>
          <cell r="B2295" t="str">
            <v xml:space="preserve">הדבקת מודעות      </v>
          </cell>
        </row>
        <row r="2296">
          <cell r="A2296">
            <v>1711200700</v>
          </cell>
          <cell r="B2296" t="str">
            <v xml:space="preserve">הוצאות לפעולות    </v>
          </cell>
        </row>
        <row r="2297">
          <cell r="A2297">
            <v>1711200757</v>
          </cell>
          <cell r="B2297" t="str">
            <v xml:space="preserve">הדבקת מודעות-קבלן </v>
          </cell>
        </row>
        <row r="2298">
          <cell r="A2298" t="str">
            <v>#VALUE!</v>
          </cell>
          <cell r="B2298" t="str">
            <v xml:space="preserve">הדבקת מודעות      </v>
          </cell>
        </row>
        <row r="2299">
          <cell r="A2299">
            <v>17120000</v>
          </cell>
          <cell r="B2299" t="str">
            <v xml:space="preserve">שרותי נקיון       </v>
          </cell>
        </row>
        <row r="2300">
          <cell r="A2300">
            <v>17122000</v>
          </cell>
          <cell r="B2300" t="str">
            <v xml:space="preserve">נקוי רחובות       </v>
          </cell>
        </row>
        <row r="2301">
          <cell r="A2301">
            <v>1712200255</v>
          </cell>
          <cell r="B2301" t="str">
            <v>ניקוי מגרשים - עובדים</v>
          </cell>
        </row>
        <row r="2302">
          <cell r="A2302">
            <v>1712200400</v>
          </cell>
          <cell r="B2302" t="str">
            <v>אחזקת בנינים וציוד</v>
          </cell>
        </row>
        <row r="2303">
          <cell r="A2303">
            <v>1712200431</v>
          </cell>
          <cell r="B2303" t="str">
            <v xml:space="preserve">חשמל              </v>
          </cell>
          <cell r="C2303">
            <v>6600</v>
          </cell>
        </row>
        <row r="2304">
          <cell r="A2304">
            <v>1712200441</v>
          </cell>
          <cell r="B2304" t="str">
            <v xml:space="preserve">ביטוח מחסנים      </v>
          </cell>
        </row>
        <row r="2305">
          <cell r="A2305">
            <v>1712200561</v>
          </cell>
          <cell r="B2305" t="str">
            <v xml:space="preserve">שיכפולים          </v>
          </cell>
          <cell r="C2305">
            <v>4100</v>
          </cell>
        </row>
        <row r="2306">
          <cell r="A2306">
            <v>1712200580</v>
          </cell>
          <cell r="B2306" t="str">
            <v xml:space="preserve">יעוץ חיצוני       </v>
          </cell>
        </row>
        <row r="2307">
          <cell r="A2307">
            <v>1712200596</v>
          </cell>
          <cell r="B2307" t="str">
            <v xml:space="preserve">השתתפות בעזר 096  </v>
          </cell>
        </row>
        <row r="2308">
          <cell r="A2308">
            <v>1712200700</v>
          </cell>
          <cell r="B2308" t="str">
            <v xml:space="preserve">הוצאות לפעולות    </v>
          </cell>
        </row>
        <row r="2309">
          <cell r="A2309">
            <v>1712200715</v>
          </cell>
          <cell r="B2309" t="str">
            <v>עבודות קבלניות רכב</v>
          </cell>
          <cell r="C2309">
            <v>860000</v>
          </cell>
        </row>
        <row r="2310">
          <cell r="A2310">
            <v>1712200716</v>
          </cell>
          <cell r="B2310" t="str">
            <v xml:space="preserve">השכרת מכונת טיאוט </v>
          </cell>
        </row>
        <row r="2311">
          <cell r="A2311">
            <v>1712200722</v>
          </cell>
          <cell r="B2311" t="str">
            <v>חמרים-תחזוקה עצמית</v>
          </cell>
          <cell r="C2311">
            <v>6700</v>
          </cell>
        </row>
        <row r="2312">
          <cell r="A2312">
            <v>1712200723</v>
          </cell>
          <cell r="B2312" t="str">
            <v xml:space="preserve">שקיות אשפה        </v>
          </cell>
          <cell r="C2312">
            <v>44500</v>
          </cell>
        </row>
        <row r="2313">
          <cell r="A2313">
            <v>1712200742</v>
          </cell>
          <cell r="B2313" t="str">
            <v xml:space="preserve">כלים וציוד        </v>
          </cell>
        </row>
        <row r="2314">
          <cell r="A2314">
            <v>1712200745</v>
          </cell>
          <cell r="B2314" t="str">
            <v xml:space="preserve">תיקון נזקים       </v>
          </cell>
          <cell r="C2314">
            <v>8600</v>
          </cell>
        </row>
        <row r="2315">
          <cell r="A2315">
            <v>1712200752</v>
          </cell>
          <cell r="B2315" t="str">
            <v xml:space="preserve">אספקת ג'טר        </v>
          </cell>
        </row>
        <row r="2316">
          <cell r="A2316">
            <v>1712200754</v>
          </cell>
          <cell r="B2316" t="str">
            <v xml:space="preserve">סיירת נקיון       </v>
          </cell>
        </row>
        <row r="2317">
          <cell r="A2317">
            <v>1712200755</v>
          </cell>
          <cell r="B2317" t="str">
            <v xml:space="preserve">אספקת פועלים      </v>
          </cell>
        </row>
        <row r="2318">
          <cell r="A2318">
            <v>1712200756</v>
          </cell>
          <cell r="B2318" t="str">
            <v>שמירה-מזבלה מקומית</v>
          </cell>
        </row>
        <row r="2319">
          <cell r="A2319">
            <v>1712200757</v>
          </cell>
          <cell r="B2319" t="str">
            <v xml:space="preserve">אח'מזבלה מקומית   </v>
          </cell>
        </row>
        <row r="2320">
          <cell r="A2320">
            <v>1712200758</v>
          </cell>
          <cell r="B2320" t="str">
            <v xml:space="preserve">נקוי רח'בקבלנות   </v>
          </cell>
          <cell r="C2320">
            <v>36820000</v>
          </cell>
        </row>
        <row r="2321">
          <cell r="A2321">
            <v>1712200759</v>
          </cell>
          <cell r="B2321" t="str">
            <v xml:space="preserve">פנוי גזם          </v>
          </cell>
          <cell r="C2321">
            <v>8700000</v>
          </cell>
        </row>
        <row r="2322">
          <cell r="A2322">
            <v>1712200794</v>
          </cell>
          <cell r="B2322" t="str">
            <v xml:space="preserve">השתתפות בעזר 094  </v>
          </cell>
        </row>
        <row r="2323">
          <cell r="A2323">
            <v>1712200900</v>
          </cell>
          <cell r="B2323" t="str">
            <v xml:space="preserve">הוצאות חד פעמיות  </v>
          </cell>
        </row>
        <row r="2324">
          <cell r="A2324">
            <v>1712200934</v>
          </cell>
          <cell r="B2324" t="str">
            <v xml:space="preserve">רכישת סלי אשפה    </v>
          </cell>
        </row>
        <row r="2325">
          <cell r="A2325">
            <v>1712200935</v>
          </cell>
          <cell r="B2325" t="str">
            <v>מתקני איסוף גללים</v>
          </cell>
        </row>
        <row r="2326">
          <cell r="A2326">
            <v>1712200960</v>
          </cell>
          <cell r="B2326" t="str">
            <v xml:space="preserve">מבצעי נקיון       </v>
          </cell>
        </row>
        <row r="2327">
          <cell r="A2327">
            <v>1712200961</v>
          </cell>
          <cell r="B2327" t="str">
            <v>פעולות ורכישות</v>
          </cell>
        </row>
        <row r="2328">
          <cell r="A2328" t="str">
            <v>#VALUE!</v>
          </cell>
          <cell r="B2328" t="str">
            <v xml:space="preserve">נקוי רחובות       </v>
          </cell>
        </row>
        <row r="2329">
          <cell r="A2329">
            <v>17123000</v>
          </cell>
          <cell r="B2329" t="str">
            <v xml:space="preserve">איסוף וביעור אשפה  </v>
          </cell>
        </row>
        <row r="2330">
          <cell r="A2330">
            <v>1712300100</v>
          </cell>
          <cell r="B2330" t="str">
            <v>שכר עובדים לפי תקן</v>
          </cell>
        </row>
        <row r="2331">
          <cell r="A2331">
            <v>1712300110</v>
          </cell>
          <cell r="B2331" t="str">
            <v>השכר הקובע-תקציבית</v>
          </cell>
          <cell r="C2331">
            <v>5086000</v>
          </cell>
        </row>
        <row r="2332">
          <cell r="A2332">
            <v>1712300119</v>
          </cell>
          <cell r="B2332" t="str">
            <v xml:space="preserve">השכר הקובע-צוברת  </v>
          </cell>
          <cell r="C2332">
            <v>4780700</v>
          </cell>
        </row>
        <row r="2333">
          <cell r="A2333">
            <v>1712300122</v>
          </cell>
          <cell r="B2333" t="str">
            <v xml:space="preserve">ביגוד             </v>
          </cell>
          <cell r="C2333">
            <v>125000</v>
          </cell>
        </row>
        <row r="2334">
          <cell r="A2334">
            <v>1712300126</v>
          </cell>
          <cell r="B2334" t="str">
            <v xml:space="preserve">דמי הבראה         </v>
          </cell>
          <cell r="C2334">
            <v>372000</v>
          </cell>
        </row>
        <row r="2335">
          <cell r="A2335">
            <v>1712300130</v>
          </cell>
          <cell r="B2335" t="str">
            <v xml:space="preserve">שעות נוספות       </v>
          </cell>
          <cell r="C2335">
            <v>4700000</v>
          </cell>
        </row>
        <row r="2336">
          <cell r="A2336">
            <v>1712300140</v>
          </cell>
          <cell r="B2336" t="str">
            <v>השתתפות באחזקת רכב</v>
          </cell>
          <cell r="C2336">
            <v>304800</v>
          </cell>
        </row>
        <row r="2337">
          <cell r="A2337">
            <v>1712300253</v>
          </cell>
          <cell r="B2337" t="str">
            <v xml:space="preserve">אספקת עובדים      </v>
          </cell>
          <cell r="C2337">
            <v>1734000</v>
          </cell>
        </row>
        <row r="2338">
          <cell r="A2338">
            <v>1712300255</v>
          </cell>
          <cell r="B2338" t="str">
            <v xml:space="preserve">אספקת פועלים      </v>
          </cell>
          <cell r="C2338">
            <v>111000</v>
          </cell>
        </row>
        <row r="2339">
          <cell r="A2339">
            <v>1712300400</v>
          </cell>
          <cell r="B2339" t="str">
            <v>אחזקת בנינים וציוד</v>
          </cell>
        </row>
        <row r="2340">
          <cell r="A2340">
            <v>1712300437</v>
          </cell>
          <cell r="B2340" t="str">
            <v xml:space="preserve">אחזקת אזעקה       </v>
          </cell>
          <cell r="C2340">
            <v>1300</v>
          </cell>
        </row>
        <row r="2341">
          <cell r="A2341">
            <v>1712300511</v>
          </cell>
          <cell r="B2341" t="str">
            <v xml:space="preserve">אירוח וכיבוד      </v>
          </cell>
          <cell r="C2341">
            <v>9000</v>
          </cell>
        </row>
        <row r="2342">
          <cell r="A2342">
            <v>1712300596</v>
          </cell>
          <cell r="B2342" t="str">
            <v xml:space="preserve">השתתפות בעזר 096  </v>
          </cell>
        </row>
        <row r="2343">
          <cell r="A2343">
            <v>1712300700</v>
          </cell>
          <cell r="B2343" t="str">
            <v xml:space="preserve">הוצאות לפעולות    </v>
          </cell>
        </row>
        <row r="2344">
          <cell r="A2344">
            <v>1712300710</v>
          </cell>
          <cell r="B2344" t="str">
            <v>הובלות לאיסוף סוללות</v>
          </cell>
        </row>
        <row r="2345">
          <cell r="A2345">
            <v>1712300742</v>
          </cell>
          <cell r="B2345" t="str">
            <v xml:space="preserve">כלים וציוד        </v>
          </cell>
          <cell r="C2345">
            <v>152200</v>
          </cell>
        </row>
        <row r="2346">
          <cell r="A2346">
            <v>1712300750</v>
          </cell>
          <cell r="B2346" t="str">
            <v>מיחזור ופסולת בנין</v>
          </cell>
          <cell r="C2346">
            <v>100000</v>
          </cell>
        </row>
        <row r="2347">
          <cell r="A2347">
            <v>1712300752</v>
          </cell>
          <cell r="B2347" t="str">
            <v xml:space="preserve">נקיון בקבלנות     </v>
          </cell>
          <cell r="C2347">
            <v>4700</v>
          </cell>
        </row>
        <row r="2348">
          <cell r="A2348">
            <v>1712300753</v>
          </cell>
          <cell r="B2348" t="str">
            <v>איסוף קרטון - למיחזור</v>
          </cell>
        </row>
        <row r="2349">
          <cell r="A2349">
            <v>1712300754</v>
          </cell>
          <cell r="B2349" t="str">
            <v xml:space="preserve">פינוי אשפה - פחים </v>
          </cell>
          <cell r="C2349">
            <v>11880000</v>
          </cell>
        </row>
        <row r="2350">
          <cell r="A2350">
            <v>1712300755</v>
          </cell>
          <cell r="B2350" t="str">
            <v>פינוי אריזות-כתומים במקור</v>
          </cell>
          <cell r="C2350">
            <v>2580000</v>
          </cell>
        </row>
        <row r="2351">
          <cell r="A2351">
            <v>1712300756</v>
          </cell>
          <cell r="B2351" t="str">
            <v xml:space="preserve">שמירה             </v>
          </cell>
        </row>
        <row r="2352">
          <cell r="A2352">
            <v>1712300757</v>
          </cell>
          <cell r="B2352" t="str">
            <v>פנוי אשפה  בקבלנות</v>
          </cell>
          <cell r="C2352">
            <v>14872000</v>
          </cell>
        </row>
        <row r="2353">
          <cell r="A2353">
            <v>1712300758</v>
          </cell>
          <cell r="B2353" t="str">
            <v>פנוי אשפה (מהכנסה)</v>
          </cell>
          <cell r="C2353">
            <v>4550000</v>
          </cell>
        </row>
        <row r="2354">
          <cell r="A2354">
            <v>1712300759</v>
          </cell>
          <cell r="B2354" t="str">
            <v xml:space="preserve">שינוע אשפה        </v>
          </cell>
          <cell r="C2354">
            <v>156000</v>
          </cell>
        </row>
        <row r="2355">
          <cell r="A2355">
            <v>1712300760</v>
          </cell>
          <cell r="B2355" t="str">
            <v>איסוף נייר למיחזור</v>
          </cell>
          <cell r="C2355">
            <v>880000</v>
          </cell>
        </row>
        <row r="2356">
          <cell r="A2356">
            <v>1712300794</v>
          </cell>
          <cell r="B2356" t="str">
            <v xml:space="preserve">השתתפות בעזר 094  </v>
          </cell>
        </row>
        <row r="2357">
          <cell r="A2357">
            <v>1712300800</v>
          </cell>
          <cell r="B2357" t="str">
            <v>השת' תמיכות תרומות</v>
          </cell>
        </row>
        <row r="2358">
          <cell r="A2358">
            <v>1712300830</v>
          </cell>
          <cell r="B2358" t="str">
            <v>השתת'באיגוד תברואה</v>
          </cell>
          <cell r="C2358">
            <v>41600000</v>
          </cell>
        </row>
        <row r="2359">
          <cell r="A2359">
            <v>1712300900</v>
          </cell>
          <cell r="B2359" t="str">
            <v xml:space="preserve">הוצאות חד פעמיות  </v>
          </cell>
        </row>
        <row r="2360">
          <cell r="A2360">
            <v>1712300931</v>
          </cell>
          <cell r="B2360" t="str">
            <v xml:space="preserve">רכישת אשפתונים    </v>
          </cell>
        </row>
        <row r="2361">
          <cell r="A2361">
            <v>1712300932</v>
          </cell>
          <cell r="B2361" t="str">
            <v>התקנת מכולות שקועות</v>
          </cell>
        </row>
        <row r="2362">
          <cell r="A2362">
            <v>1712300961</v>
          </cell>
          <cell r="B2362" t="str">
            <v>רז' פעולות ורכישות</v>
          </cell>
        </row>
        <row r="2363">
          <cell r="A2363" t="str">
            <v>#VALUE!</v>
          </cell>
          <cell r="B2363" t="str">
            <v xml:space="preserve">איסוף וביעור אשפה  </v>
          </cell>
        </row>
        <row r="2364">
          <cell r="A2364">
            <v>17125000</v>
          </cell>
          <cell r="B2364" t="str">
            <v>אח'שירותים צבוריים</v>
          </cell>
        </row>
        <row r="2365">
          <cell r="A2365">
            <v>1712500100</v>
          </cell>
          <cell r="B2365" t="str">
            <v>שכר עובדים לפי תקן</v>
          </cell>
        </row>
        <row r="2366">
          <cell r="A2366">
            <v>1712500110</v>
          </cell>
          <cell r="B2366" t="str">
            <v>השכר הקובע-תקציבית</v>
          </cell>
          <cell r="C2366">
            <v>165000</v>
          </cell>
        </row>
        <row r="2367">
          <cell r="A2367">
            <v>1712500119</v>
          </cell>
          <cell r="B2367" t="str">
            <v xml:space="preserve">השכר הקובע-צוברת  </v>
          </cell>
        </row>
        <row r="2368">
          <cell r="A2368">
            <v>1712500122</v>
          </cell>
          <cell r="B2368" t="str">
            <v xml:space="preserve">ביגוד             </v>
          </cell>
          <cell r="C2368">
            <v>2500</v>
          </cell>
        </row>
        <row r="2369">
          <cell r="A2369">
            <v>1712500126</v>
          </cell>
          <cell r="B2369" t="str">
            <v xml:space="preserve">דמי הבראה         </v>
          </cell>
          <cell r="C2369">
            <v>6500</v>
          </cell>
        </row>
        <row r="2370">
          <cell r="A2370">
            <v>1712500130</v>
          </cell>
          <cell r="B2370" t="str">
            <v xml:space="preserve">שעות נוספות       </v>
          </cell>
          <cell r="C2370">
            <v>17200</v>
          </cell>
        </row>
        <row r="2371">
          <cell r="A2371">
            <v>1712500140</v>
          </cell>
          <cell r="B2371" t="str">
            <v>השתתפות באחזקת רכב</v>
          </cell>
          <cell r="C2371">
            <v>18300</v>
          </cell>
        </row>
        <row r="2372">
          <cell r="A2372">
            <v>1712500255</v>
          </cell>
          <cell r="B2372" t="str">
            <v xml:space="preserve">מסגרים חיצוניים   </v>
          </cell>
        </row>
        <row r="2373">
          <cell r="A2373">
            <v>1712500432</v>
          </cell>
          <cell r="B2373" t="str">
            <v xml:space="preserve">מים               </v>
          </cell>
        </row>
        <row r="2374">
          <cell r="A2374">
            <v>1712500580</v>
          </cell>
          <cell r="B2374" t="str">
            <v xml:space="preserve">יעוץ חיצוני       </v>
          </cell>
        </row>
        <row r="2375">
          <cell r="A2375">
            <v>1712500596</v>
          </cell>
          <cell r="B2375" t="str">
            <v xml:space="preserve">השתתפות בעזר 096  </v>
          </cell>
        </row>
        <row r="2376">
          <cell r="A2376">
            <v>1712500722</v>
          </cell>
          <cell r="B2376" t="str">
            <v>חמרים-תחזוקה עצמית</v>
          </cell>
          <cell r="C2376">
            <v>34200</v>
          </cell>
        </row>
        <row r="2377">
          <cell r="A2377">
            <v>1712500742</v>
          </cell>
          <cell r="B2377" t="str">
            <v xml:space="preserve">כלים וציוד        </v>
          </cell>
          <cell r="C2377">
            <v>6800</v>
          </cell>
        </row>
        <row r="2378">
          <cell r="A2378">
            <v>1712500745</v>
          </cell>
          <cell r="B2378" t="str">
            <v xml:space="preserve">דמי פריצה - תכולה </v>
          </cell>
        </row>
        <row r="2379">
          <cell r="A2379">
            <v>1712500751</v>
          </cell>
          <cell r="B2379" t="str">
            <v xml:space="preserve">עבודות קבלניות    </v>
          </cell>
          <cell r="C2379">
            <v>24000</v>
          </cell>
        </row>
        <row r="2380">
          <cell r="A2380">
            <v>1712500752</v>
          </cell>
          <cell r="B2380" t="str">
            <v>נקיון שרותים צבורי</v>
          </cell>
          <cell r="C2380">
            <v>1130000</v>
          </cell>
        </row>
        <row r="2381">
          <cell r="A2381">
            <v>1712500755</v>
          </cell>
          <cell r="B2381" t="str">
            <v xml:space="preserve">מסגרים חיצוניים   </v>
          </cell>
        </row>
        <row r="2382">
          <cell r="A2382">
            <v>1712500757</v>
          </cell>
          <cell r="B2382" t="str">
            <v xml:space="preserve">מסגרים חיצוניים   </v>
          </cell>
          <cell r="C2382">
            <v>514000</v>
          </cell>
        </row>
        <row r="2383">
          <cell r="A2383">
            <v>1712500794</v>
          </cell>
          <cell r="B2383" t="str">
            <v xml:space="preserve">השתתפות בעזר 094  </v>
          </cell>
        </row>
        <row r="2384">
          <cell r="A2384">
            <v>1712500931</v>
          </cell>
          <cell r="B2384" t="str">
            <v xml:space="preserve">עבודות בטיחות ח"פ </v>
          </cell>
          <cell r="C2384">
            <v>12900</v>
          </cell>
        </row>
        <row r="2385">
          <cell r="A2385">
            <v>1712500933</v>
          </cell>
          <cell r="B2385" t="str">
            <v xml:space="preserve">רכישת תגים        </v>
          </cell>
        </row>
        <row r="2386">
          <cell r="A2386">
            <v>1712500961</v>
          </cell>
          <cell r="B2386" t="str">
            <v>פעולות ורכישות</v>
          </cell>
        </row>
        <row r="2387">
          <cell r="A2387" t="str">
            <v>#VALUE!</v>
          </cell>
          <cell r="B2387" t="str">
            <v>אח'שירותים צבוריים</v>
          </cell>
        </row>
        <row r="2388">
          <cell r="A2388">
            <v>17126000</v>
          </cell>
          <cell r="B2388" t="str">
            <v xml:space="preserve">תחנת המעבר        </v>
          </cell>
        </row>
        <row r="2389">
          <cell r="A2389">
            <v>1712600100</v>
          </cell>
          <cell r="B2389" t="str">
            <v>שכר עובדים לפי תקן</v>
          </cell>
        </row>
        <row r="2390">
          <cell r="A2390">
            <v>1712600110</v>
          </cell>
          <cell r="B2390" t="str">
            <v>השכר הקובע-תקציבית</v>
          </cell>
        </row>
        <row r="2391">
          <cell r="A2391">
            <v>1712600119</v>
          </cell>
          <cell r="B2391" t="str">
            <v xml:space="preserve">השכר הקובע-צוברת  </v>
          </cell>
          <cell r="C2391">
            <v>205900</v>
          </cell>
        </row>
        <row r="2392">
          <cell r="A2392">
            <v>1712600122</v>
          </cell>
          <cell r="B2392" t="str">
            <v xml:space="preserve">ביגוד             </v>
          </cell>
          <cell r="C2392">
            <v>2700</v>
          </cell>
        </row>
        <row r="2393">
          <cell r="A2393">
            <v>1712600126</v>
          </cell>
          <cell r="B2393" t="str">
            <v xml:space="preserve">דמי הבראה         </v>
          </cell>
          <cell r="C2393">
            <v>6500</v>
          </cell>
        </row>
        <row r="2394">
          <cell r="A2394">
            <v>1712600130</v>
          </cell>
          <cell r="B2394" t="str">
            <v xml:space="preserve">שעות נוספות       </v>
          </cell>
          <cell r="C2394">
            <v>48200</v>
          </cell>
        </row>
        <row r="2395">
          <cell r="A2395">
            <v>1712600140</v>
          </cell>
          <cell r="B2395" t="str">
            <v>השתתפות באחזקת רכב</v>
          </cell>
          <cell r="C2395">
            <v>32800</v>
          </cell>
        </row>
        <row r="2396">
          <cell r="A2396">
            <v>1712600400</v>
          </cell>
          <cell r="B2396" t="str">
            <v>אחזקת בנינים וציוד</v>
          </cell>
        </row>
        <row r="2397">
          <cell r="A2397">
            <v>1712600423</v>
          </cell>
          <cell r="B2397" t="str">
            <v xml:space="preserve">תחזוקת מבנה       </v>
          </cell>
        </row>
        <row r="2398">
          <cell r="A2398">
            <v>1712600431</v>
          </cell>
          <cell r="B2398" t="str">
            <v xml:space="preserve">חשמל              </v>
          </cell>
          <cell r="C2398">
            <v>118000</v>
          </cell>
        </row>
        <row r="2399">
          <cell r="A2399">
            <v>1712600432</v>
          </cell>
          <cell r="B2399" t="str">
            <v xml:space="preserve">מים               </v>
          </cell>
          <cell r="C2399">
            <v>56200</v>
          </cell>
        </row>
        <row r="2400">
          <cell r="A2400">
            <v>1712600433</v>
          </cell>
          <cell r="B2400" t="str">
            <v xml:space="preserve">חומרי חיטוי       </v>
          </cell>
        </row>
        <row r="2401">
          <cell r="A2401">
            <v>1712600441</v>
          </cell>
          <cell r="B2401" t="str">
            <v xml:space="preserve">ביטוח             </v>
          </cell>
        </row>
        <row r="2402">
          <cell r="A2402">
            <v>1712600476</v>
          </cell>
          <cell r="B2402" t="str">
            <v>אחזקת גנרטור ומשקל</v>
          </cell>
          <cell r="C2402">
            <v>8600</v>
          </cell>
        </row>
        <row r="2403">
          <cell r="A2403">
            <v>1712600511</v>
          </cell>
          <cell r="B2403" t="str">
            <v xml:space="preserve">אירוח וכיבוד      </v>
          </cell>
          <cell r="C2403">
            <v>400</v>
          </cell>
        </row>
        <row r="2404">
          <cell r="A2404">
            <v>1712600540</v>
          </cell>
          <cell r="B2404" t="str">
            <v xml:space="preserve">הוצאות טלפון      </v>
          </cell>
        </row>
        <row r="2405">
          <cell r="A2405">
            <v>1712600544</v>
          </cell>
          <cell r="B2405" t="str">
            <v xml:space="preserve">הוצאות דאר        </v>
          </cell>
        </row>
        <row r="2406">
          <cell r="A2406">
            <v>1712600571</v>
          </cell>
          <cell r="B2406" t="str">
            <v xml:space="preserve">מיכון וענ"א       </v>
          </cell>
        </row>
        <row r="2407">
          <cell r="A2407">
            <v>1712600596</v>
          </cell>
          <cell r="B2407" t="str">
            <v xml:space="preserve">השתתפות בעזר 096  </v>
          </cell>
        </row>
        <row r="2408">
          <cell r="A2408">
            <v>1712600700</v>
          </cell>
          <cell r="B2408" t="str">
            <v xml:space="preserve">הוצאות לפעולות    </v>
          </cell>
        </row>
        <row r="2409">
          <cell r="A2409">
            <v>1712600722</v>
          </cell>
          <cell r="B2409" t="str">
            <v>חמרים-תחזוקה עצמית</v>
          </cell>
          <cell r="C2409">
            <v>900</v>
          </cell>
        </row>
        <row r="2410">
          <cell r="A2410">
            <v>1712600743</v>
          </cell>
          <cell r="B2410" t="str">
            <v xml:space="preserve">כלים וציוד        </v>
          </cell>
        </row>
        <row r="2411">
          <cell r="A2411">
            <v>1712600751</v>
          </cell>
          <cell r="B2411" t="str">
            <v xml:space="preserve">עבודות קבלניות    </v>
          </cell>
          <cell r="C2411">
            <v>3400</v>
          </cell>
        </row>
        <row r="2412">
          <cell r="A2412">
            <v>1712600752</v>
          </cell>
          <cell r="B2412" t="str">
            <v xml:space="preserve">נקיון בקבלנות     </v>
          </cell>
          <cell r="C2412">
            <v>34200</v>
          </cell>
        </row>
        <row r="2413">
          <cell r="A2413">
            <v>1712600756</v>
          </cell>
          <cell r="B2413" t="str">
            <v>שמ' תחנה+מ'גרוטאות</v>
          </cell>
          <cell r="C2413">
            <v>720000</v>
          </cell>
        </row>
        <row r="2414">
          <cell r="A2414">
            <v>1712600758</v>
          </cell>
          <cell r="B2414" t="str">
            <v xml:space="preserve">הפעלת תחנת המעבר  </v>
          </cell>
        </row>
        <row r="2415">
          <cell r="A2415">
            <v>1712600933</v>
          </cell>
          <cell r="B2415" t="str">
            <v xml:space="preserve">רכישות חד-פעמיות  </v>
          </cell>
        </row>
        <row r="2416">
          <cell r="A2416">
            <v>1712600961</v>
          </cell>
          <cell r="B2416" t="str">
            <v>רז' פעולות ורכישות</v>
          </cell>
        </row>
        <row r="2417">
          <cell r="A2417" t="str">
            <v>#VALUE!</v>
          </cell>
          <cell r="B2417" t="str">
            <v xml:space="preserve">תחנת המעבר        </v>
          </cell>
        </row>
        <row r="2418">
          <cell r="A2418">
            <v>17130000</v>
          </cell>
          <cell r="B2418" t="str">
            <v xml:space="preserve">פיקוח תברואי      </v>
          </cell>
        </row>
        <row r="2419">
          <cell r="A2419">
            <v>17133000</v>
          </cell>
          <cell r="B2419" t="str">
            <v>פיקוח עסקים+מוסדות</v>
          </cell>
        </row>
        <row r="2420">
          <cell r="A2420">
            <v>1713300100</v>
          </cell>
          <cell r="B2420" t="str">
            <v>שכר עובדים לפי תקן</v>
          </cell>
        </row>
        <row r="2421">
          <cell r="A2421">
            <v>1713300110</v>
          </cell>
          <cell r="B2421" t="str">
            <v>השכר הקובע-תקציבית</v>
          </cell>
        </row>
        <row r="2422">
          <cell r="A2422">
            <v>1713300119</v>
          </cell>
          <cell r="B2422" t="str">
            <v xml:space="preserve">השכר הקובע-צוברת  </v>
          </cell>
          <cell r="C2422">
            <v>3585100</v>
          </cell>
        </row>
        <row r="2423">
          <cell r="A2423">
            <v>1713300122</v>
          </cell>
          <cell r="B2423" t="str">
            <v xml:space="preserve">ביגוד             </v>
          </cell>
          <cell r="C2423">
            <v>44000</v>
          </cell>
        </row>
        <row r="2424">
          <cell r="A2424">
            <v>1713300126</v>
          </cell>
          <cell r="B2424" t="str">
            <v xml:space="preserve">דמי הבראה         </v>
          </cell>
          <cell r="C2424">
            <v>99000</v>
          </cell>
        </row>
        <row r="2425">
          <cell r="A2425">
            <v>1713300130</v>
          </cell>
          <cell r="B2425" t="str">
            <v xml:space="preserve">שעות נוספות       </v>
          </cell>
          <cell r="C2425">
            <v>38200</v>
          </cell>
        </row>
        <row r="2426">
          <cell r="A2426">
            <v>1713300140</v>
          </cell>
          <cell r="B2426" t="str">
            <v>השתתפות באחזקת רכב</v>
          </cell>
          <cell r="C2426">
            <v>369000</v>
          </cell>
        </row>
        <row r="2427">
          <cell r="A2427">
            <v>1713300210</v>
          </cell>
          <cell r="B2427" t="str">
            <v xml:space="preserve">השכר הקובע        </v>
          </cell>
        </row>
        <row r="2428">
          <cell r="A2428">
            <v>1713300253</v>
          </cell>
          <cell r="B2428" t="str">
            <v xml:space="preserve">עובדים חיצוניים   </v>
          </cell>
        </row>
        <row r="2429">
          <cell r="A2429">
            <v>1713300400</v>
          </cell>
          <cell r="B2429" t="str">
            <v>אחזקת בנינים וציוד</v>
          </cell>
        </row>
        <row r="2430">
          <cell r="A2430">
            <v>1713300470</v>
          </cell>
          <cell r="B2430" t="str">
            <v xml:space="preserve">אחזקת מכונות משרד </v>
          </cell>
        </row>
        <row r="2431">
          <cell r="A2431">
            <v>1713300471</v>
          </cell>
          <cell r="B2431" t="str">
            <v xml:space="preserve">מכשירי כתיבה      </v>
          </cell>
          <cell r="C2431">
            <v>36900</v>
          </cell>
        </row>
        <row r="2432">
          <cell r="A2432">
            <v>1713300511</v>
          </cell>
          <cell r="B2432" t="str">
            <v xml:space="preserve">אירוח וכיבוד      </v>
          </cell>
          <cell r="C2432">
            <v>5200</v>
          </cell>
        </row>
        <row r="2433">
          <cell r="A2433">
            <v>1713300522</v>
          </cell>
          <cell r="B2433" t="str">
            <v xml:space="preserve">ספרים ועיתונים    </v>
          </cell>
          <cell r="C2433">
            <v>1500</v>
          </cell>
        </row>
        <row r="2434">
          <cell r="A2434">
            <v>1713300540</v>
          </cell>
          <cell r="B2434" t="str">
            <v xml:space="preserve">הוצאות טלפון      </v>
          </cell>
        </row>
        <row r="2435">
          <cell r="A2435">
            <v>1713300544</v>
          </cell>
          <cell r="B2435" t="str">
            <v xml:space="preserve">הוצאות דאר        </v>
          </cell>
          <cell r="C2435">
            <v>28800</v>
          </cell>
        </row>
        <row r="2436">
          <cell r="A2436">
            <v>1713300550</v>
          </cell>
          <cell r="B2436" t="str">
            <v xml:space="preserve">פירסומים          </v>
          </cell>
          <cell r="C2436">
            <v>16300</v>
          </cell>
        </row>
        <row r="2437">
          <cell r="A2437">
            <v>1713300561</v>
          </cell>
          <cell r="B2437" t="str">
            <v xml:space="preserve">שיכפולים          </v>
          </cell>
          <cell r="C2437">
            <v>2800</v>
          </cell>
        </row>
        <row r="2438">
          <cell r="A2438">
            <v>1713300562</v>
          </cell>
          <cell r="B2438" t="str">
            <v xml:space="preserve">הדפסות            </v>
          </cell>
          <cell r="C2438">
            <v>27400</v>
          </cell>
        </row>
        <row r="2439">
          <cell r="A2439">
            <v>1713300565</v>
          </cell>
          <cell r="B2439" t="str">
            <v xml:space="preserve">צילום             </v>
          </cell>
        </row>
        <row r="2440">
          <cell r="A2440">
            <v>1713300566</v>
          </cell>
          <cell r="B2440" t="str">
            <v>חבילת גלישה</v>
          </cell>
          <cell r="C2440">
            <v>4400</v>
          </cell>
        </row>
        <row r="2441">
          <cell r="A2441">
            <v>1713300571</v>
          </cell>
          <cell r="B2441" t="str">
            <v xml:space="preserve">מיכון וענ"א       </v>
          </cell>
        </row>
        <row r="2442">
          <cell r="A2442">
            <v>1713300573</v>
          </cell>
          <cell r="B2442" t="str">
            <v>מיחשוב רישוי עסקים</v>
          </cell>
          <cell r="C2442">
            <v>84300</v>
          </cell>
        </row>
        <row r="2443">
          <cell r="A2443">
            <v>1713300580</v>
          </cell>
          <cell r="B2443" t="str">
            <v xml:space="preserve">יעוץ חיצוני       </v>
          </cell>
          <cell r="C2443">
            <v>17100</v>
          </cell>
        </row>
        <row r="2444">
          <cell r="A2444">
            <v>1713300581</v>
          </cell>
          <cell r="B2444" t="str">
            <v>דו"ח רשם החברות</v>
          </cell>
          <cell r="C2444">
            <v>1700</v>
          </cell>
        </row>
        <row r="2445">
          <cell r="A2445">
            <v>1713300585</v>
          </cell>
          <cell r="B2445" t="str">
            <v>משפטי שלוט</v>
          </cell>
          <cell r="C2445">
            <v>85500</v>
          </cell>
        </row>
        <row r="2446">
          <cell r="A2446">
            <v>1713300743</v>
          </cell>
          <cell r="B2446" t="str">
            <v xml:space="preserve">כלים וציוד        </v>
          </cell>
        </row>
        <row r="2447">
          <cell r="A2447">
            <v>1713300750</v>
          </cell>
          <cell r="B2447" t="str">
            <v>מנגנון לסגירת עסקים</v>
          </cell>
          <cell r="C2447">
            <v>42800</v>
          </cell>
        </row>
        <row r="2448">
          <cell r="A2448">
            <v>1713300753</v>
          </cell>
          <cell r="B2448" t="str">
            <v xml:space="preserve">עובדים חיצוניים   </v>
          </cell>
        </row>
        <row r="2449">
          <cell r="A2449">
            <v>1713300757</v>
          </cell>
          <cell r="B2449" t="str">
            <v>אח' והחלפת לוחות שכונתיים</v>
          </cell>
          <cell r="C2449">
            <v>119700</v>
          </cell>
        </row>
        <row r="2450">
          <cell r="A2450">
            <v>1713300757</v>
          </cell>
          <cell r="B2450" t="str">
            <v>מספרים לבתים חדשים</v>
          </cell>
          <cell r="C2450">
            <v>4300</v>
          </cell>
        </row>
        <row r="2451">
          <cell r="A2451">
            <v>1713300759</v>
          </cell>
          <cell r="B2451" t="str">
            <v>מפות עירוניוץ</v>
          </cell>
          <cell r="C2451">
            <v>2200</v>
          </cell>
        </row>
        <row r="2452">
          <cell r="A2452">
            <v>1713300761</v>
          </cell>
          <cell r="B2452" t="str">
            <v>בדיקות זיהום אוויר</v>
          </cell>
        </row>
        <row r="2453">
          <cell r="A2453">
            <v>1713300780</v>
          </cell>
          <cell r="B2453" t="str">
            <v>עיר בריאה ומקיימת</v>
          </cell>
        </row>
        <row r="2454">
          <cell r="A2454">
            <v>1713300931</v>
          </cell>
          <cell r="B2454" t="str">
            <v xml:space="preserve">רכישות            </v>
          </cell>
          <cell r="C2454">
            <v>8100</v>
          </cell>
        </row>
        <row r="2455">
          <cell r="A2455">
            <v>1713300932</v>
          </cell>
          <cell r="B2455" t="str">
            <v>ציוד בטיחותי אישי</v>
          </cell>
          <cell r="C2455">
            <v>5100</v>
          </cell>
        </row>
        <row r="2456">
          <cell r="A2456">
            <v>1713300933</v>
          </cell>
          <cell r="B2456" t="str">
            <v>התקנת ואחזקת שילוט</v>
          </cell>
          <cell r="C2456">
            <v>213800</v>
          </cell>
        </row>
        <row r="2457">
          <cell r="A2457">
            <v>1713300961</v>
          </cell>
          <cell r="B2457" t="str">
            <v>רז' פעולות ורכישות</v>
          </cell>
        </row>
        <row r="2458">
          <cell r="A2458" t="str">
            <v>#VALUE!</v>
          </cell>
          <cell r="B2458" t="str">
            <v>פיקוח עסקים+מוסדות</v>
          </cell>
        </row>
        <row r="2459">
          <cell r="A2459">
            <v>17140000</v>
          </cell>
          <cell r="B2459" t="str">
            <v xml:space="preserve">שרות וטרינרי      </v>
          </cell>
        </row>
        <row r="2460">
          <cell r="A2460">
            <v>1714000100</v>
          </cell>
          <cell r="B2460" t="str">
            <v>שכר עובדים לפי תקן</v>
          </cell>
        </row>
        <row r="2461">
          <cell r="A2461">
            <v>1714000110</v>
          </cell>
          <cell r="B2461" t="str">
            <v>השכר הקובע-תקציבית</v>
          </cell>
          <cell r="C2461">
            <v>205000</v>
          </cell>
        </row>
        <row r="2462">
          <cell r="A2462">
            <v>1714000119</v>
          </cell>
          <cell r="B2462" t="str">
            <v xml:space="preserve">השכר הקובע-צוברת  </v>
          </cell>
          <cell r="C2462">
            <v>2829800</v>
          </cell>
        </row>
        <row r="2463">
          <cell r="A2463">
            <v>1714000122</v>
          </cell>
          <cell r="B2463" t="str">
            <v xml:space="preserve">ביגוד             </v>
          </cell>
          <cell r="C2463">
            <v>20800</v>
          </cell>
        </row>
        <row r="2464">
          <cell r="A2464">
            <v>1714000126</v>
          </cell>
          <cell r="B2464" t="str">
            <v xml:space="preserve">דמי הבראה         </v>
          </cell>
          <cell r="C2464">
            <v>48000</v>
          </cell>
        </row>
        <row r="2465">
          <cell r="A2465">
            <v>1714000130</v>
          </cell>
          <cell r="B2465" t="str">
            <v xml:space="preserve">שעות נוספות       </v>
          </cell>
          <cell r="C2465">
            <v>66400</v>
          </cell>
        </row>
        <row r="2466">
          <cell r="A2466">
            <v>1714000140</v>
          </cell>
          <cell r="B2466" t="str">
            <v>השתתפות באחזקת רכב</v>
          </cell>
          <cell r="C2466">
            <v>194400</v>
          </cell>
        </row>
        <row r="2467">
          <cell r="A2467">
            <v>1714000253</v>
          </cell>
          <cell r="B2467" t="str">
            <v>עובדי כ"א</v>
          </cell>
        </row>
        <row r="2468">
          <cell r="A2468">
            <v>1714000400</v>
          </cell>
          <cell r="B2468" t="str">
            <v>אחזקת בנינים וציוד</v>
          </cell>
        </row>
        <row r="2469">
          <cell r="A2469">
            <v>1714000410</v>
          </cell>
          <cell r="B2469" t="str">
            <v xml:space="preserve">שכ"ד              </v>
          </cell>
        </row>
        <row r="2470">
          <cell r="A2470">
            <v>1714000431</v>
          </cell>
          <cell r="B2470" t="str">
            <v xml:space="preserve">חשמל              </v>
          </cell>
        </row>
        <row r="2471">
          <cell r="A2471">
            <v>1714000433</v>
          </cell>
          <cell r="B2471" t="str">
            <v xml:space="preserve">חומרי נקיון       </v>
          </cell>
          <cell r="C2471">
            <v>2500</v>
          </cell>
        </row>
        <row r="2472">
          <cell r="A2472">
            <v>1714000437</v>
          </cell>
          <cell r="B2472" t="str">
            <v xml:space="preserve">אחזקת אזעקה       </v>
          </cell>
          <cell r="C2472">
            <v>1300</v>
          </cell>
        </row>
        <row r="2473">
          <cell r="A2473">
            <v>1714000441</v>
          </cell>
          <cell r="B2473" t="str">
            <v xml:space="preserve">ביטוח             </v>
          </cell>
        </row>
        <row r="2474">
          <cell r="A2474">
            <v>1714000470</v>
          </cell>
          <cell r="B2474" t="str">
            <v xml:space="preserve">אחזקת מכונות משרד </v>
          </cell>
          <cell r="C2474">
            <v>700</v>
          </cell>
        </row>
        <row r="2475">
          <cell r="A2475">
            <v>1714000471</v>
          </cell>
          <cell r="B2475" t="str">
            <v xml:space="preserve">מכשירי כתיבה      </v>
          </cell>
          <cell r="C2475">
            <v>9000</v>
          </cell>
        </row>
        <row r="2476">
          <cell r="A2476">
            <v>1714000511</v>
          </cell>
          <cell r="B2476" t="str">
            <v xml:space="preserve">אירוח וכיבוד      </v>
          </cell>
          <cell r="C2476">
            <v>5100</v>
          </cell>
        </row>
        <row r="2477">
          <cell r="A2477">
            <v>1714000522</v>
          </cell>
          <cell r="B2477" t="str">
            <v xml:space="preserve">ספרים ועיתונים    </v>
          </cell>
          <cell r="C2477">
            <v>900</v>
          </cell>
        </row>
        <row r="2478">
          <cell r="A2478">
            <v>1714000540</v>
          </cell>
          <cell r="B2478" t="str">
            <v xml:space="preserve">הוצאות טלפון      </v>
          </cell>
        </row>
        <row r="2479">
          <cell r="A2479">
            <v>1714000544</v>
          </cell>
          <cell r="B2479" t="str">
            <v xml:space="preserve">הוצאות דאר        </v>
          </cell>
          <cell r="C2479">
            <v>12600</v>
          </cell>
        </row>
        <row r="2480">
          <cell r="A2480">
            <v>1714000550</v>
          </cell>
          <cell r="B2480" t="str">
            <v xml:space="preserve">פירסומים          </v>
          </cell>
          <cell r="C2480">
            <v>21600</v>
          </cell>
        </row>
        <row r="2481">
          <cell r="A2481">
            <v>1714000561</v>
          </cell>
          <cell r="B2481" t="str">
            <v xml:space="preserve">שיכפולים          </v>
          </cell>
          <cell r="C2481">
            <v>0</v>
          </cell>
        </row>
        <row r="2482">
          <cell r="A2482">
            <v>1714000562</v>
          </cell>
          <cell r="B2482" t="str">
            <v xml:space="preserve">הדפסות            </v>
          </cell>
          <cell r="C2482">
            <v>15000</v>
          </cell>
        </row>
        <row r="2483">
          <cell r="A2483">
            <v>1714000571</v>
          </cell>
          <cell r="B2483" t="str">
            <v xml:space="preserve">מיכון וענ"א       </v>
          </cell>
        </row>
        <row r="2484">
          <cell r="A2484">
            <v>1714000580</v>
          </cell>
          <cell r="B2484" t="str">
            <v xml:space="preserve">יעוץ וטרינרי      </v>
          </cell>
          <cell r="C2484">
            <v>0</v>
          </cell>
        </row>
        <row r="2485">
          <cell r="A2485">
            <v>1714000585</v>
          </cell>
          <cell r="B2485" t="str">
            <v xml:space="preserve">בדיקות בשר        </v>
          </cell>
          <cell r="C2485">
            <v>1700</v>
          </cell>
        </row>
        <row r="2486">
          <cell r="A2486">
            <v>1714000596</v>
          </cell>
          <cell r="B2486" t="str">
            <v xml:space="preserve">השתתפות בעזר 096  </v>
          </cell>
        </row>
        <row r="2487">
          <cell r="A2487">
            <v>1714000700</v>
          </cell>
          <cell r="B2487" t="str">
            <v xml:space="preserve">הוצאות לפעולות    </v>
          </cell>
        </row>
        <row r="2488">
          <cell r="A2488">
            <v>1714000721</v>
          </cell>
          <cell r="B2488" t="str">
            <v>חמרים-תחזוקת מבנים</v>
          </cell>
          <cell r="C2488">
            <v>1400</v>
          </cell>
        </row>
        <row r="2489">
          <cell r="A2489">
            <v>1714000722</v>
          </cell>
          <cell r="B2489" t="str">
            <v xml:space="preserve">לוחיות ושבבים     </v>
          </cell>
          <cell r="C2489">
            <v>0</v>
          </cell>
        </row>
        <row r="2490">
          <cell r="A2490">
            <v>1714000723</v>
          </cell>
          <cell r="B2490" t="str">
            <v xml:space="preserve">חומר חיסון לכלבים </v>
          </cell>
          <cell r="C2490">
            <v>200000</v>
          </cell>
        </row>
        <row r="2491">
          <cell r="A2491">
            <v>1714000742</v>
          </cell>
          <cell r="B2491" t="str">
            <v xml:space="preserve">כלים וציוד        </v>
          </cell>
          <cell r="C2491">
            <v>0</v>
          </cell>
        </row>
        <row r="2492">
          <cell r="A2492">
            <v>1714000751</v>
          </cell>
          <cell r="B2492" t="str">
            <v xml:space="preserve">עבודות קבלניות    </v>
          </cell>
          <cell r="C2492">
            <v>3400</v>
          </cell>
        </row>
        <row r="2493">
          <cell r="A2493">
            <v>1714000752</v>
          </cell>
          <cell r="B2493" t="str">
            <v xml:space="preserve">נקיון בקבלנות     </v>
          </cell>
          <cell r="C2493">
            <v>64800</v>
          </cell>
        </row>
        <row r="2494">
          <cell r="A2494">
            <v>1714000753</v>
          </cell>
          <cell r="B2494" t="str">
            <v xml:space="preserve">אספקת עובדים      </v>
          </cell>
        </row>
        <row r="2495">
          <cell r="A2495">
            <v>1714000754</v>
          </cell>
          <cell r="B2495" t="str">
            <v>מרפאות וטרינרית-חרום</v>
          </cell>
          <cell r="C2495">
            <v>55000</v>
          </cell>
        </row>
        <row r="2496">
          <cell r="A2496">
            <v>1714000756</v>
          </cell>
          <cell r="B2496" t="str">
            <v xml:space="preserve">שמירה בקבלנות     </v>
          </cell>
          <cell r="C2496">
            <v>0</v>
          </cell>
        </row>
        <row r="2497">
          <cell r="A2497">
            <v>1714000757</v>
          </cell>
          <cell r="B2497" t="str">
            <v xml:space="preserve">הסגרת כלבים       </v>
          </cell>
          <cell r="C2497">
            <v>0</v>
          </cell>
        </row>
        <row r="2498">
          <cell r="A2498">
            <v>1714000758</v>
          </cell>
          <cell r="B2498" t="str">
            <v xml:space="preserve">הסגר-בעלי חיים    </v>
          </cell>
          <cell r="C2498">
            <v>383000</v>
          </cell>
        </row>
        <row r="2499">
          <cell r="A2499">
            <v>1714000759</v>
          </cell>
          <cell r="B2499" t="str">
            <v>עיקור חתולים וכלבים</v>
          </cell>
          <cell r="C2499">
            <v>549000</v>
          </cell>
        </row>
        <row r="2500">
          <cell r="A2500">
            <v>1714000780</v>
          </cell>
          <cell r="B2500" t="str">
            <v>מוקד ארצי לחיסונים</v>
          </cell>
          <cell r="C2500">
            <v>77000</v>
          </cell>
        </row>
        <row r="2501">
          <cell r="A2501">
            <v>1714000781</v>
          </cell>
          <cell r="B2501" t="str">
            <v>מרפאה ווטרינרית</v>
          </cell>
          <cell r="C2501">
            <v>30000</v>
          </cell>
        </row>
        <row r="2502">
          <cell r="A2502">
            <v>1714000880</v>
          </cell>
          <cell r="B2502" t="str">
            <v>מוקד ארצי לחיסונים</v>
          </cell>
          <cell r="C2502">
            <v>0</v>
          </cell>
        </row>
        <row r="2503">
          <cell r="A2503">
            <v>1714000931</v>
          </cell>
          <cell r="B2503" t="str">
            <v>רכישות ציוד</v>
          </cell>
          <cell r="C2503">
            <v>35.5</v>
          </cell>
        </row>
        <row r="2504">
          <cell r="A2504">
            <v>1714000961</v>
          </cell>
          <cell r="B2504" t="str">
            <v>רז' פעולות ורכישות</v>
          </cell>
        </row>
        <row r="2505">
          <cell r="A2505" t="str">
            <v>#VALUE!</v>
          </cell>
          <cell r="B2505" t="str">
            <v xml:space="preserve">שרות וטרינרי      </v>
          </cell>
        </row>
        <row r="2506">
          <cell r="A2506">
            <v>17150000</v>
          </cell>
          <cell r="B2506" t="str">
            <v xml:space="preserve">תברואה  מונעת     </v>
          </cell>
        </row>
        <row r="2507">
          <cell r="A2507">
            <v>17153000</v>
          </cell>
          <cell r="B2507" t="str">
            <v xml:space="preserve">הדברת מזיקים      </v>
          </cell>
        </row>
        <row r="2508">
          <cell r="A2508">
            <v>1715300100</v>
          </cell>
          <cell r="B2508" t="str">
            <v>שכר עובדים לפי תקן</v>
          </cell>
        </row>
        <row r="2509">
          <cell r="A2509">
            <v>1715300110</v>
          </cell>
          <cell r="B2509" t="str">
            <v>השכר הקובע-תקציבית</v>
          </cell>
        </row>
        <row r="2510">
          <cell r="A2510">
            <v>1715300119</v>
          </cell>
          <cell r="B2510" t="str">
            <v xml:space="preserve">השכר הקובע-צוברת  </v>
          </cell>
          <cell r="C2510">
            <v>0</v>
          </cell>
        </row>
        <row r="2511">
          <cell r="A2511">
            <v>1715300122</v>
          </cell>
          <cell r="B2511" t="str">
            <v xml:space="preserve">ביגוד             </v>
          </cell>
          <cell r="C2511">
            <v>0</v>
          </cell>
        </row>
        <row r="2512">
          <cell r="A2512">
            <v>1715300126</v>
          </cell>
          <cell r="B2512" t="str">
            <v xml:space="preserve">דמי הבראה         </v>
          </cell>
        </row>
        <row r="2513">
          <cell r="A2513">
            <v>1715300130</v>
          </cell>
          <cell r="B2513" t="str">
            <v xml:space="preserve">שעות נוספות       </v>
          </cell>
        </row>
        <row r="2514">
          <cell r="A2514">
            <v>1715300140</v>
          </cell>
          <cell r="B2514" t="str">
            <v>השתתפות באחזקת רכב</v>
          </cell>
          <cell r="C2514">
            <v>0</v>
          </cell>
        </row>
        <row r="2515">
          <cell r="A2515">
            <v>1715300400</v>
          </cell>
          <cell r="B2515" t="str">
            <v>אחזקת בנינים וציוד</v>
          </cell>
        </row>
        <row r="2516">
          <cell r="A2516">
            <v>1715300500</v>
          </cell>
          <cell r="B2516" t="str">
            <v xml:space="preserve">הוצאות מינהליות   </v>
          </cell>
        </row>
        <row r="2517">
          <cell r="A2517">
            <v>1715300550</v>
          </cell>
          <cell r="B2517" t="str">
            <v xml:space="preserve">פעולות הסברה      </v>
          </cell>
          <cell r="C2517">
            <v>25700</v>
          </cell>
        </row>
        <row r="2518">
          <cell r="A2518">
            <v>1715300561</v>
          </cell>
          <cell r="B2518" t="str">
            <v xml:space="preserve">שיכפולים          </v>
          </cell>
        </row>
        <row r="2519">
          <cell r="A2519">
            <v>1715300596</v>
          </cell>
          <cell r="B2519" t="str">
            <v xml:space="preserve">השתתפות בעזר 096  </v>
          </cell>
        </row>
        <row r="2520">
          <cell r="A2520">
            <v>1715300700</v>
          </cell>
          <cell r="B2520" t="str">
            <v xml:space="preserve">הוצאות לפעולות    </v>
          </cell>
        </row>
        <row r="2521">
          <cell r="A2521">
            <v>1715300722</v>
          </cell>
          <cell r="B2521" t="str">
            <v xml:space="preserve">חומרי הדברה       </v>
          </cell>
        </row>
        <row r="2522">
          <cell r="A2522">
            <v>1715300742</v>
          </cell>
          <cell r="B2522" t="str">
            <v xml:space="preserve">כלים וציוד        </v>
          </cell>
        </row>
        <row r="2523">
          <cell r="A2523">
            <v>1715300757</v>
          </cell>
          <cell r="B2523" t="str">
            <v xml:space="preserve">פעולות הדברה      </v>
          </cell>
          <cell r="C2523">
            <v>78300</v>
          </cell>
        </row>
        <row r="2524">
          <cell r="A2524">
            <v>1715300758</v>
          </cell>
          <cell r="B2524" t="str">
            <v xml:space="preserve">לוכד נחשים        </v>
          </cell>
        </row>
        <row r="2525">
          <cell r="A2525">
            <v>1715300759</v>
          </cell>
          <cell r="B2525" t="str">
            <v>הדברה</v>
          </cell>
          <cell r="C2525">
            <v>335000</v>
          </cell>
        </row>
        <row r="2526">
          <cell r="A2526">
            <v>1715300931</v>
          </cell>
          <cell r="B2526" t="str">
            <v>רכישת רכב</v>
          </cell>
        </row>
        <row r="2527">
          <cell r="A2527">
            <v>1715300961</v>
          </cell>
          <cell r="B2527" t="str">
            <v>רז' פעולות ורכישות</v>
          </cell>
        </row>
        <row r="2528">
          <cell r="A2528" t="str">
            <v>#VALUE!</v>
          </cell>
          <cell r="B2528" t="str">
            <v xml:space="preserve">הדברת מזיקים      </v>
          </cell>
        </row>
        <row r="2529">
          <cell r="A2529">
            <v>17210000</v>
          </cell>
          <cell r="B2529" t="str">
            <v>שמירה ובטחון</v>
          </cell>
        </row>
        <row r="2530">
          <cell r="A2530">
            <v>17200000</v>
          </cell>
          <cell r="B2530" t="str">
            <v>מינהל שמירה ובטחון</v>
          </cell>
        </row>
        <row r="2531">
          <cell r="A2531">
            <v>1721000110</v>
          </cell>
          <cell r="B2531" t="str">
            <v>השכר הקובע-תקציבית</v>
          </cell>
          <cell r="C2531">
            <v>368500</v>
          </cell>
        </row>
        <row r="2532">
          <cell r="A2532">
            <v>1721000119</v>
          </cell>
          <cell r="B2532" t="str">
            <v xml:space="preserve">השכר הקובע-צוברת  </v>
          </cell>
          <cell r="C2532">
            <v>2241200</v>
          </cell>
        </row>
        <row r="2533">
          <cell r="A2533">
            <v>1721000122</v>
          </cell>
          <cell r="B2533" t="str">
            <v xml:space="preserve">ביגוד             </v>
          </cell>
          <cell r="C2533">
            <v>36000</v>
          </cell>
        </row>
        <row r="2534">
          <cell r="A2534">
            <v>1721000126</v>
          </cell>
          <cell r="B2534" t="str">
            <v xml:space="preserve">דמי הבראה         </v>
          </cell>
          <cell r="C2534">
            <v>79000</v>
          </cell>
        </row>
        <row r="2535">
          <cell r="A2535">
            <v>1721000130</v>
          </cell>
          <cell r="B2535" t="str">
            <v xml:space="preserve">שעות נוספות       </v>
          </cell>
          <cell r="C2535">
            <v>99000</v>
          </cell>
        </row>
        <row r="2536">
          <cell r="A2536">
            <v>1721000140</v>
          </cell>
          <cell r="B2536" t="str">
            <v>השתתפות באחזקת רכב</v>
          </cell>
          <cell r="C2536">
            <v>170000</v>
          </cell>
        </row>
        <row r="2537">
          <cell r="A2537">
            <v>1721000253</v>
          </cell>
          <cell r="B2537" t="str">
            <v xml:space="preserve">עובד חיצוני       </v>
          </cell>
        </row>
        <row r="2538">
          <cell r="A2538">
            <v>1721000350</v>
          </cell>
          <cell r="B2538" t="str">
            <v>ליסינג - 508-02-003</v>
          </cell>
          <cell r="C2538">
            <v>60000</v>
          </cell>
        </row>
        <row r="2539">
          <cell r="A2539">
            <v>1721000351</v>
          </cell>
          <cell r="B2539" t="str">
            <v>הוצאות - 508-02-003</v>
          </cell>
          <cell r="C2539">
            <v>40000</v>
          </cell>
        </row>
        <row r="2540">
          <cell r="A2540">
            <v>1721000400</v>
          </cell>
          <cell r="B2540" t="str">
            <v>אחזקת בנינים וציוד</v>
          </cell>
        </row>
        <row r="2541">
          <cell r="A2541">
            <v>1721000437</v>
          </cell>
          <cell r="B2541" t="str">
            <v>לחצני מצוקה ומערכות טנולוגיות</v>
          </cell>
          <cell r="C2541">
            <v>135000</v>
          </cell>
        </row>
        <row r="2542">
          <cell r="A2542">
            <v>1721000438</v>
          </cell>
          <cell r="B2542" t="str">
            <v>אגרת רישוי מכשירי קשר</v>
          </cell>
          <cell r="C2542">
            <v>29700</v>
          </cell>
        </row>
        <row r="2543">
          <cell r="A2543">
            <v>1721000439</v>
          </cell>
          <cell r="B2543" t="str">
            <v>אגרת רישיון נשק</v>
          </cell>
          <cell r="C2543">
            <v>0</v>
          </cell>
        </row>
        <row r="2544">
          <cell r="A2544">
            <v>1721000450</v>
          </cell>
          <cell r="B2544" t="str">
            <v>אחזקת תמי 4</v>
          </cell>
          <cell r="C2544">
            <v>1000</v>
          </cell>
        </row>
        <row r="2545">
          <cell r="A2545">
            <v>1721000470</v>
          </cell>
          <cell r="B2545" t="str">
            <v xml:space="preserve">אחזקת מכונות משרד </v>
          </cell>
          <cell r="C2545">
            <v>4100</v>
          </cell>
        </row>
        <row r="2546">
          <cell r="A2546">
            <v>1721000471</v>
          </cell>
          <cell r="B2546" t="str">
            <v xml:space="preserve">מכשירי כתיבה      </v>
          </cell>
          <cell r="C2546">
            <v>11600</v>
          </cell>
        </row>
        <row r="2547">
          <cell r="A2547">
            <v>1721000500</v>
          </cell>
          <cell r="B2547" t="str">
            <v xml:space="preserve">הוצאות מינהליות   </v>
          </cell>
        </row>
        <row r="2548">
          <cell r="A2548">
            <v>1721000511</v>
          </cell>
          <cell r="B2548" t="str">
            <v xml:space="preserve">אירוח וכיבוד      </v>
          </cell>
          <cell r="C2548">
            <v>20000</v>
          </cell>
        </row>
        <row r="2549">
          <cell r="A2549">
            <v>1721000512</v>
          </cell>
          <cell r="B2549" t="str">
            <v xml:space="preserve">נסיעות ואש"ל      </v>
          </cell>
          <cell r="C2549">
            <v>400</v>
          </cell>
        </row>
        <row r="2550">
          <cell r="A2550">
            <v>1721000522</v>
          </cell>
          <cell r="B2550" t="str">
            <v xml:space="preserve">ספרים ועיתונים    </v>
          </cell>
          <cell r="C2550">
            <v>300</v>
          </cell>
        </row>
        <row r="2551">
          <cell r="A2551">
            <v>1721000550</v>
          </cell>
          <cell r="B2551" t="str">
            <v xml:space="preserve">פירסומים          </v>
          </cell>
          <cell r="C2551">
            <v>1700</v>
          </cell>
        </row>
        <row r="2552">
          <cell r="A2552">
            <v>1721000561</v>
          </cell>
          <cell r="B2552" t="str">
            <v xml:space="preserve">שיכפולים          </v>
          </cell>
          <cell r="C2552">
            <v>25000</v>
          </cell>
        </row>
        <row r="2553">
          <cell r="A2553">
            <v>1721000562</v>
          </cell>
          <cell r="B2553" t="str">
            <v xml:space="preserve">הדפסות            </v>
          </cell>
          <cell r="C2553">
            <v>2000</v>
          </cell>
        </row>
        <row r="2554">
          <cell r="A2554">
            <v>1721000571</v>
          </cell>
          <cell r="B2554" t="str">
            <v xml:space="preserve">מיכון וענ"א       </v>
          </cell>
          <cell r="C2554">
            <v>79100</v>
          </cell>
        </row>
        <row r="2555">
          <cell r="A2555">
            <v>1721000596</v>
          </cell>
          <cell r="B2555" t="str">
            <v xml:space="preserve">השתתפות בעזר 096  </v>
          </cell>
          <cell r="C2555">
            <v>103000</v>
          </cell>
        </row>
        <row r="2556">
          <cell r="A2556">
            <v>1721000710</v>
          </cell>
          <cell r="B2556" t="str">
            <v xml:space="preserve">הובלות והסעות     </v>
          </cell>
          <cell r="C2556">
            <v>1700</v>
          </cell>
        </row>
        <row r="2557">
          <cell r="A2557">
            <v>1721000722</v>
          </cell>
          <cell r="B2557" t="str">
            <v>חמרים-תחזוקה עצמית</v>
          </cell>
          <cell r="C2557">
            <v>6300</v>
          </cell>
        </row>
        <row r="2558">
          <cell r="A2558">
            <v>1721000740</v>
          </cell>
          <cell r="B2558" t="str">
            <v xml:space="preserve">ציוד חרום         </v>
          </cell>
          <cell r="C2558">
            <v>30000</v>
          </cell>
        </row>
        <row r="2559">
          <cell r="A2559">
            <v>1721000742</v>
          </cell>
          <cell r="B2559" t="str">
            <v xml:space="preserve">כלים וציוד        </v>
          </cell>
          <cell r="C2559">
            <v>13500</v>
          </cell>
        </row>
        <row r="2560">
          <cell r="A2560">
            <v>1721000743</v>
          </cell>
          <cell r="B2560" t="str">
            <v>מערכות מיגון אב"כ</v>
          </cell>
          <cell r="C2560">
            <v>75000</v>
          </cell>
        </row>
        <row r="2561">
          <cell r="A2561">
            <v>1721000751</v>
          </cell>
          <cell r="B2561" t="str">
            <v xml:space="preserve">עבודות קבלניות    </v>
          </cell>
        </row>
        <row r="2562">
          <cell r="A2562">
            <v>1721000753</v>
          </cell>
          <cell r="B2562" t="str">
            <v xml:space="preserve">עובד חיצוני       </v>
          </cell>
        </row>
        <row r="2563">
          <cell r="A2563">
            <v>1721000780</v>
          </cell>
          <cell r="B2563" t="str">
            <v xml:space="preserve">סדרי ביטחון+הדרכה      </v>
          </cell>
          <cell r="C2563">
            <v>35900</v>
          </cell>
        </row>
        <row r="2564">
          <cell r="A2564">
            <v>1721000781</v>
          </cell>
          <cell r="B2564" t="str">
            <v xml:space="preserve">מטווחים           </v>
          </cell>
          <cell r="C2564">
            <v>15300</v>
          </cell>
        </row>
        <row r="2565">
          <cell r="A2565">
            <v>1721000782</v>
          </cell>
          <cell r="B2565" t="str">
            <v>ארועים עירוניים</v>
          </cell>
          <cell r="C2565">
            <v>1795500</v>
          </cell>
        </row>
        <row r="2566">
          <cell r="A2566">
            <v>1721000784</v>
          </cell>
          <cell r="B2566" t="str">
            <v>מתנדבים</v>
          </cell>
          <cell r="C2566">
            <v>40000</v>
          </cell>
        </row>
        <row r="2567">
          <cell r="A2567">
            <v>1721000900</v>
          </cell>
          <cell r="B2567" t="str">
            <v xml:space="preserve">הוצאות חד פעמיות  </v>
          </cell>
        </row>
        <row r="2568">
          <cell r="A2568">
            <v>1721000931</v>
          </cell>
          <cell r="B2568" t="str">
            <v>גידור ועזרים - מוס"ח</v>
          </cell>
          <cell r="C2568">
            <v>45000</v>
          </cell>
        </row>
        <row r="2569">
          <cell r="A2569">
            <v>1721000932</v>
          </cell>
          <cell r="B2569" t="str">
            <v>רזרבה-מערכות אזעקה</v>
          </cell>
          <cell r="C2569">
            <v>34200</v>
          </cell>
        </row>
        <row r="2570">
          <cell r="A2570">
            <v>1721000933</v>
          </cell>
          <cell r="B2570" t="str">
            <v xml:space="preserve">רכישה ותחזוקת נשק </v>
          </cell>
          <cell r="C2570">
            <v>9000</v>
          </cell>
        </row>
        <row r="2571">
          <cell r="A2571">
            <v>1721000961</v>
          </cell>
          <cell r="B2571" t="str">
            <v>רז' פעולות ורכישות</v>
          </cell>
        </row>
        <row r="2572">
          <cell r="A2572" t="str">
            <v>#VALUE!</v>
          </cell>
          <cell r="B2572" t="str">
            <v>מינהל שמירה ובטחון</v>
          </cell>
        </row>
        <row r="2573">
          <cell r="A2573">
            <v>17211000</v>
          </cell>
          <cell r="B2573" t="str">
            <v>מחלקת בטיחות</v>
          </cell>
        </row>
        <row r="2574">
          <cell r="A2574">
            <v>1721100110</v>
          </cell>
          <cell r="B2574" t="str">
            <v>השכר הקובע-תקציבית</v>
          </cell>
        </row>
        <row r="2575">
          <cell r="A2575">
            <v>1721100119</v>
          </cell>
          <cell r="B2575" t="str">
            <v xml:space="preserve">השכר הקובע-צוברת  </v>
          </cell>
        </row>
        <row r="2576">
          <cell r="A2576">
            <v>1721100122</v>
          </cell>
          <cell r="B2576" t="str">
            <v xml:space="preserve">ביגוד             </v>
          </cell>
        </row>
        <row r="2577">
          <cell r="A2577">
            <v>1721100126</v>
          </cell>
          <cell r="B2577" t="str">
            <v xml:space="preserve">דמי הבראה         </v>
          </cell>
        </row>
        <row r="2578">
          <cell r="A2578">
            <v>1721100130</v>
          </cell>
          <cell r="B2578" t="str">
            <v xml:space="preserve">שעות נוספות       </v>
          </cell>
        </row>
        <row r="2579">
          <cell r="A2579">
            <v>1721100140</v>
          </cell>
          <cell r="B2579" t="str">
            <v>השתתפות באחזקת רכב</v>
          </cell>
        </row>
        <row r="2580">
          <cell r="A2580">
            <v>1721100253</v>
          </cell>
          <cell r="B2580" t="str">
            <v xml:space="preserve">עובדים חיצוניים   </v>
          </cell>
        </row>
        <row r="2581">
          <cell r="A2581">
            <v>1721100580</v>
          </cell>
          <cell r="B2581" t="str">
            <v>השתלמויות והדרכות</v>
          </cell>
          <cell r="C2581">
            <v>66700</v>
          </cell>
        </row>
        <row r="2582">
          <cell r="A2582">
            <v>1721100581</v>
          </cell>
          <cell r="B2582" t="str">
            <v>יעוץ בטיחות</v>
          </cell>
          <cell r="C2582">
            <v>550000</v>
          </cell>
        </row>
        <row r="2583">
          <cell r="A2583">
            <v>1721100751</v>
          </cell>
          <cell r="B2583" t="str">
            <v>עבודות בטיחות</v>
          </cell>
        </row>
        <row r="2584">
          <cell r="A2584">
            <v>1721100753</v>
          </cell>
          <cell r="B2584" t="str">
            <v xml:space="preserve">עובדים חיצוניים   </v>
          </cell>
        </row>
        <row r="2585">
          <cell r="A2585">
            <v>1721100780</v>
          </cell>
          <cell r="B2585" t="str">
            <v>פעילות שוטפת</v>
          </cell>
          <cell r="C2585">
            <v>6800</v>
          </cell>
        </row>
        <row r="2586">
          <cell r="A2586">
            <v>1721100961</v>
          </cell>
          <cell r="B2586" t="str">
            <v>רז' פעולות ורכישות</v>
          </cell>
        </row>
        <row r="2587">
          <cell r="A2587" t="str">
            <v>#VALUE!</v>
          </cell>
          <cell r="B2587" t="str">
            <v>מחלקת בטיחות</v>
          </cell>
        </row>
        <row r="2588">
          <cell r="A2588">
            <v>17220000</v>
          </cell>
          <cell r="B2588" t="str">
            <v xml:space="preserve">שמירה ביטחונית    </v>
          </cell>
        </row>
        <row r="2589">
          <cell r="A2589">
            <v>17221000</v>
          </cell>
          <cell r="B2589" t="str">
            <v xml:space="preserve">משמר אזרחי        </v>
          </cell>
        </row>
        <row r="2590">
          <cell r="A2590">
            <v>1722100100</v>
          </cell>
          <cell r="B2590" t="str">
            <v>שכר עובדים לפי תקן</v>
          </cell>
        </row>
        <row r="2591">
          <cell r="A2591">
            <v>1722100110</v>
          </cell>
          <cell r="B2591" t="str">
            <v>השכר הקובע-תקציבית</v>
          </cell>
        </row>
        <row r="2592">
          <cell r="A2592">
            <v>1722100119</v>
          </cell>
          <cell r="B2592" t="str">
            <v xml:space="preserve">השכר הקובע-צוברת  </v>
          </cell>
        </row>
        <row r="2593">
          <cell r="A2593">
            <v>1722100122</v>
          </cell>
          <cell r="B2593" t="str">
            <v xml:space="preserve">ביגוד             </v>
          </cell>
        </row>
        <row r="2594">
          <cell r="A2594">
            <v>1722100126</v>
          </cell>
          <cell r="B2594" t="str">
            <v xml:space="preserve">דמי הבראה         </v>
          </cell>
        </row>
        <row r="2595">
          <cell r="A2595">
            <v>1722100400</v>
          </cell>
          <cell r="B2595" t="str">
            <v>אחזקת בנינים וציוד</v>
          </cell>
        </row>
        <row r="2596">
          <cell r="A2596">
            <v>1722100400</v>
          </cell>
          <cell r="B2596" t="str">
            <v xml:space="preserve">ועד בית           </v>
          </cell>
        </row>
        <row r="2597">
          <cell r="A2597">
            <v>1722100412</v>
          </cell>
          <cell r="B2597" t="str">
            <v>ארנונה משא"ז</v>
          </cell>
        </row>
        <row r="2598">
          <cell r="A2598">
            <v>1722100420</v>
          </cell>
          <cell r="B2598" t="str">
            <v xml:space="preserve">כיבוי אש          </v>
          </cell>
        </row>
        <row r="2599">
          <cell r="A2599">
            <v>1722100423</v>
          </cell>
          <cell r="B2599" t="str">
            <v xml:space="preserve">תחזוקת מבנה       </v>
          </cell>
        </row>
        <row r="2600">
          <cell r="A2600">
            <v>1722100431</v>
          </cell>
          <cell r="B2600" t="str">
            <v xml:space="preserve">חשמל              </v>
          </cell>
          <cell r="C2600">
            <v>33000</v>
          </cell>
        </row>
        <row r="2601">
          <cell r="A2601">
            <v>1722100432</v>
          </cell>
          <cell r="B2601" t="str">
            <v xml:space="preserve">מים               </v>
          </cell>
        </row>
        <row r="2602">
          <cell r="A2602">
            <v>1722100433</v>
          </cell>
          <cell r="B2602" t="str">
            <v xml:space="preserve">חומרי נקיון       </v>
          </cell>
          <cell r="C2602">
            <v>1200</v>
          </cell>
        </row>
        <row r="2603">
          <cell r="A2603">
            <v>1722100441</v>
          </cell>
          <cell r="B2603" t="str">
            <v xml:space="preserve">ביטוח             </v>
          </cell>
        </row>
        <row r="2604">
          <cell r="A2604">
            <v>1722100450</v>
          </cell>
          <cell r="B2604" t="str">
            <v xml:space="preserve">ריהוט ואחזקתו     </v>
          </cell>
        </row>
        <row r="2605">
          <cell r="A2605">
            <v>1722100470</v>
          </cell>
          <cell r="B2605" t="str">
            <v xml:space="preserve">אחזקת מכונות משרד </v>
          </cell>
          <cell r="C2605">
            <v>1700</v>
          </cell>
        </row>
        <row r="2606">
          <cell r="A2606">
            <v>1722100471</v>
          </cell>
          <cell r="B2606" t="str">
            <v xml:space="preserve">מכשירי כתיבה      </v>
          </cell>
          <cell r="C2606">
            <v>3000</v>
          </cell>
        </row>
        <row r="2607">
          <cell r="A2607">
            <v>1722100511</v>
          </cell>
          <cell r="B2607" t="str">
            <v xml:space="preserve">אירוח וכיבוד      </v>
          </cell>
          <cell r="C2607">
            <v>6300</v>
          </cell>
        </row>
        <row r="2608">
          <cell r="A2608">
            <v>1722100550</v>
          </cell>
          <cell r="B2608" t="str">
            <v xml:space="preserve">פירסומים          </v>
          </cell>
        </row>
        <row r="2609">
          <cell r="A2609">
            <v>1722100561</v>
          </cell>
          <cell r="B2609" t="str">
            <v xml:space="preserve">שיכפולים          </v>
          </cell>
          <cell r="C2609">
            <v>500</v>
          </cell>
        </row>
        <row r="2610">
          <cell r="A2610">
            <v>1722100700</v>
          </cell>
          <cell r="B2610" t="str">
            <v xml:space="preserve">הוצאות לפעולות    </v>
          </cell>
        </row>
        <row r="2611">
          <cell r="A2611">
            <v>1722100722</v>
          </cell>
          <cell r="B2611" t="str">
            <v>חמרים-תחזוקה עצמית</v>
          </cell>
        </row>
        <row r="2612">
          <cell r="A2612">
            <v>1722100742</v>
          </cell>
          <cell r="B2612" t="str">
            <v xml:space="preserve">כלים וציוד        </v>
          </cell>
          <cell r="C2612">
            <v>4600</v>
          </cell>
        </row>
        <row r="2613">
          <cell r="A2613">
            <v>1722100745</v>
          </cell>
          <cell r="B2613" t="str">
            <v xml:space="preserve">דמי פריצה - תכולה </v>
          </cell>
        </row>
        <row r="2614">
          <cell r="A2614">
            <v>1722100751</v>
          </cell>
          <cell r="B2614" t="str">
            <v xml:space="preserve">עבודות קבלניות    </v>
          </cell>
          <cell r="C2614">
            <v>4500</v>
          </cell>
        </row>
        <row r="2615">
          <cell r="A2615">
            <v>1722100753</v>
          </cell>
          <cell r="B2615" t="str">
            <v xml:space="preserve">עובדת חברה        </v>
          </cell>
        </row>
        <row r="2616">
          <cell r="A2616">
            <v>1722100780</v>
          </cell>
          <cell r="B2616" t="str">
            <v xml:space="preserve">מטווחים           </v>
          </cell>
          <cell r="C2616">
            <v>10300</v>
          </cell>
        </row>
        <row r="2617">
          <cell r="A2617">
            <v>1722100781</v>
          </cell>
          <cell r="B2617" t="str">
            <v xml:space="preserve">בסיסים חדשים      </v>
          </cell>
        </row>
        <row r="2618">
          <cell r="A2618">
            <v>1722100782</v>
          </cell>
          <cell r="B2618" t="str">
            <v xml:space="preserve">ארועים והסברה     </v>
          </cell>
          <cell r="C2618">
            <v>6600</v>
          </cell>
        </row>
        <row r="2619">
          <cell r="A2619">
            <v>1722100783</v>
          </cell>
          <cell r="B2619" t="str">
            <v>תחזוקת משקי"ם</v>
          </cell>
          <cell r="C2619">
            <v>6000</v>
          </cell>
        </row>
        <row r="2620">
          <cell r="A2620">
            <v>1722100784</v>
          </cell>
          <cell r="B2620" t="str">
            <v>מתנדבי השירות הלאומי</v>
          </cell>
          <cell r="C2620">
            <v>24900</v>
          </cell>
        </row>
        <row r="2621">
          <cell r="A2621">
            <v>1722100794</v>
          </cell>
          <cell r="B2621" t="str">
            <v xml:space="preserve">השתתפות בעזר 094  </v>
          </cell>
          <cell r="C2621">
            <v>5100</v>
          </cell>
        </row>
        <row r="2622">
          <cell r="A2622">
            <v>1722100900</v>
          </cell>
          <cell r="B2622" t="str">
            <v xml:space="preserve">הוצאות חד פעמיות  </v>
          </cell>
        </row>
        <row r="2623">
          <cell r="A2623">
            <v>1722100961</v>
          </cell>
          <cell r="B2623" t="str">
            <v>רז' פעולות ורכישות</v>
          </cell>
        </row>
        <row r="2624">
          <cell r="A2624" t="str">
            <v>#VALUE!</v>
          </cell>
          <cell r="B2624" t="str">
            <v xml:space="preserve">משמר אזרחי        </v>
          </cell>
        </row>
        <row r="2625">
          <cell r="A2625">
            <v>17222000</v>
          </cell>
          <cell r="B2625" t="str">
            <v>סיירת ביטחון</v>
          </cell>
        </row>
        <row r="2626">
          <cell r="A2626">
            <v>1722200110</v>
          </cell>
          <cell r="B2626" t="str">
            <v>השכר הקובע-תקציבית</v>
          </cell>
        </row>
        <row r="2627">
          <cell r="A2627">
            <v>1722200119</v>
          </cell>
          <cell r="B2627" t="str">
            <v xml:space="preserve">השכר הקובע-צוברת  </v>
          </cell>
        </row>
        <row r="2628">
          <cell r="A2628">
            <v>1722200122</v>
          </cell>
          <cell r="B2628" t="str">
            <v xml:space="preserve">ביגוד             </v>
          </cell>
        </row>
        <row r="2629">
          <cell r="A2629">
            <v>1722200126</v>
          </cell>
          <cell r="B2629" t="str">
            <v xml:space="preserve">דמי הבראה         </v>
          </cell>
        </row>
        <row r="2630">
          <cell r="A2630">
            <v>1722200130</v>
          </cell>
          <cell r="B2630" t="str">
            <v xml:space="preserve">שעות נוספות       </v>
          </cell>
        </row>
        <row r="2631">
          <cell r="A2631">
            <v>1722200140</v>
          </cell>
          <cell r="B2631" t="str">
            <v>השתתפות באחזקת רכב</v>
          </cell>
        </row>
        <row r="2632">
          <cell r="A2632">
            <v>1722200253</v>
          </cell>
          <cell r="B2632" t="str">
            <v xml:space="preserve">עובדים חיצוניים   </v>
          </cell>
        </row>
        <row r="2633">
          <cell r="A2633">
            <v>1722200431</v>
          </cell>
          <cell r="B2633" t="str">
            <v xml:space="preserve">חשמל              </v>
          </cell>
        </row>
        <row r="2634">
          <cell r="A2634">
            <v>1722200432</v>
          </cell>
          <cell r="B2634" t="str">
            <v xml:space="preserve">מים               </v>
          </cell>
        </row>
        <row r="2635">
          <cell r="A2635">
            <v>1722200470</v>
          </cell>
          <cell r="B2635" t="str">
            <v xml:space="preserve">אחזקת מכונות משרד </v>
          </cell>
        </row>
        <row r="2636">
          <cell r="A2636">
            <v>1722200471</v>
          </cell>
          <cell r="B2636" t="str">
            <v xml:space="preserve">מכשירי כתיבה      </v>
          </cell>
        </row>
        <row r="2637">
          <cell r="A2637">
            <v>1722200742</v>
          </cell>
          <cell r="B2637" t="str">
            <v>אחזקת סיירת - שוטף</v>
          </cell>
        </row>
        <row r="2638">
          <cell r="A2638">
            <v>1722200734</v>
          </cell>
          <cell r="B2638" t="str">
            <v>סולר</v>
          </cell>
        </row>
        <row r="2639">
          <cell r="A2639">
            <v>1722200752</v>
          </cell>
          <cell r="B2639" t="str">
            <v xml:space="preserve">נקיון בקבלנות     </v>
          </cell>
        </row>
        <row r="2640">
          <cell r="A2640">
            <v>1722200780</v>
          </cell>
          <cell r="B2640" t="str">
            <v>הפעלת הסיירת</v>
          </cell>
        </row>
        <row r="2641">
          <cell r="A2641">
            <v>1722200782</v>
          </cell>
          <cell r="B2641" t="str">
            <v xml:space="preserve">ארועים והסברה     </v>
          </cell>
        </row>
        <row r="2642">
          <cell r="A2642">
            <v>1722200910</v>
          </cell>
          <cell r="B2642" t="str">
            <v>העברה לתב"ר</v>
          </cell>
        </row>
        <row r="2643">
          <cell r="A2643">
            <v>1722200989</v>
          </cell>
          <cell r="B2643" t="str">
            <v>תקורות</v>
          </cell>
        </row>
        <row r="2644">
          <cell r="A2644" t="str">
            <v>#VALUE!</v>
          </cell>
          <cell r="B2644" t="str">
            <v>סיירת ביטחון</v>
          </cell>
        </row>
        <row r="2645">
          <cell r="A2645">
            <v>17230000</v>
          </cell>
          <cell r="B2645" t="str">
            <v xml:space="preserve">הג"א              </v>
          </cell>
        </row>
        <row r="2646">
          <cell r="A2646">
            <v>1723000100</v>
          </cell>
          <cell r="B2646" t="str">
            <v>שכר עובדים לפי תקן</v>
          </cell>
        </row>
        <row r="2647">
          <cell r="A2647">
            <v>1723000110</v>
          </cell>
          <cell r="B2647" t="str">
            <v>השכר הקובע-תקציבית</v>
          </cell>
          <cell r="C2647">
            <v>217000</v>
          </cell>
        </row>
        <row r="2648">
          <cell r="A2648">
            <v>1723000119</v>
          </cell>
          <cell r="B2648" t="str">
            <v xml:space="preserve">השכר הקובע-צוברת  </v>
          </cell>
          <cell r="C2648">
            <v>614400</v>
          </cell>
        </row>
        <row r="2649">
          <cell r="A2649">
            <v>1723000122</v>
          </cell>
          <cell r="B2649" t="str">
            <v xml:space="preserve">ביגוד             </v>
          </cell>
          <cell r="C2649">
            <v>12200</v>
          </cell>
        </row>
        <row r="2650">
          <cell r="A2650">
            <v>1723000126</v>
          </cell>
          <cell r="B2650" t="str">
            <v xml:space="preserve">דמי הבראה         </v>
          </cell>
          <cell r="C2650">
            <v>30000</v>
          </cell>
        </row>
        <row r="2651">
          <cell r="A2651">
            <v>1723000130</v>
          </cell>
          <cell r="B2651" t="str">
            <v xml:space="preserve">שעות נוספות       </v>
          </cell>
          <cell r="C2651">
            <v>70600</v>
          </cell>
        </row>
        <row r="2652">
          <cell r="A2652">
            <v>1723000140</v>
          </cell>
          <cell r="B2652" t="str">
            <v>השתתפות באחזקת רכב</v>
          </cell>
          <cell r="C2652">
            <v>83000</v>
          </cell>
        </row>
        <row r="2653">
          <cell r="A2653">
            <v>1723000210</v>
          </cell>
          <cell r="B2653" t="str">
            <v xml:space="preserve">השכר הקובע        </v>
          </cell>
        </row>
        <row r="2654">
          <cell r="A2654">
            <v>1723000253</v>
          </cell>
          <cell r="B2654" t="str">
            <v xml:space="preserve">עובדים חיצוניים   </v>
          </cell>
        </row>
        <row r="2655">
          <cell r="A2655">
            <v>1723000400</v>
          </cell>
          <cell r="B2655" t="str">
            <v>אחזקת בנינים וציוד</v>
          </cell>
        </row>
        <row r="2656">
          <cell r="A2656">
            <v>1723000410</v>
          </cell>
          <cell r="B2656" t="str">
            <v xml:space="preserve">השתתפות בועד בית  </v>
          </cell>
        </row>
        <row r="2657">
          <cell r="A2657">
            <v>1723000412</v>
          </cell>
          <cell r="B2657" t="str">
            <v>ארנונה מחסני ערכות מגן</v>
          </cell>
          <cell r="C2657">
            <v>100000</v>
          </cell>
        </row>
        <row r="2658">
          <cell r="A2658">
            <v>1723000423</v>
          </cell>
          <cell r="B2658" t="str">
            <v xml:space="preserve">תחזוקת מבנה       </v>
          </cell>
          <cell r="C2658">
            <v>5900</v>
          </cell>
        </row>
        <row r="2659">
          <cell r="A2659">
            <v>1723000431</v>
          </cell>
          <cell r="B2659" t="str">
            <v xml:space="preserve">חשמל              </v>
          </cell>
          <cell r="C2659">
            <v>50000</v>
          </cell>
        </row>
        <row r="2660">
          <cell r="A2660">
            <v>1723000432</v>
          </cell>
          <cell r="B2660" t="str">
            <v xml:space="preserve">מים               </v>
          </cell>
          <cell r="C2660">
            <v>10000</v>
          </cell>
        </row>
        <row r="2661">
          <cell r="A2661">
            <v>1723000433</v>
          </cell>
          <cell r="B2661" t="str">
            <v xml:space="preserve">חומרי נקיון       </v>
          </cell>
        </row>
        <row r="2662">
          <cell r="A2662">
            <v>1723000437</v>
          </cell>
          <cell r="B2662" t="str">
            <v>מערכת אזעקה</v>
          </cell>
          <cell r="C2662">
            <v>2800</v>
          </cell>
        </row>
        <row r="2663">
          <cell r="A2663">
            <v>1723000441</v>
          </cell>
          <cell r="B2663" t="str">
            <v xml:space="preserve">ביטוח מחסן        </v>
          </cell>
        </row>
        <row r="2664">
          <cell r="A2664">
            <v>1723000450</v>
          </cell>
          <cell r="B2664" t="str">
            <v xml:space="preserve">ריהוט ואחזקתו     </v>
          </cell>
        </row>
        <row r="2665">
          <cell r="A2665">
            <v>1723000471</v>
          </cell>
          <cell r="B2665" t="str">
            <v xml:space="preserve">מכשירי כתיבה      </v>
          </cell>
          <cell r="C2665">
            <v>1300</v>
          </cell>
        </row>
        <row r="2666">
          <cell r="A2666">
            <v>1723000477</v>
          </cell>
          <cell r="B2666" t="str">
            <v>אחז'מקלטים צבוריים</v>
          </cell>
          <cell r="C2666">
            <v>315000</v>
          </cell>
        </row>
        <row r="2667">
          <cell r="A2667">
            <v>1723000500</v>
          </cell>
          <cell r="B2667" t="str">
            <v xml:space="preserve">הוצאות מינהליות   </v>
          </cell>
        </row>
        <row r="2668">
          <cell r="A2668">
            <v>1723000522</v>
          </cell>
          <cell r="B2668" t="str">
            <v xml:space="preserve">ספרים ועיתונים    </v>
          </cell>
        </row>
        <row r="2669">
          <cell r="A2669">
            <v>1723000550</v>
          </cell>
          <cell r="B2669" t="str">
            <v xml:space="preserve">פירסומים          </v>
          </cell>
        </row>
        <row r="2670">
          <cell r="A2670">
            <v>1723000571</v>
          </cell>
          <cell r="B2670" t="str">
            <v xml:space="preserve">מיכון וענ"א       </v>
          </cell>
          <cell r="C2670">
            <v>15600</v>
          </cell>
        </row>
        <row r="2671">
          <cell r="A2671">
            <v>1723000700</v>
          </cell>
          <cell r="B2671" t="str">
            <v xml:space="preserve">הוצאות לפעולות    </v>
          </cell>
        </row>
        <row r="2672">
          <cell r="A2672">
            <v>1723000710</v>
          </cell>
          <cell r="B2672" t="str">
            <v xml:space="preserve">הובלות            </v>
          </cell>
          <cell r="C2672">
            <v>4500</v>
          </cell>
        </row>
        <row r="2673">
          <cell r="A2673">
            <v>1723000721</v>
          </cell>
          <cell r="B2673" t="str">
            <v>חמרים-תחזוקת מבנים</v>
          </cell>
          <cell r="C2673">
            <v>2700</v>
          </cell>
        </row>
        <row r="2674">
          <cell r="A2674">
            <v>1723000722</v>
          </cell>
          <cell r="B2674" t="str">
            <v>חמרים-תחזוקה עצמית</v>
          </cell>
          <cell r="C2674">
            <v>900</v>
          </cell>
        </row>
        <row r="2675">
          <cell r="A2675">
            <v>1723000742</v>
          </cell>
          <cell r="B2675" t="str">
            <v xml:space="preserve">כלים וציוד        </v>
          </cell>
        </row>
        <row r="2676">
          <cell r="A2676">
            <v>1723000743</v>
          </cell>
          <cell r="B2676" t="str">
            <v xml:space="preserve">תחזוקת ציוד הג"א  </v>
          </cell>
        </row>
        <row r="2677">
          <cell r="A2677">
            <v>1723000744</v>
          </cell>
          <cell r="B2677" t="str">
            <v xml:space="preserve">אחזקת ציוד        </v>
          </cell>
          <cell r="C2677">
            <v>9000</v>
          </cell>
        </row>
        <row r="2678">
          <cell r="A2678">
            <v>1723000745</v>
          </cell>
          <cell r="B2678" t="str">
            <v xml:space="preserve">דמי פריצה - תכולה </v>
          </cell>
        </row>
        <row r="2679">
          <cell r="A2679">
            <v>1723000751</v>
          </cell>
          <cell r="B2679" t="str">
            <v xml:space="preserve">עבודות קבלניות    </v>
          </cell>
          <cell r="C2679">
            <v>13500</v>
          </cell>
        </row>
        <row r="2680">
          <cell r="A2680">
            <v>1723000753</v>
          </cell>
          <cell r="B2680" t="str">
            <v xml:space="preserve">מ"מ - ע' חיצוניים </v>
          </cell>
        </row>
        <row r="2681">
          <cell r="A2681">
            <v>1723000780</v>
          </cell>
          <cell r="B2681" t="str">
            <v>תרגילי הג"א</v>
          </cell>
        </row>
        <row r="2682">
          <cell r="A2682">
            <v>1723000781</v>
          </cell>
          <cell r="B2682" t="str">
            <v xml:space="preserve">הסברה וארועים     </v>
          </cell>
          <cell r="C2682">
            <v>4100</v>
          </cell>
        </row>
        <row r="2683">
          <cell r="A2683">
            <v>1723000783</v>
          </cell>
          <cell r="B2683" t="str">
            <v xml:space="preserve">תרגילים וארועים   </v>
          </cell>
          <cell r="C2683">
            <v>2000</v>
          </cell>
        </row>
        <row r="2684">
          <cell r="A2684">
            <v>1723000794</v>
          </cell>
          <cell r="B2684" t="str">
            <v xml:space="preserve">השתתפות בעזר 094  </v>
          </cell>
          <cell r="C2684">
            <v>73300</v>
          </cell>
        </row>
        <row r="2685">
          <cell r="A2685">
            <v>1723000800</v>
          </cell>
          <cell r="B2685" t="str">
            <v>השת' תמיכות תרומות</v>
          </cell>
        </row>
        <row r="2686">
          <cell r="A2686">
            <v>1723000812</v>
          </cell>
          <cell r="B2686" t="str">
            <v xml:space="preserve">השתת'בתקציב הג"א  </v>
          </cell>
          <cell r="C2686">
            <v>1300000</v>
          </cell>
        </row>
        <row r="2687">
          <cell r="A2687">
            <v>1723000813</v>
          </cell>
          <cell r="B2687" t="str">
            <v xml:space="preserve">השתתפות בתרגילים  </v>
          </cell>
        </row>
        <row r="2688">
          <cell r="A2688">
            <v>1723000900</v>
          </cell>
          <cell r="B2688" t="str">
            <v xml:space="preserve">הוצאות חד פעמיות  </v>
          </cell>
        </row>
        <row r="2689">
          <cell r="A2689">
            <v>1723000931</v>
          </cell>
          <cell r="B2689" t="str">
            <v>התחשבנות הג"א מקומי</v>
          </cell>
        </row>
        <row r="2690">
          <cell r="A2690">
            <v>1723000933</v>
          </cell>
          <cell r="B2690" t="str">
            <v xml:space="preserve">הוצאות חד-פעמיות  </v>
          </cell>
          <cell r="C2690">
            <v>3600</v>
          </cell>
        </row>
        <row r="2691">
          <cell r="A2691">
            <v>1723000961</v>
          </cell>
          <cell r="B2691" t="str">
            <v>רז' פעולות ורכישות</v>
          </cell>
        </row>
        <row r="2692">
          <cell r="A2692" t="str">
            <v>#VALUE!</v>
          </cell>
          <cell r="B2692" t="str">
            <v xml:space="preserve">הג"א              </v>
          </cell>
        </row>
        <row r="2693">
          <cell r="A2693">
            <v>17240000</v>
          </cell>
          <cell r="B2693" t="str">
            <v xml:space="preserve">כבוי אש           </v>
          </cell>
        </row>
        <row r="2694">
          <cell r="A2694">
            <v>1724000421</v>
          </cell>
          <cell r="B2694" t="str">
            <v>אגרת כיבוי אש</v>
          </cell>
        </row>
        <row r="2695">
          <cell r="A2695">
            <v>1724000432</v>
          </cell>
          <cell r="B2695" t="str">
            <v xml:space="preserve">מים               </v>
          </cell>
        </row>
        <row r="2696">
          <cell r="A2696">
            <v>1724000596</v>
          </cell>
          <cell r="B2696" t="str">
            <v xml:space="preserve">דלק לכבאיות 096   </v>
          </cell>
        </row>
        <row r="2697">
          <cell r="A2697">
            <v>1724000800</v>
          </cell>
          <cell r="B2697" t="str">
            <v>השת' תמיכות תרומות</v>
          </cell>
        </row>
        <row r="2698">
          <cell r="A2698">
            <v>1724000830</v>
          </cell>
          <cell r="B2698" t="str">
            <v>הש'-איגוד כיבוי אש</v>
          </cell>
        </row>
        <row r="2699">
          <cell r="A2699">
            <v>1724000832</v>
          </cell>
          <cell r="B2699" t="str">
            <v xml:space="preserve">מים               </v>
          </cell>
        </row>
        <row r="2700">
          <cell r="A2700">
            <v>1724000961</v>
          </cell>
          <cell r="B2700" t="str">
            <v>רז' פעולות ורכישות</v>
          </cell>
        </row>
        <row r="2701">
          <cell r="A2701" t="str">
            <v>#VALUE!</v>
          </cell>
          <cell r="B2701" t="str">
            <v xml:space="preserve">כבוי אש           </v>
          </cell>
        </row>
        <row r="2702">
          <cell r="A2702">
            <v>17260000</v>
          </cell>
          <cell r="B2702" t="str">
            <v xml:space="preserve">מל"ח ופס"ח        </v>
          </cell>
        </row>
        <row r="2703">
          <cell r="A2703">
            <v>17261000</v>
          </cell>
          <cell r="B2703" t="str">
            <v xml:space="preserve">מל"ח              </v>
          </cell>
        </row>
        <row r="2704">
          <cell r="A2704">
            <v>1726100100</v>
          </cell>
          <cell r="B2704" t="str">
            <v>שכר עובדים לפי תקן</v>
          </cell>
        </row>
        <row r="2705">
          <cell r="A2705">
            <v>1726100110</v>
          </cell>
          <cell r="B2705" t="str">
            <v>השכר הקובע-תקציבית</v>
          </cell>
        </row>
        <row r="2706">
          <cell r="A2706">
            <v>1726100119</v>
          </cell>
          <cell r="B2706" t="str">
            <v xml:space="preserve">השכר הקובע-צוברת  </v>
          </cell>
          <cell r="C2706">
            <v>314100</v>
          </cell>
        </row>
        <row r="2707">
          <cell r="A2707">
            <v>1726100122</v>
          </cell>
          <cell r="B2707" t="str">
            <v xml:space="preserve">ביגוד             </v>
          </cell>
          <cell r="C2707">
            <v>4000</v>
          </cell>
        </row>
        <row r="2708">
          <cell r="A2708">
            <v>1726100126</v>
          </cell>
          <cell r="B2708" t="str">
            <v xml:space="preserve">דמי הבראה         </v>
          </cell>
          <cell r="C2708">
            <v>9000</v>
          </cell>
        </row>
        <row r="2709">
          <cell r="A2709">
            <v>1726100130</v>
          </cell>
          <cell r="B2709" t="str">
            <v xml:space="preserve">שעות נוספות       </v>
          </cell>
          <cell r="C2709">
            <v>22600</v>
          </cell>
        </row>
        <row r="2710">
          <cell r="A2710">
            <v>1726100140</v>
          </cell>
          <cell r="B2710" t="str">
            <v>השתתפות באחזקת רכב</v>
          </cell>
          <cell r="C2710">
            <v>33200</v>
          </cell>
        </row>
        <row r="2711">
          <cell r="A2711">
            <v>1726100253</v>
          </cell>
          <cell r="B2711" t="str">
            <v xml:space="preserve">עובדים חיצוניים   </v>
          </cell>
        </row>
        <row r="2712">
          <cell r="A2712">
            <v>1726100400</v>
          </cell>
          <cell r="B2712" t="str">
            <v>אחזקת בנינים וציוד</v>
          </cell>
        </row>
        <row r="2713">
          <cell r="A2713">
            <v>1726100423</v>
          </cell>
          <cell r="B2713" t="str">
            <v xml:space="preserve">תחזוקת מבנה       </v>
          </cell>
        </row>
        <row r="2714">
          <cell r="A2714">
            <v>1726100437</v>
          </cell>
          <cell r="B2714" t="str">
            <v>מערכת אזעקה</v>
          </cell>
          <cell r="C2714">
            <v>7000</v>
          </cell>
        </row>
        <row r="2715">
          <cell r="A2715">
            <v>1726100441</v>
          </cell>
          <cell r="B2715" t="str">
            <v xml:space="preserve">ביטוח ציוד חירום  </v>
          </cell>
        </row>
        <row r="2716">
          <cell r="A2716">
            <v>1726100470</v>
          </cell>
          <cell r="B2716" t="str">
            <v xml:space="preserve">אחזקת מכונות משרד </v>
          </cell>
          <cell r="C2716">
            <v>500</v>
          </cell>
        </row>
        <row r="2717">
          <cell r="A2717">
            <v>1726100471</v>
          </cell>
          <cell r="B2717" t="str">
            <v xml:space="preserve">מכשירי כתיבה      </v>
          </cell>
          <cell r="C2717">
            <v>2800</v>
          </cell>
        </row>
        <row r="2718">
          <cell r="A2718">
            <v>1726100492</v>
          </cell>
          <cell r="B2718" t="str">
            <v xml:space="preserve">השתתפות בעזר 092  </v>
          </cell>
          <cell r="C2718">
            <v>115800</v>
          </cell>
        </row>
        <row r="2719">
          <cell r="A2719">
            <v>1726100500</v>
          </cell>
          <cell r="B2719" t="str">
            <v xml:space="preserve">הוצאות מינהליות   </v>
          </cell>
        </row>
        <row r="2720">
          <cell r="A2720">
            <v>1726100511</v>
          </cell>
          <cell r="B2720" t="str">
            <v xml:space="preserve">אירוח וכיבוד      </v>
          </cell>
        </row>
        <row r="2721">
          <cell r="A2721">
            <v>1726100521</v>
          </cell>
          <cell r="B2721" t="str">
            <v xml:space="preserve">השתלמויות לפס"ח   </v>
          </cell>
          <cell r="C2721">
            <v>35000</v>
          </cell>
        </row>
        <row r="2722">
          <cell r="A2722">
            <v>1726100540</v>
          </cell>
          <cell r="B2722" t="str">
            <v xml:space="preserve">הוצאות טלפון      </v>
          </cell>
          <cell r="C2722">
            <v>1000</v>
          </cell>
        </row>
        <row r="2723">
          <cell r="A2723">
            <v>1726100544</v>
          </cell>
          <cell r="B2723" t="str">
            <v xml:space="preserve">הוצאות דאר        </v>
          </cell>
        </row>
        <row r="2724">
          <cell r="A2724">
            <v>1726100550</v>
          </cell>
          <cell r="B2724" t="str">
            <v xml:space="preserve">פירסומים          </v>
          </cell>
        </row>
        <row r="2725">
          <cell r="A2725">
            <v>1726100561</v>
          </cell>
          <cell r="B2725" t="str">
            <v xml:space="preserve">שיכפולים          </v>
          </cell>
        </row>
        <row r="2726">
          <cell r="A2726">
            <v>1726100571</v>
          </cell>
          <cell r="B2726" t="str">
            <v xml:space="preserve">מיכון וענ"א       </v>
          </cell>
          <cell r="C2726">
            <v>31600</v>
          </cell>
        </row>
        <row r="2727">
          <cell r="A2727">
            <v>1726100596</v>
          </cell>
          <cell r="B2727" t="str">
            <v xml:space="preserve">אחזקת רכב מל"ח    </v>
          </cell>
        </row>
        <row r="2728">
          <cell r="A2728">
            <v>1726100700</v>
          </cell>
          <cell r="B2728" t="str">
            <v xml:space="preserve">הוצאות לפעולות    </v>
          </cell>
        </row>
        <row r="2729">
          <cell r="A2729">
            <v>1726100722</v>
          </cell>
          <cell r="B2729" t="str">
            <v>חמרים-תחזוקה עצמית</v>
          </cell>
          <cell r="C2729">
            <v>4500</v>
          </cell>
        </row>
        <row r="2730">
          <cell r="A2730">
            <v>1726100743</v>
          </cell>
          <cell r="B2730" t="str">
            <v>אחזקת ציוד לש'חרום</v>
          </cell>
          <cell r="C2730">
            <v>90000</v>
          </cell>
        </row>
        <row r="2731">
          <cell r="A2731">
            <v>1726100753</v>
          </cell>
          <cell r="B2731" t="str">
            <v xml:space="preserve">עובדים חיצוניים   </v>
          </cell>
        </row>
        <row r="2732">
          <cell r="A2732">
            <v>1726100781</v>
          </cell>
          <cell r="B2732" t="str">
            <v xml:space="preserve">תרגילים וארועים   </v>
          </cell>
          <cell r="C2732">
            <v>30000</v>
          </cell>
        </row>
        <row r="2733">
          <cell r="A2733">
            <v>1726100794</v>
          </cell>
          <cell r="B2733" t="str">
            <v xml:space="preserve">השתתפות בעזר 094  </v>
          </cell>
          <cell r="C2733">
            <v>9100</v>
          </cell>
        </row>
        <row r="2734">
          <cell r="A2734">
            <v>1726100900</v>
          </cell>
          <cell r="B2734" t="str">
            <v xml:space="preserve">הוצאות חד פעמיות  </v>
          </cell>
        </row>
        <row r="2735">
          <cell r="A2735">
            <v>1726100931</v>
          </cell>
          <cell r="B2735" t="str">
            <v xml:space="preserve">רכישת ציוד לשע"ח   </v>
          </cell>
          <cell r="C2735">
            <v>40000</v>
          </cell>
        </row>
        <row r="2736">
          <cell r="A2736">
            <v>1726100932</v>
          </cell>
          <cell r="B2736" t="str">
            <v>הצטיידות חרום</v>
          </cell>
        </row>
        <row r="2737">
          <cell r="A2737">
            <v>1726100961</v>
          </cell>
          <cell r="B2737" t="str">
            <v>רז' פעולות ורכישות</v>
          </cell>
        </row>
        <row r="2738">
          <cell r="A2738" t="str">
            <v>#VALUE!</v>
          </cell>
          <cell r="B2738" t="str">
            <v xml:space="preserve">מל"ח              </v>
          </cell>
        </row>
        <row r="2739">
          <cell r="A2739">
            <v>17299990</v>
          </cell>
          <cell r="B2739" t="str">
            <v>הוצאות לשעת חירום</v>
          </cell>
        </row>
        <row r="2740">
          <cell r="A2740">
            <v>1729999932</v>
          </cell>
          <cell r="B2740" t="str">
            <v>ציוד מיגון והצטיידות</v>
          </cell>
        </row>
        <row r="2741">
          <cell r="A2741">
            <v>1729999989</v>
          </cell>
          <cell r="B2741" t="str">
            <v>לא פעיל</v>
          </cell>
        </row>
        <row r="2742">
          <cell r="A2742" t="str">
            <v>#VALUE!</v>
          </cell>
          <cell r="B2742" t="str">
            <v>הוצאות לשעת חירום</v>
          </cell>
        </row>
        <row r="2743">
          <cell r="A2743">
            <v>17300000</v>
          </cell>
          <cell r="B2743" t="str">
            <v xml:space="preserve">תכנון ובנין עיר   </v>
          </cell>
        </row>
        <row r="2744">
          <cell r="A2744">
            <v>17310000</v>
          </cell>
          <cell r="B2744" t="str">
            <v xml:space="preserve">משרד מהנדס הרשות </v>
          </cell>
        </row>
        <row r="2745">
          <cell r="A2745">
            <v>1731000100</v>
          </cell>
          <cell r="B2745" t="str">
            <v>שכר עובדים לפי תקן</v>
          </cell>
        </row>
        <row r="2746">
          <cell r="A2746">
            <v>1731000110</v>
          </cell>
          <cell r="B2746" t="str">
            <v>השכר הקובע-תקציבית</v>
          </cell>
          <cell r="C2746">
            <v>170400</v>
          </cell>
        </row>
        <row r="2747">
          <cell r="A2747">
            <v>1731000119</v>
          </cell>
          <cell r="B2747" t="str">
            <v xml:space="preserve">השכר הקובע-צוברת  </v>
          </cell>
          <cell r="C2747">
            <v>2897600</v>
          </cell>
        </row>
        <row r="2748">
          <cell r="A2748">
            <v>1731000122</v>
          </cell>
          <cell r="B2748" t="str">
            <v xml:space="preserve">ביגוד             </v>
          </cell>
          <cell r="C2748">
            <v>20500</v>
          </cell>
        </row>
        <row r="2749">
          <cell r="A2749">
            <v>1731000126</v>
          </cell>
          <cell r="B2749" t="str">
            <v xml:space="preserve">דמי הבראה         </v>
          </cell>
          <cell r="C2749">
            <v>40000</v>
          </cell>
        </row>
        <row r="2750">
          <cell r="A2750">
            <v>1731000130</v>
          </cell>
          <cell r="B2750" t="str">
            <v xml:space="preserve">שעות נוספות       </v>
          </cell>
          <cell r="C2750">
            <v>28100</v>
          </cell>
        </row>
        <row r="2751">
          <cell r="A2751">
            <v>1731000140</v>
          </cell>
          <cell r="B2751" t="str">
            <v>השתתפות באחזקת רכב</v>
          </cell>
          <cell r="C2751">
            <v>196800</v>
          </cell>
        </row>
        <row r="2752">
          <cell r="A2752">
            <v>1731000253</v>
          </cell>
          <cell r="B2752" t="str">
            <v xml:space="preserve">עובדים חיצוניים   </v>
          </cell>
        </row>
        <row r="2753">
          <cell r="A2753">
            <v>1731000350</v>
          </cell>
          <cell r="B2753" t="str">
            <v>ליסינג - 639-86-802</v>
          </cell>
          <cell r="C2753">
            <v>65000</v>
          </cell>
        </row>
        <row r="2754">
          <cell r="A2754">
            <v>1731000351</v>
          </cell>
          <cell r="B2754" t="str">
            <v>הוצאות - 639-86-802</v>
          </cell>
          <cell r="C2754">
            <v>30000</v>
          </cell>
        </row>
        <row r="2755">
          <cell r="A2755">
            <v>1731000400</v>
          </cell>
          <cell r="B2755" t="str">
            <v>אחזקת בנינים וציוד</v>
          </cell>
        </row>
        <row r="2756">
          <cell r="A2756">
            <v>1731000433</v>
          </cell>
          <cell r="B2756" t="str">
            <v xml:space="preserve">חומרי נקיון       </v>
          </cell>
          <cell r="C2756">
            <v>1500</v>
          </cell>
        </row>
        <row r="2757">
          <cell r="A2757">
            <v>1731000441</v>
          </cell>
          <cell r="B2757" t="str">
            <v>בטוח אחריות מקצועי</v>
          </cell>
          <cell r="C2757">
            <v>64400</v>
          </cell>
        </row>
        <row r="2758">
          <cell r="A2758">
            <v>1731000450</v>
          </cell>
          <cell r="B2758" t="str">
            <v>אחזקת תמי 4</v>
          </cell>
        </row>
        <row r="2759">
          <cell r="A2759">
            <v>1731000470</v>
          </cell>
          <cell r="B2759" t="str">
            <v xml:space="preserve">אחזקת מכונות משרד </v>
          </cell>
          <cell r="C2759">
            <v>13700</v>
          </cell>
        </row>
        <row r="2760">
          <cell r="A2760">
            <v>1731000471</v>
          </cell>
          <cell r="B2760" t="str">
            <v xml:space="preserve">מכשירי כתיבה      </v>
          </cell>
          <cell r="C2760">
            <v>33000</v>
          </cell>
        </row>
        <row r="2761">
          <cell r="A2761">
            <v>1731000492</v>
          </cell>
          <cell r="B2761" t="str">
            <v xml:space="preserve">השתתפות בעזר 092  </v>
          </cell>
        </row>
        <row r="2762">
          <cell r="A2762">
            <v>1731000500</v>
          </cell>
          <cell r="B2762" t="str">
            <v xml:space="preserve">הוצאות מינהליות   </v>
          </cell>
        </row>
        <row r="2763">
          <cell r="A2763">
            <v>1731000511</v>
          </cell>
          <cell r="B2763" t="str">
            <v xml:space="preserve">אירוח וכיבוד      </v>
          </cell>
          <cell r="C2763">
            <v>6100</v>
          </cell>
        </row>
        <row r="2764">
          <cell r="A2764">
            <v>1731000512</v>
          </cell>
          <cell r="B2764" t="str">
            <v xml:space="preserve">נסיעות ואש"ל      </v>
          </cell>
          <cell r="C2764">
            <v>4300</v>
          </cell>
        </row>
        <row r="2765">
          <cell r="A2765">
            <v>1731000522</v>
          </cell>
          <cell r="B2765" t="str">
            <v xml:space="preserve">ספרים ועיתונים    </v>
          </cell>
          <cell r="C2765">
            <v>4600</v>
          </cell>
        </row>
        <row r="2766">
          <cell r="A2766">
            <v>1731000540</v>
          </cell>
          <cell r="B2766" t="str">
            <v xml:space="preserve">הוצאות טלפון      </v>
          </cell>
        </row>
        <row r="2767">
          <cell r="A2767">
            <v>1731000544</v>
          </cell>
          <cell r="B2767" t="str">
            <v xml:space="preserve">הוצאות דאר        </v>
          </cell>
          <cell r="C2767">
            <v>90000</v>
          </cell>
        </row>
        <row r="2768">
          <cell r="A2768">
            <v>1731000550</v>
          </cell>
          <cell r="B2768" t="str">
            <v xml:space="preserve">פירסומים          </v>
          </cell>
          <cell r="C2768">
            <v>16200</v>
          </cell>
        </row>
        <row r="2769">
          <cell r="A2769">
            <v>1731000561</v>
          </cell>
          <cell r="B2769" t="str">
            <v xml:space="preserve">שיכפולים          </v>
          </cell>
        </row>
        <row r="2770">
          <cell r="A2770">
            <v>1731000562</v>
          </cell>
          <cell r="B2770" t="str">
            <v xml:space="preserve">הדפסות            </v>
          </cell>
          <cell r="C2770">
            <v>600</v>
          </cell>
        </row>
        <row r="2771">
          <cell r="A2771">
            <v>1731000563</v>
          </cell>
          <cell r="B2771" t="str">
            <v>הקלטה ותמלול ועדות הקצאה</v>
          </cell>
          <cell r="C2771">
            <v>13300</v>
          </cell>
        </row>
        <row r="2772">
          <cell r="A2772">
            <v>1731000564</v>
          </cell>
          <cell r="B2772" t="str">
            <v>אתר הועדה המקומית לתכנון</v>
          </cell>
          <cell r="C2772">
            <v>33000</v>
          </cell>
        </row>
        <row r="2773">
          <cell r="A2773">
            <v>1731000565</v>
          </cell>
          <cell r="B2773" t="str">
            <v xml:space="preserve">צילום מפות        </v>
          </cell>
          <cell r="C2773">
            <v>900</v>
          </cell>
        </row>
        <row r="2774">
          <cell r="A2774">
            <v>1731000570</v>
          </cell>
          <cell r="B2774" t="str">
            <v>מערכות ממוחשבות</v>
          </cell>
          <cell r="C2774">
            <v>0</v>
          </cell>
        </row>
        <row r="2775">
          <cell r="A2775">
            <v>1731000571</v>
          </cell>
          <cell r="B2775" t="str">
            <v xml:space="preserve">מיכון וענ"א       </v>
          </cell>
          <cell r="C2775">
            <v>0</v>
          </cell>
        </row>
        <row r="2776">
          <cell r="A2776">
            <v>1731000580</v>
          </cell>
          <cell r="B2776" t="str">
            <v>נסחים והערות אזהרה</v>
          </cell>
          <cell r="C2776">
            <v>42800</v>
          </cell>
        </row>
        <row r="2777">
          <cell r="A2777">
            <v>1731000581</v>
          </cell>
          <cell r="B2777" t="str">
            <v>יעוץ תח' השבחה ממ"י</v>
          </cell>
        </row>
        <row r="2778">
          <cell r="A2778">
            <v>1731000582</v>
          </cell>
          <cell r="B2778" t="str">
            <v>הוצאות משפטיות</v>
          </cell>
          <cell r="C2778">
            <v>1945000</v>
          </cell>
        </row>
        <row r="2779">
          <cell r="A2779">
            <v>1731000583</v>
          </cell>
          <cell r="B2779" t="str">
            <v>נציג בעל דעה מייעצת</v>
          </cell>
          <cell r="C2779">
            <v>23900</v>
          </cell>
        </row>
        <row r="2780">
          <cell r="A2780">
            <v>1731000584</v>
          </cell>
          <cell r="B2780" t="str">
            <v>הזנת נתונים למחשב</v>
          </cell>
          <cell r="C2780">
            <v>247000</v>
          </cell>
        </row>
        <row r="2781">
          <cell r="A2781">
            <v>1731000596</v>
          </cell>
          <cell r="B2781" t="str">
            <v xml:space="preserve">השתתפות בעזר 096  </v>
          </cell>
        </row>
        <row r="2782">
          <cell r="A2782">
            <v>1731000700</v>
          </cell>
          <cell r="B2782" t="str">
            <v xml:space="preserve">הוצאות לפעולות    </v>
          </cell>
        </row>
        <row r="2783">
          <cell r="A2783">
            <v>1731000753</v>
          </cell>
          <cell r="B2783" t="str">
            <v xml:space="preserve">עובדים חיצוניים   </v>
          </cell>
        </row>
        <row r="2784">
          <cell r="A2784">
            <v>1731000781</v>
          </cell>
          <cell r="B2784" t="str">
            <v>פעולות סמנכ"ל</v>
          </cell>
          <cell r="C2784">
            <v>20000</v>
          </cell>
        </row>
        <row r="2785">
          <cell r="A2785">
            <v>1731000794</v>
          </cell>
          <cell r="B2785" t="str">
            <v xml:space="preserve">השתתפות בעזר 094  </v>
          </cell>
        </row>
        <row r="2786">
          <cell r="A2786">
            <v>1731000961</v>
          </cell>
          <cell r="B2786" t="str">
            <v>רז' פעולות ורכישות</v>
          </cell>
        </row>
        <row r="2787">
          <cell r="A2787" t="str">
            <v>#VALUE!</v>
          </cell>
          <cell r="B2787" t="str">
            <v xml:space="preserve">משרד מהנדס הרשות </v>
          </cell>
        </row>
        <row r="2788">
          <cell r="A2788">
            <v>17320000</v>
          </cell>
          <cell r="B2788" t="str">
            <v xml:space="preserve">תכנון עיר         </v>
          </cell>
        </row>
        <row r="2789">
          <cell r="A2789">
            <v>1732000100</v>
          </cell>
          <cell r="B2789" t="str">
            <v>שכר עובדים לפי תקן</v>
          </cell>
        </row>
        <row r="2790">
          <cell r="A2790">
            <v>1732000110</v>
          </cell>
          <cell r="B2790" t="str">
            <v>השכר הקובע-תקציבית</v>
          </cell>
        </row>
        <row r="2791">
          <cell r="A2791">
            <v>1732000119</v>
          </cell>
          <cell r="B2791" t="str">
            <v xml:space="preserve">השכר הקובע-צוברת  </v>
          </cell>
          <cell r="C2791">
            <v>5701500</v>
          </cell>
        </row>
        <row r="2792">
          <cell r="A2792">
            <v>1732000122</v>
          </cell>
          <cell r="B2792" t="str">
            <v xml:space="preserve">ביגוד             </v>
          </cell>
          <cell r="C2792">
            <v>43500</v>
          </cell>
        </row>
        <row r="2793">
          <cell r="A2793">
            <v>1732000126</v>
          </cell>
          <cell r="B2793" t="str">
            <v xml:space="preserve">דמי הבראה         </v>
          </cell>
          <cell r="C2793">
            <v>85000</v>
          </cell>
        </row>
        <row r="2794">
          <cell r="A2794">
            <v>1732000130</v>
          </cell>
          <cell r="B2794" t="str">
            <v xml:space="preserve">שעות נוספות       </v>
          </cell>
          <cell r="C2794">
            <v>19900</v>
          </cell>
        </row>
        <row r="2795">
          <cell r="A2795">
            <v>1732000140</v>
          </cell>
          <cell r="B2795" t="str">
            <v>השתתפות באחזקת רכב</v>
          </cell>
          <cell r="C2795">
            <v>387000</v>
          </cell>
        </row>
        <row r="2796">
          <cell r="A2796">
            <v>1732000253</v>
          </cell>
          <cell r="B2796" t="str">
            <v xml:space="preserve">עובדים חיצוניים   </v>
          </cell>
        </row>
        <row r="2797">
          <cell r="A2797">
            <v>1732000400</v>
          </cell>
          <cell r="B2797" t="str">
            <v>אחזקת בנינים וציוד</v>
          </cell>
        </row>
        <row r="2798">
          <cell r="A2798">
            <v>1732000471</v>
          </cell>
          <cell r="B2798" t="str">
            <v xml:space="preserve">מכשירי כתיבה      </v>
          </cell>
          <cell r="C2798">
            <v>22800</v>
          </cell>
        </row>
        <row r="2799">
          <cell r="A2799">
            <v>1732000511</v>
          </cell>
          <cell r="B2799" t="str">
            <v xml:space="preserve">אירוח וכיבוד      </v>
          </cell>
          <cell r="C2799">
            <v>2300</v>
          </cell>
        </row>
        <row r="2800">
          <cell r="A2800">
            <v>1732000550</v>
          </cell>
          <cell r="B2800" t="str">
            <v xml:space="preserve">פירסומים          </v>
          </cell>
          <cell r="C2800">
            <v>102600</v>
          </cell>
        </row>
        <row r="2801">
          <cell r="A2801">
            <v>1732000562</v>
          </cell>
          <cell r="B2801" t="str">
            <v xml:space="preserve">הדפסות            </v>
          </cell>
        </row>
        <row r="2802">
          <cell r="A2802">
            <v>1732000571</v>
          </cell>
          <cell r="B2802" t="str">
            <v xml:space="preserve">מיכון וענ"א       </v>
          </cell>
        </row>
        <row r="2803">
          <cell r="A2803">
            <v>1732000580</v>
          </cell>
          <cell r="B2803" t="str">
            <v xml:space="preserve">יעוץ תנועה       </v>
          </cell>
        </row>
        <row r="2804">
          <cell r="A2804">
            <v>1732000700</v>
          </cell>
          <cell r="B2804" t="str">
            <v xml:space="preserve">הוצאות לפעולות    </v>
          </cell>
        </row>
        <row r="2805">
          <cell r="A2805">
            <v>1732000753</v>
          </cell>
          <cell r="B2805" t="str">
            <v>ע' חיצוני (אדריכל)</v>
          </cell>
        </row>
        <row r="2806">
          <cell r="A2806">
            <v>1732000900</v>
          </cell>
          <cell r="B2806" t="str">
            <v xml:space="preserve">הוצאות חד פעמיות  </v>
          </cell>
        </row>
        <row r="2807">
          <cell r="A2807">
            <v>1732000934</v>
          </cell>
          <cell r="B2807" t="str">
            <v xml:space="preserve">מודלים            </v>
          </cell>
        </row>
        <row r="2808">
          <cell r="A2808">
            <v>1732000952</v>
          </cell>
          <cell r="B2808" t="str">
            <v xml:space="preserve">תכניות            </v>
          </cell>
          <cell r="C2808">
            <v>33300</v>
          </cell>
        </row>
        <row r="2809">
          <cell r="A2809">
            <v>1732000961</v>
          </cell>
          <cell r="B2809" t="str">
            <v>רז' פעולות ורכישות</v>
          </cell>
        </row>
        <row r="2810">
          <cell r="A2810" t="str">
            <v>#VALUE!</v>
          </cell>
          <cell r="B2810" t="str">
            <v xml:space="preserve">תכנון עיר         </v>
          </cell>
        </row>
        <row r="2811">
          <cell r="A2811">
            <v>17322000</v>
          </cell>
          <cell r="B2811" t="str">
            <v>חזות העיר</v>
          </cell>
        </row>
        <row r="2812">
          <cell r="A2812">
            <v>1732200110</v>
          </cell>
          <cell r="B2812" t="str">
            <v>השכר הקובע-תקציבית</v>
          </cell>
        </row>
        <row r="2813">
          <cell r="A2813">
            <v>1732200119</v>
          </cell>
          <cell r="B2813" t="str">
            <v xml:space="preserve">השכר הקובע-צוברת  </v>
          </cell>
          <cell r="C2813">
            <v>0</v>
          </cell>
        </row>
        <row r="2814">
          <cell r="A2814">
            <v>1732200122</v>
          </cell>
          <cell r="B2814" t="str">
            <v xml:space="preserve">ביגוד             </v>
          </cell>
          <cell r="C2814">
            <v>0</v>
          </cell>
        </row>
        <row r="2815">
          <cell r="A2815">
            <v>1732200126</v>
          </cell>
          <cell r="B2815" t="str">
            <v xml:space="preserve">דמי הבראה         </v>
          </cell>
          <cell r="C2815">
            <v>0</v>
          </cell>
        </row>
        <row r="2816">
          <cell r="A2816">
            <v>1732200130</v>
          </cell>
          <cell r="B2816" t="str">
            <v xml:space="preserve">שעות נוספות       </v>
          </cell>
          <cell r="C2816">
            <v>0</v>
          </cell>
        </row>
        <row r="2817">
          <cell r="A2817">
            <v>1732200140</v>
          </cell>
          <cell r="B2817" t="str">
            <v>השתתפות באחזקת רכב</v>
          </cell>
          <cell r="C2817">
            <v>0</v>
          </cell>
        </row>
        <row r="2818">
          <cell r="A2818">
            <v>1732200253</v>
          </cell>
          <cell r="B2818" t="str">
            <v xml:space="preserve">עובדים חיצוניים   </v>
          </cell>
        </row>
        <row r="2819">
          <cell r="A2819">
            <v>1732200350</v>
          </cell>
          <cell r="B2819" t="str">
            <v>ליסינג 512-27-101</v>
          </cell>
          <cell r="C2819">
            <v>0</v>
          </cell>
        </row>
        <row r="2820">
          <cell r="A2820">
            <v>1732200351</v>
          </cell>
          <cell r="B2820" t="str">
            <v>הוצאות 512-27-101</v>
          </cell>
          <cell r="C2820">
            <v>0</v>
          </cell>
        </row>
        <row r="2821">
          <cell r="A2821">
            <v>1732200471</v>
          </cell>
          <cell r="B2821" t="str">
            <v xml:space="preserve">מכשירי כתיבה      </v>
          </cell>
          <cell r="C2821">
            <v>0</v>
          </cell>
        </row>
        <row r="2822">
          <cell r="A2822">
            <v>1732200550</v>
          </cell>
          <cell r="B2822" t="str">
            <v xml:space="preserve">פירסומים          </v>
          </cell>
          <cell r="C2822">
            <v>0</v>
          </cell>
        </row>
        <row r="2823">
          <cell r="A2823">
            <v>1732200561</v>
          </cell>
          <cell r="B2823" t="str">
            <v xml:space="preserve">שיכפולים          </v>
          </cell>
          <cell r="C2823">
            <v>0</v>
          </cell>
        </row>
        <row r="2824">
          <cell r="A2824">
            <v>1732200562</v>
          </cell>
          <cell r="B2824" t="str">
            <v xml:space="preserve">הדפסות            </v>
          </cell>
          <cell r="C2824">
            <v>0</v>
          </cell>
        </row>
        <row r="2825">
          <cell r="A2825">
            <v>1732200580</v>
          </cell>
          <cell r="B2825" t="str">
            <v xml:space="preserve">יעוץ חיצוני       </v>
          </cell>
          <cell r="C2825">
            <v>0</v>
          </cell>
        </row>
        <row r="2826">
          <cell r="A2826">
            <v>1732200581</v>
          </cell>
          <cell r="B2826" t="str">
            <v>פיקוח ואחז' סככות אוטובוס</v>
          </cell>
        </row>
        <row r="2827">
          <cell r="A2827">
            <v>1732200585</v>
          </cell>
          <cell r="B2827" t="str">
            <v xml:space="preserve">משפטי שילוט       </v>
          </cell>
          <cell r="C2827">
            <v>0</v>
          </cell>
        </row>
        <row r="2828">
          <cell r="A2828">
            <v>1732200753</v>
          </cell>
          <cell r="B2828" t="str">
            <v xml:space="preserve">עובדים חיצוניים   </v>
          </cell>
        </row>
        <row r="2829">
          <cell r="A2829">
            <v>1732200754</v>
          </cell>
          <cell r="B2829" t="str">
            <v>אח' והחלפת לוחות שכונתיים</v>
          </cell>
          <cell r="C2829">
            <v>0</v>
          </cell>
        </row>
        <row r="2830">
          <cell r="A2830">
            <v>1732200755</v>
          </cell>
          <cell r="B2830" t="str">
            <v>אחז' מספרים לבתים</v>
          </cell>
        </row>
        <row r="2831">
          <cell r="A2831">
            <v>1732200757</v>
          </cell>
          <cell r="B2831" t="str">
            <v>מספרים לבתים חדשים</v>
          </cell>
          <cell r="C2831">
            <v>0</v>
          </cell>
        </row>
        <row r="2832">
          <cell r="A2832">
            <v>1732200758</v>
          </cell>
          <cell r="B2832" t="str">
            <v>החלפת לוחות מודעות</v>
          </cell>
        </row>
        <row r="2833">
          <cell r="A2833">
            <v>1732200759</v>
          </cell>
          <cell r="B2833" t="str">
            <v>מפות עירוניות</v>
          </cell>
          <cell r="C2833">
            <v>0</v>
          </cell>
        </row>
        <row r="2834">
          <cell r="A2834">
            <v>1732200760</v>
          </cell>
          <cell r="B2834" t="str">
            <v>הצבת סככות אוטובוס</v>
          </cell>
        </row>
        <row r="2835">
          <cell r="A2835">
            <v>1732200780</v>
          </cell>
          <cell r="B2835" t="str">
            <v>אחזקת ינשולים</v>
          </cell>
        </row>
        <row r="2836">
          <cell r="A2836">
            <v>1732200850</v>
          </cell>
          <cell r="B2836" t="str">
            <v>שרות לאומי</v>
          </cell>
        </row>
        <row r="2837">
          <cell r="A2837">
            <v>1732200931</v>
          </cell>
          <cell r="B2837" t="str">
            <v>התקנת מתקנים</v>
          </cell>
        </row>
        <row r="2838">
          <cell r="A2838">
            <v>1732200932</v>
          </cell>
          <cell r="B2838" t="str">
            <v>התקנת ואחזקת שילוט</v>
          </cell>
          <cell r="C2838">
            <v>0</v>
          </cell>
        </row>
        <row r="2839">
          <cell r="A2839">
            <v>1732200933</v>
          </cell>
          <cell r="B2839" t="str">
            <v>ציוד בטיחותי אישי</v>
          </cell>
          <cell r="C2839">
            <v>0</v>
          </cell>
        </row>
        <row r="2840">
          <cell r="A2840">
            <v>1732200961</v>
          </cell>
          <cell r="B2840" t="str">
            <v>רז' פעולות ורכישות</v>
          </cell>
        </row>
        <row r="2841">
          <cell r="A2841" t="str">
            <v>#VALUE!</v>
          </cell>
          <cell r="B2841" t="str">
            <v>חזות העיר</v>
          </cell>
        </row>
        <row r="2842">
          <cell r="A2842">
            <v>17323000</v>
          </cell>
          <cell r="B2842" t="str">
            <v xml:space="preserve">הדבקת מודעות      </v>
          </cell>
        </row>
        <row r="2843">
          <cell r="A2843">
            <v>1732300757</v>
          </cell>
          <cell r="B2843" t="str">
            <v>הדבקת מודעות - קבלן</v>
          </cell>
        </row>
        <row r="2844">
          <cell r="A2844" t="str">
            <v>#VALUE!</v>
          </cell>
          <cell r="B2844" t="str">
            <v xml:space="preserve">הדבקת מודעות      </v>
          </cell>
        </row>
        <row r="2845">
          <cell r="A2845">
            <v>17324000</v>
          </cell>
          <cell r="B2845" t="str">
            <v>אגף התנועה</v>
          </cell>
        </row>
        <row r="2846">
          <cell r="A2846">
            <v>1732400100</v>
          </cell>
          <cell r="B2846" t="str">
            <v>שכר עובדים לפי תקן</v>
          </cell>
        </row>
        <row r="2847">
          <cell r="A2847">
            <v>1732400110</v>
          </cell>
          <cell r="B2847" t="str">
            <v>השכר הקובע-תקציבית</v>
          </cell>
          <cell r="C2847">
            <v>235100</v>
          </cell>
        </row>
        <row r="2848">
          <cell r="A2848">
            <v>1732400119</v>
          </cell>
          <cell r="B2848" t="str">
            <v xml:space="preserve">השכר הקובע-צוברת  </v>
          </cell>
          <cell r="C2848">
            <v>2203300</v>
          </cell>
        </row>
        <row r="2849">
          <cell r="A2849">
            <v>1732400122</v>
          </cell>
          <cell r="B2849" t="str">
            <v xml:space="preserve">ביגוד             </v>
          </cell>
          <cell r="C2849">
            <v>17800</v>
          </cell>
        </row>
        <row r="2850">
          <cell r="A2850">
            <v>1732400122</v>
          </cell>
          <cell r="B2850" t="str">
            <v xml:space="preserve">דמי הבראה         </v>
          </cell>
          <cell r="C2850">
            <v>44000</v>
          </cell>
        </row>
        <row r="2851">
          <cell r="A2851">
            <v>1732400130</v>
          </cell>
          <cell r="B2851" t="str">
            <v xml:space="preserve">שעות נוספות       </v>
          </cell>
          <cell r="C2851">
            <v>30000</v>
          </cell>
        </row>
        <row r="2852">
          <cell r="A2852">
            <v>1732400140</v>
          </cell>
          <cell r="B2852" t="str">
            <v>השתתפות באחזקת רכב</v>
          </cell>
          <cell r="C2852">
            <v>169100</v>
          </cell>
        </row>
        <row r="2853">
          <cell r="A2853">
            <v>1732400253</v>
          </cell>
          <cell r="B2853" t="str">
            <v xml:space="preserve">עובדים חיצוניים   </v>
          </cell>
        </row>
        <row r="2854">
          <cell r="A2854">
            <v>1732400350</v>
          </cell>
          <cell r="B2854" t="str">
            <v>ליסינג לשני רכבים</v>
          </cell>
          <cell r="C2854">
            <v>90000</v>
          </cell>
        </row>
        <row r="2855">
          <cell r="A2855">
            <v>1732400351</v>
          </cell>
          <cell r="B2855" t="str">
            <v>הוצאות לשני רכבים</v>
          </cell>
          <cell r="C2855">
            <v>24000</v>
          </cell>
        </row>
        <row r="2856">
          <cell r="A2856">
            <v>1732400470</v>
          </cell>
          <cell r="B2856" t="str">
            <v xml:space="preserve">אחזקת מכונות משרד </v>
          </cell>
        </row>
        <row r="2857">
          <cell r="A2857">
            <v>1732400471</v>
          </cell>
          <cell r="B2857" t="str">
            <v xml:space="preserve">מכשירי כתיבה      </v>
          </cell>
          <cell r="C2857">
            <v>10000</v>
          </cell>
        </row>
        <row r="2858">
          <cell r="A2858">
            <v>1732400511</v>
          </cell>
          <cell r="B2858" t="str">
            <v xml:space="preserve">אירוח וכיבוד      </v>
          </cell>
          <cell r="C2858">
            <v>1300</v>
          </cell>
        </row>
        <row r="2859">
          <cell r="A2859">
            <v>1732400512</v>
          </cell>
          <cell r="B2859" t="str">
            <v xml:space="preserve">נסיעות ואש"ל      </v>
          </cell>
          <cell r="C2859">
            <v>900</v>
          </cell>
        </row>
        <row r="2860">
          <cell r="A2860">
            <v>1732400561</v>
          </cell>
          <cell r="B2860" t="str">
            <v xml:space="preserve">שיכפולים          </v>
          </cell>
          <cell r="C2860">
            <v>900</v>
          </cell>
        </row>
        <row r="2861">
          <cell r="A2861">
            <v>1732400580</v>
          </cell>
          <cell r="B2861" t="str">
            <v xml:space="preserve">יעוץ חיצוני       </v>
          </cell>
          <cell r="C2861">
            <v>554700</v>
          </cell>
        </row>
        <row r="2862">
          <cell r="A2862">
            <v>1732400581</v>
          </cell>
          <cell r="B2862" t="str">
            <v>ועדות תנועה</v>
          </cell>
          <cell r="C2862">
            <v>21400</v>
          </cell>
        </row>
        <row r="2863">
          <cell r="A2863">
            <v>1732400582</v>
          </cell>
          <cell r="B2863" t="str">
            <v>בדיקת רופא - חנית נכים</v>
          </cell>
          <cell r="C2863">
            <v>64200</v>
          </cell>
        </row>
        <row r="2864">
          <cell r="A2864">
            <v>1732400583</v>
          </cell>
          <cell r="B2864" t="str">
            <v xml:space="preserve">יעוץ - סככות אוטובוס     </v>
          </cell>
        </row>
        <row r="2865">
          <cell r="A2865">
            <v>1732400584</v>
          </cell>
          <cell r="B2865" t="str">
            <v>הזנת נתונים למחשב</v>
          </cell>
          <cell r="C2865">
            <v>163000</v>
          </cell>
        </row>
        <row r="2866">
          <cell r="A2866">
            <v>1732400744</v>
          </cell>
          <cell r="B2866" t="str">
            <v>מדים וציוד</v>
          </cell>
          <cell r="C2866">
            <v>2800</v>
          </cell>
        </row>
        <row r="2867">
          <cell r="A2867">
            <v>1732400757</v>
          </cell>
          <cell r="B2867" t="str">
            <v xml:space="preserve">אחזקת רמזורים     </v>
          </cell>
          <cell r="C2867">
            <v>0</v>
          </cell>
        </row>
        <row r="2868">
          <cell r="A2868">
            <v>1732400758</v>
          </cell>
          <cell r="B2868" t="str">
            <v>תיכנון תנועה ורמזורים</v>
          </cell>
          <cell r="C2868">
            <v>167000</v>
          </cell>
        </row>
        <row r="2869">
          <cell r="A2869">
            <v>1732400759</v>
          </cell>
          <cell r="B2869" t="str">
            <v>אח' תמרור : ג'-7 ה'-8</v>
          </cell>
          <cell r="C2869">
            <v>375000</v>
          </cell>
        </row>
        <row r="2870">
          <cell r="A2870">
            <v>1732400936</v>
          </cell>
          <cell r="B2870" t="str">
            <v>פעולות לבטיחות בדרכים</v>
          </cell>
        </row>
        <row r="2871">
          <cell r="A2871" t="str">
            <v>#VALUE!</v>
          </cell>
          <cell r="B2871" t="str">
            <v>אגף התנועה</v>
          </cell>
        </row>
        <row r="2872">
          <cell r="A2872">
            <v>17330000</v>
          </cell>
          <cell r="B2872" t="str">
            <v xml:space="preserve">רשוי בניה         </v>
          </cell>
        </row>
        <row r="2873">
          <cell r="A2873">
            <v>1733000100</v>
          </cell>
          <cell r="B2873" t="str">
            <v>שכר עובדים לפי תקן</v>
          </cell>
        </row>
        <row r="2874">
          <cell r="A2874">
            <v>1733000110</v>
          </cell>
          <cell r="B2874" t="str">
            <v>השכר הקובע-תקציבית</v>
          </cell>
        </row>
        <row r="2875">
          <cell r="A2875">
            <v>1733000119</v>
          </cell>
          <cell r="B2875" t="str">
            <v xml:space="preserve">השכר הקובע-צוברת  </v>
          </cell>
          <cell r="C2875">
            <v>5317700</v>
          </cell>
        </row>
        <row r="2876">
          <cell r="A2876">
            <v>1733000122</v>
          </cell>
          <cell r="B2876" t="str">
            <v xml:space="preserve">ביגוד             </v>
          </cell>
          <cell r="C2876">
            <v>50000</v>
          </cell>
        </row>
        <row r="2877">
          <cell r="A2877">
            <v>1733000126</v>
          </cell>
          <cell r="B2877" t="str">
            <v xml:space="preserve">דמי הבראה         </v>
          </cell>
          <cell r="C2877">
            <v>123000</v>
          </cell>
        </row>
        <row r="2878">
          <cell r="A2878">
            <v>1733000130</v>
          </cell>
          <cell r="B2878" t="str">
            <v xml:space="preserve">שעות נוספות       </v>
          </cell>
          <cell r="C2878">
            <v>54400</v>
          </cell>
        </row>
        <row r="2879">
          <cell r="A2879">
            <v>1733000140</v>
          </cell>
          <cell r="B2879" t="str">
            <v>השתתפות באחזקת רכב</v>
          </cell>
          <cell r="C2879">
            <v>475600</v>
          </cell>
        </row>
        <row r="2880">
          <cell r="A2880">
            <v>1733000253</v>
          </cell>
          <cell r="B2880" t="str">
            <v xml:space="preserve">עובדים חיצוניים   </v>
          </cell>
        </row>
        <row r="2881">
          <cell r="A2881">
            <v>1733000400</v>
          </cell>
          <cell r="B2881" t="str">
            <v>אחזקת בנינים וציוד</v>
          </cell>
        </row>
        <row r="2882">
          <cell r="A2882">
            <v>1733000471</v>
          </cell>
          <cell r="B2882" t="str">
            <v xml:space="preserve">מכשירי כתיבה      </v>
          </cell>
          <cell r="C2882">
            <v>28500</v>
          </cell>
        </row>
        <row r="2883">
          <cell r="A2883">
            <v>1733000511</v>
          </cell>
          <cell r="B2883" t="str">
            <v xml:space="preserve">אירוח וכיבוד      </v>
          </cell>
          <cell r="C2883">
            <v>2300</v>
          </cell>
        </row>
        <row r="2884">
          <cell r="A2884">
            <v>1733000550</v>
          </cell>
          <cell r="B2884" t="str">
            <v>פירסומים ושילוט</v>
          </cell>
          <cell r="C2884">
            <v>6800</v>
          </cell>
        </row>
        <row r="2885">
          <cell r="A2885">
            <v>1733000561</v>
          </cell>
          <cell r="B2885" t="str">
            <v xml:space="preserve">שיכפולים          </v>
          </cell>
          <cell r="C2885">
            <v>900</v>
          </cell>
        </row>
        <row r="2886">
          <cell r="A2886">
            <v>1733000562</v>
          </cell>
          <cell r="B2886" t="str">
            <v xml:space="preserve">הדפסות            </v>
          </cell>
        </row>
        <row r="2887">
          <cell r="A2887">
            <v>1733000563</v>
          </cell>
          <cell r="B2887" t="str">
            <v xml:space="preserve">תיקי רישוי        </v>
          </cell>
        </row>
        <row r="2888">
          <cell r="A2888">
            <v>1733000564</v>
          </cell>
          <cell r="B2888" t="str">
            <v xml:space="preserve">פרטיכל - משנה     </v>
          </cell>
          <cell r="C2888">
            <v>14300</v>
          </cell>
        </row>
        <row r="2889">
          <cell r="A2889">
            <v>1733000565</v>
          </cell>
          <cell r="B2889" t="str">
            <v>כיבוד לוועדות משנה</v>
          </cell>
        </row>
        <row r="2890">
          <cell r="A2890">
            <v>1733000570</v>
          </cell>
          <cell r="B2890" t="str">
            <v>מיחשוב רישוי+הטלים</v>
          </cell>
        </row>
        <row r="2891">
          <cell r="A2891">
            <v>1733000571</v>
          </cell>
          <cell r="B2891" t="str">
            <v xml:space="preserve">מיכון וענ"א       </v>
          </cell>
        </row>
        <row r="2892">
          <cell r="A2892">
            <v>1733000580</v>
          </cell>
          <cell r="B2892" t="str">
            <v xml:space="preserve">שכ"ט שמאים        </v>
          </cell>
          <cell r="C2892">
            <v>1995000</v>
          </cell>
        </row>
        <row r="2893">
          <cell r="A2893">
            <v>1733000581</v>
          </cell>
          <cell r="B2893" t="str">
            <v xml:space="preserve">שכ"ט שמאים מכריעים        </v>
          </cell>
          <cell r="C2893">
            <v>760000</v>
          </cell>
        </row>
        <row r="2894">
          <cell r="A2894">
            <v>1733000753</v>
          </cell>
          <cell r="B2894" t="str">
            <v xml:space="preserve">עובדים חיצוניים   </v>
          </cell>
        </row>
        <row r="2895">
          <cell r="A2895">
            <v>1733000758</v>
          </cell>
          <cell r="B2895" t="str">
            <v xml:space="preserve">מבנים מסוכנים     </v>
          </cell>
        </row>
        <row r="2896">
          <cell r="A2896">
            <v>1733000931</v>
          </cell>
          <cell r="B2896" t="str">
            <v xml:space="preserve">חוברת מידע למתכנן </v>
          </cell>
        </row>
        <row r="2897">
          <cell r="A2897">
            <v>1733000961</v>
          </cell>
          <cell r="B2897" t="str">
            <v>רז' פעולות ורכישות</v>
          </cell>
        </row>
        <row r="2898">
          <cell r="A2898" t="str">
            <v>#VALUE!</v>
          </cell>
          <cell r="B2898" t="str">
            <v xml:space="preserve">רשוי בניה         </v>
          </cell>
        </row>
        <row r="2899">
          <cell r="A2899">
            <v>17333000</v>
          </cell>
          <cell r="B2899" t="str">
            <v xml:space="preserve">פיקוח על הבניה    </v>
          </cell>
        </row>
        <row r="2900">
          <cell r="A2900">
            <v>1733300100</v>
          </cell>
          <cell r="B2900" t="str">
            <v>שכר עובדים לפי תקן</v>
          </cell>
        </row>
        <row r="2901">
          <cell r="A2901">
            <v>1733300110</v>
          </cell>
          <cell r="B2901" t="str">
            <v>השכר הקובע-תקציבית</v>
          </cell>
        </row>
        <row r="2902">
          <cell r="A2902">
            <v>1733300119</v>
          </cell>
          <cell r="B2902" t="str">
            <v xml:space="preserve">השכר הקובע-צוברת  </v>
          </cell>
          <cell r="C2902">
            <v>3510700</v>
          </cell>
        </row>
        <row r="2903">
          <cell r="A2903">
            <v>1733300122</v>
          </cell>
          <cell r="B2903" t="str">
            <v xml:space="preserve">ביגוד             </v>
          </cell>
          <cell r="C2903">
            <v>34000</v>
          </cell>
        </row>
        <row r="2904">
          <cell r="A2904">
            <v>1733300126</v>
          </cell>
          <cell r="B2904" t="str">
            <v xml:space="preserve">דמי הבראה         </v>
          </cell>
          <cell r="C2904">
            <v>83500</v>
          </cell>
        </row>
        <row r="2905">
          <cell r="A2905">
            <v>1733300130</v>
          </cell>
          <cell r="B2905" t="str">
            <v xml:space="preserve">שעות נוספות       </v>
          </cell>
          <cell r="C2905">
            <v>130700</v>
          </cell>
        </row>
        <row r="2906">
          <cell r="A2906">
            <v>1733300140</v>
          </cell>
          <cell r="B2906" t="str">
            <v>השתתפות באחזקת רכב</v>
          </cell>
          <cell r="C2906">
            <v>332000</v>
          </cell>
        </row>
        <row r="2907">
          <cell r="A2907">
            <v>1733300253</v>
          </cell>
          <cell r="B2907" t="str">
            <v xml:space="preserve">עובדים חיצוניים   </v>
          </cell>
        </row>
        <row r="2908">
          <cell r="A2908">
            <v>1733300471</v>
          </cell>
          <cell r="B2908" t="str">
            <v xml:space="preserve">מכשירי כתיבה      </v>
          </cell>
          <cell r="C2908">
            <v>34100</v>
          </cell>
        </row>
        <row r="2909">
          <cell r="A2909">
            <v>1733300511</v>
          </cell>
          <cell r="B2909" t="str">
            <v xml:space="preserve">אירוח וכיבוד      </v>
          </cell>
        </row>
        <row r="2910">
          <cell r="A2910">
            <v>1733300544</v>
          </cell>
          <cell r="B2910" t="str">
            <v xml:space="preserve">הוצאות דאר        </v>
          </cell>
        </row>
        <row r="2911">
          <cell r="A2911">
            <v>1733300562</v>
          </cell>
          <cell r="B2911" t="str">
            <v xml:space="preserve">הדפסות            </v>
          </cell>
          <cell r="C2911">
            <v>3400</v>
          </cell>
        </row>
        <row r="2912">
          <cell r="A2912">
            <v>1733300570</v>
          </cell>
          <cell r="B2912" t="str">
            <v>תוכנת רישוי בניה</v>
          </cell>
        </row>
        <row r="2913">
          <cell r="A2913">
            <v>1733300571</v>
          </cell>
          <cell r="B2913" t="str">
            <v xml:space="preserve">מיכון וענ"א       </v>
          </cell>
        </row>
        <row r="2914">
          <cell r="A2914">
            <v>1733300753</v>
          </cell>
          <cell r="B2914" t="str">
            <v>שרות מנעולן</v>
          </cell>
          <cell r="C2914">
            <v>21400</v>
          </cell>
        </row>
        <row r="2915">
          <cell r="A2915">
            <v>1733300756</v>
          </cell>
          <cell r="B2915" t="str">
            <v xml:space="preserve">שמירה בקבלנות     </v>
          </cell>
          <cell r="C2915">
            <v>12000</v>
          </cell>
        </row>
        <row r="2916">
          <cell r="A2916">
            <v>1733300757</v>
          </cell>
          <cell r="B2916" t="str">
            <v>צילומי אויר</v>
          </cell>
          <cell r="C2916">
            <v>112300</v>
          </cell>
        </row>
        <row r="2917">
          <cell r="A2917">
            <v>1733300758</v>
          </cell>
          <cell r="B2917" t="str">
            <v xml:space="preserve">מב' מסוכנים-ציבורי     </v>
          </cell>
        </row>
        <row r="2918">
          <cell r="A2918">
            <v>1733300759</v>
          </cell>
          <cell r="B2918" t="str">
            <v>הריסת מבנים</v>
          </cell>
          <cell r="C2918">
            <v>475000</v>
          </cell>
        </row>
        <row r="2919">
          <cell r="A2919">
            <v>1733300744</v>
          </cell>
          <cell r="B2919" t="str">
            <v>מדים וציוד</v>
          </cell>
        </row>
        <row r="2920">
          <cell r="A2920">
            <v>1733300933</v>
          </cell>
          <cell r="B2920" t="str">
            <v>ציוד בטיחותי אישי</v>
          </cell>
          <cell r="C2920">
            <v>9500</v>
          </cell>
        </row>
        <row r="2921">
          <cell r="A2921">
            <v>1733300961</v>
          </cell>
          <cell r="B2921" t="str">
            <v>רז' פעולות ורכישות</v>
          </cell>
          <cell r="C2921">
            <v>50000</v>
          </cell>
        </row>
        <row r="2922">
          <cell r="A2922" t="str">
            <v>#VALUE!</v>
          </cell>
          <cell r="B2922" t="str">
            <v xml:space="preserve">פיקוח על הבניה    </v>
          </cell>
        </row>
        <row r="2923">
          <cell r="A2923">
            <v>17340000</v>
          </cell>
          <cell r="B2923" t="str">
            <v xml:space="preserve">מיחשוב יעודי קרקע </v>
          </cell>
        </row>
        <row r="2924">
          <cell r="A2924">
            <v>1734000570</v>
          </cell>
          <cell r="B2924" t="str">
            <v xml:space="preserve">חב' לאוטומציה     </v>
          </cell>
          <cell r="C2924">
            <v>0</v>
          </cell>
        </row>
        <row r="2925">
          <cell r="A2925">
            <v>1734000572</v>
          </cell>
          <cell r="B2925" t="str">
            <v>מעקב תב"ע</v>
          </cell>
        </row>
        <row r="2926">
          <cell r="A2926">
            <v>1734000700</v>
          </cell>
          <cell r="B2926" t="str">
            <v xml:space="preserve">הוצאות לפעולות    </v>
          </cell>
        </row>
        <row r="2927">
          <cell r="A2927" t="str">
            <v>#VALUE!</v>
          </cell>
          <cell r="B2927" t="str">
            <v xml:space="preserve">מיחשוב יעודי קרקע </v>
          </cell>
        </row>
        <row r="2928">
          <cell r="A2928">
            <v>17350000</v>
          </cell>
          <cell r="B2928" t="str">
            <v xml:space="preserve">בנית מבני ציבור   </v>
          </cell>
        </row>
        <row r="2929">
          <cell r="A2929">
            <v>1735000110</v>
          </cell>
          <cell r="B2929" t="str">
            <v>השכר הקובע-תקציבית</v>
          </cell>
          <cell r="C2929">
            <v>152300</v>
          </cell>
        </row>
        <row r="2930">
          <cell r="A2930">
            <v>1735000119</v>
          </cell>
          <cell r="B2930" t="str">
            <v xml:space="preserve">השכר הקובע-צוברת  </v>
          </cell>
          <cell r="C2930">
            <v>1709100</v>
          </cell>
        </row>
        <row r="2931">
          <cell r="A2931">
            <v>1735000122</v>
          </cell>
          <cell r="B2931" t="str">
            <v xml:space="preserve">ביגוד             </v>
          </cell>
          <cell r="C2931">
            <v>21000</v>
          </cell>
        </row>
        <row r="2932">
          <cell r="A2932">
            <v>1735000126</v>
          </cell>
          <cell r="B2932" t="str">
            <v xml:space="preserve">דמי הבראה         </v>
          </cell>
          <cell r="C2932">
            <v>44000</v>
          </cell>
        </row>
        <row r="2933">
          <cell r="A2933">
            <v>1735000130</v>
          </cell>
          <cell r="B2933" t="str">
            <v xml:space="preserve">שעות נוספות       </v>
          </cell>
          <cell r="C2933">
            <v>30100</v>
          </cell>
        </row>
        <row r="2934">
          <cell r="A2934">
            <v>1735000140</v>
          </cell>
          <cell r="B2934" t="str">
            <v>השתתפות באחזקת רכב</v>
          </cell>
          <cell r="C2934">
            <v>235800</v>
          </cell>
        </row>
        <row r="2935">
          <cell r="A2935">
            <v>1735000253</v>
          </cell>
          <cell r="B2935" t="str">
            <v xml:space="preserve">עובדים חיצוניים   </v>
          </cell>
        </row>
        <row r="2936">
          <cell r="A2936">
            <v>1735000350</v>
          </cell>
          <cell r="B2936" t="str">
            <v>לא פעיל</v>
          </cell>
        </row>
        <row r="2937">
          <cell r="A2937">
            <v>1735000351</v>
          </cell>
          <cell r="B2937" t="str">
            <v>לא פעיל</v>
          </cell>
        </row>
        <row r="2938">
          <cell r="A2938">
            <v>1735000420</v>
          </cell>
          <cell r="B2938" t="str">
            <v xml:space="preserve">כבוי אש           </v>
          </cell>
        </row>
        <row r="2939">
          <cell r="A2939">
            <v>1735000433</v>
          </cell>
          <cell r="B2939" t="str">
            <v xml:space="preserve">חומרי נקיון       </v>
          </cell>
          <cell r="C2939">
            <v>1800</v>
          </cell>
        </row>
        <row r="2940">
          <cell r="A2940">
            <v>1735000437</v>
          </cell>
          <cell r="B2940" t="str">
            <v>מערכת אזעקה</v>
          </cell>
        </row>
        <row r="2941">
          <cell r="A2941">
            <v>1735000470</v>
          </cell>
          <cell r="B2941" t="str">
            <v xml:space="preserve">אחזקת מכונות משרד </v>
          </cell>
          <cell r="C2941">
            <v>2700</v>
          </cell>
        </row>
        <row r="2942">
          <cell r="A2942">
            <v>1735000471</v>
          </cell>
          <cell r="B2942" t="str">
            <v xml:space="preserve">מכשירי כתיבה      </v>
          </cell>
          <cell r="C2942">
            <v>32400</v>
          </cell>
        </row>
        <row r="2943">
          <cell r="A2943">
            <v>1735000511</v>
          </cell>
          <cell r="B2943" t="str">
            <v xml:space="preserve">אירוח וכיבוד      </v>
          </cell>
          <cell r="C2943">
            <v>9000</v>
          </cell>
        </row>
        <row r="2944">
          <cell r="A2944">
            <v>1735000522</v>
          </cell>
          <cell r="B2944" t="str">
            <v xml:space="preserve">ספרים ועיתונים    </v>
          </cell>
          <cell r="C2944">
            <v>8600</v>
          </cell>
        </row>
        <row r="2945">
          <cell r="A2945">
            <v>1735000550</v>
          </cell>
          <cell r="B2945" t="str">
            <v xml:space="preserve">פירסומים          </v>
          </cell>
        </row>
        <row r="2946">
          <cell r="A2946">
            <v>1735000561</v>
          </cell>
          <cell r="B2946" t="str">
            <v xml:space="preserve">שיכפולים          </v>
          </cell>
        </row>
        <row r="2947">
          <cell r="A2947">
            <v>1735000562</v>
          </cell>
          <cell r="B2947" t="str">
            <v xml:space="preserve">הדפסות            </v>
          </cell>
          <cell r="C2947">
            <v>1800</v>
          </cell>
        </row>
        <row r="2948">
          <cell r="A2948">
            <v>1735000571</v>
          </cell>
          <cell r="B2948" t="str">
            <v xml:space="preserve">מיכון וענ"א       </v>
          </cell>
        </row>
        <row r="2949">
          <cell r="A2949">
            <v>1735000752</v>
          </cell>
          <cell r="B2949" t="str">
            <v xml:space="preserve">נקיון בקבלנות     </v>
          </cell>
          <cell r="C2949">
            <v>54000</v>
          </cell>
        </row>
        <row r="2950">
          <cell r="A2950">
            <v>1735000753</v>
          </cell>
          <cell r="B2950" t="str">
            <v xml:space="preserve">עובדים חיצוניים   </v>
          </cell>
        </row>
        <row r="2951">
          <cell r="A2951">
            <v>1735000931</v>
          </cell>
          <cell r="B2951" t="str">
            <v>הכנת מכרז</v>
          </cell>
        </row>
        <row r="2952">
          <cell r="A2952">
            <v>1735000961</v>
          </cell>
          <cell r="B2952" t="str">
            <v>רז' פעולות ורכישות</v>
          </cell>
        </row>
        <row r="2953">
          <cell r="A2953" t="str">
            <v>#VALUE!</v>
          </cell>
          <cell r="B2953" t="str">
            <v xml:space="preserve">בנית מבני ציבור   </v>
          </cell>
        </row>
        <row r="2954">
          <cell r="A2954">
            <v>17360000</v>
          </cell>
          <cell r="B2954" t="str">
            <v>אח' נכסים ציבוריים</v>
          </cell>
        </row>
        <row r="2955">
          <cell r="A2955">
            <v>1736000100</v>
          </cell>
          <cell r="B2955" t="str">
            <v>שכר עובדים לפי תקן</v>
          </cell>
        </row>
        <row r="2956">
          <cell r="A2956">
            <v>1736000110</v>
          </cell>
          <cell r="B2956" t="str">
            <v>השכר הקובע-תקציבית</v>
          </cell>
        </row>
        <row r="2957">
          <cell r="A2957">
            <v>1736000119</v>
          </cell>
          <cell r="B2957" t="str">
            <v xml:space="preserve">השכר הקובע-צוברת  </v>
          </cell>
          <cell r="C2957">
            <v>439900</v>
          </cell>
        </row>
        <row r="2958">
          <cell r="A2958">
            <v>1736000122</v>
          </cell>
          <cell r="B2958" t="str">
            <v xml:space="preserve">ביגוד             </v>
          </cell>
          <cell r="C2958">
            <v>5600</v>
          </cell>
        </row>
        <row r="2959">
          <cell r="A2959">
            <v>1736000126</v>
          </cell>
          <cell r="B2959" t="str">
            <v xml:space="preserve">דמי הבראה         </v>
          </cell>
          <cell r="C2959">
            <v>11000</v>
          </cell>
        </row>
        <row r="2960">
          <cell r="A2960">
            <v>1736000130</v>
          </cell>
          <cell r="B2960" t="str">
            <v xml:space="preserve">שעות נוספות       </v>
          </cell>
          <cell r="C2960">
            <v>66100</v>
          </cell>
        </row>
        <row r="2961">
          <cell r="A2961">
            <v>1736000140</v>
          </cell>
          <cell r="B2961" t="str">
            <v>השתתפות באחזקת רכב</v>
          </cell>
          <cell r="C2961">
            <v>68900</v>
          </cell>
        </row>
        <row r="2962">
          <cell r="A2962">
            <v>1736000200</v>
          </cell>
          <cell r="B2962" t="str">
            <v>שכר עובדים ללא תקן</v>
          </cell>
        </row>
        <row r="2963">
          <cell r="A2963">
            <v>1736000210</v>
          </cell>
          <cell r="B2963" t="str">
            <v xml:space="preserve">השכר הקובע        </v>
          </cell>
        </row>
        <row r="2964">
          <cell r="A2964">
            <v>1736000253</v>
          </cell>
          <cell r="B2964" t="str">
            <v xml:space="preserve">עובדים חיצוניים   </v>
          </cell>
        </row>
        <row r="2965">
          <cell r="A2965">
            <v>1736000400</v>
          </cell>
          <cell r="B2965" t="str">
            <v>אחזקת בנינים וציוד</v>
          </cell>
        </row>
        <row r="2966">
          <cell r="A2966">
            <v>1736000450</v>
          </cell>
          <cell r="B2966" t="str">
            <v>אחזקת תמי 4</v>
          </cell>
          <cell r="C2966">
            <v>1000</v>
          </cell>
        </row>
        <row r="2967">
          <cell r="A2967">
            <v>1736000492</v>
          </cell>
          <cell r="B2967" t="str">
            <v xml:space="preserve">השתתפות בעזר 092  </v>
          </cell>
        </row>
        <row r="2968">
          <cell r="A2968">
            <v>1736000530</v>
          </cell>
          <cell r="B2968" t="str">
            <v xml:space="preserve">אופניים לעובדים   </v>
          </cell>
        </row>
        <row r="2969">
          <cell r="A2969">
            <v>1736000540</v>
          </cell>
          <cell r="B2969" t="str">
            <v xml:space="preserve">הוצאות טלפון      </v>
          </cell>
        </row>
        <row r="2970">
          <cell r="A2970">
            <v>1736000544</v>
          </cell>
          <cell r="B2970" t="str">
            <v xml:space="preserve">הוצאות דאר        </v>
          </cell>
        </row>
        <row r="2971">
          <cell r="A2971">
            <v>1736000580</v>
          </cell>
          <cell r="B2971" t="str">
            <v>ייעוץ חשמל</v>
          </cell>
        </row>
        <row r="2972">
          <cell r="A2972">
            <v>1736000596</v>
          </cell>
          <cell r="B2972" t="str">
            <v xml:space="preserve">השתתפות בעזר 096  </v>
          </cell>
        </row>
        <row r="2973">
          <cell r="A2973">
            <v>1736000700</v>
          </cell>
          <cell r="B2973" t="str">
            <v xml:space="preserve">הוצאות לפעולות    </v>
          </cell>
        </row>
        <row r="2974">
          <cell r="A2974">
            <v>1736000715</v>
          </cell>
          <cell r="B2974" t="str">
            <v>ממונה בטיחות מוסדות ציבור</v>
          </cell>
        </row>
        <row r="2975">
          <cell r="A2975">
            <v>1736000742</v>
          </cell>
          <cell r="B2975" t="str">
            <v xml:space="preserve">כלים וציוד        </v>
          </cell>
        </row>
        <row r="2976">
          <cell r="A2976">
            <v>1736000753</v>
          </cell>
          <cell r="B2976" t="str">
            <v xml:space="preserve">עובדים חיצוניים   </v>
          </cell>
        </row>
        <row r="2977">
          <cell r="A2977">
            <v>1736000794</v>
          </cell>
          <cell r="B2977" t="str">
            <v xml:space="preserve">השתתפות בעזר 094  </v>
          </cell>
        </row>
        <row r="2978">
          <cell r="A2978">
            <v>1736000900</v>
          </cell>
          <cell r="B2978" t="str">
            <v xml:space="preserve">הוצאות חד-פעמיות  </v>
          </cell>
        </row>
        <row r="2979">
          <cell r="A2979">
            <v>1736000931</v>
          </cell>
          <cell r="B2979" t="str">
            <v xml:space="preserve">ציוד חד פעמי      </v>
          </cell>
        </row>
        <row r="2980">
          <cell r="A2980">
            <v>1736000961</v>
          </cell>
          <cell r="B2980" t="str">
            <v>רז' פעולות ורכישות</v>
          </cell>
        </row>
        <row r="2981">
          <cell r="A2981" t="str">
            <v>#VALUE!</v>
          </cell>
          <cell r="B2981" t="str">
            <v>אח' נכסים ציבוריים</v>
          </cell>
        </row>
        <row r="2982">
          <cell r="A2982">
            <v>17361000</v>
          </cell>
          <cell r="B2982" t="str">
            <v>אח' נכסים ציבוריים</v>
          </cell>
        </row>
        <row r="2983">
          <cell r="A2983">
            <v>1736100423</v>
          </cell>
          <cell r="B2983" t="str">
            <v xml:space="preserve">תחזוקת מבנה       </v>
          </cell>
        </row>
        <row r="2984">
          <cell r="A2984" t="str">
            <v>#VALUE!</v>
          </cell>
          <cell r="B2984" t="str">
            <v>אח' נכסים ציבוריים</v>
          </cell>
        </row>
        <row r="2985">
          <cell r="A2985">
            <v>17400000</v>
          </cell>
          <cell r="B2985" t="str">
            <v xml:space="preserve">נכסים צבוריים     </v>
          </cell>
        </row>
        <row r="2986">
          <cell r="A2986">
            <v>17410000</v>
          </cell>
          <cell r="B2986" t="str">
            <v>מינהל נכס'ציבוריים</v>
          </cell>
        </row>
        <row r="2987">
          <cell r="A2987">
            <v>1741000110</v>
          </cell>
          <cell r="B2987" t="str">
            <v>השכר הקובע-תקציבית</v>
          </cell>
        </row>
        <row r="2988">
          <cell r="A2988">
            <v>1741000119</v>
          </cell>
          <cell r="B2988" t="str">
            <v xml:space="preserve">השכר הקובע-צוברת  </v>
          </cell>
          <cell r="C2988">
            <v>1247000</v>
          </cell>
        </row>
        <row r="2989">
          <cell r="A2989">
            <v>1741000122</v>
          </cell>
          <cell r="B2989" t="str">
            <v xml:space="preserve">ביגוד             </v>
          </cell>
          <cell r="C2989">
            <v>18000</v>
          </cell>
        </row>
        <row r="2990">
          <cell r="A2990">
            <v>1741000126</v>
          </cell>
          <cell r="B2990" t="str">
            <v xml:space="preserve">דמי הבראה         </v>
          </cell>
          <cell r="C2990">
            <v>33000</v>
          </cell>
        </row>
        <row r="2991">
          <cell r="A2991">
            <v>1741000130</v>
          </cell>
          <cell r="B2991" t="str">
            <v xml:space="preserve">שעות נוספות       </v>
          </cell>
        </row>
        <row r="2992">
          <cell r="A2992">
            <v>1741000140</v>
          </cell>
          <cell r="B2992" t="str">
            <v>השתתפות באחזקת רכב</v>
          </cell>
          <cell r="C2992">
            <v>170400</v>
          </cell>
        </row>
        <row r="2993">
          <cell r="A2993">
            <v>1741000253</v>
          </cell>
          <cell r="B2993" t="str">
            <v xml:space="preserve">עובדים חיצוניים   </v>
          </cell>
        </row>
        <row r="2994">
          <cell r="A2994">
            <v>1741000350</v>
          </cell>
          <cell r="B2994" t="str">
            <v>ליסינג - 741-53-902</v>
          </cell>
          <cell r="C2994">
            <v>50000</v>
          </cell>
        </row>
        <row r="2995">
          <cell r="A2995">
            <v>1741000351</v>
          </cell>
          <cell r="B2995" t="str">
            <v>הוצאות - 741-53-902</v>
          </cell>
          <cell r="C2995">
            <v>30000</v>
          </cell>
        </row>
        <row r="2996">
          <cell r="A2996">
            <v>1741000471</v>
          </cell>
          <cell r="B2996" t="str">
            <v xml:space="preserve">מכשירי כתיבה      </v>
          </cell>
          <cell r="C2996">
            <v>6000</v>
          </cell>
        </row>
        <row r="2997">
          <cell r="A2997">
            <v>1741000492</v>
          </cell>
          <cell r="B2997" t="str">
            <v xml:space="preserve">השתתפות בעזר 092  </v>
          </cell>
        </row>
        <row r="2998">
          <cell r="A2998">
            <v>1741000511</v>
          </cell>
          <cell r="B2998" t="str">
            <v xml:space="preserve">אירוח וכיבוד      </v>
          </cell>
          <cell r="C2998">
            <v>5100</v>
          </cell>
        </row>
        <row r="2999">
          <cell r="A2999">
            <v>1741000512</v>
          </cell>
          <cell r="B2999" t="str">
            <v xml:space="preserve">נסיעות ואש"ל      </v>
          </cell>
          <cell r="C2999">
            <v>500</v>
          </cell>
        </row>
        <row r="3000">
          <cell r="A3000">
            <v>1741000522</v>
          </cell>
          <cell r="B3000" t="str">
            <v xml:space="preserve">ספרים ועיתונים    </v>
          </cell>
          <cell r="C3000">
            <v>2700</v>
          </cell>
        </row>
        <row r="3001">
          <cell r="A3001">
            <v>1741000550</v>
          </cell>
          <cell r="B3001" t="str">
            <v xml:space="preserve">פירסומים          </v>
          </cell>
          <cell r="C3001">
            <v>400</v>
          </cell>
        </row>
        <row r="3002">
          <cell r="A3002">
            <v>1741000561</v>
          </cell>
          <cell r="B3002" t="str">
            <v xml:space="preserve">שיכפולים          </v>
          </cell>
          <cell r="C3002">
            <v>0</v>
          </cell>
        </row>
        <row r="3003">
          <cell r="A3003">
            <v>1741000562</v>
          </cell>
          <cell r="B3003" t="str">
            <v xml:space="preserve">הדפסות            </v>
          </cell>
          <cell r="C3003">
            <v>500</v>
          </cell>
        </row>
        <row r="3004">
          <cell r="A3004">
            <v>1741000565</v>
          </cell>
          <cell r="B3004" t="str">
            <v>מפות</v>
          </cell>
          <cell r="C3004">
            <v>1400</v>
          </cell>
        </row>
        <row r="3005">
          <cell r="A3005">
            <v>1741000571</v>
          </cell>
          <cell r="B3005" t="str">
            <v xml:space="preserve">מיכון וענ"א       </v>
          </cell>
        </row>
        <row r="3006">
          <cell r="A3006">
            <v>1741000572</v>
          </cell>
          <cell r="B3006" t="str">
            <v>תוכנת דקל - חב' כלכלית</v>
          </cell>
          <cell r="C3006">
            <v>58500</v>
          </cell>
        </row>
        <row r="3007">
          <cell r="A3007">
            <v>1741000580</v>
          </cell>
          <cell r="B3007" t="str">
            <v>ייעוץ</v>
          </cell>
          <cell r="C3007">
            <v>0</v>
          </cell>
        </row>
        <row r="3008">
          <cell r="A3008">
            <v>1741000581</v>
          </cell>
          <cell r="B3008" t="str">
            <v>תמיכה לבקרת פרוייקטים</v>
          </cell>
          <cell r="C3008">
            <v>0</v>
          </cell>
        </row>
        <row r="3009">
          <cell r="A3009">
            <v>1741000753</v>
          </cell>
          <cell r="B3009" t="str">
            <v xml:space="preserve">עובדים חיצוניים   </v>
          </cell>
          <cell r="C3009">
            <v>0</v>
          </cell>
        </row>
        <row r="3010">
          <cell r="A3010">
            <v>1741000780</v>
          </cell>
          <cell r="B3010" t="str">
            <v>עיר בריאה ומקיימת</v>
          </cell>
          <cell r="C3010">
            <v>0</v>
          </cell>
        </row>
        <row r="3011">
          <cell r="A3011">
            <v>1741000781</v>
          </cell>
          <cell r="B3011" t="str">
            <v>פעולות סמנכ"ל</v>
          </cell>
        </row>
        <row r="3012">
          <cell r="A3012">
            <v>1741000782</v>
          </cell>
          <cell r="B3012" t="str">
            <v>עיר בריאה - הגנת הסביבה</v>
          </cell>
          <cell r="C3012">
            <v>0</v>
          </cell>
        </row>
        <row r="3013">
          <cell r="A3013">
            <v>1741000783</v>
          </cell>
          <cell r="B3013" t="str">
            <v>עיר בריאה-רשת ניקוז ירקון</v>
          </cell>
          <cell r="C3013">
            <v>0</v>
          </cell>
        </row>
        <row r="3014">
          <cell r="A3014">
            <v>1741000784</v>
          </cell>
          <cell r="B3014" t="str">
            <v>עיר בריאה ומקיימת - חינוך</v>
          </cell>
          <cell r="C3014">
            <v>0</v>
          </cell>
        </row>
        <row r="3015">
          <cell r="A3015">
            <v>1741000931</v>
          </cell>
          <cell r="B3015" t="str">
            <v>עבודות בטיחות</v>
          </cell>
          <cell r="C3015">
            <v>60800</v>
          </cell>
        </row>
        <row r="3016">
          <cell r="A3016">
            <v>1741000961</v>
          </cell>
          <cell r="B3016" t="str">
            <v>רז' פעולות ורכישות</v>
          </cell>
        </row>
        <row r="3017">
          <cell r="A3017" t="str">
            <v>#VALUE!</v>
          </cell>
          <cell r="B3017" t="str">
            <v>מינהל נכס'ציבוריים</v>
          </cell>
        </row>
        <row r="3018">
          <cell r="A3018">
            <v>17411000</v>
          </cell>
          <cell r="B3018" t="str">
            <v>אגף התשתיות</v>
          </cell>
        </row>
        <row r="3019">
          <cell r="A3019">
            <v>1741100110</v>
          </cell>
          <cell r="B3019" t="str">
            <v>השכר הקובע-תקציבית</v>
          </cell>
          <cell r="C3019">
            <v>263300</v>
          </cell>
        </row>
        <row r="3020">
          <cell r="A3020">
            <v>1741100119</v>
          </cell>
          <cell r="B3020" t="str">
            <v xml:space="preserve">השכר הקובע-צוברת  </v>
          </cell>
          <cell r="C3020">
            <v>1156800</v>
          </cell>
        </row>
        <row r="3021">
          <cell r="A3021">
            <v>1741100122</v>
          </cell>
          <cell r="B3021" t="str">
            <v xml:space="preserve">ביגוד             </v>
          </cell>
          <cell r="C3021">
            <v>15000</v>
          </cell>
        </row>
        <row r="3022">
          <cell r="A3022">
            <v>1741100126</v>
          </cell>
          <cell r="B3022" t="str">
            <v xml:space="preserve">דמי הבראה         </v>
          </cell>
          <cell r="C3022">
            <v>45000</v>
          </cell>
        </row>
        <row r="3023">
          <cell r="A3023">
            <v>1741100130</v>
          </cell>
          <cell r="B3023" t="str">
            <v xml:space="preserve">שעות נוספות       </v>
          </cell>
          <cell r="C3023">
            <v>24100</v>
          </cell>
        </row>
        <row r="3024">
          <cell r="A3024">
            <v>1741100140</v>
          </cell>
          <cell r="B3024" t="str">
            <v>השתתפות באחזקת רכב</v>
          </cell>
          <cell r="C3024">
            <v>148300</v>
          </cell>
        </row>
        <row r="3025">
          <cell r="A3025">
            <v>1741100253</v>
          </cell>
          <cell r="B3025" t="str">
            <v xml:space="preserve">עובדים חיצוניים   </v>
          </cell>
        </row>
        <row r="3026">
          <cell r="A3026">
            <v>1741100350</v>
          </cell>
          <cell r="B3026" t="str">
            <v>ליסינג - 409-50-302</v>
          </cell>
          <cell r="C3026">
            <v>47000</v>
          </cell>
        </row>
        <row r="3027">
          <cell r="A3027">
            <v>1741100351</v>
          </cell>
          <cell r="B3027" t="str">
            <v>הוצאות - 409-50-302</v>
          </cell>
          <cell r="C3027">
            <v>10000</v>
          </cell>
        </row>
        <row r="3028">
          <cell r="A3028">
            <v>1741100470</v>
          </cell>
          <cell r="B3028" t="str">
            <v xml:space="preserve">אחזקת מכונות משרד </v>
          </cell>
          <cell r="C3028">
            <v>2000</v>
          </cell>
        </row>
        <row r="3029">
          <cell r="A3029">
            <v>1741100471</v>
          </cell>
          <cell r="B3029" t="str">
            <v xml:space="preserve">מכשירי כתיבה      </v>
          </cell>
          <cell r="C3029">
            <v>17000</v>
          </cell>
        </row>
        <row r="3030">
          <cell r="A3030">
            <v>1741100511</v>
          </cell>
          <cell r="B3030" t="str">
            <v xml:space="preserve">אירוח וכיבוד      </v>
          </cell>
          <cell r="C3030">
            <v>2100</v>
          </cell>
        </row>
        <row r="3031">
          <cell r="A3031">
            <v>1741100512</v>
          </cell>
          <cell r="B3031" t="str">
            <v xml:space="preserve">נסיעות ואש"ל      </v>
          </cell>
          <cell r="C3031">
            <v>400</v>
          </cell>
        </row>
        <row r="3032">
          <cell r="A3032">
            <v>1741100522</v>
          </cell>
          <cell r="B3032" t="str">
            <v xml:space="preserve">ספרים ועיתונים    </v>
          </cell>
          <cell r="C3032">
            <v>200</v>
          </cell>
        </row>
        <row r="3033">
          <cell r="A3033">
            <v>1741100561</v>
          </cell>
          <cell r="B3033" t="str">
            <v xml:space="preserve">שיכפולים          </v>
          </cell>
          <cell r="C3033">
            <v>1000</v>
          </cell>
        </row>
        <row r="3034">
          <cell r="A3034">
            <v>1741100562</v>
          </cell>
          <cell r="B3034" t="str">
            <v xml:space="preserve">הדפסות            </v>
          </cell>
          <cell r="C3034">
            <v>300</v>
          </cell>
        </row>
        <row r="3035">
          <cell r="A3035">
            <v>1741100565</v>
          </cell>
          <cell r="B3035" t="str">
            <v>מידע לתושב</v>
          </cell>
        </row>
        <row r="3036">
          <cell r="A3036">
            <v>1741100753</v>
          </cell>
          <cell r="B3036" t="str">
            <v xml:space="preserve">עובדים חיצוניים   </v>
          </cell>
        </row>
        <row r="3037">
          <cell r="A3037">
            <v>1741100961</v>
          </cell>
          <cell r="B3037" t="str">
            <v>רז' פעולות ורכישות</v>
          </cell>
        </row>
        <row r="3038">
          <cell r="A3038" t="str">
            <v>#VALUE!</v>
          </cell>
          <cell r="B3038" t="str">
            <v>אגף התשתיות</v>
          </cell>
        </row>
        <row r="3039">
          <cell r="A3039">
            <v>17420000</v>
          </cell>
          <cell r="B3039" t="str">
            <v>מערך דרכים</v>
          </cell>
        </row>
        <row r="3040">
          <cell r="A3040">
            <v>1742000100</v>
          </cell>
          <cell r="B3040" t="str">
            <v>שכר עובדים לפי תקן</v>
          </cell>
        </row>
        <row r="3041">
          <cell r="A3041">
            <v>1742000110</v>
          </cell>
          <cell r="B3041" t="str">
            <v>השכר הקובע-תקציבית</v>
          </cell>
          <cell r="C3041">
            <v>187800</v>
          </cell>
        </row>
        <row r="3042">
          <cell r="A3042">
            <v>1742000119</v>
          </cell>
          <cell r="B3042" t="str">
            <v xml:space="preserve">השכר הקובע-צוברת  </v>
          </cell>
          <cell r="C3042">
            <v>2124400</v>
          </cell>
        </row>
        <row r="3043">
          <cell r="A3043">
            <v>1742000122</v>
          </cell>
          <cell r="B3043" t="str">
            <v xml:space="preserve">ביגוד             </v>
          </cell>
          <cell r="C3043">
            <v>26000</v>
          </cell>
        </row>
        <row r="3044">
          <cell r="A3044">
            <v>1742000126</v>
          </cell>
          <cell r="B3044" t="str">
            <v xml:space="preserve">דמי הבראה         </v>
          </cell>
          <cell r="C3044">
            <v>65000</v>
          </cell>
        </row>
        <row r="3045">
          <cell r="A3045">
            <v>1742000130</v>
          </cell>
          <cell r="B3045" t="str">
            <v xml:space="preserve">שעות נוספות       </v>
          </cell>
          <cell r="C3045">
            <v>97700</v>
          </cell>
        </row>
        <row r="3046">
          <cell r="A3046">
            <v>1742000140</v>
          </cell>
          <cell r="B3046" t="str">
            <v>השתתפות באחזקת רכב</v>
          </cell>
          <cell r="C3046">
            <v>306000</v>
          </cell>
        </row>
        <row r="3047">
          <cell r="A3047">
            <v>1742000253</v>
          </cell>
          <cell r="B3047" t="str">
            <v xml:space="preserve">עובדים חיצוניים   </v>
          </cell>
        </row>
        <row r="3048">
          <cell r="A3048">
            <v>1742000400</v>
          </cell>
          <cell r="B3048" t="str">
            <v>אחזקת בנינים וציוד</v>
          </cell>
        </row>
        <row r="3049">
          <cell r="A3049">
            <v>1742000470</v>
          </cell>
          <cell r="B3049" t="str">
            <v xml:space="preserve">אחזקת מכונות משרד </v>
          </cell>
        </row>
        <row r="3050">
          <cell r="A3050">
            <v>1742000471</v>
          </cell>
          <cell r="B3050" t="str">
            <v xml:space="preserve">מכשירי כתיבה      </v>
          </cell>
        </row>
        <row r="3051">
          <cell r="A3051">
            <v>1742000500</v>
          </cell>
          <cell r="B3051" t="str">
            <v xml:space="preserve">הוצאות מינהליות   </v>
          </cell>
        </row>
        <row r="3052">
          <cell r="A3052">
            <v>1742000511</v>
          </cell>
          <cell r="B3052" t="str">
            <v xml:space="preserve">אירוח וכיבוד      </v>
          </cell>
          <cell r="C3052">
            <v>8800</v>
          </cell>
        </row>
        <row r="3053">
          <cell r="A3053">
            <v>1742000522</v>
          </cell>
          <cell r="B3053" t="str">
            <v xml:space="preserve">ספרים ועיתונים    </v>
          </cell>
        </row>
        <row r="3054">
          <cell r="A3054">
            <v>1742000544</v>
          </cell>
          <cell r="B3054" t="str">
            <v xml:space="preserve">הוצאות דאר        </v>
          </cell>
          <cell r="C3054">
            <v>900</v>
          </cell>
        </row>
        <row r="3055">
          <cell r="A3055">
            <v>1742000561</v>
          </cell>
          <cell r="B3055" t="str">
            <v xml:space="preserve">שיכפולים          </v>
          </cell>
        </row>
        <row r="3056">
          <cell r="A3056">
            <v>1742000562</v>
          </cell>
          <cell r="B3056" t="str">
            <v xml:space="preserve">הדפסות            </v>
          </cell>
        </row>
        <row r="3057">
          <cell r="A3057">
            <v>1742000571</v>
          </cell>
          <cell r="B3057" t="str">
            <v xml:space="preserve">מיכון וענ"א       </v>
          </cell>
        </row>
        <row r="3058">
          <cell r="A3058">
            <v>1742000580</v>
          </cell>
          <cell r="B3058" t="str">
            <v>יעוץ לטופס 4+5</v>
          </cell>
          <cell r="C3058">
            <v>65000</v>
          </cell>
        </row>
        <row r="3059">
          <cell r="A3059">
            <v>1742000581</v>
          </cell>
          <cell r="B3059" t="str">
            <v>יעוץ ושרות למחלקת דרכים</v>
          </cell>
          <cell r="C3059">
            <v>253000</v>
          </cell>
        </row>
        <row r="3060">
          <cell r="A3060">
            <v>1742000582</v>
          </cell>
          <cell r="B3060" t="str">
            <v>אחזקת סככות אוטובוס</v>
          </cell>
          <cell r="C3060">
            <v>237500</v>
          </cell>
        </row>
        <row r="3061">
          <cell r="A3061">
            <v>1742000583</v>
          </cell>
          <cell r="B3061" t="str">
            <v>אחזקה מונעת סככות מהיר לעיר</v>
          </cell>
          <cell r="C3061">
            <v>950000</v>
          </cell>
        </row>
        <row r="3062">
          <cell r="A3062">
            <v>1742000584</v>
          </cell>
          <cell r="B3062" t="str">
            <v>ייעוץ לממ"ש</v>
          </cell>
          <cell r="C3062">
            <v>231800</v>
          </cell>
        </row>
        <row r="3063">
          <cell r="A3063">
            <v>1742000585</v>
          </cell>
          <cell r="B3063" t="str">
            <v>פיקוח על סככות אוטובוס</v>
          </cell>
          <cell r="C3063">
            <v>73500</v>
          </cell>
        </row>
        <row r="3064">
          <cell r="A3064">
            <v>1742000596</v>
          </cell>
          <cell r="B3064" t="str">
            <v xml:space="preserve">השתתפות בעזר 096  </v>
          </cell>
        </row>
        <row r="3065">
          <cell r="A3065">
            <v>1742000700</v>
          </cell>
          <cell r="B3065" t="str">
            <v xml:space="preserve">הוצאות לפעולות    </v>
          </cell>
        </row>
        <row r="3066">
          <cell r="A3066">
            <v>1742000715</v>
          </cell>
          <cell r="B3066" t="str">
            <v>עבודות קבלניות-רכב</v>
          </cell>
          <cell r="C3066">
            <v>0</v>
          </cell>
        </row>
        <row r="3067">
          <cell r="A3067">
            <v>1742000722</v>
          </cell>
          <cell r="B3067" t="str">
            <v>חמרים-תחזוקה עצמית</v>
          </cell>
          <cell r="C3067">
            <v>102600</v>
          </cell>
        </row>
        <row r="3068">
          <cell r="A3068">
            <v>1742000737</v>
          </cell>
          <cell r="B3068" t="str">
            <v>שכירות רכב לימים גשומים</v>
          </cell>
          <cell r="C3068">
            <v>0</v>
          </cell>
        </row>
        <row r="3069">
          <cell r="A3069">
            <v>1742000742</v>
          </cell>
          <cell r="B3069" t="str">
            <v xml:space="preserve">כלים וציוד        </v>
          </cell>
          <cell r="C3069">
            <v>14300</v>
          </cell>
        </row>
        <row r="3070">
          <cell r="A3070">
            <v>1742000745</v>
          </cell>
          <cell r="B3070" t="str">
            <v xml:space="preserve">מבצעי חורף        </v>
          </cell>
          <cell r="C3070">
            <v>13700</v>
          </cell>
        </row>
        <row r="3071">
          <cell r="A3071">
            <v>1742000753</v>
          </cell>
          <cell r="B3071" t="str">
            <v xml:space="preserve">עובדים חיצוניים   </v>
          </cell>
        </row>
        <row r="3072">
          <cell r="A3072">
            <v>1742000754</v>
          </cell>
          <cell r="B3072" t="str">
            <v xml:space="preserve">עבודות קבלניות    </v>
          </cell>
          <cell r="C3072">
            <v>800000</v>
          </cell>
        </row>
        <row r="3073">
          <cell r="A3073">
            <v>1742000757</v>
          </cell>
          <cell r="B3073" t="str">
            <v>ציפוי כבישים</v>
          </cell>
          <cell r="C3073">
            <v>0</v>
          </cell>
        </row>
        <row r="3074">
          <cell r="A3074">
            <v>1742000758</v>
          </cell>
          <cell r="B3074" t="str">
            <v>אחזקת כביש 20</v>
          </cell>
          <cell r="C3074">
            <v>0</v>
          </cell>
        </row>
        <row r="3075">
          <cell r="A3075">
            <v>1742000759</v>
          </cell>
          <cell r="B3075" t="str">
            <v>עבודת קבלני טרקטור</v>
          </cell>
          <cell r="C3075">
            <v>98800</v>
          </cell>
        </row>
        <row r="3076">
          <cell r="A3076">
            <v>1742000763</v>
          </cell>
          <cell r="B3076" t="str">
            <v xml:space="preserve">עובד חברת מוסדות  </v>
          </cell>
        </row>
        <row r="3077">
          <cell r="A3077">
            <v>1742000794</v>
          </cell>
          <cell r="B3077" t="str">
            <v xml:space="preserve">השתתפות בעזר 094  </v>
          </cell>
        </row>
        <row r="3078">
          <cell r="A3078">
            <v>1742000931</v>
          </cell>
          <cell r="B3078" t="str">
            <v xml:space="preserve">הוצאות חד פעמיות  </v>
          </cell>
          <cell r="C3078">
            <v>6800</v>
          </cell>
        </row>
        <row r="3079">
          <cell r="A3079">
            <v>1742000960</v>
          </cell>
          <cell r="B3079" t="str">
            <v>רזרבה-תחזוקה כללית</v>
          </cell>
          <cell r="C3079">
            <v>210000</v>
          </cell>
        </row>
        <row r="3080">
          <cell r="A3080">
            <v>1742000961</v>
          </cell>
          <cell r="B3080" t="str">
            <v>רז' פעולות ורכישות</v>
          </cell>
        </row>
        <row r="3081">
          <cell r="A3081" t="str">
            <v>#VALUE!</v>
          </cell>
          <cell r="B3081" t="str">
            <v>מערך דרכים</v>
          </cell>
        </row>
        <row r="3082">
          <cell r="A3082">
            <v>17430000</v>
          </cell>
          <cell r="B3082" t="str">
            <v>מחלקת מאור</v>
          </cell>
        </row>
        <row r="3083">
          <cell r="A3083">
            <v>1743000100</v>
          </cell>
          <cell r="B3083" t="str">
            <v>שכר עובדים לפי תקן</v>
          </cell>
        </row>
        <row r="3084">
          <cell r="A3084">
            <v>1743000110</v>
          </cell>
          <cell r="B3084" t="str">
            <v>השכר הקובע-תקציבית</v>
          </cell>
          <cell r="C3084">
            <v>308900</v>
          </cell>
        </row>
        <row r="3085">
          <cell r="A3085">
            <v>1743000119</v>
          </cell>
          <cell r="B3085" t="str">
            <v xml:space="preserve">השכר הקובע-צוברת  </v>
          </cell>
          <cell r="C3085">
            <v>557200</v>
          </cell>
        </row>
        <row r="3086">
          <cell r="A3086">
            <v>1743000122</v>
          </cell>
          <cell r="B3086" t="str">
            <v xml:space="preserve">ביגוד             </v>
          </cell>
          <cell r="C3086">
            <v>15000</v>
          </cell>
        </row>
        <row r="3087">
          <cell r="A3087">
            <v>1743000126</v>
          </cell>
          <cell r="B3087" t="str">
            <v xml:space="preserve">דמי הבראה         </v>
          </cell>
          <cell r="C3087">
            <v>43000</v>
          </cell>
        </row>
        <row r="3088">
          <cell r="A3088">
            <v>1743000130</v>
          </cell>
          <cell r="B3088" t="str">
            <v xml:space="preserve">שעות נוספות       </v>
          </cell>
          <cell r="C3088">
            <v>138700</v>
          </cell>
        </row>
        <row r="3089">
          <cell r="A3089">
            <v>1743000140</v>
          </cell>
          <cell r="B3089" t="str">
            <v>השתתפות באחזקת רכב</v>
          </cell>
          <cell r="C3089">
            <v>158000</v>
          </cell>
        </row>
        <row r="3090">
          <cell r="A3090">
            <v>1743000253</v>
          </cell>
          <cell r="B3090" t="str">
            <v xml:space="preserve">עובד חיצוני       </v>
          </cell>
        </row>
        <row r="3091">
          <cell r="A3091">
            <v>1743000400</v>
          </cell>
          <cell r="B3091" t="str">
            <v>אחזקת בנינים וציוד</v>
          </cell>
        </row>
        <row r="3092">
          <cell r="A3092">
            <v>1743000431</v>
          </cell>
          <cell r="B3092" t="str">
            <v xml:space="preserve">חשמל              </v>
          </cell>
          <cell r="C3092">
            <v>5000000</v>
          </cell>
        </row>
        <row r="3093">
          <cell r="A3093">
            <v>1743000500</v>
          </cell>
          <cell r="B3093" t="str">
            <v xml:space="preserve">הוצאות מינהליות   </v>
          </cell>
        </row>
        <row r="3094">
          <cell r="A3094">
            <v>1743000511</v>
          </cell>
          <cell r="B3094" t="str">
            <v xml:space="preserve">אירוח וכיבוד      </v>
          </cell>
          <cell r="C3094">
            <v>5900</v>
          </cell>
        </row>
        <row r="3095">
          <cell r="A3095">
            <v>1743000596</v>
          </cell>
          <cell r="B3095" t="str">
            <v xml:space="preserve">השתתפות בעזר 096  </v>
          </cell>
        </row>
        <row r="3096">
          <cell r="A3096">
            <v>1743000700</v>
          </cell>
          <cell r="B3096" t="str">
            <v xml:space="preserve">הוצאות לפעולות    </v>
          </cell>
        </row>
        <row r="3097">
          <cell r="A3097">
            <v>1743000722</v>
          </cell>
          <cell r="B3097" t="str">
            <v xml:space="preserve">פנסים ומנורות     </v>
          </cell>
          <cell r="C3097">
            <v>0</v>
          </cell>
        </row>
        <row r="3098">
          <cell r="A3098">
            <v>1743000742</v>
          </cell>
          <cell r="B3098" t="str">
            <v xml:space="preserve">כלים וציוד        </v>
          </cell>
          <cell r="C3098">
            <v>20000</v>
          </cell>
        </row>
        <row r="3099">
          <cell r="A3099">
            <v>1743000745</v>
          </cell>
          <cell r="B3099" t="str">
            <v xml:space="preserve">תיקון נזקים       </v>
          </cell>
          <cell r="C3099">
            <v>0</v>
          </cell>
        </row>
        <row r="3100">
          <cell r="A3100">
            <v>1743000753</v>
          </cell>
          <cell r="B3100" t="str">
            <v xml:space="preserve">עובד חיצוני       </v>
          </cell>
          <cell r="C3100">
            <v>0</v>
          </cell>
        </row>
        <row r="3101">
          <cell r="A3101">
            <v>1743000754</v>
          </cell>
          <cell r="B3101" t="str">
            <v xml:space="preserve">עבודות תאורה      </v>
          </cell>
          <cell r="C3101">
            <v>0</v>
          </cell>
        </row>
        <row r="3102">
          <cell r="A3102">
            <v>1743000755</v>
          </cell>
          <cell r="B3102" t="str">
            <v>כוננות קבלן תאורה</v>
          </cell>
          <cell r="C3102">
            <v>0</v>
          </cell>
        </row>
        <row r="3103">
          <cell r="A3103">
            <v>1743000757</v>
          </cell>
          <cell r="B3103" t="str">
            <v>צוות קבלנים לאחזקה</v>
          </cell>
          <cell r="C3103">
            <v>0</v>
          </cell>
        </row>
        <row r="3104">
          <cell r="A3104">
            <v>1743000758</v>
          </cell>
          <cell r="B3104" t="str">
            <v xml:space="preserve">צביעת עמודי תאורה </v>
          </cell>
          <cell r="C3104">
            <v>0</v>
          </cell>
        </row>
        <row r="3105">
          <cell r="A3105">
            <v>1743000759</v>
          </cell>
          <cell r="B3105" t="str">
            <v>תחזוקה - תשלום קבוע</v>
          </cell>
          <cell r="C3105">
            <v>1132000</v>
          </cell>
        </row>
        <row r="3106">
          <cell r="A3106">
            <v>1743000794</v>
          </cell>
          <cell r="B3106" t="str">
            <v xml:space="preserve">השתתפות בעזר 094  </v>
          </cell>
        </row>
        <row r="3107">
          <cell r="A3107">
            <v>1743000900</v>
          </cell>
          <cell r="B3107" t="str">
            <v xml:space="preserve">הוצאות חד פעמיות  </v>
          </cell>
        </row>
        <row r="3108">
          <cell r="A3108">
            <v>1743000931</v>
          </cell>
          <cell r="B3108" t="str">
            <v xml:space="preserve">רכישת מנוף תאורה       </v>
          </cell>
          <cell r="C3108">
            <v>0</v>
          </cell>
        </row>
        <row r="3109">
          <cell r="A3109">
            <v>1743000961</v>
          </cell>
          <cell r="B3109" t="str">
            <v>רז' פעולות ורכישות</v>
          </cell>
        </row>
        <row r="3110">
          <cell r="A3110" t="str">
            <v>#VALUE!</v>
          </cell>
          <cell r="B3110" t="str">
            <v>מחלקת מאור</v>
          </cell>
        </row>
        <row r="3111">
          <cell r="A3111">
            <v>17440000</v>
          </cell>
          <cell r="B3111" t="str">
            <v xml:space="preserve">בטיחות בדרכים     </v>
          </cell>
        </row>
        <row r="3112">
          <cell r="A3112">
            <v>1744000110</v>
          </cell>
          <cell r="B3112" t="str">
            <v>השכר הקובע-תקציבית</v>
          </cell>
        </row>
        <row r="3113">
          <cell r="A3113">
            <v>1744000119</v>
          </cell>
          <cell r="B3113" t="str">
            <v>השכר הקובע-צוברת</v>
          </cell>
          <cell r="C3113">
            <v>542000</v>
          </cell>
        </row>
        <row r="3114">
          <cell r="A3114">
            <v>1744000122</v>
          </cell>
          <cell r="B3114" t="str">
            <v>ביגוד</v>
          </cell>
          <cell r="C3114">
            <v>5000</v>
          </cell>
        </row>
        <row r="3115">
          <cell r="A3115">
            <v>1744000126</v>
          </cell>
          <cell r="B3115" t="str">
            <v>דמי הבראה</v>
          </cell>
          <cell r="C3115">
            <v>12500</v>
          </cell>
        </row>
        <row r="3116">
          <cell r="A3116">
            <v>1744000130</v>
          </cell>
          <cell r="B3116" t="str">
            <v>שעות נוספות</v>
          </cell>
          <cell r="C3116">
            <v>5000</v>
          </cell>
        </row>
        <row r="3117">
          <cell r="A3117">
            <v>1744000140</v>
          </cell>
          <cell r="B3117" t="str">
            <v>השתתפות באחזקת רכב</v>
          </cell>
          <cell r="C3117">
            <v>42500</v>
          </cell>
        </row>
        <row r="3118">
          <cell r="A3118">
            <v>1744000253</v>
          </cell>
          <cell r="B3118" t="str">
            <v xml:space="preserve">עובד חיצוני       </v>
          </cell>
        </row>
        <row r="3119">
          <cell r="A3119">
            <v>1744000400</v>
          </cell>
          <cell r="B3119" t="str">
            <v>אחזקת בנינים וציוד</v>
          </cell>
        </row>
        <row r="3120">
          <cell r="A3120">
            <v>1744000431</v>
          </cell>
          <cell r="B3120" t="str">
            <v xml:space="preserve">חשמל              </v>
          </cell>
          <cell r="C3120">
            <v>350000</v>
          </cell>
        </row>
        <row r="3121">
          <cell r="A3121">
            <v>1744000544</v>
          </cell>
          <cell r="B3121" t="str">
            <v xml:space="preserve">הוצאות דאר        </v>
          </cell>
        </row>
        <row r="3122">
          <cell r="A3122">
            <v>1744000571</v>
          </cell>
          <cell r="B3122" t="str">
            <v xml:space="preserve">מיכון וענ"א       </v>
          </cell>
        </row>
        <row r="3123">
          <cell r="A3123">
            <v>1744000580</v>
          </cell>
          <cell r="B3123" t="str">
            <v xml:space="preserve">יעוץ תנועה        </v>
          </cell>
        </row>
        <row r="3124">
          <cell r="A3124">
            <v>1744000581</v>
          </cell>
          <cell r="B3124" t="str">
            <v>הסדרי תנועה זמניים</v>
          </cell>
        </row>
        <row r="3125">
          <cell r="A3125">
            <v>1744000596</v>
          </cell>
          <cell r="B3125" t="str">
            <v xml:space="preserve">השתתפות בעזר 096  </v>
          </cell>
        </row>
        <row r="3126">
          <cell r="A3126">
            <v>1744000700</v>
          </cell>
          <cell r="B3126" t="str">
            <v xml:space="preserve">הוצאות לפעולות    </v>
          </cell>
        </row>
        <row r="3127">
          <cell r="A3127">
            <v>1744000722</v>
          </cell>
          <cell r="B3127" t="str">
            <v>חמרים-תחזוקה עצמית</v>
          </cell>
        </row>
        <row r="3128">
          <cell r="A3128">
            <v>1744000742</v>
          </cell>
          <cell r="B3128" t="str">
            <v xml:space="preserve">כלים וציוד        </v>
          </cell>
        </row>
        <row r="3129">
          <cell r="A3129">
            <v>1744000745</v>
          </cell>
          <cell r="B3129" t="str">
            <v xml:space="preserve">תיקון נזקים       </v>
          </cell>
          <cell r="C3129">
            <v>0</v>
          </cell>
        </row>
        <row r="3130">
          <cell r="A3130">
            <v>1744000753</v>
          </cell>
          <cell r="B3130" t="str">
            <v xml:space="preserve">עובד חיצוני       </v>
          </cell>
        </row>
        <row r="3131">
          <cell r="A3131">
            <v>1744000754</v>
          </cell>
          <cell r="B3131" t="str">
            <v xml:space="preserve">עב' בטיחות בדרכים </v>
          </cell>
          <cell r="C3131">
            <v>1700000</v>
          </cell>
        </row>
        <row r="3132">
          <cell r="A3132">
            <v>1744000755</v>
          </cell>
          <cell r="B3132" t="str">
            <v xml:space="preserve">עובד בטיחות       </v>
          </cell>
          <cell r="C3132">
            <v>0</v>
          </cell>
        </row>
        <row r="3133">
          <cell r="A3133">
            <v>1744000757</v>
          </cell>
          <cell r="B3133" t="str">
            <v>מעקות בטיחות חדשים</v>
          </cell>
          <cell r="C3133">
            <v>0</v>
          </cell>
        </row>
        <row r="3134">
          <cell r="A3134">
            <v>1744000758</v>
          </cell>
          <cell r="B3134" t="str">
            <v>פסי האטה חדשים</v>
          </cell>
          <cell r="C3134">
            <v>0</v>
          </cell>
        </row>
        <row r="3135">
          <cell r="A3135">
            <v>1744000759</v>
          </cell>
          <cell r="B3135" t="str">
            <v>אח' תמרור: ג-7 , ה-8</v>
          </cell>
          <cell r="C3135">
            <v>0</v>
          </cell>
        </row>
        <row r="3136">
          <cell r="A3136">
            <v>1744000781</v>
          </cell>
          <cell r="B3136" t="str">
            <v xml:space="preserve">פע' בטיחות בדרכים </v>
          </cell>
          <cell r="C3136">
            <v>0</v>
          </cell>
        </row>
        <row r="3137">
          <cell r="A3137">
            <v>1744000782</v>
          </cell>
          <cell r="B3137" t="str">
            <v xml:space="preserve">בטיחות מהכנסה     </v>
          </cell>
          <cell r="C3137">
            <v>0</v>
          </cell>
        </row>
        <row r="3138">
          <cell r="A3138">
            <v>1744000783</v>
          </cell>
          <cell r="B3138" t="str">
            <v>העתקת סככות אוטוב'</v>
          </cell>
          <cell r="C3138">
            <v>0</v>
          </cell>
        </row>
        <row r="3139">
          <cell r="A3139">
            <v>1744000784</v>
          </cell>
          <cell r="B3139" t="str">
            <v>תמרור תחנות אוטוב'</v>
          </cell>
        </row>
        <row r="3140">
          <cell r="A3140">
            <v>1744000794</v>
          </cell>
          <cell r="B3140" t="str">
            <v xml:space="preserve">השתתפות בעזר 094  </v>
          </cell>
        </row>
        <row r="3141">
          <cell r="A3141">
            <v>1744000961</v>
          </cell>
          <cell r="B3141" t="str">
            <v>רז' פעולות ורכישות</v>
          </cell>
        </row>
        <row r="3142">
          <cell r="A3142" t="str">
            <v>#VALUE!</v>
          </cell>
          <cell r="B3142" t="str">
            <v xml:space="preserve">בטיחות בדרכים     </v>
          </cell>
        </row>
        <row r="3143">
          <cell r="A3143">
            <v>17450000</v>
          </cell>
          <cell r="B3143" t="str">
            <v xml:space="preserve">תיעול ונקוז       </v>
          </cell>
        </row>
        <row r="3144">
          <cell r="A3144">
            <v>1745000119</v>
          </cell>
          <cell r="B3144" t="str">
            <v>השכר הקובע-צוברת</v>
          </cell>
          <cell r="C3144">
            <v>536000</v>
          </cell>
        </row>
        <row r="3145">
          <cell r="A3145">
            <v>1745000122</v>
          </cell>
          <cell r="B3145" t="str">
            <v>ביגוד</v>
          </cell>
          <cell r="C3145">
            <v>2800</v>
          </cell>
        </row>
        <row r="3146">
          <cell r="A3146">
            <v>1745000126</v>
          </cell>
          <cell r="B3146" t="str">
            <v>דמי הבראה</v>
          </cell>
          <cell r="C3146">
            <v>6500</v>
          </cell>
        </row>
        <row r="3147">
          <cell r="A3147">
            <v>1745000130</v>
          </cell>
          <cell r="B3147" t="str">
            <v>שעות נוספות</v>
          </cell>
        </row>
        <row r="3148">
          <cell r="A3148">
            <v>1745000140</v>
          </cell>
          <cell r="B3148" t="str">
            <v>השתתפות באחזקת רכב</v>
          </cell>
          <cell r="C3148">
            <v>51600</v>
          </cell>
        </row>
        <row r="3149">
          <cell r="A3149">
            <v>1745000431</v>
          </cell>
          <cell r="B3149" t="str">
            <v xml:space="preserve">חשמל              </v>
          </cell>
          <cell r="C3149">
            <v>19800</v>
          </cell>
        </row>
        <row r="3150">
          <cell r="A3150">
            <v>1745000580</v>
          </cell>
          <cell r="B3150" t="str">
            <v>אחזקת תחנות מטאורולוגיות</v>
          </cell>
          <cell r="C3150">
            <v>4680</v>
          </cell>
        </row>
        <row r="3151">
          <cell r="A3151">
            <v>1745000581</v>
          </cell>
          <cell r="B3151" t="str">
            <v>תחז' תחנת שאיבה אילת 36</v>
          </cell>
          <cell r="C3151">
            <v>66500</v>
          </cell>
        </row>
        <row r="3152">
          <cell r="A3152">
            <v>1745000582</v>
          </cell>
          <cell r="B3152" t="str">
            <v>אחזקת בקרת ניקוז</v>
          </cell>
          <cell r="C3152">
            <v>40000</v>
          </cell>
        </row>
        <row r="3153">
          <cell r="A3153">
            <v>1745000583</v>
          </cell>
          <cell r="B3153" t="str">
            <v>אחזקת מאגר מים מכון טכנולוגי</v>
          </cell>
          <cell r="C3153">
            <v>117600</v>
          </cell>
        </row>
        <row r="3154">
          <cell r="A3154">
            <v>1745000700</v>
          </cell>
          <cell r="B3154" t="str">
            <v xml:space="preserve">הוצאות לפעולות    </v>
          </cell>
        </row>
        <row r="3155">
          <cell r="A3155">
            <v>1745000715</v>
          </cell>
          <cell r="B3155" t="str">
            <v>עבודות קבלניות-רכב</v>
          </cell>
          <cell r="C3155">
            <v>0</v>
          </cell>
        </row>
        <row r="3156">
          <cell r="A3156">
            <v>1745000722</v>
          </cell>
          <cell r="B3156" t="str">
            <v>חמרים-תחזוקה עצמית</v>
          </cell>
          <cell r="C3156">
            <v>6840</v>
          </cell>
        </row>
        <row r="3157">
          <cell r="A3157">
            <v>1745000742</v>
          </cell>
          <cell r="B3157" t="str">
            <v xml:space="preserve">כלים וציוד        </v>
          </cell>
          <cell r="C3157">
            <v>6840</v>
          </cell>
        </row>
        <row r="3158">
          <cell r="A3158">
            <v>1745000754</v>
          </cell>
          <cell r="B3158" t="str">
            <v xml:space="preserve">עבודות קבלניות    </v>
          </cell>
          <cell r="C3158">
            <v>830000</v>
          </cell>
        </row>
        <row r="3159">
          <cell r="A3159">
            <v>1745000757</v>
          </cell>
          <cell r="B3159" t="str">
            <v>הערכות לחורף</v>
          </cell>
          <cell r="C3159">
            <v>369000</v>
          </cell>
        </row>
        <row r="3160">
          <cell r="A3160">
            <v>1745000758</v>
          </cell>
          <cell r="B3160" t="str">
            <v xml:space="preserve">אחזקת תעלות       </v>
          </cell>
          <cell r="C3160">
            <v>95000</v>
          </cell>
        </row>
        <row r="3161">
          <cell r="A3161">
            <v>1745000759</v>
          </cell>
          <cell r="B3161" t="str">
            <v>ניקוי מובלים</v>
          </cell>
          <cell r="C3161">
            <v>117000</v>
          </cell>
        </row>
        <row r="3162">
          <cell r="A3162">
            <v>1745000760</v>
          </cell>
          <cell r="B3162" t="str">
            <v>התחשבנות תחז' עת"א</v>
          </cell>
          <cell r="C3162">
            <v>0</v>
          </cell>
        </row>
        <row r="3163">
          <cell r="A3163">
            <v>1745000761</v>
          </cell>
          <cell r="B3163" t="str">
            <v>אחזקה שוטפת חדר משאבות</v>
          </cell>
          <cell r="C3163">
            <v>100000</v>
          </cell>
        </row>
        <row r="3164">
          <cell r="A3164">
            <v>1745000800</v>
          </cell>
          <cell r="B3164" t="str">
            <v>השת' תמיכות תרומות</v>
          </cell>
        </row>
        <row r="3165">
          <cell r="A3165">
            <v>1745000831</v>
          </cell>
          <cell r="B3165" t="str">
            <v>הש'ניקוז נחל אילון</v>
          </cell>
        </row>
        <row r="3166">
          <cell r="A3166">
            <v>1745000832</v>
          </cell>
          <cell r="B3166" t="str">
            <v xml:space="preserve">רשות הניקוז-ירקון </v>
          </cell>
          <cell r="C3166">
            <v>1503075</v>
          </cell>
        </row>
        <row r="3167">
          <cell r="A3167">
            <v>1745000833</v>
          </cell>
          <cell r="B3167" t="str">
            <v>השת'ניקוז נחל שורק</v>
          </cell>
          <cell r="C3167">
            <v>0</v>
          </cell>
        </row>
        <row r="3168">
          <cell r="A3168">
            <v>1745000961</v>
          </cell>
          <cell r="B3168" t="str">
            <v>רז' פעולות ורכישות</v>
          </cell>
        </row>
        <row r="3169">
          <cell r="A3169" t="str">
            <v>#VALUE!</v>
          </cell>
          <cell r="B3169" t="str">
            <v xml:space="preserve">תיעול ונקוז       </v>
          </cell>
        </row>
        <row r="3170">
          <cell r="A3170">
            <v>17460000</v>
          </cell>
          <cell r="B3170" t="str">
            <v xml:space="preserve">גנים ונטיעות      </v>
          </cell>
        </row>
        <row r="3171">
          <cell r="A3171">
            <v>17461000</v>
          </cell>
          <cell r="B3171" t="str">
            <v>גינות צבוריות ונוף</v>
          </cell>
        </row>
        <row r="3172">
          <cell r="A3172">
            <v>1746100100</v>
          </cell>
          <cell r="B3172" t="str">
            <v>שכר עובדים לפי תקן</v>
          </cell>
        </row>
        <row r="3173">
          <cell r="A3173">
            <v>1746100110</v>
          </cell>
          <cell r="B3173" t="str">
            <v>השכר הקובע-תקציבית</v>
          </cell>
          <cell r="C3173">
            <v>1095500</v>
          </cell>
        </row>
        <row r="3174">
          <cell r="A3174">
            <v>1746100119</v>
          </cell>
          <cell r="B3174" t="str">
            <v xml:space="preserve">השכר הקובע-צוברת  </v>
          </cell>
          <cell r="C3174">
            <v>3387700</v>
          </cell>
        </row>
        <row r="3175">
          <cell r="A3175">
            <v>1746100122</v>
          </cell>
          <cell r="B3175" t="str">
            <v xml:space="preserve">ביגוד             </v>
          </cell>
          <cell r="C3175">
            <v>64000</v>
          </cell>
        </row>
        <row r="3176">
          <cell r="A3176">
            <v>1746100126</v>
          </cell>
          <cell r="B3176" t="str">
            <v xml:space="preserve">דמי הבראה         </v>
          </cell>
          <cell r="C3176">
            <v>39000</v>
          </cell>
        </row>
        <row r="3177">
          <cell r="A3177">
            <v>1746100130</v>
          </cell>
          <cell r="B3177" t="str">
            <v xml:space="preserve">שעות נוספות       </v>
          </cell>
          <cell r="C3177">
            <v>165700</v>
          </cell>
        </row>
        <row r="3178">
          <cell r="A3178">
            <v>1746100140</v>
          </cell>
          <cell r="B3178" t="str">
            <v>השתתפות באחזקת רכב</v>
          </cell>
          <cell r="C3178">
            <v>480600</v>
          </cell>
        </row>
        <row r="3179">
          <cell r="A3179">
            <v>1746100200</v>
          </cell>
          <cell r="B3179" t="str">
            <v>שכר עובדים ללא תקן</v>
          </cell>
        </row>
        <row r="3180">
          <cell r="A3180">
            <v>1746100210</v>
          </cell>
          <cell r="B3180" t="str">
            <v>שכר שעתיים</v>
          </cell>
        </row>
        <row r="3181">
          <cell r="A3181">
            <v>1746100253</v>
          </cell>
          <cell r="B3181" t="str">
            <v xml:space="preserve">עובדים חיצוניים   </v>
          </cell>
        </row>
        <row r="3182">
          <cell r="A3182">
            <v>1746100350</v>
          </cell>
          <cell r="B3182" t="str">
            <v>ליסינג - 142-90-901</v>
          </cell>
        </row>
        <row r="3183">
          <cell r="A3183">
            <v>1746100351</v>
          </cell>
          <cell r="B3183" t="str">
            <v>הוצאות - 142-90-901</v>
          </cell>
        </row>
        <row r="3184">
          <cell r="A3184">
            <v>1746100400</v>
          </cell>
          <cell r="B3184" t="str">
            <v>אחזקת בנינים וציוד</v>
          </cell>
        </row>
        <row r="3185">
          <cell r="A3185">
            <v>1746100431</v>
          </cell>
          <cell r="B3185" t="str">
            <v xml:space="preserve">חשמל              </v>
          </cell>
          <cell r="C3185">
            <v>200914</v>
          </cell>
        </row>
        <row r="3186">
          <cell r="A3186">
            <v>1746100432</v>
          </cell>
          <cell r="B3186" t="str">
            <v xml:space="preserve">מים               </v>
          </cell>
          <cell r="C3186">
            <v>5250000</v>
          </cell>
        </row>
        <row r="3187">
          <cell r="A3187">
            <v>1746100433</v>
          </cell>
          <cell r="B3187" t="str">
            <v xml:space="preserve">חומרי נקיון       </v>
          </cell>
        </row>
        <row r="3188">
          <cell r="A3188">
            <v>1746100437</v>
          </cell>
          <cell r="B3188" t="str">
            <v xml:space="preserve">אחזקת אזעקה       </v>
          </cell>
          <cell r="C3188">
            <v>1300</v>
          </cell>
        </row>
        <row r="3189">
          <cell r="A3189">
            <v>1746100441</v>
          </cell>
          <cell r="B3189" t="str">
            <v xml:space="preserve">ביטוח             </v>
          </cell>
        </row>
        <row r="3190">
          <cell r="A3190">
            <v>1746100470</v>
          </cell>
          <cell r="B3190" t="str">
            <v xml:space="preserve">אחזקת מכונות משרד </v>
          </cell>
          <cell r="C3190">
            <v>2600</v>
          </cell>
        </row>
        <row r="3191">
          <cell r="A3191">
            <v>1746100471</v>
          </cell>
          <cell r="B3191" t="str">
            <v xml:space="preserve">מכשירי כתיבה      </v>
          </cell>
          <cell r="C3191">
            <v>13700</v>
          </cell>
        </row>
        <row r="3192">
          <cell r="A3192">
            <v>1746100492</v>
          </cell>
          <cell r="B3192" t="str">
            <v xml:space="preserve">השתתפות בעזר 092  </v>
          </cell>
        </row>
        <row r="3193">
          <cell r="A3193">
            <v>1746100500</v>
          </cell>
          <cell r="B3193" t="str">
            <v xml:space="preserve">הוצאות מינהליות   </v>
          </cell>
        </row>
        <row r="3194">
          <cell r="A3194">
            <v>1746100511</v>
          </cell>
          <cell r="B3194" t="str">
            <v xml:space="preserve">אירוח וכיבוד      </v>
          </cell>
          <cell r="C3194">
            <v>2700</v>
          </cell>
        </row>
        <row r="3195">
          <cell r="A3195">
            <v>1746100512</v>
          </cell>
          <cell r="B3195" t="str">
            <v xml:space="preserve">נסיעות ואש"ל      </v>
          </cell>
          <cell r="C3195">
            <v>900</v>
          </cell>
        </row>
        <row r="3196">
          <cell r="A3196">
            <v>1746100522</v>
          </cell>
          <cell r="B3196" t="str">
            <v xml:space="preserve">ספרים ועיתונים    </v>
          </cell>
          <cell r="C3196">
            <v>4300</v>
          </cell>
        </row>
        <row r="3197">
          <cell r="A3197">
            <v>1746100530</v>
          </cell>
          <cell r="B3197" t="str">
            <v xml:space="preserve">אופניים לעובדים   </v>
          </cell>
        </row>
        <row r="3198">
          <cell r="A3198">
            <v>1746100540</v>
          </cell>
          <cell r="B3198" t="str">
            <v xml:space="preserve">הוצאות טלפון      </v>
          </cell>
        </row>
        <row r="3199">
          <cell r="A3199">
            <v>1746100544</v>
          </cell>
          <cell r="B3199" t="str">
            <v xml:space="preserve">הוצאות דאר        </v>
          </cell>
          <cell r="C3199">
            <v>500</v>
          </cell>
        </row>
        <row r="3200">
          <cell r="A3200">
            <v>1746100550</v>
          </cell>
          <cell r="B3200" t="str">
            <v xml:space="preserve">פירסומים    </v>
          </cell>
          <cell r="C3200">
            <v>4300</v>
          </cell>
        </row>
        <row r="3201">
          <cell r="A3201">
            <v>1746100561</v>
          </cell>
          <cell r="B3201" t="str">
            <v xml:space="preserve">שיכפולים          </v>
          </cell>
        </row>
        <row r="3202">
          <cell r="A3202">
            <v>1746100562</v>
          </cell>
          <cell r="B3202" t="str">
            <v xml:space="preserve">הדפסות            </v>
          </cell>
          <cell r="C3202">
            <v>2100</v>
          </cell>
        </row>
        <row r="3203">
          <cell r="A3203">
            <v>1746100565</v>
          </cell>
          <cell r="B3203" t="str">
            <v xml:space="preserve">צילומים והעתקות   </v>
          </cell>
          <cell r="C3203">
            <v>6400</v>
          </cell>
        </row>
        <row r="3204">
          <cell r="A3204">
            <v>1746100571</v>
          </cell>
          <cell r="B3204" t="str">
            <v xml:space="preserve">מיכון וענ"א       </v>
          </cell>
        </row>
        <row r="3205">
          <cell r="A3205">
            <v>1746100580</v>
          </cell>
          <cell r="B3205" t="str">
            <v xml:space="preserve">יועצים-חיצוניים   </v>
          </cell>
          <cell r="C3205">
            <v>1656860</v>
          </cell>
        </row>
        <row r="3206">
          <cell r="A3206">
            <v>1746100581</v>
          </cell>
          <cell r="B3206" t="str">
            <v>סקר מדי מים</v>
          </cell>
          <cell r="C3206">
            <v>0</v>
          </cell>
        </row>
        <row r="3207">
          <cell r="A3207">
            <v>1746100585</v>
          </cell>
          <cell r="B3207" t="str">
            <v xml:space="preserve">משפטי שילוט       </v>
          </cell>
        </row>
        <row r="3208">
          <cell r="A3208">
            <v>1746100586</v>
          </cell>
          <cell r="B3208" t="str">
            <v xml:space="preserve">סקר שילוט         </v>
          </cell>
        </row>
        <row r="3209">
          <cell r="A3209">
            <v>1746100596</v>
          </cell>
          <cell r="B3209" t="str">
            <v xml:space="preserve">השתתפות בעזר 096  </v>
          </cell>
        </row>
        <row r="3210">
          <cell r="A3210">
            <v>1746100700</v>
          </cell>
          <cell r="B3210" t="str">
            <v xml:space="preserve">הוצאות לפעולות    </v>
          </cell>
        </row>
        <row r="3211">
          <cell r="A3211">
            <v>1746100715</v>
          </cell>
          <cell r="B3211" t="str">
            <v>עבודות קבלניות-רכב</v>
          </cell>
          <cell r="C3211">
            <v>150000</v>
          </cell>
        </row>
        <row r="3212">
          <cell r="A3212">
            <v>1746100722</v>
          </cell>
          <cell r="B3212" t="str">
            <v>חמרים-תחזוקה עצמית</v>
          </cell>
          <cell r="C3212">
            <v>103500</v>
          </cell>
        </row>
        <row r="3213">
          <cell r="A3213">
            <v>1746100723</v>
          </cell>
          <cell r="B3213" t="str">
            <v xml:space="preserve">שילוט             </v>
          </cell>
        </row>
        <row r="3214">
          <cell r="A3214">
            <v>1746100725</v>
          </cell>
          <cell r="B3214" t="str">
            <v xml:space="preserve">מבצע אדניות       </v>
          </cell>
        </row>
        <row r="3215">
          <cell r="A3215">
            <v>1746100728</v>
          </cell>
          <cell r="B3215" t="str">
            <v>רכישת צמחים ושתילים</v>
          </cell>
          <cell r="C3215">
            <v>720000</v>
          </cell>
        </row>
        <row r="3216">
          <cell r="A3216">
            <v>1746100737</v>
          </cell>
          <cell r="B3216" t="str">
            <v>שכירת מנוף לימים גשומים</v>
          </cell>
        </row>
        <row r="3217">
          <cell r="A3217">
            <v>1746100742</v>
          </cell>
          <cell r="B3217" t="str">
            <v xml:space="preserve">כלים וציוד        </v>
          </cell>
          <cell r="C3217">
            <v>50000</v>
          </cell>
        </row>
        <row r="3218">
          <cell r="A3218">
            <v>1746100743</v>
          </cell>
          <cell r="B3218" t="str">
            <v>ציוד בטיחות</v>
          </cell>
        </row>
        <row r="3219">
          <cell r="A3219">
            <v>1746100745</v>
          </cell>
          <cell r="B3219" t="str">
            <v xml:space="preserve">דמי פריצה - תכולה </v>
          </cell>
        </row>
        <row r="3220">
          <cell r="A3220">
            <v>1746100746</v>
          </cell>
          <cell r="B3220" t="str">
            <v xml:space="preserve">דמי פריצה - מבנה  </v>
          </cell>
        </row>
        <row r="3221">
          <cell r="A3221">
            <v>1746100752</v>
          </cell>
          <cell r="B3221" t="str">
            <v xml:space="preserve">נקיון פארק הנוער  </v>
          </cell>
        </row>
        <row r="3222">
          <cell r="A3222">
            <v>1746100753</v>
          </cell>
          <cell r="B3222" t="str">
            <v xml:space="preserve">עובדים חיצוניים   </v>
          </cell>
        </row>
        <row r="3223">
          <cell r="A3223">
            <v>1746100754</v>
          </cell>
          <cell r="B3223" t="str">
            <v>עבודות מסגרות</v>
          </cell>
          <cell r="C3223">
            <v>116300</v>
          </cell>
        </row>
        <row r="3224">
          <cell r="A3224">
            <v>1746100755</v>
          </cell>
          <cell r="B3224" t="str">
            <v>אחז' גינון-שצ"פ עזריאלי</v>
          </cell>
          <cell r="C3224">
            <v>93000</v>
          </cell>
        </row>
        <row r="3225">
          <cell r="A3225">
            <v>1746100756</v>
          </cell>
          <cell r="B3225" t="str">
            <v xml:space="preserve">שמירה בקבלנות     </v>
          </cell>
          <cell r="C3225">
            <v>40000</v>
          </cell>
        </row>
        <row r="3226">
          <cell r="A3226">
            <v>1746100757</v>
          </cell>
          <cell r="B3226" t="str">
            <v>גיזום עצים בקבלנות</v>
          </cell>
          <cell r="C3226">
            <v>1400000</v>
          </cell>
        </row>
        <row r="3227">
          <cell r="A3227">
            <v>1746100758</v>
          </cell>
          <cell r="B3227" t="str">
            <v xml:space="preserve">קבלני גינון גנים  </v>
          </cell>
          <cell r="C3227">
            <v>15890000</v>
          </cell>
        </row>
        <row r="3228">
          <cell r="A3228">
            <v>1746100759</v>
          </cell>
          <cell r="B3228" t="str">
            <v xml:space="preserve">עב" קבלניות שונות </v>
          </cell>
          <cell r="C3228">
            <v>465000</v>
          </cell>
        </row>
        <row r="3229">
          <cell r="A3229">
            <v>1746100760</v>
          </cell>
          <cell r="B3229" t="str">
            <v>פינוי גזם</v>
          </cell>
          <cell r="C3229">
            <v>816000</v>
          </cell>
        </row>
        <row r="3230">
          <cell r="A3230">
            <v>1746100780</v>
          </cell>
          <cell r="B3230" t="str">
            <v xml:space="preserve">אחזקת אדניות      </v>
          </cell>
          <cell r="C3230">
            <v>2300</v>
          </cell>
        </row>
        <row r="3231">
          <cell r="A3231">
            <v>1746100781</v>
          </cell>
          <cell r="B3231" t="str">
            <v xml:space="preserve">תחרות קירייה יפה  </v>
          </cell>
          <cell r="C3231">
            <v>8000</v>
          </cell>
        </row>
        <row r="3232">
          <cell r="A3232">
            <v>1746100782</v>
          </cell>
          <cell r="B3232" t="str">
            <v xml:space="preserve">אחזקת פינת ליטוף  </v>
          </cell>
          <cell r="C3232">
            <v>400000</v>
          </cell>
        </row>
        <row r="3233">
          <cell r="A3233">
            <v>1746100783</v>
          </cell>
          <cell r="B3233" t="str">
            <v>עבודות הדברת מזיקים</v>
          </cell>
          <cell r="C3233">
            <v>600000</v>
          </cell>
        </row>
        <row r="3234">
          <cell r="A3234">
            <v>1746100784</v>
          </cell>
          <cell r="B3234" t="str">
            <v>גן הקקטוסים</v>
          </cell>
          <cell r="C3234">
            <v>6300</v>
          </cell>
        </row>
        <row r="3235">
          <cell r="A3235">
            <v>1746100794</v>
          </cell>
          <cell r="B3235" t="str">
            <v xml:space="preserve">השתתפות בעזר 094  </v>
          </cell>
        </row>
        <row r="3236">
          <cell r="A3236">
            <v>1746100800</v>
          </cell>
          <cell r="B3236" t="str">
            <v>השת' תמיכות תרומות</v>
          </cell>
        </row>
        <row r="3237">
          <cell r="A3237">
            <v>1746100870</v>
          </cell>
          <cell r="B3237" t="str">
            <v>גינון-בידור ובילוי</v>
          </cell>
        </row>
        <row r="3238">
          <cell r="A3238">
            <v>1746100900</v>
          </cell>
          <cell r="B3238" t="str">
            <v xml:space="preserve">הוצאות חד פעמיות  </v>
          </cell>
        </row>
        <row r="3239">
          <cell r="A3239">
            <v>1746100923</v>
          </cell>
          <cell r="B3239" t="str">
            <v>תחז' יצירות אומנות</v>
          </cell>
          <cell r="C3239">
            <v>674000</v>
          </cell>
        </row>
        <row r="3240">
          <cell r="A3240">
            <v>1746100931</v>
          </cell>
          <cell r="B3240" t="str">
            <v xml:space="preserve">רכישות חד פעמיות  </v>
          </cell>
        </row>
        <row r="3241">
          <cell r="A3241">
            <v>1746100932</v>
          </cell>
          <cell r="B3241" t="str">
            <v>אחזקת מזרקות</v>
          </cell>
          <cell r="C3241">
            <v>1271000</v>
          </cell>
        </row>
        <row r="3242">
          <cell r="A3242">
            <v>1746100933</v>
          </cell>
          <cell r="B3242" t="str">
            <v>אחזקת מתקני משחק</v>
          </cell>
          <cell r="C3242">
            <v>950000</v>
          </cell>
        </row>
        <row r="3243">
          <cell r="A3243">
            <v>1746100934</v>
          </cell>
          <cell r="B3243" t="str">
            <v>עבודות טכניות</v>
          </cell>
          <cell r="C3243">
            <v>950000</v>
          </cell>
        </row>
        <row r="3244">
          <cell r="A3244">
            <v>1746100935</v>
          </cell>
          <cell r="B3244" t="str">
            <v>תיקונים מוונדליזם</v>
          </cell>
        </row>
        <row r="3245">
          <cell r="A3245">
            <v>1746100936</v>
          </cell>
          <cell r="B3245" t="str">
            <v>אחזקת ספסלים</v>
          </cell>
          <cell r="C3245">
            <v>360000</v>
          </cell>
        </row>
        <row r="3246">
          <cell r="A3246">
            <v>1746100937</v>
          </cell>
          <cell r="B3246" t="str">
            <v>אחזקת מתקני כושר</v>
          </cell>
          <cell r="C3246">
            <v>300000</v>
          </cell>
        </row>
        <row r="3247">
          <cell r="A3247">
            <v>1746100950</v>
          </cell>
          <cell r="B3247" t="str">
            <v xml:space="preserve">תיכנון כללי       </v>
          </cell>
        </row>
        <row r="3248">
          <cell r="A3248">
            <v>1746100960</v>
          </cell>
          <cell r="B3248" t="str">
            <v xml:space="preserve">שיפור חזות העיר   </v>
          </cell>
        </row>
        <row r="3249">
          <cell r="A3249">
            <v>1746100961</v>
          </cell>
          <cell r="B3249" t="str">
            <v>רז' פעולות ורכישות</v>
          </cell>
        </row>
        <row r="3250">
          <cell r="A3250" t="str">
            <v>#VALUE!</v>
          </cell>
          <cell r="B3250" t="str">
            <v>גינות צבוריות ונוף</v>
          </cell>
        </row>
        <row r="3251">
          <cell r="A3251">
            <v>17467000</v>
          </cell>
          <cell r="B3251" t="str">
            <v>פארק פרס</v>
          </cell>
        </row>
        <row r="3252">
          <cell r="A3252">
            <v>1746700870</v>
          </cell>
          <cell r="B3252" t="str">
            <v>אחזקת פארק פרס</v>
          </cell>
        </row>
        <row r="3253">
          <cell r="A3253">
            <v>1746700871</v>
          </cell>
          <cell r="B3253" t="str">
            <v>אחזקת מגדל המים</v>
          </cell>
        </row>
        <row r="3254">
          <cell r="A3254">
            <v>1746700931</v>
          </cell>
          <cell r="B3254" t="str">
            <v>הוצאות ח"פ - פארק</v>
          </cell>
        </row>
        <row r="3255">
          <cell r="A3255" t="str">
            <v>#VALUE!</v>
          </cell>
          <cell r="B3255" t="str">
            <v>פארק פרס</v>
          </cell>
        </row>
        <row r="3256">
          <cell r="A3256">
            <v>17500000</v>
          </cell>
          <cell r="B3256" t="str">
            <v xml:space="preserve">חגיגות מבצעים     </v>
          </cell>
        </row>
        <row r="3257">
          <cell r="A3257">
            <v>17510000</v>
          </cell>
          <cell r="B3257" t="str">
            <v>חגיגות יום העצמאות</v>
          </cell>
        </row>
        <row r="3258">
          <cell r="A3258">
            <v>1751000130</v>
          </cell>
          <cell r="B3258" t="str">
            <v xml:space="preserve">שעות נוספות       </v>
          </cell>
        </row>
        <row r="3259">
          <cell r="A3259">
            <v>1751000210</v>
          </cell>
          <cell r="B3259" t="str">
            <v xml:space="preserve">השכר הקובע        </v>
          </cell>
        </row>
        <row r="3260">
          <cell r="A3260">
            <v>1751000400</v>
          </cell>
          <cell r="B3260" t="str">
            <v>אחזקת בנינים וציוד</v>
          </cell>
        </row>
        <row r="3261">
          <cell r="A3261">
            <v>1751000423</v>
          </cell>
          <cell r="B3261" t="str">
            <v xml:space="preserve">תחזוקת מבנה       </v>
          </cell>
        </row>
        <row r="3262">
          <cell r="A3262">
            <v>1751000511</v>
          </cell>
          <cell r="B3262" t="str">
            <v xml:space="preserve">אירוח וכיבוד      </v>
          </cell>
        </row>
        <row r="3263">
          <cell r="A3263">
            <v>1751000550</v>
          </cell>
          <cell r="B3263" t="str">
            <v xml:space="preserve">פירסומים          </v>
          </cell>
        </row>
        <row r="3264">
          <cell r="A3264">
            <v>1751000561</v>
          </cell>
          <cell r="B3264" t="str">
            <v xml:space="preserve">שיכפולים          </v>
          </cell>
        </row>
        <row r="3265">
          <cell r="A3265">
            <v>1751000700</v>
          </cell>
          <cell r="B3265" t="str">
            <v xml:space="preserve">הוצאות לפעולות    </v>
          </cell>
        </row>
        <row r="3266">
          <cell r="A3266">
            <v>1751000710</v>
          </cell>
          <cell r="B3266" t="str">
            <v xml:space="preserve">הסעות לארועים     </v>
          </cell>
        </row>
        <row r="3267">
          <cell r="A3267">
            <v>1751000722</v>
          </cell>
          <cell r="B3267" t="str">
            <v>חמרים-תחזוקה עצמית</v>
          </cell>
        </row>
        <row r="3268">
          <cell r="A3268">
            <v>1751000781</v>
          </cell>
          <cell r="B3268" t="str">
            <v xml:space="preserve">אמנים             </v>
          </cell>
        </row>
        <row r="3269">
          <cell r="A3269">
            <v>1751000782</v>
          </cell>
          <cell r="B3269" t="str">
            <v xml:space="preserve">הפקת ארועים       </v>
          </cell>
          <cell r="C3269">
            <v>701100</v>
          </cell>
        </row>
        <row r="3270">
          <cell r="A3270">
            <v>1751000783</v>
          </cell>
          <cell r="B3270" t="str">
            <v xml:space="preserve">ארועי ספורט       </v>
          </cell>
        </row>
        <row r="3271">
          <cell r="A3271">
            <v>1751000785</v>
          </cell>
          <cell r="B3271" t="str">
            <v xml:space="preserve">יום הזכרון-שירי לוחמים   </v>
          </cell>
        </row>
        <row r="3272">
          <cell r="A3272">
            <v>1751000788</v>
          </cell>
          <cell r="B3272" t="str">
            <v>מערכת הגברה ותאורה</v>
          </cell>
        </row>
        <row r="3273">
          <cell r="A3273">
            <v>1751000961</v>
          </cell>
          <cell r="B3273" t="str">
            <v>רז' פעולות ורכישות</v>
          </cell>
        </row>
        <row r="3274">
          <cell r="A3274">
            <v>1751000980</v>
          </cell>
          <cell r="B3274" t="str">
            <v xml:space="preserve">השכרות            </v>
          </cell>
        </row>
        <row r="3275">
          <cell r="A3275" t="str">
            <v>#VALUE!</v>
          </cell>
          <cell r="B3275" t="str">
            <v>חגיגות יום העצמאות</v>
          </cell>
        </row>
        <row r="3276">
          <cell r="A3276">
            <v>17520000</v>
          </cell>
          <cell r="B3276" t="str">
            <v>חגיגות+טכסים אחרים</v>
          </cell>
        </row>
        <row r="3277">
          <cell r="A3277">
            <v>1752000511</v>
          </cell>
          <cell r="B3277" t="str">
            <v>וועדות כיבוד</v>
          </cell>
          <cell r="C3277">
            <v>15000</v>
          </cell>
        </row>
        <row r="3278">
          <cell r="A3278">
            <v>1752000514</v>
          </cell>
          <cell r="B3278" t="str">
            <v xml:space="preserve">מתנות עירייה      </v>
          </cell>
          <cell r="C3278">
            <v>600000</v>
          </cell>
        </row>
        <row r="3279">
          <cell r="A3279">
            <v>1752000700</v>
          </cell>
          <cell r="B3279" t="str">
            <v xml:space="preserve">הוצאות לפעולות    </v>
          </cell>
        </row>
        <row r="3280">
          <cell r="A3280">
            <v>1752000781</v>
          </cell>
          <cell r="B3280" t="str">
            <v xml:space="preserve">ארועים            </v>
          </cell>
          <cell r="C3280">
            <v>92800</v>
          </cell>
        </row>
        <row r="3281">
          <cell r="A3281">
            <v>1752000783</v>
          </cell>
          <cell r="B3281" t="str">
            <v>רכ'מדליונים וספרים</v>
          </cell>
          <cell r="C3281">
            <v>38600</v>
          </cell>
        </row>
        <row r="3282">
          <cell r="A3282">
            <v>1752000784</v>
          </cell>
          <cell r="B3282" t="str">
            <v>80 שנים לחולון</v>
          </cell>
        </row>
        <row r="3283">
          <cell r="A3283">
            <v>1752000961</v>
          </cell>
          <cell r="B3283" t="str">
            <v>רז' פעולות ורכישות</v>
          </cell>
        </row>
        <row r="3284">
          <cell r="A3284" t="str">
            <v>#VALUE!</v>
          </cell>
          <cell r="B3284" t="str">
            <v>חגיגות+טכסים אחרים</v>
          </cell>
        </row>
        <row r="3285">
          <cell r="A3285">
            <v>17530000</v>
          </cell>
          <cell r="B3285" t="str">
            <v xml:space="preserve">פעולות אימוץ      </v>
          </cell>
        </row>
        <row r="3286">
          <cell r="A3286">
            <v>1753000800</v>
          </cell>
          <cell r="B3286" t="str">
            <v>השת' תמיכות תרומות</v>
          </cell>
        </row>
        <row r="3287">
          <cell r="A3287">
            <v>1753000881</v>
          </cell>
          <cell r="B3287" t="str">
            <v xml:space="preserve">אימוץ הגדוד ועד   </v>
          </cell>
        </row>
        <row r="3288">
          <cell r="A3288">
            <v>1753000882</v>
          </cell>
          <cell r="B3288" t="str">
            <v xml:space="preserve">השתת' עמותה לשוטר </v>
          </cell>
        </row>
        <row r="3289">
          <cell r="A3289">
            <v>1753000883</v>
          </cell>
          <cell r="B3289" t="str">
            <v xml:space="preserve">אימוץ ממר"מ       </v>
          </cell>
        </row>
        <row r="3290">
          <cell r="A3290">
            <v>1753000961</v>
          </cell>
          <cell r="B3290" t="str">
            <v>רז' פעולות ורכישות</v>
          </cell>
        </row>
        <row r="3291">
          <cell r="A3291" t="str">
            <v>#VALUE!</v>
          </cell>
          <cell r="B3291" t="str">
            <v xml:space="preserve">פעולות אימוץ      </v>
          </cell>
        </row>
        <row r="3292">
          <cell r="A3292">
            <v>17540000</v>
          </cell>
          <cell r="B3292" t="str">
            <v xml:space="preserve">קשרים בינלאומיים  </v>
          </cell>
        </row>
        <row r="3293">
          <cell r="A3293">
            <v>1754000513</v>
          </cell>
          <cell r="B3293" t="str">
            <v>משלח' נכנסות/יוצאות</v>
          </cell>
          <cell r="C3293">
            <v>85500</v>
          </cell>
        </row>
        <row r="3294">
          <cell r="A3294">
            <v>1754000515</v>
          </cell>
          <cell r="B3294" t="str">
            <v>משלחות נוער</v>
          </cell>
          <cell r="C3294">
            <v>205200</v>
          </cell>
        </row>
        <row r="3295">
          <cell r="A3295">
            <v>1754000700</v>
          </cell>
          <cell r="B3295" t="str">
            <v xml:space="preserve">הוצאות לפעולות    </v>
          </cell>
        </row>
        <row r="3296">
          <cell r="A3296">
            <v>1754000931</v>
          </cell>
          <cell r="B3296" t="str">
            <v>פרוייקט האיחוד R&amp;D</v>
          </cell>
        </row>
        <row r="3297">
          <cell r="A3297">
            <v>1754000932</v>
          </cell>
          <cell r="B3297" t="str">
            <v>פרוייקט האיחוד נוער</v>
          </cell>
        </row>
        <row r="3298">
          <cell r="A3298">
            <v>1754000933</v>
          </cell>
          <cell r="B3298" t="str">
            <v>פרוייקט "משקפיים"</v>
          </cell>
        </row>
        <row r="3299">
          <cell r="A3299">
            <v>1754000961</v>
          </cell>
          <cell r="B3299" t="str">
            <v>רז' פעולות ורכישות</v>
          </cell>
        </row>
        <row r="3300">
          <cell r="A3300" t="str">
            <v>#VALUE!</v>
          </cell>
          <cell r="B3300" t="str">
            <v xml:space="preserve">קשרים בינלאומיים  </v>
          </cell>
        </row>
        <row r="3301">
          <cell r="A3301">
            <v>17600000</v>
          </cell>
          <cell r="B3301" t="str">
            <v xml:space="preserve">שרותים שונים      </v>
          </cell>
        </row>
        <row r="3302">
          <cell r="A3302">
            <v>17610000</v>
          </cell>
          <cell r="B3302" t="str">
            <v>מוקד ויעוץ לאזרחים</v>
          </cell>
        </row>
        <row r="3303">
          <cell r="A3303">
            <v>1761000110</v>
          </cell>
          <cell r="B3303" t="str">
            <v>השכר הקובע-תקציבית</v>
          </cell>
          <cell r="C3303">
            <v>157100</v>
          </cell>
        </row>
        <row r="3304">
          <cell r="A3304">
            <v>1761000119</v>
          </cell>
          <cell r="B3304" t="str">
            <v xml:space="preserve">השכר הקובע-צוברת  </v>
          </cell>
          <cell r="C3304">
            <v>2806100</v>
          </cell>
        </row>
        <row r="3305">
          <cell r="A3305">
            <v>1761000122</v>
          </cell>
          <cell r="B3305" t="str">
            <v xml:space="preserve">ביגוד             </v>
          </cell>
          <cell r="C3305">
            <v>39900</v>
          </cell>
        </row>
        <row r="3306">
          <cell r="A3306">
            <v>1761000126</v>
          </cell>
          <cell r="B3306" t="str">
            <v xml:space="preserve">דמי הבראה         </v>
          </cell>
          <cell r="C3306">
            <v>88000</v>
          </cell>
        </row>
        <row r="3307">
          <cell r="A3307">
            <v>1761000130</v>
          </cell>
          <cell r="B3307" t="str">
            <v xml:space="preserve">שעות נוספות       </v>
          </cell>
          <cell r="C3307">
            <v>340200</v>
          </cell>
        </row>
        <row r="3308">
          <cell r="A3308">
            <v>1761000140</v>
          </cell>
          <cell r="B3308" t="str">
            <v>השתתפות באחזקת רכב</v>
          </cell>
          <cell r="C3308">
            <v>171000</v>
          </cell>
        </row>
        <row r="3309">
          <cell r="A3309">
            <v>1761000210</v>
          </cell>
          <cell r="B3309" t="str">
            <v>השכר הקובע - שעתיים</v>
          </cell>
        </row>
        <row r="3310">
          <cell r="A3310">
            <v>1761000253</v>
          </cell>
          <cell r="B3310" t="str">
            <v xml:space="preserve">עובדים חיצוניים   </v>
          </cell>
        </row>
        <row r="3311">
          <cell r="A3311">
            <v>1761000410</v>
          </cell>
          <cell r="B3311" t="str">
            <v>שכ"ד מנהלי רובע</v>
          </cell>
          <cell r="C3311">
            <v>45600</v>
          </cell>
        </row>
        <row r="3312">
          <cell r="A3312">
            <v>1761000433</v>
          </cell>
          <cell r="B3312" t="str">
            <v xml:space="preserve">חומרי נקיון       </v>
          </cell>
          <cell r="C3312">
            <v>900</v>
          </cell>
        </row>
        <row r="3313">
          <cell r="A3313">
            <v>1761000437</v>
          </cell>
          <cell r="B3313" t="str">
            <v xml:space="preserve">אחזקת לחצני מצוקה </v>
          </cell>
        </row>
        <row r="3314">
          <cell r="A3314">
            <v>1761000450</v>
          </cell>
          <cell r="B3314" t="str">
            <v>אחזקת תמי 4</v>
          </cell>
          <cell r="C3314">
            <v>1500</v>
          </cell>
        </row>
        <row r="3315">
          <cell r="A3315">
            <v>1761000470</v>
          </cell>
          <cell r="B3315" t="str">
            <v xml:space="preserve">אחזקת מכונות משרד </v>
          </cell>
        </row>
        <row r="3316">
          <cell r="A3316">
            <v>1761000471</v>
          </cell>
          <cell r="B3316" t="str">
            <v xml:space="preserve">מכשירי כתיבה      </v>
          </cell>
          <cell r="C3316">
            <v>5400</v>
          </cell>
        </row>
        <row r="3317">
          <cell r="A3317">
            <v>1761000492</v>
          </cell>
          <cell r="B3317" t="str">
            <v xml:space="preserve">השתתפות בעזר 092  </v>
          </cell>
        </row>
        <row r="3318">
          <cell r="A3318">
            <v>1761000511</v>
          </cell>
          <cell r="B3318" t="str">
            <v xml:space="preserve">אירוח וכיבוד      </v>
          </cell>
          <cell r="C3318">
            <v>5200</v>
          </cell>
        </row>
        <row r="3319">
          <cell r="A3319">
            <v>1761000540</v>
          </cell>
          <cell r="B3319" t="str">
            <v xml:space="preserve">הוצאות טלפון      </v>
          </cell>
        </row>
        <row r="3320">
          <cell r="A3320">
            <v>1761000544</v>
          </cell>
          <cell r="B3320" t="str">
            <v xml:space="preserve">הוצאות דאר        </v>
          </cell>
        </row>
        <row r="3321">
          <cell r="A3321">
            <v>1761000550</v>
          </cell>
          <cell r="B3321" t="str">
            <v xml:space="preserve">פירסומים          </v>
          </cell>
        </row>
        <row r="3322">
          <cell r="A3322">
            <v>1761000561</v>
          </cell>
          <cell r="B3322" t="str">
            <v xml:space="preserve">שיכפולים          </v>
          </cell>
        </row>
        <row r="3323">
          <cell r="A3323">
            <v>1761000562</v>
          </cell>
          <cell r="B3323" t="str">
            <v xml:space="preserve">הדפסות            </v>
          </cell>
        </row>
        <row r="3324">
          <cell r="A3324">
            <v>1761000564</v>
          </cell>
          <cell r="B3324" t="str">
            <v>בנק מסרונים</v>
          </cell>
          <cell r="C3324">
            <v>9400</v>
          </cell>
        </row>
        <row r="3325">
          <cell r="A3325">
            <v>1761000565</v>
          </cell>
          <cell r="B3325" t="str">
            <v>דמי שימוש חודשיים במע' מוקד</v>
          </cell>
          <cell r="C3325">
            <v>351000</v>
          </cell>
        </row>
        <row r="3326">
          <cell r="A3326">
            <v>1761000571</v>
          </cell>
          <cell r="B3326" t="str">
            <v xml:space="preserve">מיכון וענ"א       </v>
          </cell>
        </row>
        <row r="3327">
          <cell r="A3327">
            <v>1761000596</v>
          </cell>
          <cell r="B3327" t="str">
            <v xml:space="preserve">השתתפות בעזר 096  </v>
          </cell>
        </row>
        <row r="3328">
          <cell r="A3328">
            <v>1761000742</v>
          </cell>
          <cell r="B3328" t="str">
            <v xml:space="preserve">כלים וציוד        </v>
          </cell>
        </row>
        <row r="3329">
          <cell r="A3329">
            <v>1761000743</v>
          </cell>
          <cell r="B3329" t="str">
            <v xml:space="preserve">ציוד ואחזקתו      </v>
          </cell>
        </row>
        <row r="3330">
          <cell r="A3330">
            <v>1761000752</v>
          </cell>
          <cell r="B3330" t="str">
            <v>נקיון מבני רובעים</v>
          </cell>
        </row>
        <row r="3331">
          <cell r="A3331">
            <v>1761000753</v>
          </cell>
          <cell r="B3331" t="str">
            <v xml:space="preserve">עובדים חיצוניים   </v>
          </cell>
        </row>
        <row r="3332">
          <cell r="A3332">
            <v>1761000754</v>
          </cell>
          <cell r="B3332" t="str">
            <v xml:space="preserve">עבודות קבלניות    </v>
          </cell>
        </row>
        <row r="3333">
          <cell r="A3333">
            <v>1761000757</v>
          </cell>
          <cell r="B3333" t="str">
            <v>תשאולים והודעות</v>
          </cell>
          <cell r="C3333">
            <v>4500</v>
          </cell>
        </row>
        <row r="3334">
          <cell r="A3334">
            <v>1761000931</v>
          </cell>
          <cell r="B3334" t="str">
            <v xml:space="preserve">רכישות חד פעמיות  </v>
          </cell>
        </row>
        <row r="3335">
          <cell r="A3335">
            <v>1761000961</v>
          </cell>
          <cell r="B3335" t="str">
            <v>רז' פעולות ורכישות</v>
          </cell>
        </row>
        <row r="3336">
          <cell r="A3336" t="str">
            <v>#VALUE!</v>
          </cell>
          <cell r="B3336" t="str">
            <v>מוקד ויעוץ לאזרחים</v>
          </cell>
        </row>
        <row r="3337">
          <cell r="A3337">
            <v>17640000</v>
          </cell>
          <cell r="B3337" t="str">
            <v xml:space="preserve">תרבות הדיור       </v>
          </cell>
        </row>
        <row r="3338">
          <cell r="A3338">
            <v>1764000100</v>
          </cell>
          <cell r="B3338" t="str">
            <v>שכר עובדים לפי תקן</v>
          </cell>
        </row>
        <row r="3339">
          <cell r="A3339">
            <v>1764000110</v>
          </cell>
          <cell r="B3339" t="str">
            <v>השכר הקובע-תקציבית</v>
          </cell>
        </row>
        <row r="3340">
          <cell r="A3340">
            <v>1764000119</v>
          </cell>
          <cell r="B3340" t="str">
            <v xml:space="preserve">השכר הקובע-צוברת  </v>
          </cell>
          <cell r="C3340">
            <v>306200</v>
          </cell>
        </row>
        <row r="3341">
          <cell r="A3341">
            <v>1764000122</v>
          </cell>
          <cell r="B3341" t="str">
            <v xml:space="preserve">ביגוד             </v>
          </cell>
          <cell r="C3341">
            <v>5600</v>
          </cell>
        </row>
        <row r="3342">
          <cell r="A3342">
            <v>1764000126</v>
          </cell>
          <cell r="B3342" t="str">
            <v xml:space="preserve">דמי הבראה         </v>
          </cell>
          <cell r="C3342">
            <v>12200</v>
          </cell>
        </row>
        <row r="3343">
          <cell r="A3343">
            <v>1764000130</v>
          </cell>
          <cell r="B3343" t="str">
            <v xml:space="preserve">שעות נוספות       </v>
          </cell>
        </row>
        <row r="3344">
          <cell r="A3344">
            <v>1764000140</v>
          </cell>
          <cell r="B3344" t="str">
            <v>השתתפות באחזקת רכב</v>
          </cell>
          <cell r="C3344">
            <v>42400</v>
          </cell>
        </row>
        <row r="3345">
          <cell r="A3345">
            <v>1764000253</v>
          </cell>
          <cell r="B3345" t="str">
            <v>עובד חברה</v>
          </cell>
        </row>
        <row r="3346">
          <cell r="A3346">
            <v>1764000400</v>
          </cell>
          <cell r="B3346" t="str">
            <v>אחזקת בנינים וציוד</v>
          </cell>
        </row>
        <row r="3347">
          <cell r="A3347">
            <v>1764000471</v>
          </cell>
          <cell r="B3347" t="str">
            <v xml:space="preserve">מכשירי כתיבה      </v>
          </cell>
        </row>
        <row r="3348">
          <cell r="A3348">
            <v>1764000500</v>
          </cell>
          <cell r="B3348" t="str">
            <v xml:space="preserve">הוצאות מינהליות   </v>
          </cell>
        </row>
        <row r="3349">
          <cell r="A3349">
            <v>1764000540</v>
          </cell>
          <cell r="B3349" t="str">
            <v xml:space="preserve">הוצאות טלפון      </v>
          </cell>
        </row>
        <row r="3350">
          <cell r="A3350">
            <v>1764000544</v>
          </cell>
          <cell r="B3350" t="str">
            <v xml:space="preserve">הוצאות דאר        </v>
          </cell>
          <cell r="C3350">
            <v>5400</v>
          </cell>
        </row>
        <row r="3351">
          <cell r="A3351">
            <v>1764000550</v>
          </cell>
          <cell r="B3351" t="str">
            <v xml:space="preserve">פירסומים          </v>
          </cell>
        </row>
        <row r="3352">
          <cell r="A3352">
            <v>1764000561</v>
          </cell>
          <cell r="B3352" t="str">
            <v xml:space="preserve">שיכפולים          </v>
          </cell>
        </row>
        <row r="3353">
          <cell r="A3353">
            <v>1764000562</v>
          </cell>
          <cell r="B3353" t="str">
            <v xml:space="preserve">הדפסות            </v>
          </cell>
        </row>
        <row r="3354">
          <cell r="A3354">
            <v>1764000571</v>
          </cell>
          <cell r="B3354" t="str">
            <v xml:space="preserve">מיכון וענ"א       </v>
          </cell>
        </row>
        <row r="3355">
          <cell r="A3355">
            <v>1764000580</v>
          </cell>
          <cell r="B3355" t="str">
            <v xml:space="preserve">יעוץ חיצוני       </v>
          </cell>
        </row>
        <row r="3356">
          <cell r="A3356">
            <v>1764000585</v>
          </cell>
          <cell r="B3356" t="str">
            <v xml:space="preserve">פיקוח שיפוצים     </v>
          </cell>
        </row>
        <row r="3357">
          <cell r="A3357">
            <v>1764000700</v>
          </cell>
          <cell r="B3357" t="str">
            <v xml:space="preserve">הוצאות לפעולות    </v>
          </cell>
        </row>
        <row r="3358">
          <cell r="A3358">
            <v>1764000723</v>
          </cell>
          <cell r="B3358" t="str">
            <v xml:space="preserve">אדניות            </v>
          </cell>
        </row>
        <row r="3359">
          <cell r="A3359">
            <v>1764000753</v>
          </cell>
          <cell r="B3359" t="str">
            <v>עובד חברה</v>
          </cell>
        </row>
        <row r="3360">
          <cell r="A3360">
            <v>1764000781</v>
          </cell>
          <cell r="B3360" t="str">
            <v xml:space="preserve">ארועים            </v>
          </cell>
        </row>
        <row r="3361">
          <cell r="A3361">
            <v>1764000782</v>
          </cell>
          <cell r="B3361" t="str">
            <v xml:space="preserve">סדנאות            </v>
          </cell>
        </row>
        <row r="3362">
          <cell r="A3362">
            <v>1764000961</v>
          </cell>
          <cell r="B3362" t="str">
            <v>רז' פעולות ורכישות</v>
          </cell>
        </row>
        <row r="3363">
          <cell r="A3363" t="str">
            <v>#VALUE!</v>
          </cell>
          <cell r="B3363" t="str">
            <v xml:space="preserve">תרבות הדיור       </v>
          </cell>
        </row>
        <row r="3364">
          <cell r="A3364">
            <v>17650000</v>
          </cell>
          <cell r="B3364" t="str">
            <v>השת' במוסדות+שונות</v>
          </cell>
        </row>
        <row r="3365">
          <cell r="A3365">
            <v>1765000800</v>
          </cell>
          <cell r="B3365" t="str">
            <v>השת' תמיכות תרומות</v>
          </cell>
        </row>
        <row r="3366">
          <cell r="A3366">
            <v>1765000811</v>
          </cell>
          <cell r="B3366" t="str">
            <v>הקצבה למרכז השלטון</v>
          </cell>
        </row>
        <row r="3367">
          <cell r="A3367">
            <v>1765000812</v>
          </cell>
          <cell r="B3367" t="str">
            <v>השת' ביה"ד למשמעת</v>
          </cell>
        </row>
        <row r="3368">
          <cell r="A3368">
            <v>1765000813</v>
          </cell>
          <cell r="B3368" t="str">
            <v>אמנה להפחתת זיהום</v>
          </cell>
        </row>
        <row r="3369">
          <cell r="A3369" t="str">
            <v>#VALUE!</v>
          </cell>
          <cell r="B3369" t="str">
            <v>השת' במוסדות+שונות</v>
          </cell>
        </row>
        <row r="3370">
          <cell r="A3370">
            <v>17670000</v>
          </cell>
          <cell r="B3370" t="str">
            <v>בטוח אלמנטרי לרשות</v>
          </cell>
        </row>
        <row r="3371">
          <cell r="A3371">
            <v>1767000110</v>
          </cell>
          <cell r="B3371" t="str">
            <v>השכר הקובע-תקציבית</v>
          </cell>
        </row>
        <row r="3372">
          <cell r="A3372">
            <v>1767000119</v>
          </cell>
          <cell r="B3372" t="str">
            <v xml:space="preserve">השכר הקובע-צוברת  </v>
          </cell>
          <cell r="C3372">
            <v>556400</v>
          </cell>
        </row>
        <row r="3373">
          <cell r="A3373">
            <v>1767000122</v>
          </cell>
          <cell r="B3373" t="str">
            <v xml:space="preserve">ביגוד             </v>
          </cell>
          <cell r="C3373">
            <v>10000</v>
          </cell>
        </row>
        <row r="3374">
          <cell r="A3374">
            <v>1767000126</v>
          </cell>
          <cell r="B3374" t="str">
            <v xml:space="preserve">דמי הבראה         </v>
          </cell>
          <cell r="C3374">
            <v>20000</v>
          </cell>
        </row>
        <row r="3375">
          <cell r="A3375">
            <v>1767000130</v>
          </cell>
          <cell r="B3375" t="str">
            <v xml:space="preserve">שעות נוספות       </v>
          </cell>
        </row>
        <row r="3376">
          <cell r="A3376">
            <v>1767000140</v>
          </cell>
          <cell r="B3376" t="str">
            <v>השתתפות באחזקת רכב</v>
          </cell>
          <cell r="C3376">
            <v>65500</v>
          </cell>
        </row>
        <row r="3377">
          <cell r="A3377">
            <v>1767000253</v>
          </cell>
          <cell r="B3377" t="str">
            <v xml:space="preserve">עובדי חברה        </v>
          </cell>
        </row>
        <row r="3378">
          <cell r="A3378">
            <v>1767000440</v>
          </cell>
          <cell r="B3378" t="str">
            <v xml:space="preserve">קופת ביטוח        </v>
          </cell>
          <cell r="C3378">
            <v>200000</v>
          </cell>
        </row>
        <row r="3379">
          <cell r="A3379">
            <v>1767000441</v>
          </cell>
          <cell r="B3379" t="str">
            <v xml:space="preserve">בטוח תושבים צד ג' </v>
          </cell>
          <cell r="C3379">
            <v>250000</v>
          </cell>
        </row>
        <row r="3380">
          <cell r="A3380">
            <v>1767000442</v>
          </cell>
          <cell r="B3380" t="str">
            <v>השת' עצמית - גוף</v>
          </cell>
          <cell r="C3380">
            <v>5800000</v>
          </cell>
        </row>
        <row r="3381">
          <cell r="A3381">
            <v>1767000443</v>
          </cell>
          <cell r="B3381" t="str">
            <v>השת' עצמית - רכוש</v>
          </cell>
          <cell r="C3381">
            <v>1800000</v>
          </cell>
        </row>
        <row r="3382">
          <cell r="A3382">
            <v>1767000444</v>
          </cell>
          <cell r="B3382" t="str">
            <v xml:space="preserve">ביטוח חבות מעביד  </v>
          </cell>
          <cell r="C3382">
            <v>40000</v>
          </cell>
        </row>
        <row r="3383">
          <cell r="A3383">
            <v>1767000445</v>
          </cell>
          <cell r="B3383" t="str">
            <v>ביטוח חבות מקצועית</v>
          </cell>
          <cell r="C3383">
            <v>26200</v>
          </cell>
        </row>
        <row r="3384">
          <cell r="A3384">
            <v>1767000446</v>
          </cell>
          <cell r="B3384" t="str">
            <v>סחורה בהעברה</v>
          </cell>
        </row>
        <row r="3385">
          <cell r="A3385">
            <v>1767000447</v>
          </cell>
          <cell r="B3385" t="str">
            <v>נאמנות עובדים</v>
          </cell>
          <cell r="C3385">
            <v>17000</v>
          </cell>
        </row>
        <row r="3386">
          <cell r="A3386">
            <v>1767000448</v>
          </cell>
          <cell r="B3386" t="str">
            <v>ביטוח אש</v>
          </cell>
          <cell r="C3386">
            <v>3439400</v>
          </cell>
        </row>
        <row r="3387">
          <cell r="A3387">
            <v>1767000449</v>
          </cell>
          <cell r="B3387" t="str">
            <v>ביטוח סייבר</v>
          </cell>
          <cell r="C3387">
            <v>800000</v>
          </cell>
        </row>
        <row r="3388">
          <cell r="A3388">
            <v>1767000580</v>
          </cell>
          <cell r="B3388" t="str">
            <v xml:space="preserve">יעוץ לביטוח       </v>
          </cell>
          <cell r="C3388">
            <v>150000</v>
          </cell>
        </row>
        <row r="3389">
          <cell r="A3389">
            <v>1767000581</v>
          </cell>
          <cell r="B3389" t="str">
            <v>טיפול משפטי</v>
          </cell>
          <cell r="C3389">
            <v>900000</v>
          </cell>
        </row>
        <row r="3390">
          <cell r="A3390">
            <v>1767000753</v>
          </cell>
          <cell r="B3390" t="str">
            <v xml:space="preserve">עובדי חברה        </v>
          </cell>
        </row>
        <row r="3391">
          <cell r="A3391">
            <v>1767000754</v>
          </cell>
          <cell r="B3391" t="str">
            <v xml:space="preserve">תיקון נזקים       </v>
          </cell>
        </row>
        <row r="3392">
          <cell r="A3392">
            <v>1767000980</v>
          </cell>
          <cell r="B3392" t="str">
            <v xml:space="preserve">תביעות חב' הסנה   </v>
          </cell>
        </row>
        <row r="3393">
          <cell r="A3393" t="str">
            <v>#VALUE!</v>
          </cell>
          <cell r="B3393" t="str">
            <v>בטוח אלמנטרי לרשות</v>
          </cell>
        </row>
        <row r="3394">
          <cell r="A3394">
            <v>17680000</v>
          </cell>
          <cell r="B3394" t="str">
            <v>מרכז הדרכה ופיתוח</v>
          </cell>
        </row>
        <row r="3395">
          <cell r="A3395">
            <v>1768000100</v>
          </cell>
          <cell r="B3395" t="str">
            <v>שכר עובדים לפי תקן</v>
          </cell>
        </row>
        <row r="3396">
          <cell r="A3396">
            <v>1768000110</v>
          </cell>
          <cell r="B3396" t="str">
            <v>השכר הקובע-תקציבית</v>
          </cell>
        </row>
        <row r="3397">
          <cell r="A3397">
            <v>1768000119</v>
          </cell>
          <cell r="B3397" t="str">
            <v xml:space="preserve">השכר הקובע-צוברת  </v>
          </cell>
        </row>
        <row r="3398">
          <cell r="A3398">
            <v>1768000122</v>
          </cell>
          <cell r="B3398" t="str">
            <v xml:space="preserve">ביגוד             </v>
          </cell>
        </row>
        <row r="3399">
          <cell r="A3399">
            <v>1768000126</v>
          </cell>
          <cell r="B3399" t="str">
            <v xml:space="preserve">דמי הבראה         </v>
          </cell>
        </row>
        <row r="3400">
          <cell r="A3400">
            <v>1768000130</v>
          </cell>
          <cell r="B3400" t="str">
            <v xml:space="preserve">שעות נוספות       </v>
          </cell>
        </row>
        <row r="3401">
          <cell r="A3401">
            <v>1768000140</v>
          </cell>
          <cell r="B3401" t="str">
            <v>השתתפות באחזקת רכב</v>
          </cell>
        </row>
        <row r="3402">
          <cell r="A3402">
            <v>1768000200</v>
          </cell>
          <cell r="B3402" t="str">
            <v>שכר עובדים ללא תקן</v>
          </cell>
        </row>
        <row r="3403">
          <cell r="A3403">
            <v>1768000210</v>
          </cell>
          <cell r="B3403" t="str">
            <v xml:space="preserve">השכר הקובע        </v>
          </cell>
        </row>
        <row r="3404">
          <cell r="A3404">
            <v>1768000253</v>
          </cell>
          <cell r="B3404" t="str">
            <v>עובד חברה</v>
          </cell>
        </row>
        <row r="3405">
          <cell r="A3405">
            <v>1768000400</v>
          </cell>
          <cell r="B3405" t="str">
            <v>אחזקת בנינים וציוד</v>
          </cell>
        </row>
        <row r="3406">
          <cell r="A3406">
            <v>1768000412</v>
          </cell>
          <cell r="B3406" t="str">
            <v xml:space="preserve">ארנונה            </v>
          </cell>
        </row>
        <row r="3407">
          <cell r="A3407">
            <v>1768000423</v>
          </cell>
          <cell r="B3407" t="str">
            <v xml:space="preserve">תחזוקת מבנה       </v>
          </cell>
        </row>
        <row r="3408">
          <cell r="A3408">
            <v>1768000431</v>
          </cell>
          <cell r="B3408" t="str">
            <v xml:space="preserve">חשמל              </v>
          </cell>
        </row>
        <row r="3409">
          <cell r="A3409">
            <v>1768000432</v>
          </cell>
          <cell r="B3409" t="str">
            <v xml:space="preserve">מים               </v>
          </cell>
        </row>
        <row r="3410">
          <cell r="A3410">
            <v>1768000433</v>
          </cell>
          <cell r="B3410" t="str">
            <v xml:space="preserve">חומרי נקיון       </v>
          </cell>
        </row>
        <row r="3411">
          <cell r="A3411">
            <v>1768000437</v>
          </cell>
          <cell r="B3411" t="str">
            <v xml:space="preserve">אחזקת אזעקה       </v>
          </cell>
        </row>
        <row r="3412">
          <cell r="A3412">
            <v>1768000441</v>
          </cell>
          <cell r="B3412" t="str">
            <v xml:space="preserve">ביטוח             </v>
          </cell>
        </row>
        <row r="3413">
          <cell r="A3413">
            <v>1768000470</v>
          </cell>
          <cell r="B3413" t="str">
            <v xml:space="preserve">אחזקת מכונות משרד </v>
          </cell>
        </row>
        <row r="3414">
          <cell r="A3414">
            <v>1768000471</v>
          </cell>
          <cell r="B3414" t="str">
            <v xml:space="preserve">מכשירי כתיבה      </v>
          </cell>
        </row>
        <row r="3415">
          <cell r="A3415">
            <v>1768000492</v>
          </cell>
          <cell r="B3415" t="str">
            <v xml:space="preserve">השתתפות בעזר 092  </v>
          </cell>
        </row>
        <row r="3416">
          <cell r="A3416">
            <v>1768000500</v>
          </cell>
          <cell r="B3416" t="str">
            <v xml:space="preserve">הוצאות מינהליות   </v>
          </cell>
        </row>
        <row r="3417">
          <cell r="A3417">
            <v>1768000511</v>
          </cell>
          <cell r="B3417" t="str">
            <v xml:space="preserve">כיבודים - אזורי   </v>
          </cell>
        </row>
        <row r="3418">
          <cell r="A3418">
            <v>1768000516</v>
          </cell>
          <cell r="B3418" t="str">
            <v xml:space="preserve">כיבודים - מרחבי   </v>
          </cell>
        </row>
        <row r="3419">
          <cell r="A3419">
            <v>1768000522</v>
          </cell>
          <cell r="B3419" t="str">
            <v xml:space="preserve">ספרים ועיתונים    </v>
          </cell>
        </row>
        <row r="3420">
          <cell r="A3420">
            <v>1768000540</v>
          </cell>
          <cell r="B3420" t="str">
            <v xml:space="preserve">הוצאות טלפון      </v>
          </cell>
        </row>
        <row r="3421">
          <cell r="A3421">
            <v>1768000544</v>
          </cell>
          <cell r="B3421" t="str">
            <v xml:space="preserve">הוצאות דאר        </v>
          </cell>
        </row>
        <row r="3422">
          <cell r="A3422">
            <v>1768000561</v>
          </cell>
          <cell r="B3422" t="str">
            <v xml:space="preserve">שיכפולים          </v>
          </cell>
        </row>
        <row r="3423">
          <cell r="A3423">
            <v>1768000571</v>
          </cell>
          <cell r="B3423" t="str">
            <v xml:space="preserve">מיכון וענ"א       </v>
          </cell>
        </row>
        <row r="3424">
          <cell r="A3424">
            <v>1768000580</v>
          </cell>
          <cell r="B3424" t="str">
            <v>הדרכה וכיבוד</v>
          </cell>
        </row>
        <row r="3425">
          <cell r="A3425">
            <v>1768000581</v>
          </cell>
          <cell r="B3425" t="str">
            <v>הדרכה וכיבוד-מרחבי</v>
          </cell>
        </row>
        <row r="3426">
          <cell r="A3426">
            <v>1768000582</v>
          </cell>
          <cell r="B3426" t="str">
            <v xml:space="preserve">הרצאות-אזורי הכנ' </v>
          </cell>
        </row>
        <row r="3427">
          <cell r="A3427">
            <v>1768000700</v>
          </cell>
          <cell r="B3427" t="str">
            <v xml:space="preserve">הוצאות לפעולות    </v>
          </cell>
        </row>
        <row r="3428">
          <cell r="A3428">
            <v>1768000710</v>
          </cell>
          <cell r="B3428" t="str">
            <v xml:space="preserve">הובלות והסעות     </v>
          </cell>
        </row>
        <row r="3429">
          <cell r="A3429">
            <v>1768000722</v>
          </cell>
          <cell r="B3429" t="str">
            <v>חמרים-תחזוקה עצמית</v>
          </cell>
        </row>
        <row r="3430">
          <cell r="A3430">
            <v>1768000723</v>
          </cell>
          <cell r="B3430" t="str">
            <v xml:space="preserve">חומרים ועזרים     </v>
          </cell>
        </row>
        <row r="3431">
          <cell r="A3431">
            <v>1768000742</v>
          </cell>
          <cell r="B3431" t="str">
            <v xml:space="preserve">כלים וציוד        </v>
          </cell>
        </row>
        <row r="3432">
          <cell r="A3432">
            <v>1768000751</v>
          </cell>
          <cell r="B3432" t="str">
            <v xml:space="preserve">עבודות קבלניות    </v>
          </cell>
        </row>
        <row r="3433">
          <cell r="A3433">
            <v>1768000752</v>
          </cell>
          <cell r="B3433" t="str">
            <v xml:space="preserve">נקיון בקבלנות     </v>
          </cell>
        </row>
        <row r="3434">
          <cell r="A3434">
            <v>1768000781</v>
          </cell>
          <cell r="B3434" t="str">
            <v>מודל אירופאי-איכות</v>
          </cell>
        </row>
        <row r="3435">
          <cell r="A3435">
            <v>1768000784</v>
          </cell>
          <cell r="B3435" t="str">
            <v>פעילות ארצית(הכנ')</v>
          </cell>
        </row>
        <row r="3436">
          <cell r="A3436">
            <v>1768000785</v>
          </cell>
          <cell r="B3436" t="str">
            <v>הש'-שכר רכזת הדרכה</v>
          </cell>
        </row>
        <row r="3437">
          <cell r="A3437">
            <v>1768000789</v>
          </cell>
          <cell r="B3437" t="str">
            <v xml:space="preserve">כביסה             </v>
          </cell>
        </row>
        <row r="3438">
          <cell r="A3438">
            <v>1768000794</v>
          </cell>
          <cell r="B3438" t="str">
            <v xml:space="preserve">השתתפות בעזר 094  </v>
          </cell>
        </row>
        <row r="3439">
          <cell r="A3439">
            <v>1768000900</v>
          </cell>
          <cell r="B3439" t="str">
            <v xml:space="preserve">הוצאות חד פעמיות  </v>
          </cell>
        </row>
        <row r="3440">
          <cell r="A3440">
            <v>1768000930</v>
          </cell>
          <cell r="B3440" t="str">
            <v xml:space="preserve">רכישות חד פעמיות  </v>
          </cell>
        </row>
        <row r="3441">
          <cell r="A3441">
            <v>1768000961</v>
          </cell>
          <cell r="B3441" t="str">
            <v>רז' פעולות ורכישות</v>
          </cell>
        </row>
        <row r="3442">
          <cell r="A3442" t="str">
            <v>#VALUE!</v>
          </cell>
          <cell r="B3442" t="str">
            <v>מרכז הדרכה ופיתוח</v>
          </cell>
        </row>
        <row r="3443">
          <cell r="A3443">
            <v>17690000</v>
          </cell>
          <cell r="B3443" t="str">
            <v xml:space="preserve">שרותים שונים      </v>
          </cell>
        </row>
        <row r="3444">
          <cell r="A3444">
            <v>1769000100</v>
          </cell>
          <cell r="B3444" t="str">
            <v>שכר עובדים לפי תקן</v>
          </cell>
        </row>
        <row r="3445">
          <cell r="A3445">
            <v>1769000110</v>
          </cell>
          <cell r="B3445" t="str">
            <v>השכר הקובע-תקציבית</v>
          </cell>
        </row>
        <row r="3446">
          <cell r="A3446">
            <v>1769000119</v>
          </cell>
          <cell r="B3446" t="str">
            <v xml:space="preserve">השכר הקובע-צוברת  </v>
          </cell>
          <cell r="C3446">
            <v>154900</v>
          </cell>
        </row>
        <row r="3447">
          <cell r="A3447">
            <v>1769000122</v>
          </cell>
          <cell r="B3447" t="str">
            <v xml:space="preserve">ביגוד             </v>
          </cell>
          <cell r="C3447">
            <v>2700</v>
          </cell>
        </row>
        <row r="3448">
          <cell r="A3448">
            <v>1769000126</v>
          </cell>
          <cell r="B3448" t="str">
            <v xml:space="preserve">דמי הבראה         </v>
          </cell>
          <cell r="C3448">
            <v>7000</v>
          </cell>
        </row>
        <row r="3449">
          <cell r="A3449">
            <v>1769000130</v>
          </cell>
          <cell r="B3449" t="str">
            <v xml:space="preserve">שעות נוספות       </v>
          </cell>
        </row>
        <row r="3450">
          <cell r="A3450">
            <v>1769000140</v>
          </cell>
          <cell r="B3450" t="str">
            <v>השתתפות באחזקת רכב</v>
          </cell>
          <cell r="C3450">
            <v>32500</v>
          </cell>
        </row>
        <row r="3451">
          <cell r="A3451">
            <v>1769000210</v>
          </cell>
          <cell r="B3451" t="str">
            <v>שכר הדרכה</v>
          </cell>
        </row>
        <row r="3452">
          <cell r="A3452">
            <v>1769000253</v>
          </cell>
          <cell r="B3452" t="str">
            <v xml:space="preserve">טיפול בפנסיונרים  </v>
          </cell>
        </row>
        <row r="3453">
          <cell r="A3453">
            <v>1769000255</v>
          </cell>
          <cell r="B3453" t="str">
            <v>טפול משפחות שכולות</v>
          </cell>
        </row>
        <row r="3454">
          <cell r="A3454">
            <v>1769000400</v>
          </cell>
          <cell r="B3454" t="str">
            <v>אחזקת בנינים וציוד</v>
          </cell>
        </row>
        <row r="3455">
          <cell r="A3455">
            <v>1769000431</v>
          </cell>
          <cell r="B3455" t="str">
            <v xml:space="preserve">חשמל              </v>
          </cell>
        </row>
        <row r="3456">
          <cell r="A3456">
            <v>1769000432</v>
          </cell>
          <cell r="B3456" t="str">
            <v xml:space="preserve">מים               </v>
          </cell>
        </row>
        <row r="3457">
          <cell r="A3457">
            <v>1769000441</v>
          </cell>
          <cell r="B3457" t="str">
            <v xml:space="preserve">ביטוח             </v>
          </cell>
        </row>
        <row r="3458">
          <cell r="A3458">
            <v>1769000471</v>
          </cell>
          <cell r="B3458" t="str">
            <v xml:space="preserve">מכשירי כתיבה      </v>
          </cell>
          <cell r="C3458">
            <v>3200</v>
          </cell>
        </row>
        <row r="3459">
          <cell r="A3459">
            <v>1769000511</v>
          </cell>
          <cell r="B3459" t="str">
            <v>כיבוד מועצת עיר וועדות</v>
          </cell>
          <cell r="C3459">
            <v>13500</v>
          </cell>
        </row>
        <row r="3460">
          <cell r="A3460">
            <v>1769000514</v>
          </cell>
          <cell r="B3460" t="str">
            <v xml:space="preserve">שי לעובדים ארעיים </v>
          </cell>
        </row>
        <row r="3461">
          <cell r="A3461">
            <v>1769000518</v>
          </cell>
          <cell r="B3461" t="str">
            <v xml:space="preserve">פרס ע"ש אילון     </v>
          </cell>
        </row>
        <row r="3462">
          <cell r="A3462">
            <v>1769000519</v>
          </cell>
          <cell r="B3462" t="str">
            <v xml:space="preserve">תרומות            </v>
          </cell>
        </row>
        <row r="3463">
          <cell r="A3463">
            <v>1769000561</v>
          </cell>
          <cell r="B3463" t="str">
            <v xml:space="preserve">שיכפולים          </v>
          </cell>
        </row>
        <row r="3464">
          <cell r="A3464">
            <v>1769000562</v>
          </cell>
          <cell r="B3464" t="str">
            <v xml:space="preserve">הדפסות            </v>
          </cell>
          <cell r="C3464">
            <v>2200</v>
          </cell>
        </row>
        <row r="3465">
          <cell r="A3465">
            <v>1769000580</v>
          </cell>
          <cell r="B3465" t="str">
            <v>בקרה - ועדת תמיכות</v>
          </cell>
          <cell r="C3465">
            <v>52700</v>
          </cell>
        </row>
        <row r="3466">
          <cell r="A3466">
            <v>1769000581</v>
          </cell>
          <cell r="B3466" t="str">
            <v>יועץ לרעש מטוסים</v>
          </cell>
        </row>
        <row r="3467">
          <cell r="A3467">
            <v>1769000700</v>
          </cell>
          <cell r="B3467" t="str">
            <v xml:space="preserve">הוצאות לפעולות    </v>
          </cell>
        </row>
        <row r="3468">
          <cell r="A3468">
            <v>1769000721</v>
          </cell>
          <cell r="B3468" t="str">
            <v>חמרים לתחזוקת "נקודת חן"</v>
          </cell>
          <cell r="C3468">
            <v>700</v>
          </cell>
        </row>
        <row r="3469">
          <cell r="A3469">
            <v>1769000751</v>
          </cell>
          <cell r="B3469" t="str">
            <v>עבודות קבלניות "נקודת חן"</v>
          </cell>
          <cell r="C3469">
            <v>5200</v>
          </cell>
        </row>
        <row r="3470">
          <cell r="A3470">
            <v>1769000752</v>
          </cell>
          <cell r="B3470" t="str">
            <v>נקיון בית הוועד</v>
          </cell>
          <cell r="C3470">
            <v>15000</v>
          </cell>
        </row>
        <row r="3471">
          <cell r="A3471">
            <v>1769000753</v>
          </cell>
          <cell r="B3471" t="str">
            <v xml:space="preserve">טיפול בפנסיונרים  </v>
          </cell>
        </row>
        <row r="3472">
          <cell r="A3472">
            <v>1769000755</v>
          </cell>
          <cell r="B3472" t="str">
            <v>טפול משפחות שכולות</v>
          </cell>
        </row>
        <row r="3473">
          <cell r="A3473">
            <v>1769000780</v>
          </cell>
          <cell r="B3473" t="str">
            <v xml:space="preserve">השתתפויות         </v>
          </cell>
          <cell r="C3473">
            <v>1000000</v>
          </cell>
        </row>
        <row r="3474">
          <cell r="A3474">
            <v>1769000781</v>
          </cell>
          <cell r="B3474" t="str">
            <v>מצגת יד לבנים</v>
          </cell>
          <cell r="C3474">
            <v>15400</v>
          </cell>
        </row>
        <row r="3475">
          <cell r="A3475">
            <v>1769000782</v>
          </cell>
          <cell r="B3475" t="str">
            <v xml:space="preserve">תמלוגים-על מוסיקה </v>
          </cell>
          <cell r="C3475">
            <v>397000</v>
          </cell>
        </row>
        <row r="3476">
          <cell r="A3476">
            <v>1769000783</v>
          </cell>
          <cell r="B3476" t="str">
            <v xml:space="preserve">מפגשים שכונתיים   </v>
          </cell>
        </row>
        <row r="3477">
          <cell r="A3477">
            <v>1769000784</v>
          </cell>
          <cell r="B3477" t="str">
            <v xml:space="preserve">קשר עם חיילים     </v>
          </cell>
          <cell r="C3477">
            <v>1456200</v>
          </cell>
        </row>
        <row r="3478">
          <cell r="A3478">
            <v>1769000785</v>
          </cell>
          <cell r="B3478" t="str">
            <v>פעולות איבה ומערכות ישראל</v>
          </cell>
        </row>
        <row r="3479">
          <cell r="A3479">
            <v>1769000786</v>
          </cell>
          <cell r="B3479" t="str">
            <v>מעמד האשה</v>
          </cell>
          <cell r="C3479">
            <v>200000</v>
          </cell>
        </row>
        <row r="3480">
          <cell r="A3480">
            <v>1769000787</v>
          </cell>
          <cell r="B3480" t="str">
            <v>כרטיס תושב</v>
          </cell>
        </row>
        <row r="3481">
          <cell r="A3481">
            <v>1769000800</v>
          </cell>
          <cell r="B3481" t="str">
            <v>השת' תמיכות תרומות</v>
          </cell>
        </row>
        <row r="3482">
          <cell r="A3482">
            <v>1769000810</v>
          </cell>
          <cell r="B3482" t="str">
            <v>השת' עדה אתיופית</v>
          </cell>
          <cell r="C3482">
            <v>187600</v>
          </cell>
        </row>
        <row r="3483">
          <cell r="A3483">
            <v>1769000811</v>
          </cell>
          <cell r="B3483" t="str">
            <v>קמחא דפסחא</v>
          </cell>
          <cell r="C3483">
            <v>97500</v>
          </cell>
        </row>
        <row r="3484">
          <cell r="A3484">
            <v>1769000813</v>
          </cell>
          <cell r="B3484" t="str">
            <v>תמיכה לראש השנה</v>
          </cell>
          <cell r="C3484">
            <v>30000</v>
          </cell>
        </row>
        <row r="3485">
          <cell r="A3485">
            <v>1769000815</v>
          </cell>
          <cell r="B3485" t="str">
            <v>טקס יצחק רבין</v>
          </cell>
          <cell r="C3485">
            <v>22500</v>
          </cell>
        </row>
        <row r="3486">
          <cell r="A3486">
            <v>1769000816</v>
          </cell>
          <cell r="B3486" t="str">
            <v>הקצבה לועד הורים שכולים</v>
          </cell>
          <cell r="C3486">
            <v>31000</v>
          </cell>
        </row>
        <row r="3487">
          <cell r="A3487">
            <v>1769000819</v>
          </cell>
          <cell r="B3487" t="str">
            <v>השתת' לועד העובדים</v>
          </cell>
        </row>
        <row r="3488">
          <cell r="A3488">
            <v>1769000820</v>
          </cell>
          <cell r="B3488" t="str">
            <v xml:space="preserve">תמיכה במוסדות דת  </v>
          </cell>
          <cell r="C3488">
            <v>594000</v>
          </cell>
        </row>
        <row r="3489">
          <cell r="A3489">
            <v>1769000821</v>
          </cell>
          <cell r="B3489" t="str">
            <v xml:space="preserve">ועדת תמיכות       </v>
          </cell>
          <cell r="C3489">
            <v>125800</v>
          </cell>
        </row>
        <row r="3490">
          <cell r="A3490">
            <v>1769000822</v>
          </cell>
          <cell r="B3490" t="str">
            <v xml:space="preserve">העמותה לידע התורה </v>
          </cell>
        </row>
        <row r="3491">
          <cell r="A3491">
            <v>1769000880</v>
          </cell>
          <cell r="B3491" t="str">
            <v xml:space="preserve">תרומות            </v>
          </cell>
        </row>
        <row r="3492">
          <cell r="A3492">
            <v>1769000882</v>
          </cell>
          <cell r="B3492" t="str">
            <v xml:space="preserve">קרן חולון         </v>
          </cell>
        </row>
        <row r="3493">
          <cell r="A3493">
            <v>1769000884</v>
          </cell>
          <cell r="B3493" t="str">
            <v xml:space="preserve">שמות לאנדרטה      </v>
          </cell>
          <cell r="C3493">
            <v>9700</v>
          </cell>
        </row>
        <row r="3494">
          <cell r="A3494">
            <v>1769000885</v>
          </cell>
          <cell r="B3494" t="str">
            <v>טקס למשפחות שכולות</v>
          </cell>
          <cell r="C3494">
            <v>47500</v>
          </cell>
        </row>
        <row r="3495">
          <cell r="A3495">
            <v>1769000961</v>
          </cell>
          <cell r="B3495" t="str">
            <v>רז' פעולות ורכישות</v>
          </cell>
        </row>
        <row r="3496">
          <cell r="A3496" t="str">
            <v>#VALUE!</v>
          </cell>
          <cell r="B3496" t="str">
            <v xml:space="preserve">שרותים שונים      </v>
          </cell>
        </row>
        <row r="3497">
          <cell r="A3497">
            <v>17691000</v>
          </cell>
          <cell r="B3497" t="str">
            <v xml:space="preserve">בית  הגימלאי        </v>
          </cell>
        </row>
        <row r="3498">
          <cell r="A3498">
            <v>1769100119</v>
          </cell>
          <cell r="B3498" t="str">
            <v xml:space="preserve">השכר הקובע-צוברת  </v>
          </cell>
        </row>
        <row r="3499">
          <cell r="A3499">
            <v>1769100210</v>
          </cell>
          <cell r="B3499" t="str">
            <v>השכר הקובע</v>
          </cell>
        </row>
        <row r="3500">
          <cell r="A3500">
            <v>1769100253</v>
          </cell>
          <cell r="B3500" t="str">
            <v>שכר הדרכה</v>
          </cell>
        </row>
        <row r="3501">
          <cell r="A3501">
            <v>1769100263</v>
          </cell>
          <cell r="B3501" t="str">
            <v xml:space="preserve">מדריכה ממוסדות    </v>
          </cell>
        </row>
        <row r="3502">
          <cell r="A3502">
            <v>1769100433</v>
          </cell>
          <cell r="B3502" t="str">
            <v xml:space="preserve">חומרי נקיון       </v>
          </cell>
        </row>
        <row r="3503">
          <cell r="A3503">
            <v>1769100450</v>
          </cell>
          <cell r="B3503" t="str">
            <v>אחזקת תמי 4</v>
          </cell>
          <cell r="C3503">
            <v>1500</v>
          </cell>
        </row>
        <row r="3504">
          <cell r="A3504">
            <v>1769100471</v>
          </cell>
          <cell r="B3504" t="str">
            <v xml:space="preserve">מכשירי כתיבה      </v>
          </cell>
          <cell r="C3504">
            <v>2400</v>
          </cell>
        </row>
        <row r="3505">
          <cell r="A3505">
            <v>1769100511</v>
          </cell>
          <cell r="B3505" t="str">
            <v xml:space="preserve">אירוח וכיבוד      </v>
          </cell>
          <cell r="C3505">
            <v>1300</v>
          </cell>
        </row>
        <row r="3506">
          <cell r="A3506">
            <v>1769100540</v>
          </cell>
          <cell r="B3506" t="str">
            <v xml:space="preserve">הוצאות טלפון      </v>
          </cell>
        </row>
        <row r="3507">
          <cell r="A3507">
            <v>1769100544</v>
          </cell>
          <cell r="B3507" t="str">
            <v xml:space="preserve">הוצאות דאר        </v>
          </cell>
          <cell r="C3507">
            <v>24400</v>
          </cell>
        </row>
        <row r="3508">
          <cell r="A3508">
            <v>1769100561</v>
          </cell>
          <cell r="B3508" t="str">
            <v xml:space="preserve">שיכפולים          </v>
          </cell>
          <cell r="C3508">
            <v>4100</v>
          </cell>
        </row>
        <row r="3509">
          <cell r="A3509">
            <v>1769100562</v>
          </cell>
          <cell r="B3509" t="str">
            <v xml:space="preserve">הדפסות            </v>
          </cell>
        </row>
        <row r="3510">
          <cell r="A3510">
            <v>1769100723</v>
          </cell>
          <cell r="B3510" t="str">
            <v xml:space="preserve">חומרים            </v>
          </cell>
          <cell r="C3510">
            <v>900</v>
          </cell>
        </row>
        <row r="3511">
          <cell r="A3511">
            <v>1769100752</v>
          </cell>
          <cell r="B3511" t="str">
            <v>נקיון בית העובד</v>
          </cell>
          <cell r="C3511">
            <v>13000</v>
          </cell>
        </row>
        <row r="3512">
          <cell r="A3512">
            <v>1769100763</v>
          </cell>
          <cell r="B3512" t="str">
            <v xml:space="preserve">מדריכה ממוסדות    </v>
          </cell>
        </row>
        <row r="3513">
          <cell r="A3513">
            <v>1769100780</v>
          </cell>
          <cell r="B3513" t="str">
            <v xml:space="preserve">פעילות מהכנסות    </v>
          </cell>
        </row>
        <row r="3514">
          <cell r="A3514">
            <v>1769100781</v>
          </cell>
          <cell r="B3514" t="str">
            <v xml:space="preserve">פעולות תרבות      </v>
          </cell>
          <cell r="C3514">
            <v>18600</v>
          </cell>
        </row>
        <row r="3515">
          <cell r="A3515">
            <v>1769100782</v>
          </cell>
          <cell r="B3515" t="str">
            <v xml:space="preserve">יריד אומנים       </v>
          </cell>
        </row>
        <row r="3516">
          <cell r="A3516">
            <v>1769100931</v>
          </cell>
          <cell r="B3516" t="str">
            <v xml:space="preserve">ציוד חד פעמי      </v>
          </cell>
          <cell r="C3516">
            <v>1600</v>
          </cell>
        </row>
        <row r="3517">
          <cell r="A3517">
            <v>1769100961</v>
          </cell>
          <cell r="B3517" t="str">
            <v>רז' פעולות ורכישות</v>
          </cell>
        </row>
        <row r="3518">
          <cell r="A3518" t="str">
            <v>#VALUE!</v>
          </cell>
          <cell r="B3518" t="str">
            <v xml:space="preserve">בית  הגימלאי        </v>
          </cell>
        </row>
        <row r="3519">
          <cell r="A3519">
            <v>17700000</v>
          </cell>
          <cell r="B3519" t="str">
            <v xml:space="preserve">פיתוח כלכלי       </v>
          </cell>
        </row>
        <row r="3520">
          <cell r="A3520">
            <v>17720000</v>
          </cell>
          <cell r="B3520" t="str">
            <v>עידוד תעשיה ומלאכה</v>
          </cell>
        </row>
        <row r="3521">
          <cell r="A3521">
            <v>17721000</v>
          </cell>
          <cell r="B3521" t="str">
            <v>מינהלת תעשיה ומסחר</v>
          </cell>
        </row>
        <row r="3522">
          <cell r="A3522">
            <v>1772100110</v>
          </cell>
          <cell r="B3522" t="str">
            <v>השכר הקובע-תקציבית</v>
          </cell>
        </row>
        <row r="3523">
          <cell r="A3523">
            <v>1772100119</v>
          </cell>
          <cell r="B3523" t="str">
            <v xml:space="preserve">השכר הקובע-צוברת  </v>
          </cell>
          <cell r="C3523">
            <v>922100</v>
          </cell>
        </row>
        <row r="3524">
          <cell r="A3524">
            <v>1772100122</v>
          </cell>
          <cell r="B3524" t="str">
            <v xml:space="preserve">ביגוד             </v>
          </cell>
          <cell r="C3524">
            <v>6000</v>
          </cell>
        </row>
        <row r="3525">
          <cell r="A3525">
            <v>1772100126</v>
          </cell>
          <cell r="B3525" t="str">
            <v xml:space="preserve">דמי הבראה         </v>
          </cell>
          <cell r="C3525">
            <v>17000</v>
          </cell>
        </row>
        <row r="3526">
          <cell r="A3526">
            <v>1772100130</v>
          </cell>
          <cell r="B3526" t="str">
            <v xml:space="preserve">שעות נוספות       </v>
          </cell>
          <cell r="C3526">
            <v>54300</v>
          </cell>
        </row>
        <row r="3527">
          <cell r="A3527">
            <v>1772100140</v>
          </cell>
          <cell r="B3527" t="str">
            <v>השתתפות באחזקת רכב</v>
          </cell>
          <cell r="C3527">
            <v>109000</v>
          </cell>
        </row>
        <row r="3528">
          <cell r="A3528">
            <v>1772100350</v>
          </cell>
          <cell r="B3528" t="str">
            <v>ליסינג - 140-63-901</v>
          </cell>
        </row>
        <row r="3529">
          <cell r="A3529">
            <v>1772100351</v>
          </cell>
          <cell r="B3529" t="str">
            <v>הוצאות - 140-63-901</v>
          </cell>
        </row>
        <row r="3530">
          <cell r="A3530">
            <v>1772100420</v>
          </cell>
          <cell r="B3530" t="str">
            <v xml:space="preserve">כיבוי אש          </v>
          </cell>
        </row>
        <row r="3531">
          <cell r="A3531">
            <v>1772100433</v>
          </cell>
          <cell r="B3531" t="str">
            <v xml:space="preserve">חומרי נקיון       </v>
          </cell>
          <cell r="C3531">
            <v>2400</v>
          </cell>
        </row>
        <row r="3532">
          <cell r="A3532">
            <v>1772100450</v>
          </cell>
          <cell r="B3532" t="str">
            <v>אחזקת תמי 4</v>
          </cell>
          <cell r="C3532">
            <v>1500</v>
          </cell>
        </row>
        <row r="3533">
          <cell r="A3533">
            <v>1772100470</v>
          </cell>
          <cell r="B3533" t="str">
            <v xml:space="preserve">אחזקת מכונות משרד </v>
          </cell>
          <cell r="C3533">
            <v>2100</v>
          </cell>
        </row>
        <row r="3534">
          <cell r="A3534">
            <v>1772100471</v>
          </cell>
          <cell r="B3534" t="str">
            <v xml:space="preserve">מכשירי כתיבה      </v>
          </cell>
          <cell r="C3534">
            <v>11600</v>
          </cell>
        </row>
        <row r="3535">
          <cell r="A3535">
            <v>1772100492</v>
          </cell>
          <cell r="B3535" t="str">
            <v xml:space="preserve">השתתפות בעזר 092  </v>
          </cell>
        </row>
        <row r="3536">
          <cell r="A3536">
            <v>1772100511</v>
          </cell>
          <cell r="B3536" t="str">
            <v xml:space="preserve">אירוח וכיבוד      </v>
          </cell>
          <cell r="C3536">
            <v>7300</v>
          </cell>
        </row>
        <row r="3537">
          <cell r="A3537">
            <v>1772100512</v>
          </cell>
          <cell r="B3537" t="str">
            <v xml:space="preserve">נסיעות ואש"ל      </v>
          </cell>
          <cell r="C3537">
            <v>1200</v>
          </cell>
        </row>
        <row r="3538">
          <cell r="A3538">
            <v>1772100522</v>
          </cell>
          <cell r="B3538" t="str">
            <v xml:space="preserve">ספרים ועיתונים    </v>
          </cell>
          <cell r="C3538">
            <v>2300</v>
          </cell>
        </row>
        <row r="3539">
          <cell r="A3539">
            <v>1772100540</v>
          </cell>
          <cell r="B3539" t="str">
            <v xml:space="preserve">הוצאות טלפון      </v>
          </cell>
        </row>
        <row r="3540">
          <cell r="A3540">
            <v>1772100544</v>
          </cell>
          <cell r="B3540" t="str">
            <v xml:space="preserve">הוצאות דאר        </v>
          </cell>
          <cell r="C3540">
            <v>200</v>
          </cell>
        </row>
        <row r="3541">
          <cell r="A3541">
            <v>1772100550</v>
          </cell>
          <cell r="B3541" t="str">
            <v xml:space="preserve">פירסומים          </v>
          </cell>
          <cell r="C3541">
            <v>2300</v>
          </cell>
        </row>
        <row r="3542">
          <cell r="A3542">
            <v>1772100561</v>
          </cell>
          <cell r="B3542" t="str">
            <v xml:space="preserve">שיכפולים          </v>
          </cell>
          <cell r="C3542">
            <v>300</v>
          </cell>
        </row>
        <row r="3543">
          <cell r="A3543">
            <v>1772100562</v>
          </cell>
          <cell r="B3543" t="str">
            <v xml:space="preserve">הדפסות            </v>
          </cell>
        </row>
        <row r="3544">
          <cell r="A3544">
            <v>1772100565</v>
          </cell>
          <cell r="B3544" t="str">
            <v xml:space="preserve">תצאו"ת            </v>
          </cell>
          <cell r="C3544">
            <v>4900</v>
          </cell>
        </row>
        <row r="3545">
          <cell r="A3545">
            <v>1772100571</v>
          </cell>
          <cell r="B3545" t="str">
            <v xml:space="preserve">מיכון וענ"א       </v>
          </cell>
          <cell r="C3545">
            <v>95000</v>
          </cell>
        </row>
        <row r="3546">
          <cell r="A3546">
            <v>1772100596</v>
          </cell>
          <cell r="B3546" t="str">
            <v xml:space="preserve">השתתפות בעזר 096  </v>
          </cell>
        </row>
        <row r="3547">
          <cell r="A3547">
            <v>1772100722</v>
          </cell>
          <cell r="B3547" t="str">
            <v>חמרים-תחזוקה עצמית</v>
          </cell>
          <cell r="C3547">
            <v>500</v>
          </cell>
        </row>
        <row r="3548">
          <cell r="A3548">
            <v>1772100752</v>
          </cell>
          <cell r="B3548" t="str">
            <v xml:space="preserve">נקיון בקבלנות     </v>
          </cell>
          <cell r="C3548">
            <v>41000</v>
          </cell>
        </row>
        <row r="3549">
          <cell r="A3549">
            <v>1772100753</v>
          </cell>
          <cell r="B3549" t="str">
            <v xml:space="preserve">עובדים חיצוניים   </v>
          </cell>
        </row>
        <row r="3550">
          <cell r="A3550">
            <v>1772100754</v>
          </cell>
          <cell r="B3550" t="str">
            <v xml:space="preserve">פינויים           </v>
          </cell>
          <cell r="C3550">
            <v>400</v>
          </cell>
        </row>
        <row r="3551">
          <cell r="A3551">
            <v>1772100755</v>
          </cell>
          <cell r="B3551" t="str">
            <v>עבודות אחזקה</v>
          </cell>
        </row>
        <row r="3552">
          <cell r="A3552">
            <v>1772100759</v>
          </cell>
          <cell r="B3552" t="str">
            <v>עבודות אחזקה</v>
          </cell>
          <cell r="C3552">
            <v>81300</v>
          </cell>
        </row>
        <row r="3553">
          <cell r="A3553">
            <v>1772100781</v>
          </cell>
          <cell r="B3553" t="str">
            <v>פעולות סמנכ"ל</v>
          </cell>
          <cell r="C3553">
            <v>10000</v>
          </cell>
        </row>
        <row r="3554">
          <cell r="A3554">
            <v>1772100794</v>
          </cell>
          <cell r="B3554" t="str">
            <v xml:space="preserve">השתתפות בעזר 094  </v>
          </cell>
          <cell r="C3554">
            <v>9200</v>
          </cell>
        </row>
        <row r="3555">
          <cell r="A3555">
            <v>1772100870</v>
          </cell>
          <cell r="B3555" t="str">
            <v>קידום עסקים בחולון</v>
          </cell>
          <cell r="C3555">
            <v>162500</v>
          </cell>
        </row>
        <row r="3556">
          <cell r="A3556">
            <v>1772100931</v>
          </cell>
          <cell r="B3556" t="str">
            <v xml:space="preserve">רכישות            </v>
          </cell>
          <cell r="C3556">
            <v>1600</v>
          </cell>
        </row>
        <row r="3557">
          <cell r="A3557">
            <v>1772100960</v>
          </cell>
          <cell r="B3557" t="str">
            <v>פעולות לעידוד א.ת.</v>
          </cell>
          <cell r="C3557">
            <v>39000</v>
          </cell>
        </row>
        <row r="3558">
          <cell r="A3558">
            <v>1772100961</v>
          </cell>
          <cell r="B3558" t="str">
            <v>רז' פעולות ורכישות</v>
          </cell>
        </row>
        <row r="3559">
          <cell r="A3559" t="str">
            <v>#VALUE!</v>
          </cell>
          <cell r="B3559" t="str">
            <v>מינהלת תעשיה ומסחר</v>
          </cell>
        </row>
        <row r="3560">
          <cell r="A3560">
            <v>17730000</v>
          </cell>
          <cell r="B3560" t="str">
            <v xml:space="preserve">חברות עירוניות    </v>
          </cell>
        </row>
        <row r="3561">
          <cell r="A3561">
            <v>1773000210</v>
          </cell>
          <cell r="B3561" t="str">
            <v xml:space="preserve">שכר חב' כלכלית    </v>
          </cell>
        </row>
        <row r="3562">
          <cell r="A3562">
            <v>1773000410</v>
          </cell>
          <cell r="B3562" t="str">
            <v xml:space="preserve">שכר דירה </v>
          </cell>
        </row>
        <row r="3563">
          <cell r="A3563">
            <v>1773000441</v>
          </cell>
          <cell r="B3563" t="str">
            <v>ביטוח</v>
          </cell>
        </row>
        <row r="3564">
          <cell r="A3564">
            <v>1773000753</v>
          </cell>
          <cell r="B3564" t="str">
            <v xml:space="preserve">שכר חברה כלכלית   </v>
          </cell>
        </row>
        <row r="3565">
          <cell r="A3565">
            <v>1773000780</v>
          </cell>
          <cell r="B3565" t="str">
            <v>השת' שכר חב' כלכלית</v>
          </cell>
        </row>
        <row r="3566">
          <cell r="A3566">
            <v>1773000784</v>
          </cell>
          <cell r="B3566" t="str">
            <v>שכ"ד - החברה הכלכלית</v>
          </cell>
        </row>
        <row r="3567">
          <cell r="A3567">
            <v>1773000870</v>
          </cell>
          <cell r="B3567" t="str">
            <v>השתתפות שכר חכ"ל</v>
          </cell>
        </row>
        <row r="3568">
          <cell r="A3568">
            <v>1773000874</v>
          </cell>
          <cell r="B3568" t="str">
            <v>שכ"ד - החברה הכלכלית</v>
          </cell>
        </row>
        <row r="3569">
          <cell r="A3569">
            <v>1773000879</v>
          </cell>
          <cell r="B3569" t="str">
            <v>ביטוח-כנגד הכנסות</v>
          </cell>
        </row>
        <row r="3570">
          <cell r="A3570" t="str">
            <v>#VALUE!</v>
          </cell>
          <cell r="B3570" t="str">
            <v xml:space="preserve">חברות עירוניות    </v>
          </cell>
        </row>
        <row r="3571">
          <cell r="A3571">
            <v>17800000</v>
          </cell>
          <cell r="B3571" t="str">
            <v xml:space="preserve">פיקוח עירוני      </v>
          </cell>
        </row>
        <row r="3572">
          <cell r="A3572">
            <v>17810000</v>
          </cell>
          <cell r="B3572" t="str">
            <v xml:space="preserve">פיקוח על חוקי עזר </v>
          </cell>
        </row>
        <row r="3573">
          <cell r="A3573">
            <v>17811000</v>
          </cell>
          <cell r="B3573" t="str">
            <v xml:space="preserve">פיקוח  עירוני     </v>
          </cell>
        </row>
        <row r="3574">
          <cell r="A3574">
            <v>1781100100</v>
          </cell>
          <cell r="B3574" t="str">
            <v>שכר עובדים לפי תקן</v>
          </cell>
        </row>
        <row r="3575">
          <cell r="A3575">
            <v>1781100110</v>
          </cell>
          <cell r="B3575" t="str">
            <v>השכר הקובע-תקציבית</v>
          </cell>
          <cell r="C3575">
            <v>761300</v>
          </cell>
        </row>
        <row r="3576">
          <cell r="A3576">
            <v>1781100119</v>
          </cell>
          <cell r="B3576" t="str">
            <v xml:space="preserve">השכר הקובע-צוברת  </v>
          </cell>
          <cell r="C3576">
            <v>6831500</v>
          </cell>
        </row>
        <row r="3577">
          <cell r="A3577">
            <v>1781100122</v>
          </cell>
          <cell r="B3577" t="str">
            <v xml:space="preserve">ביגוד             </v>
          </cell>
          <cell r="C3577">
            <v>29000</v>
          </cell>
        </row>
        <row r="3578">
          <cell r="A3578">
            <v>1781100126</v>
          </cell>
          <cell r="B3578" t="str">
            <v xml:space="preserve">דמי הבראה         </v>
          </cell>
          <cell r="C3578">
            <v>245000</v>
          </cell>
        </row>
        <row r="3579">
          <cell r="A3579">
            <v>1781100130</v>
          </cell>
          <cell r="B3579" t="str">
            <v xml:space="preserve">שעות נוספות       </v>
          </cell>
          <cell r="C3579">
            <v>1200000</v>
          </cell>
        </row>
        <row r="3580">
          <cell r="A3580">
            <v>1781100140</v>
          </cell>
          <cell r="B3580" t="str">
            <v>השתתפות באחזקת רכב</v>
          </cell>
          <cell r="C3580">
            <v>737400</v>
          </cell>
        </row>
        <row r="3581">
          <cell r="A3581">
            <v>1781100253</v>
          </cell>
          <cell r="B3581" t="str">
            <v xml:space="preserve">חברה קבלנית       </v>
          </cell>
        </row>
        <row r="3582">
          <cell r="A3582">
            <v>1781100350</v>
          </cell>
          <cell r="B3582" t="str">
            <v>ליסינג - 363-92-803</v>
          </cell>
          <cell r="C3582">
            <v>60000</v>
          </cell>
        </row>
        <row r="3583">
          <cell r="A3583">
            <v>1781100351</v>
          </cell>
          <cell r="B3583" t="str">
            <v>הוצאות - 363-92-803</v>
          </cell>
          <cell r="C3583">
            <v>10000</v>
          </cell>
        </row>
        <row r="3584">
          <cell r="A3584">
            <v>1781100400</v>
          </cell>
          <cell r="B3584" t="str">
            <v>אחזקת בנינים וציוד</v>
          </cell>
        </row>
        <row r="3585">
          <cell r="A3585">
            <v>1781100410</v>
          </cell>
          <cell r="B3585" t="str">
            <v>דמי שכירות</v>
          </cell>
          <cell r="C3585">
            <v>550000</v>
          </cell>
        </row>
        <row r="3586">
          <cell r="A3586">
            <v>1781100420</v>
          </cell>
          <cell r="B3586" t="str">
            <v xml:space="preserve">כיבוי אש          </v>
          </cell>
          <cell r="C3586">
            <v>1300</v>
          </cell>
        </row>
        <row r="3587">
          <cell r="A3587">
            <v>1781100431</v>
          </cell>
          <cell r="B3587" t="str">
            <v xml:space="preserve">חשמל              </v>
          </cell>
          <cell r="C3587">
            <v>200000</v>
          </cell>
        </row>
        <row r="3588">
          <cell r="A3588">
            <v>1781100432</v>
          </cell>
          <cell r="B3588" t="str">
            <v xml:space="preserve">מים               </v>
          </cell>
          <cell r="C3588">
            <v>4100</v>
          </cell>
        </row>
        <row r="3589">
          <cell r="A3589">
            <v>1781100433</v>
          </cell>
          <cell r="B3589" t="str">
            <v xml:space="preserve">חומרי נקיון       </v>
          </cell>
          <cell r="C3589">
            <v>8200</v>
          </cell>
        </row>
        <row r="3590">
          <cell r="A3590">
            <v>1781100437</v>
          </cell>
          <cell r="B3590" t="str">
            <v xml:space="preserve">אחזקת אזעקה       </v>
          </cell>
          <cell r="C3590">
            <v>5400</v>
          </cell>
        </row>
        <row r="3591">
          <cell r="A3591">
            <v>1781100441</v>
          </cell>
          <cell r="B3591" t="str">
            <v>בטוח תאונות אישיות</v>
          </cell>
          <cell r="C3591">
            <v>4200</v>
          </cell>
        </row>
        <row r="3592">
          <cell r="A3592">
            <v>1781100450</v>
          </cell>
          <cell r="B3592" t="str">
            <v>אחזקת תמי 4</v>
          </cell>
          <cell r="C3592">
            <v>3400</v>
          </cell>
        </row>
        <row r="3593">
          <cell r="A3593">
            <v>1781100470</v>
          </cell>
          <cell r="B3593" t="str">
            <v xml:space="preserve">אחזקת מכונות משרד </v>
          </cell>
          <cell r="C3593">
            <v>2400</v>
          </cell>
        </row>
        <row r="3594">
          <cell r="A3594">
            <v>1781100471</v>
          </cell>
          <cell r="B3594" t="str">
            <v xml:space="preserve">מכשירי כתיבה      </v>
          </cell>
          <cell r="C3594">
            <v>33300</v>
          </cell>
        </row>
        <row r="3595">
          <cell r="A3595">
            <v>1781100492</v>
          </cell>
          <cell r="B3595" t="str">
            <v xml:space="preserve">השתתפות בעזר 092  </v>
          </cell>
          <cell r="C3595">
            <v>312800</v>
          </cell>
        </row>
        <row r="3596">
          <cell r="A3596">
            <v>1781100500</v>
          </cell>
          <cell r="B3596" t="str">
            <v xml:space="preserve">הוצאות מינהליות   </v>
          </cell>
        </row>
        <row r="3597">
          <cell r="A3597">
            <v>1781100511</v>
          </cell>
          <cell r="B3597" t="str">
            <v xml:space="preserve">אירוח וכיבוד      </v>
          </cell>
          <cell r="C3597">
            <v>28500</v>
          </cell>
        </row>
        <row r="3598">
          <cell r="A3598">
            <v>1781100512</v>
          </cell>
          <cell r="B3598" t="str">
            <v xml:space="preserve">נסיעות ואש"ל      </v>
          </cell>
        </row>
        <row r="3599">
          <cell r="A3599">
            <v>1781100513</v>
          </cell>
          <cell r="B3599" t="str">
            <v>כלכלה ( ארוחות )</v>
          </cell>
        </row>
        <row r="3600">
          <cell r="A3600">
            <v>1781100516</v>
          </cell>
          <cell r="B3600" t="str">
            <v>כיבוד-ארוע'עירונים</v>
          </cell>
          <cell r="C3600">
            <v>8100</v>
          </cell>
        </row>
        <row r="3601">
          <cell r="A3601">
            <v>1781100522</v>
          </cell>
          <cell r="B3601" t="str">
            <v xml:space="preserve">ספרים ועיתונים    </v>
          </cell>
        </row>
        <row r="3602">
          <cell r="A3602">
            <v>1781100540</v>
          </cell>
          <cell r="B3602" t="str">
            <v xml:space="preserve">הוצאות טלפון      </v>
          </cell>
        </row>
        <row r="3603">
          <cell r="A3603">
            <v>1781100544</v>
          </cell>
          <cell r="B3603" t="str">
            <v xml:space="preserve">הוצאות דאר        </v>
          </cell>
          <cell r="C3603">
            <v>55600</v>
          </cell>
        </row>
        <row r="3604">
          <cell r="A3604">
            <v>1781100550</v>
          </cell>
          <cell r="B3604" t="str">
            <v xml:space="preserve">פירסומים          </v>
          </cell>
          <cell r="C3604">
            <v>800</v>
          </cell>
        </row>
        <row r="3605">
          <cell r="A3605">
            <v>1781100561</v>
          </cell>
          <cell r="B3605" t="str">
            <v xml:space="preserve">שיכפולים          </v>
          </cell>
          <cell r="C3605">
            <v>12200</v>
          </cell>
        </row>
        <row r="3606">
          <cell r="A3606">
            <v>1781100562</v>
          </cell>
          <cell r="B3606" t="str">
            <v xml:space="preserve">הדפסות            </v>
          </cell>
          <cell r="C3606">
            <v>17100</v>
          </cell>
        </row>
        <row r="3607">
          <cell r="A3607">
            <v>1781100565</v>
          </cell>
          <cell r="B3607" t="str">
            <v>ציוד לעררי חניה</v>
          </cell>
          <cell r="C3607">
            <v>28400</v>
          </cell>
        </row>
        <row r="3608">
          <cell r="A3608">
            <v>1781100570</v>
          </cell>
          <cell r="B3608" t="str">
            <v xml:space="preserve">עיבוד נתונים      </v>
          </cell>
          <cell r="C3608">
            <v>1600</v>
          </cell>
        </row>
        <row r="3609">
          <cell r="A3609">
            <v>1781100571</v>
          </cell>
          <cell r="B3609" t="str">
            <v xml:space="preserve">מיכון וענ"א       </v>
          </cell>
          <cell r="C3609">
            <v>344100</v>
          </cell>
        </row>
        <row r="3610">
          <cell r="A3610">
            <v>1781100580</v>
          </cell>
          <cell r="B3610" t="str">
            <v xml:space="preserve">שמאות ומדידות     </v>
          </cell>
          <cell r="C3610">
            <v>8600</v>
          </cell>
        </row>
        <row r="3611">
          <cell r="A3611">
            <v>1781100581</v>
          </cell>
          <cell r="B3611" t="str">
            <v xml:space="preserve">הוצאות משפטיות    </v>
          </cell>
        </row>
        <row r="3612">
          <cell r="A3612">
            <v>1781100596</v>
          </cell>
          <cell r="B3612" t="str">
            <v xml:space="preserve">השתתפות בעזר 096  </v>
          </cell>
          <cell r="C3612">
            <v>925000</v>
          </cell>
        </row>
        <row r="3613">
          <cell r="A3613">
            <v>1781100700</v>
          </cell>
          <cell r="B3613" t="str">
            <v xml:space="preserve">הוצאות לפעולות    </v>
          </cell>
        </row>
        <row r="3614">
          <cell r="A3614">
            <v>1781100715</v>
          </cell>
          <cell r="B3614" t="str">
            <v>עבודות קבלניות-רכב</v>
          </cell>
        </row>
        <row r="3615">
          <cell r="A3615">
            <v>1781100722</v>
          </cell>
          <cell r="B3615" t="str">
            <v>חמרים-תחזוקה עצמית</v>
          </cell>
          <cell r="C3615">
            <v>3200</v>
          </cell>
        </row>
        <row r="3616">
          <cell r="A3616">
            <v>1781100735</v>
          </cell>
          <cell r="B3616" t="str">
            <v>ליסינג</v>
          </cell>
          <cell r="C3616">
            <v>400000</v>
          </cell>
        </row>
        <row r="3617">
          <cell r="A3617">
            <v>1781100736</v>
          </cell>
          <cell r="B3617" t="str">
            <v>ליסינג סיירת "שקמה"</v>
          </cell>
        </row>
        <row r="3618">
          <cell r="A3618">
            <v>1781100737</v>
          </cell>
          <cell r="B3618" t="str">
            <v>שכירות רכב לימים גשומים</v>
          </cell>
        </row>
        <row r="3619">
          <cell r="A3619">
            <v>1781100744</v>
          </cell>
          <cell r="B3619" t="str">
            <v xml:space="preserve">מדים וציוד אישי   </v>
          </cell>
          <cell r="C3619">
            <v>130500</v>
          </cell>
        </row>
        <row r="3620">
          <cell r="A3620">
            <v>1781100745</v>
          </cell>
          <cell r="B3620" t="str">
            <v xml:space="preserve">דמי פריצה - תכולה </v>
          </cell>
        </row>
        <row r="3621">
          <cell r="A3621">
            <v>1781100751</v>
          </cell>
          <cell r="B3621" t="str">
            <v xml:space="preserve">עבודות קבלניות    </v>
          </cell>
          <cell r="C3621">
            <v>3500</v>
          </cell>
        </row>
        <row r="3622">
          <cell r="A3622">
            <v>1781100752</v>
          </cell>
          <cell r="B3622" t="str">
            <v xml:space="preserve">נקיון בקבלנות     </v>
          </cell>
          <cell r="C3622">
            <v>168000</v>
          </cell>
        </row>
        <row r="3623">
          <cell r="A3623">
            <v>1781100753</v>
          </cell>
          <cell r="B3623" t="str">
            <v xml:space="preserve">חברה קבלנית       </v>
          </cell>
        </row>
        <row r="3624">
          <cell r="A3624">
            <v>1781100756</v>
          </cell>
          <cell r="B3624" t="str">
            <v xml:space="preserve">שמירה בקבלנות     </v>
          </cell>
        </row>
        <row r="3625">
          <cell r="A3625">
            <v>1781100757</v>
          </cell>
          <cell r="B3625" t="str">
            <v>אכיפת גביה/דוחות שונים</v>
          </cell>
          <cell r="C3625">
            <v>5000</v>
          </cell>
        </row>
        <row r="3626">
          <cell r="A3626">
            <v>1781100759</v>
          </cell>
          <cell r="B3626" t="str">
            <v xml:space="preserve">גרירות            </v>
          </cell>
          <cell r="C3626">
            <v>77000</v>
          </cell>
        </row>
        <row r="3627">
          <cell r="A3627">
            <v>1781100780</v>
          </cell>
          <cell r="B3627" t="str">
            <v>פעולות מיוחדות</v>
          </cell>
          <cell r="C3627">
            <v>20300</v>
          </cell>
        </row>
        <row r="3628">
          <cell r="A3628">
            <v>1781100781</v>
          </cell>
          <cell r="B3628" t="str">
            <v>פעילויות שונות</v>
          </cell>
        </row>
        <row r="3629">
          <cell r="A3629">
            <v>1781100782</v>
          </cell>
          <cell r="B3629" t="str">
            <v xml:space="preserve">הפעלת סיירת "שקמה" </v>
          </cell>
        </row>
        <row r="3630">
          <cell r="A3630">
            <v>1781100789</v>
          </cell>
          <cell r="B3630" t="str">
            <v xml:space="preserve">כביסה             </v>
          </cell>
          <cell r="C3630">
            <v>1400</v>
          </cell>
        </row>
        <row r="3631">
          <cell r="A3631">
            <v>1781100794</v>
          </cell>
          <cell r="B3631" t="str">
            <v xml:space="preserve">השתתפות בעזר 094  </v>
          </cell>
          <cell r="C3631">
            <v>32400</v>
          </cell>
        </row>
        <row r="3632">
          <cell r="A3632">
            <v>1781100900</v>
          </cell>
          <cell r="B3632" t="str">
            <v xml:space="preserve">הוצאות חד פעמיות  </v>
          </cell>
        </row>
        <row r="3633">
          <cell r="A3633">
            <v>1781100931</v>
          </cell>
          <cell r="B3633" t="str">
            <v>רכישת רכבים - פיקוח</v>
          </cell>
        </row>
        <row r="3634">
          <cell r="A3634">
            <v>1781100932</v>
          </cell>
          <cell r="B3634" t="str">
            <v xml:space="preserve">רכישות חד-פעמיות  </v>
          </cell>
          <cell r="C3634">
            <v>17600</v>
          </cell>
        </row>
        <row r="3635">
          <cell r="A3635">
            <v>1781100961</v>
          </cell>
          <cell r="B3635" t="str">
            <v>רז' פעולות ורכישות</v>
          </cell>
        </row>
        <row r="3636">
          <cell r="A3636" t="str">
            <v>#VALUE!</v>
          </cell>
          <cell r="B3636" t="str">
            <v xml:space="preserve">פיקוח  עירוני     </v>
          </cell>
        </row>
        <row r="3637">
          <cell r="A3637">
            <v>17812000</v>
          </cell>
          <cell r="B3637" t="str">
            <v xml:space="preserve">רשות חניה         </v>
          </cell>
        </row>
        <row r="3638">
          <cell r="A3638">
            <v>1781200110</v>
          </cell>
          <cell r="B3638" t="str">
            <v>השכר הקובע-תקציבית</v>
          </cell>
        </row>
        <row r="3639">
          <cell r="A3639">
            <v>1781200122</v>
          </cell>
          <cell r="B3639" t="str">
            <v xml:space="preserve">ביגוד             </v>
          </cell>
        </row>
        <row r="3640">
          <cell r="A3640">
            <v>1781200126</v>
          </cell>
          <cell r="B3640" t="str">
            <v xml:space="preserve">דמי הבראה         </v>
          </cell>
        </row>
        <row r="3641">
          <cell r="A3641">
            <v>1781200130</v>
          </cell>
          <cell r="B3641" t="str">
            <v xml:space="preserve">שעות נוספות       </v>
          </cell>
        </row>
        <row r="3642">
          <cell r="A3642">
            <v>1781200140</v>
          </cell>
          <cell r="B3642" t="str">
            <v>השתתפות באחזקת רכב</v>
          </cell>
        </row>
        <row r="3643">
          <cell r="A3643">
            <v>1781200433</v>
          </cell>
          <cell r="B3643" t="str">
            <v xml:space="preserve">חומרי נקיון       </v>
          </cell>
        </row>
        <row r="3644">
          <cell r="A3644">
            <v>1781200439</v>
          </cell>
          <cell r="B3644" t="str">
            <v>שאילתות משרד התחבורה</v>
          </cell>
          <cell r="C3644">
            <v>696000</v>
          </cell>
        </row>
        <row r="3645">
          <cell r="A3645">
            <v>1781200540</v>
          </cell>
          <cell r="B3645" t="str">
            <v xml:space="preserve">הוצאות טלפון      </v>
          </cell>
        </row>
        <row r="3646">
          <cell r="A3646">
            <v>1781200541</v>
          </cell>
          <cell r="B3646" t="str">
            <v xml:space="preserve">משלוחים           </v>
          </cell>
          <cell r="C3646">
            <v>1970420</v>
          </cell>
        </row>
        <row r="3647">
          <cell r="A3647">
            <v>1781200542</v>
          </cell>
          <cell r="B3647" t="str">
            <v>עררים תשובה שלילית</v>
          </cell>
          <cell r="C3647">
            <v>111200</v>
          </cell>
        </row>
        <row r="3648">
          <cell r="A3648">
            <v>1781200544</v>
          </cell>
          <cell r="B3648" t="str">
            <v xml:space="preserve">הוצאות דאר        </v>
          </cell>
        </row>
        <row r="3649">
          <cell r="A3649">
            <v>1781200561</v>
          </cell>
          <cell r="B3649" t="str">
            <v xml:space="preserve">שיכפולים          </v>
          </cell>
          <cell r="C3649">
            <v>400</v>
          </cell>
        </row>
        <row r="3650">
          <cell r="A3650">
            <v>1781200562</v>
          </cell>
          <cell r="B3650" t="str">
            <v xml:space="preserve">הדפסות            </v>
          </cell>
          <cell r="C3650">
            <v>24000</v>
          </cell>
        </row>
        <row r="3651">
          <cell r="A3651">
            <v>1781200570</v>
          </cell>
          <cell r="B3651" t="str">
            <v xml:space="preserve">עיבוד נתונים      </v>
          </cell>
          <cell r="C3651">
            <v>270000</v>
          </cell>
        </row>
        <row r="3652">
          <cell r="A3652">
            <v>1781200571</v>
          </cell>
          <cell r="B3652" t="str">
            <v xml:space="preserve">מיכון וענ"א       </v>
          </cell>
        </row>
        <row r="3653">
          <cell r="A3653">
            <v>1781200596</v>
          </cell>
          <cell r="B3653" t="str">
            <v xml:space="preserve">השתתפות בעזר 096  </v>
          </cell>
        </row>
        <row r="3654">
          <cell r="A3654">
            <v>1781200757</v>
          </cell>
          <cell r="B3654" t="str">
            <v>אכיפת חניה-מ.ג.ע.ר.</v>
          </cell>
        </row>
        <row r="3655">
          <cell r="A3655">
            <v>1781200758</v>
          </cell>
          <cell r="B3655" t="str">
            <v>מסופוני חניה</v>
          </cell>
          <cell r="C3655">
            <v>292000</v>
          </cell>
        </row>
        <row r="3656">
          <cell r="A3656">
            <v>1781200780</v>
          </cell>
          <cell r="B3656" t="str">
            <v>ניהול עררי חניה</v>
          </cell>
          <cell r="C3656">
            <v>24400</v>
          </cell>
        </row>
        <row r="3657">
          <cell r="A3657">
            <v>1781200961</v>
          </cell>
          <cell r="B3657" t="str">
            <v>רז' פעולות ורכישות</v>
          </cell>
        </row>
        <row r="3658">
          <cell r="A3658" t="str">
            <v>#VALUE!</v>
          </cell>
          <cell r="B3658" t="str">
            <v xml:space="preserve">רשות חניה         </v>
          </cell>
        </row>
        <row r="3659">
          <cell r="A3659">
            <v>17813000</v>
          </cell>
          <cell r="B3659" t="str">
            <v>השיטור העירוני</v>
          </cell>
        </row>
        <row r="3660">
          <cell r="A3660">
            <v>1781300110</v>
          </cell>
          <cell r="B3660" t="str">
            <v>השכר הקובע-תקציבית</v>
          </cell>
        </row>
        <row r="3661">
          <cell r="A3661">
            <v>1781300119</v>
          </cell>
          <cell r="B3661" t="str">
            <v xml:space="preserve">השכר הקובע-צוברת  </v>
          </cell>
          <cell r="C3661">
            <v>4714000</v>
          </cell>
        </row>
        <row r="3662">
          <cell r="A3662">
            <v>1781300122</v>
          </cell>
          <cell r="B3662" t="str">
            <v xml:space="preserve">ביגוד             </v>
          </cell>
          <cell r="C3662">
            <v>9100</v>
          </cell>
        </row>
        <row r="3663">
          <cell r="A3663">
            <v>1781300126</v>
          </cell>
          <cell r="B3663" t="str">
            <v xml:space="preserve">דמי הבראה         </v>
          </cell>
          <cell r="C3663">
            <v>110000</v>
          </cell>
        </row>
        <row r="3664">
          <cell r="A3664">
            <v>1781300130</v>
          </cell>
          <cell r="B3664" t="str">
            <v xml:space="preserve">שעות נוספות       </v>
          </cell>
          <cell r="C3664">
            <v>1150000</v>
          </cell>
        </row>
        <row r="3665">
          <cell r="A3665">
            <v>1781300140</v>
          </cell>
          <cell r="B3665" t="str">
            <v>השתתפות באחזקת רכב</v>
          </cell>
          <cell r="C3665">
            <v>357000</v>
          </cell>
        </row>
        <row r="3666">
          <cell r="A3666">
            <v>1781300350</v>
          </cell>
          <cell r="B3666" t="str">
            <v>ליסינג - 648-22-302</v>
          </cell>
          <cell r="C3666">
            <v>58000</v>
          </cell>
        </row>
        <row r="3667">
          <cell r="A3667">
            <v>1781300351</v>
          </cell>
          <cell r="B3667" t="str">
            <v>הוצאות -648-22-302</v>
          </cell>
          <cell r="C3667">
            <v>33800</v>
          </cell>
        </row>
        <row r="3668">
          <cell r="A3668">
            <v>1781300410</v>
          </cell>
          <cell r="B3668" t="str">
            <v>דמי שכירות</v>
          </cell>
          <cell r="C3668">
            <v>223000</v>
          </cell>
        </row>
        <row r="3669">
          <cell r="A3669">
            <v>1781300431</v>
          </cell>
          <cell r="B3669" t="str">
            <v xml:space="preserve">חשמל              </v>
          </cell>
          <cell r="C3669">
            <v>42000</v>
          </cell>
        </row>
        <row r="3670">
          <cell r="A3670">
            <v>1781300432</v>
          </cell>
          <cell r="B3670" t="str">
            <v xml:space="preserve">מים               </v>
          </cell>
          <cell r="C3670">
            <v>4200</v>
          </cell>
        </row>
        <row r="3671">
          <cell r="A3671">
            <v>1781300433</v>
          </cell>
          <cell r="B3671" t="str">
            <v xml:space="preserve">חומרי נקיון       </v>
          </cell>
          <cell r="C3671">
            <v>6700</v>
          </cell>
        </row>
        <row r="3672">
          <cell r="A3672">
            <v>1781300437</v>
          </cell>
          <cell r="B3672" t="str">
            <v>אחזקת אזעקה</v>
          </cell>
          <cell r="C3672">
            <v>2800</v>
          </cell>
        </row>
        <row r="3673">
          <cell r="A3673">
            <v>1781300439</v>
          </cell>
          <cell r="B3673" t="str">
            <v>אגרת רישיון נשק</v>
          </cell>
          <cell r="C3673">
            <v>5000</v>
          </cell>
        </row>
        <row r="3674">
          <cell r="A3674">
            <v>1781300441</v>
          </cell>
          <cell r="B3674" t="str">
            <v>ביטוח קטנועים</v>
          </cell>
          <cell r="C3674">
            <v>60000</v>
          </cell>
        </row>
        <row r="3675">
          <cell r="A3675">
            <v>1781300445</v>
          </cell>
          <cell r="B3675" t="str">
            <v>ביטוח מפקחים</v>
          </cell>
        </row>
        <row r="3676">
          <cell r="A3676">
            <v>1781300450</v>
          </cell>
          <cell r="B3676" t="str">
            <v>אחזקת תמי 4</v>
          </cell>
          <cell r="C3676">
            <v>2000</v>
          </cell>
        </row>
        <row r="3677">
          <cell r="A3677">
            <v>1781300470</v>
          </cell>
          <cell r="B3677" t="str">
            <v xml:space="preserve">אחזקת מכונות משרד </v>
          </cell>
          <cell r="C3677">
            <v>1700</v>
          </cell>
        </row>
        <row r="3678">
          <cell r="A3678">
            <v>1781300471</v>
          </cell>
          <cell r="B3678" t="str">
            <v xml:space="preserve">מכשירי כתיבה      </v>
          </cell>
          <cell r="C3678">
            <v>19000</v>
          </cell>
        </row>
        <row r="3679">
          <cell r="A3679">
            <v>1781300472</v>
          </cell>
          <cell r="B3679" t="str">
            <v>אחזקת מכשירי קשר</v>
          </cell>
          <cell r="C3679">
            <v>33200</v>
          </cell>
        </row>
        <row r="3680">
          <cell r="A3680">
            <v>1781300473</v>
          </cell>
          <cell r="B3680" t="str">
            <v>אחזקת מסופונים</v>
          </cell>
          <cell r="C3680">
            <v>585000</v>
          </cell>
        </row>
        <row r="3681">
          <cell r="A3681">
            <v>1781300511</v>
          </cell>
          <cell r="B3681" t="str">
            <v xml:space="preserve">אירוח וכיבוד      </v>
          </cell>
          <cell r="C3681">
            <v>19000</v>
          </cell>
        </row>
        <row r="3682">
          <cell r="A3682">
            <v>1781300512</v>
          </cell>
          <cell r="B3682" t="str">
            <v>כלכלה ( ארוחות )</v>
          </cell>
          <cell r="C3682">
            <v>186400</v>
          </cell>
        </row>
        <row r="3683">
          <cell r="A3683">
            <v>1781300524</v>
          </cell>
          <cell r="B3683" t="str">
            <v>הכשרת מפקחים (קורסים מקצועיים)</v>
          </cell>
          <cell r="C3683">
            <v>126000</v>
          </cell>
        </row>
        <row r="3684">
          <cell r="A3684">
            <v>1781300540</v>
          </cell>
          <cell r="B3684" t="str">
            <v>הוצאות טלפון / אינטרנט</v>
          </cell>
          <cell r="C3684">
            <v>5000</v>
          </cell>
        </row>
        <row r="3685">
          <cell r="A3685">
            <v>1781300544</v>
          </cell>
          <cell r="B3685" t="str">
            <v xml:space="preserve">הוצאות דאר        </v>
          </cell>
          <cell r="C3685">
            <v>12500</v>
          </cell>
        </row>
        <row r="3686">
          <cell r="A3686">
            <v>1781300550</v>
          </cell>
          <cell r="B3686" t="str">
            <v>פרסומים</v>
          </cell>
          <cell r="C3686">
            <v>4700</v>
          </cell>
        </row>
        <row r="3687">
          <cell r="A3687">
            <v>1781300561</v>
          </cell>
          <cell r="B3687" t="str">
            <v xml:space="preserve">שיכפולים          </v>
          </cell>
          <cell r="C3687">
            <v>9500</v>
          </cell>
        </row>
        <row r="3688">
          <cell r="A3688">
            <v>1781300562</v>
          </cell>
          <cell r="B3688" t="str">
            <v xml:space="preserve">הדפסות            </v>
          </cell>
          <cell r="C3688">
            <v>6600</v>
          </cell>
        </row>
        <row r="3689">
          <cell r="A3689">
            <v>1781300570</v>
          </cell>
          <cell r="B3689" t="str">
            <v xml:space="preserve">עיבוד נתונים      </v>
          </cell>
        </row>
        <row r="3690">
          <cell r="A3690">
            <v>1781300572</v>
          </cell>
          <cell r="B3690" t="str">
            <v>דמי מנוי לעמדת טעינה</v>
          </cell>
        </row>
        <row r="3691">
          <cell r="A3691">
            <v>1781300596</v>
          </cell>
          <cell r="B3691" t="str">
            <v xml:space="preserve">השתתפות בעזר 096  </v>
          </cell>
        </row>
        <row r="3692">
          <cell r="A3692">
            <v>1781300715</v>
          </cell>
          <cell r="B3692" t="str">
            <v>עבודות קבלניות - רכב</v>
          </cell>
          <cell r="C3692">
            <v>20000</v>
          </cell>
        </row>
        <row r="3693">
          <cell r="A3693">
            <v>1781300722</v>
          </cell>
          <cell r="B3693" t="str">
            <v>חמרים-תחזוקה עצמית</v>
          </cell>
          <cell r="C3693">
            <v>1400</v>
          </cell>
        </row>
        <row r="3694">
          <cell r="A3694">
            <v>1781300735</v>
          </cell>
          <cell r="B3694" t="str">
            <v>ליסינג</v>
          </cell>
        </row>
        <row r="3695">
          <cell r="A3695">
            <v>1781300736</v>
          </cell>
          <cell r="B3695" t="str">
            <v>דלק והוצאות</v>
          </cell>
        </row>
        <row r="3696">
          <cell r="A3696">
            <v>1781300737</v>
          </cell>
          <cell r="B3696" t="str">
            <v>שכירות רכב לימים גשומים</v>
          </cell>
        </row>
        <row r="3697">
          <cell r="A3697">
            <v>1781300742</v>
          </cell>
          <cell r="B3697" t="str">
            <v xml:space="preserve">כלים וציוד        </v>
          </cell>
          <cell r="C3697">
            <v>36200</v>
          </cell>
        </row>
        <row r="3698">
          <cell r="A3698">
            <v>1781300744</v>
          </cell>
          <cell r="B3698" t="str">
            <v>מדים</v>
          </cell>
          <cell r="C3698">
            <v>70000</v>
          </cell>
        </row>
        <row r="3699">
          <cell r="A3699">
            <v>1781300751</v>
          </cell>
          <cell r="B3699" t="str">
            <v>עבודות קבלניות</v>
          </cell>
          <cell r="C3699">
            <v>3000</v>
          </cell>
        </row>
        <row r="3700">
          <cell r="A3700">
            <v>1781300752</v>
          </cell>
          <cell r="B3700" t="str">
            <v xml:space="preserve">נקיון בקבלנות     </v>
          </cell>
          <cell r="C3700">
            <v>144000</v>
          </cell>
        </row>
        <row r="3701">
          <cell r="A3701">
            <v>1781300756</v>
          </cell>
          <cell r="B3701" t="str">
            <v>אבטחת אירועים</v>
          </cell>
        </row>
        <row r="3702">
          <cell r="A3702">
            <v>1781300780</v>
          </cell>
          <cell r="B3702" t="str">
            <v>הפעלת השיטור העירוני</v>
          </cell>
        </row>
        <row r="3703">
          <cell r="A3703">
            <v>1781300781</v>
          </cell>
          <cell r="B3703" t="str">
            <v>מטווחים</v>
          </cell>
          <cell r="C3703">
            <v>13300</v>
          </cell>
        </row>
        <row r="3704">
          <cell r="A3704">
            <v>1781300782</v>
          </cell>
          <cell r="B3704" t="str">
            <v>פעולות מיוחדות</v>
          </cell>
          <cell r="C3704">
            <v>19000</v>
          </cell>
        </row>
        <row r="3705">
          <cell r="A3705">
            <v>1781300783</v>
          </cell>
          <cell r="B3705" t="str">
            <v>סיירת שיטור שכונתי</v>
          </cell>
          <cell r="C3705">
            <v>3850000</v>
          </cell>
        </row>
        <row r="3706">
          <cell r="A3706">
            <v>1781300789</v>
          </cell>
          <cell r="B3706" t="str">
            <v xml:space="preserve">כביסה             </v>
          </cell>
          <cell r="C3706">
            <v>1400</v>
          </cell>
        </row>
        <row r="3707">
          <cell r="A3707">
            <v>1781300910</v>
          </cell>
          <cell r="B3707" t="str">
            <v>העברה לתב"ר הצטיידות 3 ש'</v>
          </cell>
          <cell r="C3707">
            <v>30000</v>
          </cell>
        </row>
        <row r="3708">
          <cell r="A3708">
            <v>1781300911</v>
          </cell>
          <cell r="B3708" t="str">
            <v>העברה לתב"ר מבנה 5 ש'</v>
          </cell>
          <cell r="C3708">
            <v>72600</v>
          </cell>
        </row>
        <row r="3709">
          <cell r="A3709">
            <v>1781300912</v>
          </cell>
          <cell r="B3709" t="str">
            <v>העברה לתב"ר הצטיידות 5 ש'</v>
          </cell>
          <cell r="C3709">
            <v>8000</v>
          </cell>
        </row>
        <row r="3710">
          <cell r="A3710">
            <v>1781300913</v>
          </cell>
          <cell r="B3710" t="str">
            <v>העברה לתב"ר הצטיידות 10 ש'</v>
          </cell>
          <cell r="C3710">
            <v>10000</v>
          </cell>
        </row>
        <row r="3711">
          <cell r="A3711">
            <v>1781300914</v>
          </cell>
          <cell r="B3711" t="str">
            <v>העברה לתב"ר מצלמות 6.7 ש'</v>
          </cell>
          <cell r="C3711">
            <v>300000</v>
          </cell>
        </row>
        <row r="3712">
          <cell r="A3712">
            <v>1781300920</v>
          </cell>
          <cell r="B3712" t="str">
            <v>העברה לקרן שיטור עירוני</v>
          </cell>
        </row>
        <row r="3713">
          <cell r="A3713">
            <v>1781300932</v>
          </cell>
          <cell r="B3713" t="str">
            <v>אגרת טלוויזיה וכבלים</v>
          </cell>
          <cell r="C3713">
            <v>5000</v>
          </cell>
        </row>
        <row r="3714">
          <cell r="A3714" t="str">
            <v>#VALUE!</v>
          </cell>
          <cell r="B3714" t="str">
            <v>השיטור העירוני</v>
          </cell>
        </row>
        <row r="3715">
          <cell r="A3715">
            <v>17820000</v>
          </cell>
          <cell r="B3715" t="str">
            <v xml:space="preserve">בית המשפט העירוני </v>
          </cell>
        </row>
        <row r="3716">
          <cell r="A3716">
            <v>1782000100</v>
          </cell>
          <cell r="B3716" t="str">
            <v>שכר עובדים לפי תקן</v>
          </cell>
        </row>
        <row r="3717">
          <cell r="A3717">
            <v>1782000110</v>
          </cell>
          <cell r="B3717" t="str">
            <v>השכר הקובע-תקציבית</v>
          </cell>
          <cell r="C3717">
            <v>0</v>
          </cell>
        </row>
        <row r="3718">
          <cell r="A3718">
            <v>1782000119</v>
          </cell>
          <cell r="B3718" t="str">
            <v xml:space="preserve">השכר הקובע-צוברת  </v>
          </cell>
          <cell r="C3718">
            <v>0</v>
          </cell>
        </row>
        <row r="3719">
          <cell r="A3719">
            <v>1782000122</v>
          </cell>
          <cell r="B3719" t="str">
            <v xml:space="preserve">ביגוד             </v>
          </cell>
          <cell r="C3719">
            <v>0</v>
          </cell>
        </row>
        <row r="3720">
          <cell r="A3720">
            <v>1782000126</v>
          </cell>
          <cell r="B3720" t="str">
            <v xml:space="preserve">דמי הבראה         </v>
          </cell>
          <cell r="C3720">
            <v>0</v>
          </cell>
        </row>
        <row r="3721">
          <cell r="A3721">
            <v>1782000130</v>
          </cell>
          <cell r="B3721" t="str">
            <v xml:space="preserve">שעות נוספות       </v>
          </cell>
          <cell r="C3721">
            <v>0</v>
          </cell>
        </row>
        <row r="3722">
          <cell r="A3722">
            <v>1782000140</v>
          </cell>
          <cell r="B3722" t="str">
            <v>השתתפות באחזקת רכב</v>
          </cell>
          <cell r="C3722">
            <v>0</v>
          </cell>
        </row>
        <row r="3723">
          <cell r="A3723">
            <v>1782000253</v>
          </cell>
          <cell r="B3723" t="str">
            <v xml:space="preserve">עובדים חיצוניים   </v>
          </cell>
          <cell r="C3723">
            <v>0</v>
          </cell>
        </row>
        <row r="3724">
          <cell r="A3724">
            <v>1782000400</v>
          </cell>
          <cell r="B3724" t="str">
            <v>אחזקת בנינים וציוד</v>
          </cell>
        </row>
        <row r="3725">
          <cell r="A3725">
            <v>1782000410</v>
          </cell>
          <cell r="B3725" t="str">
            <v xml:space="preserve">שכר דירה ועד בית  </v>
          </cell>
          <cell r="C3725">
            <v>0</v>
          </cell>
        </row>
        <row r="3726">
          <cell r="A3726">
            <v>1782000420</v>
          </cell>
          <cell r="B3726" t="str">
            <v xml:space="preserve">כיבוי אש          </v>
          </cell>
          <cell r="C3726">
            <v>0</v>
          </cell>
        </row>
        <row r="3727">
          <cell r="A3727">
            <v>1782000423</v>
          </cell>
          <cell r="B3727" t="str">
            <v xml:space="preserve">תחזוקת מבנה       </v>
          </cell>
        </row>
        <row r="3728">
          <cell r="A3728">
            <v>1782000431</v>
          </cell>
          <cell r="B3728" t="str">
            <v xml:space="preserve">חשמל              </v>
          </cell>
          <cell r="C3728">
            <v>0</v>
          </cell>
        </row>
        <row r="3729">
          <cell r="A3729">
            <v>1782000432</v>
          </cell>
          <cell r="B3729" t="str">
            <v xml:space="preserve">מים               </v>
          </cell>
          <cell r="C3729">
            <v>0</v>
          </cell>
        </row>
        <row r="3730">
          <cell r="A3730">
            <v>1782000433</v>
          </cell>
          <cell r="B3730" t="str">
            <v xml:space="preserve">חומרי נקיון       </v>
          </cell>
          <cell r="C3730">
            <v>0</v>
          </cell>
        </row>
        <row r="3731">
          <cell r="A3731">
            <v>1782000436</v>
          </cell>
          <cell r="B3731" t="str">
            <v xml:space="preserve">אחזקת מזגנים      </v>
          </cell>
        </row>
        <row r="3732">
          <cell r="A3732">
            <v>1782000437</v>
          </cell>
          <cell r="B3732" t="str">
            <v>מנוי למוקד</v>
          </cell>
          <cell r="C3732">
            <v>0</v>
          </cell>
        </row>
        <row r="3733">
          <cell r="A3733">
            <v>1782000441</v>
          </cell>
          <cell r="B3733" t="str">
            <v xml:space="preserve">ביטוח מבנים       </v>
          </cell>
        </row>
        <row r="3734">
          <cell r="A3734">
            <v>1782000450</v>
          </cell>
          <cell r="B3734" t="str">
            <v xml:space="preserve">ריהוט ואחזקתו     </v>
          </cell>
        </row>
        <row r="3735">
          <cell r="A3735">
            <v>1782000470</v>
          </cell>
          <cell r="B3735" t="str">
            <v xml:space="preserve">אחזקת מכונות משרד </v>
          </cell>
        </row>
        <row r="3736">
          <cell r="A3736">
            <v>1782000471</v>
          </cell>
          <cell r="B3736" t="str">
            <v xml:space="preserve">מכשירי כתיבה      </v>
          </cell>
          <cell r="C3736">
            <v>0</v>
          </cell>
        </row>
        <row r="3737">
          <cell r="A3737">
            <v>1782000500</v>
          </cell>
          <cell r="B3737" t="str">
            <v xml:space="preserve">הוצאות מינהליות   </v>
          </cell>
        </row>
        <row r="3738">
          <cell r="A3738">
            <v>1782000511</v>
          </cell>
          <cell r="B3738" t="str">
            <v xml:space="preserve">אירוח וכיבוד      </v>
          </cell>
          <cell r="C3738">
            <v>0</v>
          </cell>
        </row>
        <row r="3739">
          <cell r="A3739">
            <v>1782000512</v>
          </cell>
          <cell r="B3739" t="str">
            <v xml:space="preserve">נסיעות ואש"ל      </v>
          </cell>
        </row>
        <row r="3740">
          <cell r="A3740">
            <v>1782000522</v>
          </cell>
          <cell r="B3740" t="str">
            <v xml:space="preserve">ספרים ועיתונים    </v>
          </cell>
          <cell r="C3740">
            <v>0</v>
          </cell>
        </row>
        <row r="3741">
          <cell r="A3741">
            <v>1782000524</v>
          </cell>
          <cell r="B3741" t="str">
            <v>הדרכה</v>
          </cell>
        </row>
        <row r="3742">
          <cell r="A3742">
            <v>1782000540</v>
          </cell>
          <cell r="B3742" t="str">
            <v xml:space="preserve">הוצאות טלפון      </v>
          </cell>
          <cell r="C3742">
            <v>0</v>
          </cell>
        </row>
        <row r="3743">
          <cell r="A3743">
            <v>1782000541</v>
          </cell>
          <cell r="B3743" t="str">
            <v xml:space="preserve">משלוחים           </v>
          </cell>
        </row>
        <row r="3744">
          <cell r="A3744">
            <v>1782000544</v>
          </cell>
          <cell r="B3744" t="str">
            <v xml:space="preserve">הוצאות דאר        </v>
          </cell>
          <cell r="C3744">
            <v>0</v>
          </cell>
        </row>
        <row r="3745">
          <cell r="A3745">
            <v>1782000561</v>
          </cell>
          <cell r="B3745" t="str">
            <v xml:space="preserve">שיכפולים          </v>
          </cell>
        </row>
        <row r="3746">
          <cell r="A3746">
            <v>1782000562</v>
          </cell>
          <cell r="B3746" t="str">
            <v xml:space="preserve">הדפסות            </v>
          </cell>
          <cell r="C3746">
            <v>0</v>
          </cell>
        </row>
        <row r="3747">
          <cell r="A3747">
            <v>1782000570</v>
          </cell>
          <cell r="B3747" t="str">
            <v>תשלום להנהלת בימ"ש</v>
          </cell>
          <cell r="C3747">
            <v>0</v>
          </cell>
        </row>
        <row r="3748">
          <cell r="A3748">
            <v>1782000571</v>
          </cell>
          <cell r="B3748" t="str">
            <v xml:space="preserve">מיכון וענ"א       </v>
          </cell>
          <cell r="C3748">
            <v>0</v>
          </cell>
        </row>
        <row r="3749">
          <cell r="A3749">
            <v>1782000580</v>
          </cell>
          <cell r="B3749" t="str">
            <v xml:space="preserve">משטרה הוצ'לפועל   </v>
          </cell>
        </row>
        <row r="3750">
          <cell r="A3750">
            <v>1782000700</v>
          </cell>
          <cell r="B3750" t="str">
            <v xml:space="preserve">הוצאות לפעולות    </v>
          </cell>
        </row>
        <row r="3751">
          <cell r="A3751">
            <v>1782000721</v>
          </cell>
          <cell r="B3751" t="str">
            <v>חמרים-תחזוקת מבנים</v>
          </cell>
          <cell r="C3751">
            <v>0</v>
          </cell>
        </row>
        <row r="3752">
          <cell r="A3752">
            <v>1782000751</v>
          </cell>
          <cell r="B3752" t="str">
            <v xml:space="preserve">עבודות קבלניות    </v>
          </cell>
        </row>
        <row r="3753">
          <cell r="A3753">
            <v>1782000752</v>
          </cell>
          <cell r="B3753" t="str">
            <v xml:space="preserve">נקיון בקבלנות     </v>
          </cell>
          <cell r="C3753">
            <v>0</v>
          </cell>
        </row>
        <row r="3754">
          <cell r="A3754">
            <v>1782000753</v>
          </cell>
          <cell r="B3754" t="str">
            <v xml:space="preserve">קלדנית לשופטים    </v>
          </cell>
          <cell r="C3754">
            <v>0</v>
          </cell>
        </row>
        <row r="3755">
          <cell r="A3755">
            <v>1782000756</v>
          </cell>
          <cell r="B3755" t="str">
            <v xml:space="preserve">שמירה בקבלנות     </v>
          </cell>
          <cell r="C3755">
            <v>0</v>
          </cell>
        </row>
        <row r="3756">
          <cell r="A3756">
            <v>1782000780</v>
          </cell>
          <cell r="B3756" t="str">
            <v xml:space="preserve">השתת' בשכר שופטים </v>
          </cell>
          <cell r="C3756">
            <v>0</v>
          </cell>
        </row>
        <row r="3757">
          <cell r="A3757">
            <v>1782000781</v>
          </cell>
          <cell r="B3757" t="str">
            <v xml:space="preserve">השתתפות בשכר עדים </v>
          </cell>
        </row>
        <row r="3758">
          <cell r="A3758">
            <v>1782000794</v>
          </cell>
          <cell r="B3758" t="str">
            <v xml:space="preserve">השתתפות בעזר 094  </v>
          </cell>
          <cell r="C3758">
            <v>0</v>
          </cell>
        </row>
        <row r="3759">
          <cell r="A3759">
            <v>1782000870</v>
          </cell>
          <cell r="B3759" t="str">
            <v xml:space="preserve">השתת' בשכר שופטים </v>
          </cell>
        </row>
        <row r="3760">
          <cell r="A3760">
            <v>1782000871</v>
          </cell>
          <cell r="B3760" t="str">
            <v xml:space="preserve">השתתפות בשכר עדים </v>
          </cell>
          <cell r="C3760">
            <v>0</v>
          </cell>
        </row>
        <row r="3761">
          <cell r="A3761">
            <v>1782000900</v>
          </cell>
          <cell r="B3761" t="str">
            <v xml:space="preserve">הוצאות חד פעמיות  </v>
          </cell>
        </row>
        <row r="3762">
          <cell r="A3762">
            <v>1782000930</v>
          </cell>
          <cell r="B3762" t="str">
            <v>אוגדנים-תיקי בי"המ</v>
          </cell>
        </row>
        <row r="3763">
          <cell r="A3763">
            <v>1782000931</v>
          </cell>
          <cell r="B3763" t="str">
            <v xml:space="preserve">רכישות            </v>
          </cell>
          <cell r="C3763">
            <v>0</v>
          </cell>
        </row>
        <row r="3764">
          <cell r="A3764">
            <v>1782000961</v>
          </cell>
          <cell r="B3764" t="str">
            <v>רז' פעולות ורכישות</v>
          </cell>
        </row>
        <row r="3765">
          <cell r="A3765">
            <v>1782000980</v>
          </cell>
          <cell r="B3765" t="str">
            <v>איתור כתובות מ.פני</v>
          </cell>
        </row>
        <row r="3766">
          <cell r="A3766">
            <v>1782000981</v>
          </cell>
          <cell r="B3766" t="str">
            <v>הוצאות שנים קודמות</v>
          </cell>
        </row>
        <row r="3767">
          <cell r="A3767" t="str">
            <v>#VALUE!</v>
          </cell>
          <cell r="B3767" t="str">
            <v xml:space="preserve">בית המשפט העירוני </v>
          </cell>
        </row>
        <row r="3768">
          <cell r="A3768">
            <v>17821000</v>
          </cell>
          <cell r="B3768" t="str">
            <v>בית הדין למשמעת</v>
          </cell>
        </row>
        <row r="3769">
          <cell r="A3769">
            <v>1782100410</v>
          </cell>
          <cell r="B3769" t="str">
            <v>שכירות</v>
          </cell>
        </row>
        <row r="3770">
          <cell r="A3770">
            <v>1782100412</v>
          </cell>
          <cell r="B3770" t="str">
            <v>ארנונה</v>
          </cell>
        </row>
        <row r="3771">
          <cell r="A3771">
            <v>1782100431</v>
          </cell>
          <cell r="B3771" t="str">
            <v xml:space="preserve">חשמל              </v>
          </cell>
        </row>
        <row r="3772">
          <cell r="A3772">
            <v>1782100432</v>
          </cell>
          <cell r="B3772" t="str">
            <v xml:space="preserve">מים               </v>
          </cell>
        </row>
        <row r="3773">
          <cell r="A3773">
            <v>1782100433</v>
          </cell>
          <cell r="B3773" t="str">
            <v xml:space="preserve">חומרי נקיון       </v>
          </cell>
        </row>
        <row r="3774">
          <cell r="A3774">
            <v>1782100471</v>
          </cell>
          <cell r="B3774" t="str">
            <v xml:space="preserve">מכשירי כתיבה      </v>
          </cell>
        </row>
        <row r="3775">
          <cell r="A3775">
            <v>1782100522</v>
          </cell>
          <cell r="B3775" t="str">
            <v xml:space="preserve">ספרים ועיתונים    </v>
          </cell>
        </row>
        <row r="3776">
          <cell r="A3776">
            <v>1782100524</v>
          </cell>
          <cell r="B3776" t="str">
            <v>השתלמויות</v>
          </cell>
        </row>
        <row r="3777">
          <cell r="A3777">
            <v>1782100540</v>
          </cell>
          <cell r="B3777" t="str">
            <v xml:space="preserve">הוצאות טלפון      </v>
          </cell>
        </row>
        <row r="3778">
          <cell r="A3778">
            <v>1782100550</v>
          </cell>
          <cell r="B3778" t="str">
            <v xml:space="preserve">פירסומים          </v>
          </cell>
        </row>
        <row r="3779">
          <cell r="A3779">
            <v>1782100752</v>
          </cell>
          <cell r="B3779" t="str">
            <v xml:space="preserve">נקיון בקבלנות     </v>
          </cell>
        </row>
        <row r="3780">
          <cell r="A3780">
            <v>1782100753</v>
          </cell>
          <cell r="B3780" t="str">
            <v>מזכירה חיצונית</v>
          </cell>
        </row>
        <row r="3781">
          <cell r="A3781">
            <v>1782100780</v>
          </cell>
          <cell r="B3781" t="str">
            <v>פעילות שוטפת</v>
          </cell>
        </row>
        <row r="3782">
          <cell r="A3782">
            <v>1782100781</v>
          </cell>
          <cell r="B3782" t="str">
            <v>קלדנות והקלטות</v>
          </cell>
        </row>
        <row r="3783">
          <cell r="A3783">
            <v>1782100931</v>
          </cell>
          <cell r="B3783" t="str">
            <v>התאמת מבנה</v>
          </cell>
        </row>
        <row r="3784">
          <cell r="A3784" t="str">
            <v>#VALUE!</v>
          </cell>
          <cell r="B3784" t="str">
            <v>בית הדין למשמעת</v>
          </cell>
        </row>
        <row r="3785">
          <cell r="A3785">
            <v>18000000</v>
          </cell>
          <cell r="B3785" t="str">
            <v xml:space="preserve">שרותים ממלכתיים   </v>
          </cell>
        </row>
        <row r="3786">
          <cell r="A3786">
            <v>18100000</v>
          </cell>
          <cell r="B3786" t="str">
            <v xml:space="preserve">החינוך הפורמלי    </v>
          </cell>
        </row>
        <row r="3787">
          <cell r="A3787">
            <v>18110000</v>
          </cell>
          <cell r="B3787" t="str">
            <v xml:space="preserve">מינהל החינוך      </v>
          </cell>
        </row>
        <row r="3788">
          <cell r="A3788">
            <v>18111000</v>
          </cell>
          <cell r="B3788" t="str">
            <v>מינהלת-חינוך פורמלי</v>
          </cell>
        </row>
        <row r="3789">
          <cell r="A3789">
            <v>1811100100</v>
          </cell>
          <cell r="B3789" t="str">
            <v>שכר עובדים לפי תקן</v>
          </cell>
        </row>
        <row r="3790">
          <cell r="A3790">
            <v>1811100110</v>
          </cell>
          <cell r="B3790" t="str">
            <v>השכר הקובע-תקציבית</v>
          </cell>
          <cell r="C3790">
            <v>356000</v>
          </cell>
        </row>
        <row r="3791">
          <cell r="A3791">
            <v>1811100118</v>
          </cell>
          <cell r="B3791" t="str">
            <v>החזר שחיקת שכר</v>
          </cell>
        </row>
        <row r="3792">
          <cell r="A3792">
            <v>1811100119</v>
          </cell>
          <cell r="B3792" t="str">
            <v xml:space="preserve">השכר הקובע-צוברת  </v>
          </cell>
          <cell r="C3792">
            <v>13543000</v>
          </cell>
        </row>
        <row r="3793">
          <cell r="A3793">
            <v>1811100122</v>
          </cell>
          <cell r="B3793" t="str">
            <v xml:space="preserve">ביגוד             </v>
          </cell>
          <cell r="C3793">
            <v>137000</v>
          </cell>
        </row>
        <row r="3794">
          <cell r="A3794">
            <v>1811100126</v>
          </cell>
          <cell r="B3794" t="str">
            <v xml:space="preserve">דמי הבראה         </v>
          </cell>
          <cell r="C3794">
            <v>315000</v>
          </cell>
        </row>
        <row r="3795">
          <cell r="A3795">
            <v>1811100130</v>
          </cell>
          <cell r="B3795" t="str">
            <v xml:space="preserve">שעות נוספות       </v>
          </cell>
          <cell r="C3795">
            <v>221900</v>
          </cell>
        </row>
        <row r="3796">
          <cell r="A3796">
            <v>1811100140</v>
          </cell>
          <cell r="B3796" t="str">
            <v>השתתפות באחזקת רכב</v>
          </cell>
          <cell r="C3796">
            <v>1385000</v>
          </cell>
        </row>
        <row r="3797">
          <cell r="A3797">
            <v>1811100210</v>
          </cell>
          <cell r="B3797" t="str">
            <v xml:space="preserve">השכר הקובע        </v>
          </cell>
        </row>
        <row r="3798">
          <cell r="A3798">
            <v>1811100250</v>
          </cell>
          <cell r="B3798" t="str">
            <v>שכר מושאלים</v>
          </cell>
        </row>
        <row r="3799">
          <cell r="A3799">
            <v>1811100263</v>
          </cell>
          <cell r="B3799" t="str">
            <v>עובדי חברה</v>
          </cell>
          <cell r="C3799">
            <v>250000</v>
          </cell>
        </row>
        <row r="3800">
          <cell r="A3800">
            <v>1811100264</v>
          </cell>
          <cell r="B3800" t="str">
            <v>אגף פרט</v>
          </cell>
          <cell r="C3800">
            <v>46000</v>
          </cell>
        </row>
        <row r="3801">
          <cell r="A3801">
            <v>1811100350</v>
          </cell>
          <cell r="B3801" t="str">
            <v>ליסינג לשני רכבים</v>
          </cell>
          <cell r="C3801">
            <v>88000</v>
          </cell>
        </row>
        <row r="3802">
          <cell r="A3802">
            <v>1811100351</v>
          </cell>
          <cell r="B3802" t="str">
            <v>הוצאות לשני רכבים</v>
          </cell>
          <cell r="C3802">
            <v>84000</v>
          </cell>
        </row>
        <row r="3803">
          <cell r="A3803">
            <v>1811100400</v>
          </cell>
          <cell r="B3803" t="str">
            <v>אחזקת בנינים וציוד</v>
          </cell>
        </row>
        <row r="3804">
          <cell r="A3804">
            <v>1811100431</v>
          </cell>
          <cell r="B3804" t="str">
            <v xml:space="preserve">חשמל              </v>
          </cell>
          <cell r="C3804">
            <v>100000</v>
          </cell>
        </row>
        <row r="3805">
          <cell r="A3805">
            <v>1811100432</v>
          </cell>
          <cell r="B3805" t="str">
            <v xml:space="preserve">מים               </v>
          </cell>
        </row>
        <row r="3806">
          <cell r="A3806">
            <v>1811100435</v>
          </cell>
          <cell r="B3806" t="str">
            <v>השת' באחזקת מחשבים</v>
          </cell>
          <cell r="C3806">
            <v>855000</v>
          </cell>
        </row>
        <row r="3807">
          <cell r="A3807">
            <v>1811100436</v>
          </cell>
          <cell r="B3807" t="str">
            <v xml:space="preserve">אחזקת מזגנים      </v>
          </cell>
          <cell r="C3807">
            <v>95000</v>
          </cell>
        </row>
        <row r="3808">
          <cell r="A3808">
            <v>1811100437</v>
          </cell>
          <cell r="B3808" t="str">
            <v>אחזקת אזעקה</v>
          </cell>
          <cell r="C3808">
            <v>5000</v>
          </cell>
        </row>
        <row r="3809">
          <cell r="A3809">
            <v>1811100438</v>
          </cell>
          <cell r="B3809" t="str">
            <v xml:space="preserve">ביטחון ובטיחות    </v>
          </cell>
        </row>
        <row r="3810">
          <cell r="A3810">
            <v>1811100450</v>
          </cell>
          <cell r="B3810" t="str">
            <v>אחזקת תמי 4</v>
          </cell>
          <cell r="C3810">
            <v>4500</v>
          </cell>
        </row>
        <row r="3811">
          <cell r="A3811">
            <v>1811100451</v>
          </cell>
          <cell r="B3811" t="str">
            <v>אחזקת דפיברילטור</v>
          </cell>
          <cell r="C3811">
            <v>3000</v>
          </cell>
        </row>
        <row r="3812">
          <cell r="A3812">
            <v>1811100470</v>
          </cell>
          <cell r="B3812" t="str">
            <v xml:space="preserve">אחזקת מכונות משרד </v>
          </cell>
          <cell r="C3812">
            <v>5100</v>
          </cell>
        </row>
        <row r="3813">
          <cell r="A3813">
            <v>1811100471</v>
          </cell>
          <cell r="B3813" t="str">
            <v xml:space="preserve">מכשירי כתיבה      </v>
          </cell>
          <cell r="C3813">
            <v>85500</v>
          </cell>
        </row>
        <row r="3814">
          <cell r="A3814">
            <v>1811100492</v>
          </cell>
          <cell r="B3814" t="str">
            <v xml:space="preserve">השתתפות בעזר 092  </v>
          </cell>
        </row>
        <row r="3815">
          <cell r="A3815">
            <v>1811100500</v>
          </cell>
          <cell r="B3815" t="str">
            <v xml:space="preserve">הוצאות מינהליות   </v>
          </cell>
        </row>
        <row r="3816">
          <cell r="A3816">
            <v>1811100511</v>
          </cell>
          <cell r="B3816" t="str">
            <v xml:space="preserve">אירוח וכיבוד      </v>
          </cell>
          <cell r="C3816">
            <v>22100</v>
          </cell>
        </row>
        <row r="3817">
          <cell r="A3817">
            <v>1811100512</v>
          </cell>
          <cell r="B3817" t="str">
            <v xml:space="preserve">נסיעות ואש"ל      </v>
          </cell>
          <cell r="C3817">
            <v>1700</v>
          </cell>
        </row>
        <row r="3818">
          <cell r="A3818">
            <v>1811100522</v>
          </cell>
          <cell r="B3818" t="str">
            <v xml:space="preserve">ספרים ועיתונים    </v>
          </cell>
          <cell r="C3818">
            <v>2600</v>
          </cell>
        </row>
        <row r="3819">
          <cell r="A3819">
            <v>1811100540</v>
          </cell>
          <cell r="B3819" t="str">
            <v xml:space="preserve">הוצאות טלפון      </v>
          </cell>
        </row>
        <row r="3820">
          <cell r="A3820">
            <v>1811100544</v>
          </cell>
          <cell r="B3820" t="str">
            <v xml:space="preserve">הוצאות דאר        </v>
          </cell>
          <cell r="C3820">
            <v>59900</v>
          </cell>
        </row>
        <row r="3821">
          <cell r="A3821">
            <v>1811100550</v>
          </cell>
          <cell r="B3821" t="str">
            <v xml:space="preserve">פירסומים          </v>
          </cell>
          <cell r="C3821">
            <v>5000</v>
          </cell>
        </row>
        <row r="3822">
          <cell r="A3822">
            <v>1811100551</v>
          </cell>
          <cell r="B3822" t="str">
            <v xml:space="preserve">מודעות והדבקתן    </v>
          </cell>
        </row>
        <row r="3823">
          <cell r="A3823">
            <v>1811100561</v>
          </cell>
          <cell r="B3823" t="str">
            <v xml:space="preserve">שיכפולים          </v>
          </cell>
        </row>
        <row r="3824">
          <cell r="A3824">
            <v>1811100562</v>
          </cell>
          <cell r="B3824" t="str">
            <v xml:space="preserve">הדפסות            </v>
          </cell>
          <cell r="C3824">
            <v>4700</v>
          </cell>
        </row>
        <row r="3825">
          <cell r="A3825">
            <v>1811100571</v>
          </cell>
          <cell r="B3825" t="str">
            <v xml:space="preserve">מיכון וענ"א       </v>
          </cell>
        </row>
        <row r="3826">
          <cell r="A3826">
            <v>1811100580</v>
          </cell>
          <cell r="B3826" t="str">
            <v>ממונה בטיחות מוס"ח</v>
          </cell>
          <cell r="C3826">
            <v>350000</v>
          </cell>
        </row>
        <row r="3827">
          <cell r="A3827">
            <v>1811100583</v>
          </cell>
          <cell r="B3827" t="str">
            <v>שרותי הקלדה</v>
          </cell>
          <cell r="C3827">
            <v>50000</v>
          </cell>
        </row>
        <row r="3828">
          <cell r="A3828">
            <v>1811100596</v>
          </cell>
          <cell r="B3828" t="str">
            <v xml:space="preserve">השתתפות בעזר 096  </v>
          </cell>
        </row>
        <row r="3829">
          <cell r="A3829">
            <v>1811100700</v>
          </cell>
          <cell r="B3829" t="str">
            <v xml:space="preserve">הוצאות לפעולות    </v>
          </cell>
        </row>
        <row r="3830">
          <cell r="A3830">
            <v>1811100710</v>
          </cell>
          <cell r="B3830" t="str">
            <v xml:space="preserve">הובלות אינוונטר   </v>
          </cell>
          <cell r="C3830">
            <v>100000</v>
          </cell>
        </row>
        <row r="3831">
          <cell r="A3831">
            <v>1811100729</v>
          </cell>
          <cell r="B3831" t="str">
            <v>מרכז טכנולוגי</v>
          </cell>
          <cell r="C3831">
            <v>810000</v>
          </cell>
        </row>
        <row r="3832">
          <cell r="A3832">
            <v>1811100745</v>
          </cell>
          <cell r="B3832" t="str">
            <v xml:space="preserve">החזרי ביטוח שמשות </v>
          </cell>
        </row>
        <row r="3833">
          <cell r="A3833">
            <v>1811100750</v>
          </cell>
          <cell r="B3833" t="str">
            <v>אחזקת מוסדות-בית רותר</v>
          </cell>
          <cell r="C3833">
            <v>380300</v>
          </cell>
        </row>
        <row r="3834">
          <cell r="A3834">
            <v>1811100751</v>
          </cell>
          <cell r="B3834" t="str">
            <v>עבודות קבלניות</v>
          </cell>
          <cell r="C3834">
            <v>51300</v>
          </cell>
        </row>
        <row r="3835">
          <cell r="A3835">
            <v>1811100752</v>
          </cell>
          <cell r="B3835" t="str">
            <v xml:space="preserve">נקיון בקבלנות     </v>
          </cell>
          <cell r="C3835">
            <v>300000</v>
          </cell>
        </row>
        <row r="3836">
          <cell r="A3836">
            <v>1811100753</v>
          </cell>
          <cell r="B3836" t="str">
            <v xml:space="preserve">עובדים חיצוניים   </v>
          </cell>
        </row>
        <row r="3837">
          <cell r="A3837">
            <v>1811100754</v>
          </cell>
          <cell r="B3837" t="str">
            <v>עבודות איטום</v>
          </cell>
        </row>
        <row r="3838">
          <cell r="A3838">
            <v>1811100756</v>
          </cell>
          <cell r="B3838" t="str">
            <v xml:space="preserve">שמירה בקבלנות     </v>
          </cell>
          <cell r="C3838">
            <v>250000</v>
          </cell>
        </row>
        <row r="3839">
          <cell r="A3839">
            <v>1811100757</v>
          </cell>
          <cell r="B3839" t="str">
            <v>בדיקת מבנים מסוכנים</v>
          </cell>
        </row>
        <row r="3840">
          <cell r="A3840">
            <v>1811100758</v>
          </cell>
          <cell r="B3840" t="str">
            <v>עבודות חב' כלכלית</v>
          </cell>
        </row>
        <row r="3841">
          <cell r="A3841">
            <v>1811100759</v>
          </cell>
          <cell r="B3841" t="str">
            <v>טכנאים למחשבים בגנ"י ובבי"ס</v>
          </cell>
          <cell r="C3841">
            <v>1099000</v>
          </cell>
        </row>
        <row r="3842">
          <cell r="A3842">
            <v>1811100763</v>
          </cell>
          <cell r="B3842" t="str">
            <v xml:space="preserve">עובדי חברת מוסדות </v>
          </cell>
        </row>
        <row r="3843">
          <cell r="A3843">
            <v>1811100780</v>
          </cell>
          <cell r="B3843" t="str">
            <v>ארועים-מינהל חינוך</v>
          </cell>
          <cell r="C3843">
            <v>27000</v>
          </cell>
        </row>
        <row r="3844">
          <cell r="A3844">
            <v>1811100781</v>
          </cell>
          <cell r="B3844" t="str">
            <v>פעולות סמנכ"ל</v>
          </cell>
          <cell r="C3844">
            <v>40000</v>
          </cell>
        </row>
        <row r="3845">
          <cell r="A3845">
            <v>1811100782</v>
          </cell>
          <cell r="B3845" t="str">
            <v>כנס חולון לחינוך</v>
          </cell>
        </row>
        <row r="3846">
          <cell r="A3846">
            <v>1811100783</v>
          </cell>
          <cell r="B3846" t="str">
            <v>פעילות ועד הורים</v>
          </cell>
          <cell r="C3846">
            <v>6200</v>
          </cell>
        </row>
        <row r="3847">
          <cell r="A3847">
            <v>1811100784</v>
          </cell>
          <cell r="B3847" t="str">
            <v>פעולות שונות</v>
          </cell>
          <cell r="C3847">
            <v>51300</v>
          </cell>
        </row>
        <row r="3848">
          <cell r="A3848">
            <v>1811100785</v>
          </cell>
          <cell r="B3848" t="str">
            <v>דירת חיילים</v>
          </cell>
          <cell r="C3848">
            <v>12900</v>
          </cell>
        </row>
        <row r="3849">
          <cell r="A3849">
            <v>1811100786</v>
          </cell>
          <cell r="B3849" t="str">
            <v>יועץ בטיחות למתקני ספורט</v>
          </cell>
          <cell r="C3849">
            <v>90000</v>
          </cell>
        </row>
        <row r="3850">
          <cell r="A3850">
            <v>1811100787</v>
          </cell>
          <cell r="B3850" t="str">
            <v>בדיקת ואחז' מתקני ספורט</v>
          </cell>
          <cell r="C3850">
            <v>110000</v>
          </cell>
        </row>
        <row r="3851">
          <cell r="A3851">
            <v>1811100788</v>
          </cell>
          <cell r="B3851" t="str">
            <v>חדשנות</v>
          </cell>
          <cell r="C3851">
            <v>429000</v>
          </cell>
        </row>
        <row r="3852">
          <cell r="A3852">
            <v>1811100789</v>
          </cell>
          <cell r="B3852" t="str">
            <v>הוצאות יעוץ כנגד הכנסות</v>
          </cell>
        </row>
        <row r="3853">
          <cell r="A3853">
            <v>1811100790</v>
          </cell>
          <cell r="B3853" t="str">
            <v>חינוך חרדי</v>
          </cell>
        </row>
        <row r="3854">
          <cell r="A3854">
            <v>1811100791</v>
          </cell>
          <cell r="B3854" t="str">
            <v>חדשנות כנגד הכנסות</v>
          </cell>
          <cell r="C3854">
            <v>65000</v>
          </cell>
        </row>
        <row r="3855">
          <cell r="A3855">
            <v>1811100794</v>
          </cell>
          <cell r="B3855" t="str">
            <v xml:space="preserve">השתתפות בעזר 094  </v>
          </cell>
        </row>
        <row r="3856">
          <cell r="A3856">
            <v>1811100810</v>
          </cell>
          <cell r="B3856" t="str">
            <v>מלגות לפולין</v>
          </cell>
          <cell r="C3856">
            <v>40000</v>
          </cell>
        </row>
        <row r="3857">
          <cell r="A3857">
            <v>1811100850</v>
          </cell>
          <cell r="B3857" t="str">
            <v xml:space="preserve">מלגות             </v>
          </cell>
          <cell r="C3857">
            <v>1243200</v>
          </cell>
        </row>
        <row r="3858">
          <cell r="A3858">
            <v>1811100852</v>
          </cell>
          <cell r="B3858" t="str">
            <v xml:space="preserve">מלגות למצטיינים            </v>
          </cell>
          <cell r="C3858">
            <v>294000</v>
          </cell>
        </row>
        <row r="3859">
          <cell r="A3859">
            <v>1811100930</v>
          </cell>
          <cell r="B3859" t="str">
            <v>מחשב לכל ילד</v>
          </cell>
          <cell r="C3859">
            <v>124400</v>
          </cell>
        </row>
        <row r="3860">
          <cell r="A3860">
            <v>1811100931</v>
          </cell>
          <cell r="B3860" t="str">
            <v>שבוע החינוך</v>
          </cell>
          <cell r="C3860">
            <v>51300</v>
          </cell>
        </row>
        <row r="3861">
          <cell r="A3861">
            <v>1811100932</v>
          </cell>
          <cell r="B3861" t="str">
            <v>הוצ' כנגד ילדי חוץ</v>
          </cell>
        </row>
        <row r="3862">
          <cell r="A3862">
            <v>1811100933</v>
          </cell>
          <cell r="B3862" t="str">
            <v>שמ"ש כללי</v>
          </cell>
          <cell r="C3862">
            <v>380000</v>
          </cell>
        </row>
        <row r="3863">
          <cell r="A3863">
            <v>1811100934</v>
          </cell>
          <cell r="B3863" t="str">
            <v>מזנונים ( מהכנסות )</v>
          </cell>
          <cell r="C3863">
            <v>50000</v>
          </cell>
        </row>
        <row r="3864">
          <cell r="A3864">
            <v>1811100935</v>
          </cell>
          <cell r="B3864" t="str">
            <v>העברה לבי"ס-ממזנונים</v>
          </cell>
          <cell r="C3864">
            <v>450000</v>
          </cell>
        </row>
        <row r="3865">
          <cell r="A3865">
            <v>1811100936</v>
          </cell>
          <cell r="B3865" t="str">
            <v>מעליות</v>
          </cell>
          <cell r="C3865">
            <v>325000</v>
          </cell>
        </row>
        <row r="3866">
          <cell r="A3866">
            <v>1811100937</v>
          </cell>
          <cell r="B3866" t="str">
            <v>חינוך - הוצאות משנים קודמות</v>
          </cell>
          <cell r="C3866">
            <v>1000000</v>
          </cell>
        </row>
        <row r="3867">
          <cell r="A3867">
            <v>1811100938</v>
          </cell>
          <cell r="B3867" t="str">
            <v>שמ"ש-ניהול עצמי</v>
          </cell>
          <cell r="C3867">
            <v>80000</v>
          </cell>
        </row>
        <row r="3868">
          <cell r="A3868">
            <v>1811100939</v>
          </cell>
          <cell r="B3868" t="str">
            <v>הסכם תוכנות בי"ס</v>
          </cell>
        </row>
        <row r="3869">
          <cell r="A3869">
            <v>1811100940</v>
          </cell>
          <cell r="B3869" t="str">
            <v>מנב"סים</v>
          </cell>
          <cell r="C3869">
            <v>22500</v>
          </cell>
        </row>
        <row r="3870">
          <cell r="A3870">
            <v>1811100941</v>
          </cell>
          <cell r="B3870" t="str">
            <v>הוצאות כנגד הכנסות</v>
          </cell>
          <cell r="C3870">
            <v>1000000</v>
          </cell>
        </row>
        <row r="3871">
          <cell r="A3871">
            <v>1811100947</v>
          </cell>
          <cell r="B3871" t="str">
            <v>תכנית תיקשוב-קיזוז רשויות</v>
          </cell>
        </row>
        <row r="3872">
          <cell r="A3872">
            <v>1811100953</v>
          </cell>
          <cell r="B3872" t="str">
            <v>מערכת גפ"ן</v>
          </cell>
        </row>
        <row r="3873">
          <cell r="A3873">
            <v>1811100961</v>
          </cell>
          <cell r="B3873" t="str">
            <v>רז' פעולות ורכישות</v>
          </cell>
          <cell r="C3873">
            <v>25700</v>
          </cell>
        </row>
        <row r="3874">
          <cell r="A3874" t="str">
            <v>#VALUE!</v>
          </cell>
          <cell r="B3874" t="str">
            <v>מינהלת-חינוך פורמלי</v>
          </cell>
        </row>
        <row r="3875">
          <cell r="A3875">
            <v>18112000</v>
          </cell>
          <cell r="B3875" t="str">
            <v xml:space="preserve">יוזמות חינוכיות   </v>
          </cell>
        </row>
        <row r="3876">
          <cell r="A3876">
            <v>1811200110</v>
          </cell>
          <cell r="B3876" t="str">
            <v>השכר הקובע-תקציבית</v>
          </cell>
        </row>
        <row r="3877">
          <cell r="A3877">
            <v>1811200119</v>
          </cell>
          <cell r="B3877" t="str">
            <v>פרוייקט  ת"ג</v>
          </cell>
        </row>
        <row r="3878">
          <cell r="A3878">
            <v>1811200210</v>
          </cell>
          <cell r="B3878" t="str">
            <v xml:space="preserve">שכר יוזמות מתב"ר  </v>
          </cell>
        </row>
        <row r="3879">
          <cell r="A3879">
            <v>1811200211</v>
          </cell>
          <cell r="B3879" t="str">
            <v>שכר מאו"ר</v>
          </cell>
        </row>
        <row r="3880">
          <cell r="A3880">
            <v>1811200220</v>
          </cell>
          <cell r="B3880" t="str">
            <v xml:space="preserve">העברה לתב"רים     </v>
          </cell>
        </row>
        <row r="3881">
          <cell r="A3881">
            <v>1811200230</v>
          </cell>
          <cell r="B3881" t="str">
            <v xml:space="preserve">שכר פרט           </v>
          </cell>
        </row>
        <row r="3882">
          <cell r="A3882">
            <v>1811200240</v>
          </cell>
          <cell r="B3882" t="str">
            <v xml:space="preserve">שכר על - יסודי    </v>
          </cell>
        </row>
        <row r="3883">
          <cell r="A3883">
            <v>1811200540</v>
          </cell>
          <cell r="B3883" t="str">
            <v xml:space="preserve">הוצאות טלפון      </v>
          </cell>
        </row>
        <row r="3884">
          <cell r="A3884">
            <v>1811200580</v>
          </cell>
          <cell r="B3884" t="str">
            <v xml:space="preserve">ועדת היגוי וסקרים </v>
          </cell>
        </row>
        <row r="3885">
          <cell r="A3885">
            <v>1811200583</v>
          </cell>
          <cell r="B3885" t="str">
            <v xml:space="preserve">רכזות אקדמאיות    </v>
          </cell>
        </row>
        <row r="3886">
          <cell r="A3886">
            <v>1811200585</v>
          </cell>
          <cell r="B3886" t="str">
            <v>מבדקים דיאגנוסטיים</v>
          </cell>
        </row>
        <row r="3887">
          <cell r="A3887">
            <v>1811200753</v>
          </cell>
          <cell r="B3887" t="str">
            <v xml:space="preserve">שכר יוזמות פרט    </v>
          </cell>
        </row>
        <row r="3888">
          <cell r="A3888">
            <v>1811200755</v>
          </cell>
          <cell r="B3888" t="str">
            <v xml:space="preserve">שכר יוזמות מינהל  </v>
          </cell>
        </row>
        <row r="3889">
          <cell r="A3889">
            <v>1811200763</v>
          </cell>
          <cell r="B3889" t="str">
            <v xml:space="preserve">שכר יוזמות ע"י    </v>
          </cell>
        </row>
        <row r="3890">
          <cell r="A3890">
            <v>1811200764</v>
          </cell>
          <cell r="B3890" t="str">
            <v xml:space="preserve">שכר יוזמות יסודי  </v>
          </cell>
        </row>
        <row r="3891">
          <cell r="A3891">
            <v>1811200780</v>
          </cell>
          <cell r="B3891" t="str">
            <v>עיר פעילה ובריאה</v>
          </cell>
        </row>
        <row r="3892">
          <cell r="A3892">
            <v>1811200781</v>
          </cell>
          <cell r="B3892" t="str">
            <v>עיר בריאה ומקיימת</v>
          </cell>
        </row>
        <row r="3893">
          <cell r="A3893">
            <v>1811200782</v>
          </cell>
          <cell r="B3893" t="str">
            <v>עיר בריאה - הגנת הסביבה</v>
          </cell>
        </row>
        <row r="3894">
          <cell r="A3894">
            <v>1811200783</v>
          </cell>
          <cell r="B3894" t="str">
            <v>עיר בריאה-רשות ניקוז ירקון</v>
          </cell>
        </row>
        <row r="3895">
          <cell r="A3895">
            <v>1811200784</v>
          </cell>
          <cell r="B3895" t="str">
            <v>הס-קיטנה</v>
          </cell>
        </row>
        <row r="3896">
          <cell r="A3896">
            <v>1811200785</v>
          </cell>
          <cell r="B3896" t="str">
            <v>כצנלסון-קיטנה</v>
          </cell>
        </row>
        <row r="3897">
          <cell r="A3897">
            <v>1811200786</v>
          </cell>
          <cell r="B3897" t="str">
            <v xml:space="preserve">יוזמות יסודי      </v>
          </cell>
        </row>
        <row r="3898">
          <cell r="A3898">
            <v>1811200787</v>
          </cell>
          <cell r="B3898" t="str">
            <v>ניצנים-קיטנה</v>
          </cell>
        </row>
        <row r="3899">
          <cell r="A3899">
            <v>1811200788</v>
          </cell>
          <cell r="B3899" t="str">
            <v>ניב-קיטנה</v>
          </cell>
        </row>
        <row r="3900">
          <cell r="A3900">
            <v>1811200789</v>
          </cell>
          <cell r="B3900" t="str">
            <v>עלומים-קיטנה</v>
          </cell>
        </row>
        <row r="3901">
          <cell r="A3901">
            <v>1811200811</v>
          </cell>
          <cell r="B3901" t="str">
            <v xml:space="preserve">השתתפות קרן דנקנר </v>
          </cell>
        </row>
        <row r="3902">
          <cell r="A3902">
            <v>1811200812</v>
          </cell>
          <cell r="B3902" t="str">
            <v>השתת' בפרוייקט קרב</v>
          </cell>
        </row>
        <row r="3903">
          <cell r="A3903">
            <v>1811200813</v>
          </cell>
          <cell r="B3903" t="str">
            <v xml:space="preserve">קרן רש"י         </v>
          </cell>
        </row>
        <row r="3904">
          <cell r="A3904">
            <v>1811200814</v>
          </cell>
          <cell r="B3904" t="str">
            <v>השתתפות בפרויקט תל''ן</v>
          </cell>
          <cell r="C3904">
            <v>1260000</v>
          </cell>
        </row>
        <row r="3905">
          <cell r="A3905">
            <v>1811200961</v>
          </cell>
          <cell r="B3905" t="str">
            <v>רז' פעולות ורכישות</v>
          </cell>
        </row>
        <row r="3906">
          <cell r="A3906">
            <v>1811200980</v>
          </cell>
          <cell r="B3906" t="str">
            <v>רביבים-קיטנה</v>
          </cell>
        </row>
        <row r="3907">
          <cell r="A3907">
            <v>1811200981</v>
          </cell>
          <cell r="B3907" t="str">
            <v>שנקר-קיטנה</v>
          </cell>
        </row>
        <row r="3908">
          <cell r="A3908">
            <v>1811200982</v>
          </cell>
          <cell r="B3908" t="str">
            <v>שער האריות-קיטנה</v>
          </cell>
        </row>
        <row r="3909">
          <cell r="A3909">
            <v>1811200983</v>
          </cell>
          <cell r="B3909" t="str">
            <v>ויצמן-קיטנה</v>
          </cell>
        </row>
        <row r="3910">
          <cell r="A3910">
            <v>1811200984</v>
          </cell>
          <cell r="B3910" t="str">
            <v>בית דוד-קיטנה</v>
          </cell>
        </row>
        <row r="3911">
          <cell r="A3911">
            <v>1811200985</v>
          </cell>
          <cell r="B3911" t="str">
            <v>מפי עוללים-קיטנה</v>
          </cell>
        </row>
        <row r="3912">
          <cell r="A3912" t="str">
            <v>#VALUE!</v>
          </cell>
          <cell r="B3912" t="str">
            <v xml:space="preserve">יוזמות חינוכיות   </v>
          </cell>
        </row>
        <row r="3913">
          <cell r="A3913">
            <v>18113000</v>
          </cell>
          <cell r="B3913" t="str">
            <v>יוזמות ראש מינהל</v>
          </cell>
        </row>
        <row r="3914">
          <cell r="A3914">
            <v>1811300110</v>
          </cell>
          <cell r="B3914" t="str">
            <v>השכר הקובע-תקציבית</v>
          </cell>
        </row>
        <row r="3915">
          <cell r="A3915">
            <v>1811300111</v>
          </cell>
          <cell r="B3915" t="str">
            <v xml:space="preserve">יסודי             </v>
          </cell>
        </row>
        <row r="3916">
          <cell r="A3916">
            <v>1811300112</v>
          </cell>
          <cell r="B3916" t="str">
            <v xml:space="preserve">פרט               </v>
          </cell>
        </row>
        <row r="3917">
          <cell r="A3917">
            <v>1811300113</v>
          </cell>
          <cell r="B3917" t="str">
            <v xml:space="preserve">רווחה חינוכית     </v>
          </cell>
        </row>
        <row r="3918">
          <cell r="A3918">
            <v>1811300119</v>
          </cell>
          <cell r="B3918" t="str">
            <v>השכר הקובע-צוברת</v>
          </cell>
        </row>
        <row r="3919">
          <cell r="A3919">
            <v>1811300210</v>
          </cell>
          <cell r="B3919" t="str">
            <v>השכר הקובע</v>
          </cell>
        </row>
        <row r="3920">
          <cell r="A3920">
            <v>1811300263</v>
          </cell>
          <cell r="B3920" t="str">
            <v>עובדי כח - אדם</v>
          </cell>
        </row>
        <row r="3921">
          <cell r="A3921">
            <v>1811300540</v>
          </cell>
          <cell r="B3921" t="str">
            <v xml:space="preserve">הוצאות טלפון      </v>
          </cell>
        </row>
        <row r="3922">
          <cell r="A3922">
            <v>1811300759</v>
          </cell>
          <cell r="B3922" t="str">
            <v>שרותי סייעות</v>
          </cell>
        </row>
        <row r="3923">
          <cell r="A3923">
            <v>1811300780</v>
          </cell>
          <cell r="B3923" t="str">
            <v>פעולות</v>
          </cell>
          <cell r="C3923">
            <v>985100</v>
          </cell>
        </row>
        <row r="3924">
          <cell r="A3924">
            <v>1811300781</v>
          </cell>
          <cell r="B3924" t="str">
            <v>יוזמות מהכ' תלמדי חוץ</v>
          </cell>
          <cell r="C3924">
            <v>108000</v>
          </cell>
        </row>
        <row r="3925">
          <cell r="A3925">
            <v>1811300782</v>
          </cell>
          <cell r="B3925" t="str">
            <v>הערכה ותהליכי למידה</v>
          </cell>
          <cell r="C3925">
            <v>118900</v>
          </cell>
        </row>
        <row r="3926">
          <cell r="A3926">
            <v>1811300783</v>
          </cell>
          <cell r="B3926" t="str">
            <v xml:space="preserve">ספריות            </v>
          </cell>
        </row>
        <row r="3927">
          <cell r="A3927">
            <v>1811300784</v>
          </cell>
          <cell r="B3927" t="str">
            <v>הכשרת מוסדות חינוך למ"פ</v>
          </cell>
          <cell r="C3927">
            <v>495900</v>
          </cell>
        </row>
        <row r="3928">
          <cell r="A3928">
            <v>1811300785</v>
          </cell>
          <cell r="B3928" t="str">
            <v>קידום למידה SITC</v>
          </cell>
        </row>
        <row r="3929">
          <cell r="A3929">
            <v>1811300786</v>
          </cell>
          <cell r="B3929" t="str">
            <v>סביבות למידה גניות</v>
          </cell>
        </row>
        <row r="3930">
          <cell r="A3930">
            <v>1811300787</v>
          </cell>
          <cell r="B3930" t="str">
            <v>קידום יוזמות חדשניות</v>
          </cell>
        </row>
        <row r="3931">
          <cell r="A3931">
            <v>1811300788</v>
          </cell>
          <cell r="B3931" t="str">
            <v xml:space="preserve">רווחה חינוכית     </v>
          </cell>
        </row>
        <row r="3932">
          <cell r="A3932">
            <v>1811300789</v>
          </cell>
          <cell r="B3932" t="str">
            <v xml:space="preserve">נוער              </v>
          </cell>
        </row>
        <row r="3933">
          <cell r="A3933">
            <v>1811300950</v>
          </cell>
          <cell r="B3933" t="str">
            <v xml:space="preserve">יוזמות תשס"ד - 2003      </v>
          </cell>
        </row>
        <row r="3934">
          <cell r="A3934">
            <v>1811300951</v>
          </cell>
          <cell r="B3934" t="str">
            <v>יוזמות תשס"ט - 2008</v>
          </cell>
        </row>
        <row r="3935">
          <cell r="A3935">
            <v>1811300952</v>
          </cell>
          <cell r="B3935" t="str">
            <v>יוזמות תשפ"ב</v>
          </cell>
          <cell r="C3935">
            <v>130000</v>
          </cell>
        </row>
        <row r="3936">
          <cell r="A3936">
            <v>1811300953</v>
          </cell>
          <cell r="B3936" t="str">
            <v xml:space="preserve">יוזמות תשע"ט    </v>
          </cell>
        </row>
        <row r="3937">
          <cell r="A3937">
            <v>1811300961</v>
          </cell>
          <cell r="B3937" t="str">
            <v>רז' פעולות ורכישות</v>
          </cell>
        </row>
        <row r="3938">
          <cell r="A3938">
            <v>1811300980</v>
          </cell>
          <cell r="B3938" t="str">
            <v>קהילה ופנאי</v>
          </cell>
        </row>
        <row r="3939">
          <cell r="A3939">
            <v>1811300981</v>
          </cell>
          <cell r="B3939" t="str">
            <v>מרכז איבחון בוקר</v>
          </cell>
          <cell r="C3939">
            <v>1890600</v>
          </cell>
        </row>
        <row r="3940">
          <cell r="A3940">
            <v>1811300982</v>
          </cell>
          <cell r="B3940" t="str">
            <v>מרכז איבחון</v>
          </cell>
          <cell r="C3940">
            <v>1565200</v>
          </cell>
        </row>
        <row r="3941">
          <cell r="A3941" t="str">
            <v>#VALUE!</v>
          </cell>
          <cell r="B3941" t="str">
            <v>יוזמות ראש מינהל</v>
          </cell>
        </row>
        <row r="3942">
          <cell r="A3942">
            <v>18113010</v>
          </cell>
          <cell r="B3942" t="str">
            <v>יוזמות אגף אירגון</v>
          </cell>
        </row>
        <row r="3943">
          <cell r="A3943">
            <v>1811301110</v>
          </cell>
          <cell r="B3943" t="str">
            <v>השכר הקובע-תקציבית</v>
          </cell>
        </row>
        <row r="3944">
          <cell r="A3944">
            <v>1811301119</v>
          </cell>
          <cell r="B3944" t="str">
            <v>השכר הקובע-צוברת</v>
          </cell>
        </row>
        <row r="3945">
          <cell r="A3945">
            <v>1811301210</v>
          </cell>
          <cell r="B3945" t="str">
            <v>השכר הקובע</v>
          </cell>
        </row>
        <row r="3946">
          <cell r="A3946">
            <v>1811301263</v>
          </cell>
          <cell r="B3946" t="str">
            <v>עובדי כח - אדם</v>
          </cell>
        </row>
        <row r="3947">
          <cell r="A3947">
            <v>1811301759</v>
          </cell>
          <cell r="B3947" t="str">
            <v>שרותי סייעות</v>
          </cell>
        </row>
        <row r="3948">
          <cell r="A3948">
            <v>1811301780</v>
          </cell>
          <cell r="B3948" t="str">
            <v>פעולות</v>
          </cell>
          <cell r="C3948">
            <v>200000</v>
          </cell>
        </row>
        <row r="3949">
          <cell r="A3949" t="str">
            <v>#VALUE!</v>
          </cell>
          <cell r="B3949" t="str">
            <v>יוזמות אגף אירגון</v>
          </cell>
        </row>
        <row r="3950">
          <cell r="A3950">
            <v>18113040</v>
          </cell>
          <cell r="B3950" t="str">
            <v>יוזמות גני ילדים</v>
          </cell>
        </row>
        <row r="3951">
          <cell r="A3951">
            <v>1811304110</v>
          </cell>
          <cell r="B3951" t="str">
            <v>השכר הקובע-תקציבית</v>
          </cell>
        </row>
        <row r="3952">
          <cell r="A3952">
            <v>1811304119</v>
          </cell>
          <cell r="B3952" t="str">
            <v>השכר הקובע-צוברת</v>
          </cell>
        </row>
        <row r="3953">
          <cell r="A3953">
            <v>1811304210</v>
          </cell>
          <cell r="B3953" t="str">
            <v>השכר הקובע</v>
          </cell>
        </row>
        <row r="3954">
          <cell r="A3954">
            <v>1811304263</v>
          </cell>
          <cell r="B3954" t="str">
            <v>עובדי כח - אדם</v>
          </cell>
        </row>
        <row r="3955">
          <cell r="A3955">
            <v>1811304759</v>
          </cell>
          <cell r="B3955" t="str">
            <v>שרותי סייעות</v>
          </cell>
        </row>
        <row r="3956">
          <cell r="A3956">
            <v>1811304780</v>
          </cell>
          <cell r="B3956" t="str">
            <v>פעולות</v>
          </cell>
          <cell r="C3956">
            <v>440800</v>
          </cell>
        </row>
        <row r="3957">
          <cell r="A3957">
            <v>1811304781</v>
          </cell>
          <cell r="B3957" t="str">
            <v>פעולות כנגד הכנסות</v>
          </cell>
        </row>
        <row r="3958">
          <cell r="A3958">
            <v>1811304782</v>
          </cell>
          <cell r="B3958" t="str">
            <v>יוזמות - מובילות  גנ"י</v>
          </cell>
          <cell r="C3958">
            <v>40500</v>
          </cell>
        </row>
        <row r="3959">
          <cell r="A3959">
            <v>1811304783</v>
          </cell>
          <cell r="B3959" t="str">
            <v>תוכנית אילנות</v>
          </cell>
        </row>
        <row r="3960">
          <cell r="A3960" t="str">
            <v>#VALUE!</v>
          </cell>
          <cell r="B3960" t="str">
            <v>יוזמות גני ילדים</v>
          </cell>
        </row>
        <row r="3961">
          <cell r="A3961">
            <v>18113050</v>
          </cell>
          <cell r="B3961" t="str">
            <v>יוזמות יסודי</v>
          </cell>
        </row>
        <row r="3962">
          <cell r="A3962">
            <v>1811305110</v>
          </cell>
          <cell r="B3962" t="str">
            <v>השכר הקובע-תקציבית</v>
          </cell>
        </row>
        <row r="3963">
          <cell r="A3963">
            <v>1811305118</v>
          </cell>
          <cell r="B3963" t="str">
            <v>שכר עובדי הוראה</v>
          </cell>
          <cell r="C3963">
            <v>400000</v>
          </cell>
        </row>
        <row r="3964">
          <cell r="A3964">
            <v>1811305119</v>
          </cell>
          <cell r="B3964" t="str">
            <v>השכר הקובע-צוברת</v>
          </cell>
          <cell r="C3964">
            <v>1218000</v>
          </cell>
        </row>
        <row r="3965">
          <cell r="A3965">
            <v>1811305122</v>
          </cell>
          <cell r="B3965" t="str">
            <v xml:space="preserve">ביגוד             </v>
          </cell>
          <cell r="C3965">
            <v>17600</v>
          </cell>
        </row>
        <row r="3966">
          <cell r="A3966">
            <v>1811305126</v>
          </cell>
          <cell r="B3966" t="str">
            <v xml:space="preserve">דמי הבראה         </v>
          </cell>
          <cell r="C3966">
            <v>40000</v>
          </cell>
        </row>
        <row r="3967">
          <cell r="A3967">
            <v>1811305210</v>
          </cell>
          <cell r="B3967" t="str">
            <v>השכר הקובע</v>
          </cell>
        </row>
        <row r="3968">
          <cell r="A3968">
            <v>1811305263</v>
          </cell>
          <cell r="B3968" t="str">
            <v>עובדי כח - אדם</v>
          </cell>
          <cell r="C3968">
            <v>20000</v>
          </cell>
        </row>
        <row r="3969">
          <cell r="A3969">
            <v>1811305759</v>
          </cell>
          <cell r="B3969" t="str">
            <v>שרותי סייעות</v>
          </cell>
          <cell r="C3969">
            <v>1070000</v>
          </cell>
        </row>
        <row r="3970">
          <cell r="A3970">
            <v>1811305780</v>
          </cell>
          <cell r="B3970" t="str">
            <v>פעולות</v>
          </cell>
          <cell r="C3970">
            <v>562900</v>
          </cell>
        </row>
        <row r="3971">
          <cell r="A3971">
            <v>1811305781</v>
          </cell>
          <cell r="B3971" t="str">
            <v>בתי"ס מוזיקליים</v>
          </cell>
          <cell r="C3971">
            <v>826800</v>
          </cell>
        </row>
        <row r="3972">
          <cell r="A3972">
            <v>1811305782</v>
          </cell>
          <cell r="B3972" t="str">
            <v>אוריינות-בי"ס יחדיו</v>
          </cell>
          <cell r="C3972">
            <v>90000</v>
          </cell>
        </row>
        <row r="3973">
          <cell r="A3973">
            <v>1811305783</v>
          </cell>
          <cell r="B3973" t="str">
            <v>יחודיות בית ספרית</v>
          </cell>
          <cell r="C3973">
            <v>171000</v>
          </cell>
        </row>
        <row r="3974">
          <cell r="A3974">
            <v>1811305784</v>
          </cell>
          <cell r="B3974" t="str">
            <v>יוזמות-יסודי יחדיו</v>
          </cell>
          <cell r="C3974">
            <v>37800</v>
          </cell>
        </row>
        <row r="3975">
          <cell r="A3975">
            <v>1811305785</v>
          </cell>
          <cell r="B3975" t="str">
            <v>יוזמות ניהול עצמי</v>
          </cell>
          <cell r="C3975">
            <v>460000</v>
          </cell>
        </row>
        <row r="3976">
          <cell r="A3976">
            <v>1811305786</v>
          </cell>
          <cell r="B3976" t="str">
            <v>מרכז מצטיינים</v>
          </cell>
          <cell r="C3976">
            <v>450000</v>
          </cell>
        </row>
        <row r="3977">
          <cell r="A3977">
            <v>1811305787</v>
          </cell>
          <cell r="B3977" t="str">
            <v>תחרות האתגר</v>
          </cell>
          <cell r="C3977">
            <v>25000</v>
          </cell>
        </row>
        <row r="3978">
          <cell r="A3978" t="str">
            <v>#VALUE!</v>
          </cell>
          <cell r="B3978" t="str">
            <v>יוזמות יסודי</v>
          </cell>
        </row>
        <row r="3979">
          <cell r="A3979">
            <v>18113060</v>
          </cell>
          <cell r="B3979" t="str">
            <v>יוזמות פרט</v>
          </cell>
        </row>
        <row r="3980">
          <cell r="A3980">
            <v>1811306110</v>
          </cell>
          <cell r="B3980" t="str">
            <v>השכר הקובע-תקציבית</v>
          </cell>
        </row>
        <row r="3981">
          <cell r="A3981">
            <v>1811306119</v>
          </cell>
          <cell r="B3981" t="str">
            <v>השכר הקובע-צוברת</v>
          </cell>
        </row>
        <row r="3982">
          <cell r="A3982">
            <v>1811306210</v>
          </cell>
          <cell r="B3982" t="str">
            <v>השכר הקובע</v>
          </cell>
        </row>
        <row r="3983">
          <cell r="A3983">
            <v>1811306263</v>
          </cell>
          <cell r="B3983" t="str">
            <v>עובדי כח - אדם</v>
          </cell>
        </row>
        <row r="3984">
          <cell r="A3984">
            <v>1811306759</v>
          </cell>
          <cell r="B3984" t="str">
            <v>שרותי סייעות</v>
          </cell>
        </row>
        <row r="3985">
          <cell r="A3985">
            <v>1811306780</v>
          </cell>
          <cell r="B3985" t="str">
            <v>פעולות</v>
          </cell>
          <cell r="C3985">
            <v>284300</v>
          </cell>
        </row>
        <row r="3986">
          <cell r="A3986">
            <v>1811306781</v>
          </cell>
          <cell r="B3986" t="str">
            <v>כתת התנהגות בהרצוג</v>
          </cell>
        </row>
        <row r="3987">
          <cell r="A3987" t="str">
            <v>#VALUE!</v>
          </cell>
          <cell r="B3987" t="str">
            <v>יוזמות פרט</v>
          </cell>
        </row>
        <row r="3988">
          <cell r="A3988">
            <v>18113080</v>
          </cell>
          <cell r="B3988" t="str">
            <v>יוזמות רווחה חינוכית</v>
          </cell>
        </row>
        <row r="3989">
          <cell r="A3989">
            <v>1811308780</v>
          </cell>
          <cell r="B3989" t="str">
            <v>פעולות</v>
          </cell>
        </row>
        <row r="3990">
          <cell r="A3990" t="str">
            <v>#VALUE!</v>
          </cell>
          <cell r="B3990" t="str">
            <v>יוזמות רווחה חינוכית</v>
          </cell>
        </row>
        <row r="3991">
          <cell r="A3991">
            <v>18113090</v>
          </cell>
          <cell r="B3991" t="str">
            <v>יוזמות נוער</v>
          </cell>
        </row>
        <row r="3992">
          <cell r="A3992">
            <v>1811309110</v>
          </cell>
          <cell r="B3992" t="str">
            <v>השכר הקובע-תקציבית</v>
          </cell>
        </row>
        <row r="3993">
          <cell r="A3993">
            <v>1811309119</v>
          </cell>
          <cell r="B3993" t="str">
            <v>השכר הקובע-צוברת</v>
          </cell>
        </row>
        <row r="3994">
          <cell r="A3994">
            <v>1811309210</v>
          </cell>
          <cell r="B3994" t="str">
            <v>השכר הקובע</v>
          </cell>
        </row>
        <row r="3995">
          <cell r="A3995">
            <v>1811309263</v>
          </cell>
          <cell r="B3995" t="str">
            <v>עובדי כח - אדם</v>
          </cell>
        </row>
        <row r="3996">
          <cell r="A3996">
            <v>1811309759</v>
          </cell>
          <cell r="B3996" t="str">
            <v>שרותי סייעות</v>
          </cell>
        </row>
        <row r="3997">
          <cell r="A3997">
            <v>1811309780</v>
          </cell>
          <cell r="B3997" t="str">
            <v>פעולות</v>
          </cell>
          <cell r="C3997">
            <v>136100</v>
          </cell>
        </row>
        <row r="3998">
          <cell r="A3998" t="str">
            <v>#VALUE!</v>
          </cell>
          <cell r="B3998" t="str">
            <v>יוזמות נוער</v>
          </cell>
        </row>
        <row r="3999">
          <cell r="A3999">
            <v>18114000</v>
          </cell>
          <cell r="B3999" t="str">
            <v>מניעת אלימות וסמים</v>
          </cell>
        </row>
        <row r="4000">
          <cell r="A4000">
            <v>1811400110</v>
          </cell>
          <cell r="B4000" t="str">
            <v>השכר הקובע-תקציבית</v>
          </cell>
          <cell r="C4000">
            <v>257800</v>
          </cell>
        </row>
        <row r="4001">
          <cell r="A4001">
            <v>1811400119</v>
          </cell>
          <cell r="B4001" t="str">
            <v>השכר הקובע-צוברת</v>
          </cell>
          <cell r="C4001">
            <v>516100</v>
          </cell>
        </row>
        <row r="4002">
          <cell r="A4002">
            <v>1811400122</v>
          </cell>
          <cell r="B4002" t="str">
            <v xml:space="preserve">ביגוד             </v>
          </cell>
          <cell r="C4002">
            <v>6300</v>
          </cell>
        </row>
        <row r="4003">
          <cell r="A4003">
            <v>1811400126</v>
          </cell>
          <cell r="B4003" t="str">
            <v xml:space="preserve">דמי הבראה         </v>
          </cell>
          <cell r="C4003">
            <v>15000</v>
          </cell>
        </row>
        <row r="4004">
          <cell r="A4004">
            <v>1811400130</v>
          </cell>
          <cell r="B4004" t="str">
            <v xml:space="preserve">שעות נוספות       </v>
          </cell>
          <cell r="C4004">
            <v>20000</v>
          </cell>
        </row>
        <row r="4005">
          <cell r="A4005">
            <v>1811400140</v>
          </cell>
          <cell r="B4005" t="str">
            <v>השתתפות באחזקת רכב</v>
          </cell>
          <cell r="C4005">
            <v>84300</v>
          </cell>
        </row>
        <row r="4006">
          <cell r="A4006">
            <v>1811400210</v>
          </cell>
          <cell r="B4006" t="str">
            <v>השכר הקובע - אוזן קשבת</v>
          </cell>
        </row>
        <row r="4007">
          <cell r="A4007">
            <v>1811400263</v>
          </cell>
          <cell r="B4007" t="str">
            <v>אוזן קשבת</v>
          </cell>
        </row>
        <row r="4008">
          <cell r="A4008">
            <v>1811400780</v>
          </cell>
          <cell r="B4008" t="str">
            <v>פעולות</v>
          </cell>
          <cell r="C4008">
            <v>595000</v>
          </cell>
        </row>
        <row r="4009">
          <cell r="A4009">
            <v>1811400781</v>
          </cell>
          <cell r="B4009" t="str">
            <v>עיר ללא אלימות</v>
          </cell>
          <cell r="C4009">
            <v>1489300</v>
          </cell>
        </row>
        <row r="4010">
          <cell r="A4010">
            <v>1811400782</v>
          </cell>
          <cell r="B4010" t="str">
            <v>סמים - משרד החינוך</v>
          </cell>
        </row>
        <row r="4011">
          <cell r="A4011">
            <v>1811400783</v>
          </cell>
          <cell r="B4011" t="str">
            <v>אפוטרופוס כללי</v>
          </cell>
        </row>
        <row r="4012">
          <cell r="A4012" t="str">
            <v>#VALUE!</v>
          </cell>
          <cell r="B4012" t="str">
            <v>מניעת אלימות וסמים</v>
          </cell>
        </row>
        <row r="4013">
          <cell r="A4013">
            <v>18120000</v>
          </cell>
          <cell r="B4013" t="str">
            <v xml:space="preserve">חינוך קדם יסודי   </v>
          </cell>
        </row>
        <row r="4014">
          <cell r="A4014">
            <v>18122000</v>
          </cell>
          <cell r="B4014" t="str">
            <v xml:space="preserve">גני ילדים         </v>
          </cell>
        </row>
        <row r="4015">
          <cell r="A4015">
            <v>1812200100</v>
          </cell>
          <cell r="B4015" t="str">
            <v>שכר עובדים לפי תקן</v>
          </cell>
        </row>
        <row r="4016">
          <cell r="A4016">
            <v>1812200110</v>
          </cell>
          <cell r="B4016" t="str">
            <v>השכר הקובע-תקציבית</v>
          </cell>
          <cell r="C4016">
            <v>196000</v>
          </cell>
        </row>
        <row r="4017">
          <cell r="A4017">
            <v>1812200119</v>
          </cell>
          <cell r="B4017" t="str">
            <v xml:space="preserve">השכר הקובע-צוברת  </v>
          </cell>
          <cell r="C4017">
            <v>220500</v>
          </cell>
        </row>
        <row r="4018">
          <cell r="A4018">
            <v>1812200122</v>
          </cell>
          <cell r="B4018" t="str">
            <v xml:space="preserve">ביגוד             </v>
          </cell>
          <cell r="C4018">
            <v>2000</v>
          </cell>
        </row>
        <row r="4019">
          <cell r="A4019">
            <v>1812200126</v>
          </cell>
          <cell r="B4019" t="str">
            <v xml:space="preserve">דמי הבראה         </v>
          </cell>
          <cell r="C4019">
            <v>13500</v>
          </cell>
        </row>
        <row r="4020">
          <cell r="A4020">
            <v>1812200130</v>
          </cell>
          <cell r="B4020" t="str">
            <v xml:space="preserve">שעות נוספות       </v>
          </cell>
        </row>
        <row r="4021">
          <cell r="A4021">
            <v>1812200200</v>
          </cell>
          <cell r="B4021" t="str">
            <v>שכר עובדים ללא תקן</v>
          </cell>
        </row>
        <row r="4022">
          <cell r="A4022">
            <v>1812200210</v>
          </cell>
          <cell r="B4022" t="str">
            <v xml:space="preserve">השכר הקובע        </v>
          </cell>
        </row>
        <row r="4023">
          <cell r="A4023">
            <v>1812200253</v>
          </cell>
          <cell r="B4023" t="str">
            <v xml:space="preserve">סייעות - קבלן     </v>
          </cell>
        </row>
        <row r="4024">
          <cell r="A4024">
            <v>1812200255</v>
          </cell>
          <cell r="B4024" t="str">
            <v xml:space="preserve">מילוי מקום        </v>
          </cell>
        </row>
        <row r="4025">
          <cell r="A4025">
            <v>1812200261</v>
          </cell>
          <cell r="B4025" t="str">
            <v xml:space="preserve">משכורות לגננות    </v>
          </cell>
        </row>
        <row r="4026">
          <cell r="A4026">
            <v>1812200263</v>
          </cell>
          <cell r="B4026" t="str">
            <v xml:space="preserve">משלימות ימי ו'    </v>
          </cell>
        </row>
        <row r="4027">
          <cell r="A4027">
            <v>1812200264</v>
          </cell>
          <cell r="B4027" t="str">
            <v>תקן קבועים ממוסדות</v>
          </cell>
        </row>
        <row r="4028">
          <cell r="A4028">
            <v>1812200400</v>
          </cell>
          <cell r="B4028" t="str">
            <v>אחזקת בנינים וציוד</v>
          </cell>
        </row>
        <row r="4029">
          <cell r="A4029">
            <v>1812200420</v>
          </cell>
          <cell r="B4029" t="str">
            <v xml:space="preserve">כיבוי אש          </v>
          </cell>
          <cell r="C4029">
            <v>85000</v>
          </cell>
        </row>
        <row r="4030">
          <cell r="A4030">
            <v>1812200423</v>
          </cell>
          <cell r="B4030" t="str">
            <v xml:space="preserve">תחזוקת מבנה       </v>
          </cell>
        </row>
        <row r="4031">
          <cell r="A4031">
            <v>1812200430</v>
          </cell>
          <cell r="B4031" t="str">
            <v xml:space="preserve">גז לגנים          </v>
          </cell>
        </row>
        <row r="4032">
          <cell r="A4032">
            <v>1812200431</v>
          </cell>
          <cell r="B4032" t="str">
            <v xml:space="preserve">חשמל              </v>
          </cell>
          <cell r="C4032">
            <v>1782000</v>
          </cell>
        </row>
        <row r="4033">
          <cell r="A4033">
            <v>1812200432</v>
          </cell>
          <cell r="B4033" t="str">
            <v xml:space="preserve">מים               </v>
          </cell>
          <cell r="C4033">
            <v>1000000</v>
          </cell>
        </row>
        <row r="4034">
          <cell r="A4034">
            <v>1812200433</v>
          </cell>
          <cell r="B4034" t="str">
            <v xml:space="preserve">חומרי נקיון       </v>
          </cell>
          <cell r="C4034">
            <v>173700</v>
          </cell>
        </row>
        <row r="4035">
          <cell r="A4035">
            <v>1812200434</v>
          </cell>
          <cell r="B4035" t="str">
            <v xml:space="preserve">חיטוי והדברה      </v>
          </cell>
          <cell r="C4035">
            <v>27000</v>
          </cell>
        </row>
        <row r="4036">
          <cell r="A4036">
            <v>1812200437</v>
          </cell>
          <cell r="B4036" t="str">
            <v xml:space="preserve">אחזקת אזעקה       </v>
          </cell>
          <cell r="C4036">
            <v>22000</v>
          </cell>
        </row>
        <row r="4037">
          <cell r="A4037">
            <v>1812200441</v>
          </cell>
          <cell r="B4037" t="str">
            <v xml:space="preserve">ביטוח             </v>
          </cell>
        </row>
        <row r="4038">
          <cell r="A4038">
            <v>1812200450</v>
          </cell>
          <cell r="B4038" t="str">
            <v xml:space="preserve">ריהוט ואחזקתו     </v>
          </cell>
        </row>
        <row r="4039">
          <cell r="A4039">
            <v>1812200471</v>
          </cell>
          <cell r="B4039" t="str">
            <v>מכשרי כתיבה</v>
          </cell>
          <cell r="C4039">
            <v>5100</v>
          </cell>
        </row>
        <row r="4040">
          <cell r="A4040">
            <v>1812200500</v>
          </cell>
          <cell r="B4040" t="str">
            <v xml:space="preserve">הוצאות מינהליות   </v>
          </cell>
        </row>
        <row r="4041">
          <cell r="A4041">
            <v>1812200521</v>
          </cell>
          <cell r="B4041" t="str">
            <v>השת' השתלמות ע'לגנ</v>
          </cell>
        </row>
        <row r="4042">
          <cell r="A4042">
            <v>1812200540</v>
          </cell>
          <cell r="B4042" t="str">
            <v xml:space="preserve">הוצאות טלפון      </v>
          </cell>
          <cell r="C4042">
            <v>132000</v>
          </cell>
        </row>
        <row r="4043">
          <cell r="A4043">
            <v>1812200541</v>
          </cell>
          <cell r="B4043" t="str">
            <v xml:space="preserve">משלוח דאר         </v>
          </cell>
        </row>
        <row r="4044">
          <cell r="A4044">
            <v>1812200544</v>
          </cell>
          <cell r="B4044" t="str">
            <v xml:space="preserve">הוצאות דאר        </v>
          </cell>
          <cell r="C4044">
            <v>4500</v>
          </cell>
        </row>
        <row r="4045">
          <cell r="A4045">
            <v>1812200551</v>
          </cell>
          <cell r="B4045" t="str">
            <v xml:space="preserve">מודעות והדבקתן    </v>
          </cell>
        </row>
        <row r="4046">
          <cell r="A4046">
            <v>1812200561</v>
          </cell>
          <cell r="B4046" t="str">
            <v xml:space="preserve">שיכפולים          </v>
          </cell>
        </row>
        <row r="4047">
          <cell r="A4047">
            <v>1812200562</v>
          </cell>
          <cell r="B4047" t="str">
            <v>הדפסות לרישום גנים</v>
          </cell>
          <cell r="C4047">
            <v>51300</v>
          </cell>
        </row>
        <row r="4048">
          <cell r="A4048">
            <v>1812200563</v>
          </cell>
          <cell r="B4048" t="str">
            <v xml:space="preserve">הדפסות  אוטומציה  </v>
          </cell>
          <cell r="C4048">
            <v>333500</v>
          </cell>
        </row>
        <row r="4049">
          <cell r="A4049">
            <v>1812200571</v>
          </cell>
          <cell r="B4049" t="str">
            <v xml:space="preserve">מיכון וענ"א       </v>
          </cell>
        </row>
        <row r="4050">
          <cell r="A4050">
            <v>1812200700</v>
          </cell>
          <cell r="B4050" t="str">
            <v xml:space="preserve">הוצאות לפעולות    </v>
          </cell>
        </row>
        <row r="4051">
          <cell r="A4051">
            <v>1812200710</v>
          </cell>
          <cell r="B4051" t="str">
            <v xml:space="preserve">הובלות  והסעות    </v>
          </cell>
          <cell r="C4051">
            <v>57000</v>
          </cell>
        </row>
        <row r="4052">
          <cell r="A4052">
            <v>1812200721</v>
          </cell>
          <cell r="B4052" t="str">
            <v>חמרים-תחזוקת מבנים</v>
          </cell>
        </row>
        <row r="4053">
          <cell r="A4053">
            <v>1812200722</v>
          </cell>
          <cell r="B4053" t="str">
            <v>חמרים-תחזוקה עצמית</v>
          </cell>
        </row>
        <row r="4054">
          <cell r="A4054">
            <v>1812200723</v>
          </cell>
          <cell r="B4054" t="str">
            <v xml:space="preserve">חומרים לגנים      </v>
          </cell>
          <cell r="C4054">
            <v>512000</v>
          </cell>
        </row>
        <row r="4055">
          <cell r="A4055">
            <v>1812200724</v>
          </cell>
          <cell r="B4055" t="str">
            <v xml:space="preserve">חול לגנים         </v>
          </cell>
        </row>
        <row r="4056">
          <cell r="A4056">
            <v>1812200742</v>
          </cell>
          <cell r="B4056" t="str">
            <v xml:space="preserve">כלים וציוד        </v>
          </cell>
        </row>
        <row r="4057">
          <cell r="A4057">
            <v>1812200743</v>
          </cell>
          <cell r="B4057" t="str">
            <v>תחזוקת ציוד מחשבים</v>
          </cell>
        </row>
        <row r="4058">
          <cell r="A4058">
            <v>1812200745</v>
          </cell>
          <cell r="B4058" t="str">
            <v xml:space="preserve">דמי פריצה - תכולה </v>
          </cell>
        </row>
        <row r="4059">
          <cell r="A4059">
            <v>1812200746</v>
          </cell>
          <cell r="B4059" t="str">
            <v xml:space="preserve">דמי פריצה - מבנה  </v>
          </cell>
        </row>
        <row r="4060">
          <cell r="A4060">
            <v>1812200750</v>
          </cell>
          <cell r="B4060" t="str">
            <v>אחזקת מוסדות</v>
          </cell>
          <cell r="C4060">
            <v>5119000</v>
          </cell>
        </row>
        <row r="4061">
          <cell r="A4061">
            <v>1812200751</v>
          </cell>
          <cell r="B4061" t="str">
            <v xml:space="preserve">עבודות קבלניות    </v>
          </cell>
        </row>
        <row r="4062">
          <cell r="A4062">
            <v>1812200752</v>
          </cell>
          <cell r="B4062" t="str">
            <v xml:space="preserve">נקיון בקבלנות     </v>
          </cell>
          <cell r="C4062">
            <v>51600</v>
          </cell>
        </row>
        <row r="4063">
          <cell r="A4063">
            <v>1812200753</v>
          </cell>
          <cell r="B4063" t="str">
            <v xml:space="preserve">סייעות - קבלן     </v>
          </cell>
        </row>
        <row r="4064">
          <cell r="A4064">
            <v>1812200755</v>
          </cell>
          <cell r="B4064" t="str">
            <v xml:space="preserve">מילוי מקום        </v>
          </cell>
        </row>
        <row r="4065">
          <cell r="A4065">
            <v>1812200756</v>
          </cell>
          <cell r="B4065" t="str">
            <v xml:space="preserve">שמירה וסדרנות     </v>
          </cell>
          <cell r="C4065">
            <v>50000</v>
          </cell>
        </row>
        <row r="4066">
          <cell r="A4066">
            <v>1812200757</v>
          </cell>
          <cell r="B4066" t="str">
            <v>ע' לגננות+משלימות</v>
          </cell>
          <cell r="C4066">
            <v>57100000</v>
          </cell>
        </row>
        <row r="4067">
          <cell r="A4067">
            <v>1812200758</v>
          </cell>
          <cell r="B4067" t="str">
            <v>תחזוקת מתקני חצר</v>
          </cell>
        </row>
        <row r="4068">
          <cell r="A4068">
            <v>1812200759</v>
          </cell>
          <cell r="B4068" t="str">
            <v>שרותי סייעות</v>
          </cell>
          <cell r="C4068">
            <v>32378000</v>
          </cell>
        </row>
        <row r="4069">
          <cell r="A4069">
            <v>1812200761</v>
          </cell>
          <cell r="B4069" t="str">
            <v xml:space="preserve">משכורות לגננות    </v>
          </cell>
          <cell r="C4069">
            <v>45143000</v>
          </cell>
        </row>
        <row r="4070">
          <cell r="A4070">
            <v>1812200763</v>
          </cell>
          <cell r="B4070" t="str">
            <v xml:space="preserve">משלימות ימי ו'    </v>
          </cell>
        </row>
        <row r="4071">
          <cell r="A4071">
            <v>1812200764</v>
          </cell>
          <cell r="B4071" t="str">
            <v>תקן קבועים ממוסדות</v>
          </cell>
        </row>
        <row r="4072">
          <cell r="A4072">
            <v>1812200765</v>
          </cell>
          <cell r="B4072" t="str">
            <v>גננות  מדינה בתקן</v>
          </cell>
        </row>
        <row r="4073">
          <cell r="A4073">
            <v>1812200780</v>
          </cell>
          <cell r="B4073" t="str">
            <v xml:space="preserve">השתתפות במרפ"ד    </v>
          </cell>
        </row>
        <row r="4074">
          <cell r="A4074">
            <v>1812200781</v>
          </cell>
          <cell r="B4074" t="str">
            <v xml:space="preserve">ארועים            </v>
          </cell>
          <cell r="C4074">
            <v>505400</v>
          </cell>
        </row>
        <row r="4075">
          <cell r="A4075">
            <v>1812200782</v>
          </cell>
          <cell r="B4075" t="str">
            <v>הזנת גני ג'סי</v>
          </cell>
        </row>
        <row r="4076">
          <cell r="A4076">
            <v>1812200784</v>
          </cell>
          <cell r="B4076" t="str">
            <v>שחמט בגנ"י בג'סי כהן ובת"ג</v>
          </cell>
          <cell r="C4076">
            <v>399000</v>
          </cell>
        </row>
        <row r="4077">
          <cell r="A4077">
            <v>1812200794</v>
          </cell>
          <cell r="B4077" t="str">
            <v xml:space="preserve">השתתפות בעזר 094  </v>
          </cell>
        </row>
        <row r="4078">
          <cell r="A4078">
            <v>1812200800</v>
          </cell>
          <cell r="B4078" t="str">
            <v>השת' תמיכות תרומות</v>
          </cell>
        </row>
        <row r="4079">
          <cell r="A4079">
            <v>1812200785</v>
          </cell>
          <cell r="B4079" t="str">
            <v>תכנית פאזל</v>
          </cell>
          <cell r="C4079">
            <v>90000</v>
          </cell>
        </row>
        <row r="4080">
          <cell r="A4080">
            <v>1812200900</v>
          </cell>
          <cell r="B4080" t="str">
            <v xml:space="preserve">הוצאות חד פעמיות  </v>
          </cell>
        </row>
        <row r="4081">
          <cell r="A4081">
            <v>1812200931</v>
          </cell>
          <cell r="B4081" t="str">
            <v>רכ' כנגד מש' חינוך</v>
          </cell>
          <cell r="C4081">
            <v>25000</v>
          </cell>
        </row>
        <row r="4082">
          <cell r="A4082">
            <v>1812200932</v>
          </cell>
          <cell r="B4082" t="str">
            <v>העשרת הסביבה (מהמשרד)</v>
          </cell>
          <cell r="C4082">
            <v>133000</v>
          </cell>
        </row>
        <row r="4083">
          <cell r="A4083">
            <v>1812200933</v>
          </cell>
          <cell r="B4083" t="str">
            <v xml:space="preserve">מתקני חצר         </v>
          </cell>
        </row>
        <row r="4084">
          <cell r="A4084">
            <v>1812200934</v>
          </cell>
          <cell r="B4084" t="str">
            <v xml:space="preserve">חומרים-ח"מ חופשות </v>
          </cell>
        </row>
        <row r="4085">
          <cell r="A4085">
            <v>1812200961</v>
          </cell>
          <cell r="B4085" t="str">
            <v>רז' פעולות ורכישות</v>
          </cell>
        </row>
        <row r="4086">
          <cell r="A4086">
            <v>1812200980</v>
          </cell>
          <cell r="B4086" t="str">
            <v xml:space="preserve">כנגד קייטנות      </v>
          </cell>
        </row>
        <row r="4087">
          <cell r="A4087" t="str">
            <v>#VALUE!</v>
          </cell>
          <cell r="B4087" t="str">
            <v xml:space="preserve">גני ילדים         </v>
          </cell>
        </row>
        <row r="4088">
          <cell r="A4088">
            <v>18122100</v>
          </cell>
          <cell r="B4088" t="str">
            <v>גנ"י - חינוך מיוחד</v>
          </cell>
        </row>
        <row r="4089">
          <cell r="A4089">
            <v>1812210110</v>
          </cell>
          <cell r="B4089" t="str">
            <v>השכר הקובע-תקציבית</v>
          </cell>
        </row>
        <row r="4090">
          <cell r="A4090">
            <v>1812210119</v>
          </cell>
          <cell r="B4090" t="str">
            <v xml:space="preserve">השכר הקובע-צוברת  </v>
          </cell>
        </row>
        <row r="4091">
          <cell r="A4091">
            <v>1812210122</v>
          </cell>
          <cell r="B4091" t="str">
            <v xml:space="preserve">ביגוד             </v>
          </cell>
          <cell r="C4091">
            <v>0</v>
          </cell>
        </row>
        <row r="4092">
          <cell r="A4092">
            <v>1812210126</v>
          </cell>
          <cell r="B4092" t="str">
            <v xml:space="preserve">דמי הבראה         </v>
          </cell>
        </row>
        <row r="4093">
          <cell r="A4093">
            <v>1812210130</v>
          </cell>
          <cell r="B4093" t="str">
            <v xml:space="preserve">שעות נוספות       </v>
          </cell>
        </row>
        <row r="4094">
          <cell r="A4094">
            <v>1812210210</v>
          </cell>
          <cell r="B4094" t="str">
            <v>השכר הקובע</v>
          </cell>
        </row>
        <row r="4095">
          <cell r="A4095">
            <v>1812210253</v>
          </cell>
          <cell r="B4095" t="str">
            <v xml:space="preserve">סייעות - קבלן     </v>
          </cell>
        </row>
        <row r="4096">
          <cell r="A4096">
            <v>1812210255</v>
          </cell>
          <cell r="B4096" t="str">
            <v xml:space="preserve">מילוי מקום        </v>
          </cell>
        </row>
        <row r="4097">
          <cell r="A4097">
            <v>1812210263</v>
          </cell>
          <cell r="B4097" t="str">
            <v xml:space="preserve">משלימות ימי ו'    </v>
          </cell>
        </row>
        <row r="4098">
          <cell r="A4098">
            <v>1812210264</v>
          </cell>
          <cell r="B4098" t="str">
            <v xml:space="preserve">תקן מחברת מוסדות  </v>
          </cell>
        </row>
        <row r="4099">
          <cell r="A4099">
            <v>1812210420</v>
          </cell>
          <cell r="B4099" t="str">
            <v xml:space="preserve">כיבוי אש          </v>
          </cell>
          <cell r="C4099">
            <v>3000</v>
          </cell>
        </row>
        <row r="4100">
          <cell r="A4100">
            <v>1812210430</v>
          </cell>
          <cell r="B4100" t="str">
            <v xml:space="preserve">גז לגנים          </v>
          </cell>
        </row>
        <row r="4101">
          <cell r="A4101">
            <v>1812210431</v>
          </cell>
          <cell r="B4101" t="str">
            <v xml:space="preserve">חשמל              </v>
          </cell>
        </row>
        <row r="4102">
          <cell r="A4102">
            <v>1812210432</v>
          </cell>
          <cell r="B4102" t="str">
            <v xml:space="preserve">מים               </v>
          </cell>
        </row>
        <row r="4103">
          <cell r="A4103">
            <v>1812210433</v>
          </cell>
          <cell r="B4103" t="str">
            <v xml:space="preserve">חומרי ניקיון      </v>
          </cell>
          <cell r="C4103">
            <v>25000</v>
          </cell>
        </row>
        <row r="4104">
          <cell r="A4104">
            <v>1812210434</v>
          </cell>
          <cell r="B4104" t="str">
            <v xml:space="preserve">חיטוי והדברה      </v>
          </cell>
        </row>
        <row r="4105">
          <cell r="A4105">
            <v>1812210437</v>
          </cell>
          <cell r="B4105" t="str">
            <v xml:space="preserve">אחזקת אזעקה       </v>
          </cell>
        </row>
        <row r="4106">
          <cell r="A4106">
            <v>1812210441</v>
          </cell>
          <cell r="B4106" t="str">
            <v xml:space="preserve">ביטוח             </v>
          </cell>
        </row>
        <row r="4107">
          <cell r="A4107">
            <v>1812210450</v>
          </cell>
          <cell r="B4107" t="str">
            <v xml:space="preserve">ריהוט ואחזקתו     </v>
          </cell>
        </row>
        <row r="4108">
          <cell r="A4108">
            <v>1812210540</v>
          </cell>
          <cell r="B4108" t="str">
            <v xml:space="preserve">הוצאות טלפון      </v>
          </cell>
          <cell r="C4108">
            <v>20000</v>
          </cell>
        </row>
        <row r="4109">
          <cell r="A4109">
            <v>1812210544</v>
          </cell>
          <cell r="B4109" t="str">
            <v xml:space="preserve">הוצאות דאר        </v>
          </cell>
        </row>
        <row r="4110">
          <cell r="A4110">
            <v>1812210561</v>
          </cell>
          <cell r="B4110" t="str">
            <v xml:space="preserve">שיכפולים          </v>
          </cell>
        </row>
        <row r="4111">
          <cell r="A4111">
            <v>1812210710</v>
          </cell>
          <cell r="B4111" t="str">
            <v xml:space="preserve">הובלות והסעות     </v>
          </cell>
        </row>
        <row r="4112">
          <cell r="A4112">
            <v>1812210721</v>
          </cell>
          <cell r="B4112" t="str">
            <v>חמרים-תחזוקת מבנים</v>
          </cell>
        </row>
        <row r="4113">
          <cell r="A4113">
            <v>1812210723</v>
          </cell>
          <cell r="B4113" t="str">
            <v xml:space="preserve">חומרים לגנים      </v>
          </cell>
          <cell r="C4113">
            <v>120000</v>
          </cell>
        </row>
        <row r="4114">
          <cell r="A4114">
            <v>1812210724</v>
          </cell>
          <cell r="B4114" t="str">
            <v xml:space="preserve">חול לגנים         </v>
          </cell>
        </row>
        <row r="4115">
          <cell r="A4115">
            <v>1812210742</v>
          </cell>
          <cell r="B4115" t="str">
            <v xml:space="preserve">כלים וציוד        </v>
          </cell>
        </row>
        <row r="4116">
          <cell r="A4116">
            <v>1812210745</v>
          </cell>
          <cell r="B4116" t="str">
            <v xml:space="preserve">דמי פריצה - תכולה </v>
          </cell>
        </row>
        <row r="4117">
          <cell r="A4117">
            <v>1812210751</v>
          </cell>
          <cell r="B4117" t="str">
            <v xml:space="preserve">עבודות קבלניות    </v>
          </cell>
        </row>
        <row r="4118">
          <cell r="A4118">
            <v>1812210753</v>
          </cell>
          <cell r="B4118" t="str">
            <v xml:space="preserve">סייעות - קבלן     </v>
          </cell>
        </row>
        <row r="4119">
          <cell r="A4119">
            <v>1812210755</v>
          </cell>
          <cell r="B4119" t="str">
            <v xml:space="preserve">מילוי מקום        </v>
          </cell>
        </row>
        <row r="4120">
          <cell r="A4120">
            <v>1812210757</v>
          </cell>
          <cell r="B4120" t="str">
            <v>ע' לגננות+משלימות</v>
          </cell>
          <cell r="C4120">
            <v>7793000</v>
          </cell>
        </row>
        <row r="4121">
          <cell r="A4121">
            <v>1812210759</v>
          </cell>
          <cell r="B4121" t="str">
            <v>שרותי סייעות</v>
          </cell>
          <cell r="C4121">
            <v>7236000</v>
          </cell>
        </row>
        <row r="4122">
          <cell r="A4122">
            <v>1812210763</v>
          </cell>
          <cell r="B4122" t="str">
            <v xml:space="preserve">משלימות ימי ו'    </v>
          </cell>
        </row>
        <row r="4123">
          <cell r="A4123">
            <v>1812210764</v>
          </cell>
          <cell r="B4123" t="str">
            <v xml:space="preserve">תקן מחברת מוסדות  </v>
          </cell>
        </row>
        <row r="4124">
          <cell r="A4124">
            <v>1812210781</v>
          </cell>
          <cell r="B4124" t="str">
            <v xml:space="preserve">ארועים מהכנסות    </v>
          </cell>
        </row>
        <row r="4125">
          <cell r="A4125">
            <v>1812210782</v>
          </cell>
          <cell r="B4125" t="str">
            <v xml:space="preserve">השתתפות בהזנה     </v>
          </cell>
          <cell r="C4125">
            <v>904000</v>
          </cell>
        </row>
        <row r="4126">
          <cell r="A4126">
            <v>1812210783</v>
          </cell>
          <cell r="B4126" t="str">
            <v>גן אחי"ה</v>
          </cell>
        </row>
        <row r="4127">
          <cell r="A4127">
            <v>1812210931</v>
          </cell>
          <cell r="B4127" t="str">
            <v>רכ' כנגד מש' חינוך</v>
          </cell>
          <cell r="C4127">
            <v>30000</v>
          </cell>
        </row>
        <row r="4128">
          <cell r="A4128">
            <v>1812210933</v>
          </cell>
          <cell r="B4128" t="str">
            <v xml:space="preserve">מתקני חצר         </v>
          </cell>
        </row>
        <row r="4129">
          <cell r="A4129">
            <v>1812210934</v>
          </cell>
          <cell r="B4129" t="str">
            <v xml:space="preserve">חומרים-ח"מ חופשות </v>
          </cell>
          <cell r="C4129">
            <v>200700</v>
          </cell>
        </row>
        <row r="4130">
          <cell r="A4130">
            <v>1812210935</v>
          </cell>
          <cell r="B4130" t="str">
            <v>גן לכיש - איל"ן</v>
          </cell>
        </row>
        <row r="4131">
          <cell r="A4131">
            <v>1812210961</v>
          </cell>
          <cell r="B4131" t="str">
            <v>רז' פעולות ורכישות</v>
          </cell>
        </row>
        <row r="4132">
          <cell r="A4132" t="str">
            <v>#VALUE!</v>
          </cell>
          <cell r="B4132" t="str">
            <v>גנ"י - חינוך מיוחד</v>
          </cell>
        </row>
        <row r="4133">
          <cell r="A4133">
            <v>18123000</v>
          </cell>
          <cell r="B4133" t="str">
            <v xml:space="preserve">יוזמות גני ילדים  </v>
          </cell>
        </row>
        <row r="4134">
          <cell r="A4134">
            <v>1812300110</v>
          </cell>
          <cell r="B4134" t="str">
            <v>יוזמות גנים-תקציב'</v>
          </cell>
        </row>
        <row r="4135">
          <cell r="A4135">
            <v>1812300782</v>
          </cell>
          <cell r="B4135" t="str">
            <v xml:space="preserve">העשרה אשכול       </v>
          </cell>
        </row>
        <row r="4136">
          <cell r="A4136">
            <v>1812300783</v>
          </cell>
          <cell r="B4136" t="str">
            <v>גן דיגיטף</v>
          </cell>
        </row>
        <row r="4137">
          <cell r="A4137">
            <v>1812300784</v>
          </cell>
          <cell r="B4137" t="str">
            <v>מעטפ"ת</v>
          </cell>
          <cell r="C4137">
            <v>1182200</v>
          </cell>
        </row>
        <row r="4138">
          <cell r="A4138">
            <v>1812300785</v>
          </cell>
          <cell r="B4138" t="str">
            <v>מעג"ן-קרן שטיינמינץ</v>
          </cell>
        </row>
        <row r="4139">
          <cell r="A4139" t="str">
            <v>#VALUE!</v>
          </cell>
          <cell r="B4139" t="str">
            <v xml:space="preserve">יוזמות גני ילדים  </v>
          </cell>
        </row>
        <row r="4140">
          <cell r="A4140">
            <v>18123100</v>
          </cell>
          <cell r="B4140" t="str">
            <v xml:space="preserve">מרפ"ד הרצוג       </v>
          </cell>
        </row>
        <row r="4141">
          <cell r="A4141">
            <v>1812310110</v>
          </cell>
          <cell r="B4141" t="str">
            <v>השכר הקובע-תקציבית</v>
          </cell>
          <cell r="C4141">
            <v>93000</v>
          </cell>
        </row>
        <row r="4142">
          <cell r="A4142">
            <v>1812310119</v>
          </cell>
          <cell r="B4142" t="str">
            <v xml:space="preserve">השכר הקובע-צוברת  </v>
          </cell>
          <cell r="C4142">
            <v>92300</v>
          </cell>
        </row>
        <row r="4143">
          <cell r="A4143">
            <v>1812310122</v>
          </cell>
          <cell r="B4143" t="str">
            <v xml:space="preserve">ביגוד             </v>
          </cell>
          <cell r="C4143">
            <v>2500</v>
          </cell>
        </row>
        <row r="4144">
          <cell r="A4144">
            <v>1812310126</v>
          </cell>
          <cell r="B4144" t="str">
            <v xml:space="preserve">דמי הבראה         </v>
          </cell>
          <cell r="C4144">
            <v>7200</v>
          </cell>
        </row>
        <row r="4145">
          <cell r="A4145">
            <v>1812310210</v>
          </cell>
          <cell r="B4145" t="str">
            <v xml:space="preserve">השכר הקובע        </v>
          </cell>
        </row>
        <row r="4146">
          <cell r="A4146">
            <v>1812310263</v>
          </cell>
          <cell r="B4146" t="str">
            <v xml:space="preserve">עובדי חברת מוסדות </v>
          </cell>
        </row>
        <row r="4147">
          <cell r="A4147">
            <v>1812310763</v>
          </cell>
          <cell r="B4147" t="str">
            <v xml:space="preserve">עובדי חברת מוסדות </v>
          </cell>
        </row>
        <row r="4148">
          <cell r="A4148">
            <v>1812310781</v>
          </cell>
          <cell r="B4148" t="str">
            <v xml:space="preserve">פעולות            </v>
          </cell>
          <cell r="C4148">
            <v>34200</v>
          </cell>
        </row>
        <row r="4149">
          <cell r="A4149">
            <v>1812310784</v>
          </cell>
          <cell r="B4149" t="str">
            <v xml:space="preserve">חוגים והרצאות     </v>
          </cell>
        </row>
        <row r="4150">
          <cell r="A4150">
            <v>1812310961</v>
          </cell>
          <cell r="B4150" t="str">
            <v>רז' פעולות ורכישות</v>
          </cell>
        </row>
        <row r="4151">
          <cell r="A4151" t="str">
            <v>#VALUE!</v>
          </cell>
          <cell r="B4151" t="str">
            <v xml:space="preserve">מרפ"ד הרצוג       </v>
          </cell>
        </row>
        <row r="4152">
          <cell r="A4152">
            <v>18123300</v>
          </cell>
          <cell r="B4152" t="str">
            <v>גובה עינים-אוסישקין</v>
          </cell>
        </row>
        <row r="4153">
          <cell r="A4153">
            <v>1812330110</v>
          </cell>
          <cell r="B4153" t="str">
            <v>השכר הקובע-תקציבית</v>
          </cell>
        </row>
        <row r="4154">
          <cell r="A4154">
            <v>1812330119</v>
          </cell>
          <cell r="B4154" t="str">
            <v xml:space="preserve">השכר הקובע-צוברת  </v>
          </cell>
        </row>
        <row r="4155">
          <cell r="A4155">
            <v>1812330122</v>
          </cell>
          <cell r="B4155" t="str">
            <v xml:space="preserve">ביגוד             </v>
          </cell>
        </row>
        <row r="4156">
          <cell r="A4156">
            <v>1812330126</v>
          </cell>
          <cell r="B4156" t="str">
            <v xml:space="preserve">דמי הבראה         </v>
          </cell>
        </row>
        <row r="4157">
          <cell r="A4157">
            <v>1812330263</v>
          </cell>
          <cell r="B4157" t="str">
            <v xml:space="preserve">עובדי חברת מוסדות </v>
          </cell>
        </row>
        <row r="4158">
          <cell r="A4158">
            <v>1812330763</v>
          </cell>
          <cell r="B4158" t="str">
            <v xml:space="preserve">עובדי חברת מוסדות </v>
          </cell>
        </row>
        <row r="4159">
          <cell r="A4159">
            <v>1812330783</v>
          </cell>
          <cell r="B4159" t="str">
            <v>אוסישקין - מוזיאון</v>
          </cell>
        </row>
        <row r="4160">
          <cell r="A4160">
            <v>1812330870</v>
          </cell>
          <cell r="B4160" t="str">
            <v>אוסישקין - הפעלה</v>
          </cell>
        </row>
        <row r="4161">
          <cell r="A4161">
            <v>1812330872</v>
          </cell>
          <cell r="B4161" t="str">
            <v xml:space="preserve">בגובה העיניים ( הורים )    </v>
          </cell>
          <cell r="C4161">
            <v>250000</v>
          </cell>
        </row>
        <row r="4162">
          <cell r="A4162" t="str">
            <v>#VALUE!</v>
          </cell>
          <cell r="B4162" t="str">
            <v>גובה עינים-אוסישקין</v>
          </cell>
        </row>
        <row r="4163">
          <cell r="A4163">
            <v>18123600</v>
          </cell>
          <cell r="B4163" t="str">
            <v xml:space="preserve">ריתמוסיקה         </v>
          </cell>
        </row>
        <row r="4164">
          <cell r="A4164">
            <v>1812360210</v>
          </cell>
          <cell r="B4164" t="str">
            <v xml:space="preserve">השכר הקובע        </v>
          </cell>
        </row>
        <row r="4165">
          <cell r="A4165">
            <v>1812360263</v>
          </cell>
          <cell r="B4165" t="str">
            <v xml:space="preserve">עובדי חברת מוסדות </v>
          </cell>
        </row>
        <row r="4166">
          <cell r="A4166">
            <v>1812360763</v>
          </cell>
          <cell r="B4166" t="str">
            <v xml:space="preserve">עובדי חברת מוסדות </v>
          </cell>
        </row>
        <row r="4167">
          <cell r="A4167">
            <v>1812360785</v>
          </cell>
          <cell r="B4167" t="str">
            <v>ריתמ' בילוי ובידור</v>
          </cell>
        </row>
        <row r="4168">
          <cell r="A4168">
            <v>1812360872</v>
          </cell>
          <cell r="B4168" t="str">
            <v xml:space="preserve">ריתמוסיקה ( הורים )    </v>
          </cell>
          <cell r="C4168">
            <v>3500000</v>
          </cell>
        </row>
        <row r="4169">
          <cell r="A4169" t="str">
            <v>#VALUE!</v>
          </cell>
          <cell r="B4169" t="str">
            <v xml:space="preserve">ריתמוסיקה         </v>
          </cell>
        </row>
        <row r="4170">
          <cell r="A4170">
            <v>18123700</v>
          </cell>
          <cell r="B4170" t="str">
            <v>תיאטרון בובות</v>
          </cell>
        </row>
        <row r="4171">
          <cell r="A4171">
            <v>1812370782</v>
          </cell>
          <cell r="B4171" t="str">
            <v>תיאטרון בובות</v>
          </cell>
        </row>
        <row r="4172">
          <cell r="A4172">
            <v>1812370870</v>
          </cell>
          <cell r="B4172" t="str">
            <v>תיאטרון בובות</v>
          </cell>
          <cell r="C4172">
            <v>174000</v>
          </cell>
        </row>
        <row r="4173">
          <cell r="A4173">
            <v>1812370871</v>
          </cell>
          <cell r="B4173" t="str">
            <v>תיאטרון בובות-הכנס' מש'</v>
          </cell>
        </row>
        <row r="4174">
          <cell r="A4174">
            <v>1812370872</v>
          </cell>
          <cell r="B4174" t="str">
            <v xml:space="preserve">תיאטרון בובות ( הורים )    </v>
          </cell>
          <cell r="C4174">
            <v>250000</v>
          </cell>
        </row>
        <row r="4175">
          <cell r="A4175" t="str">
            <v>#VALUE!</v>
          </cell>
          <cell r="B4175" t="str">
            <v>תיאטרון בובות</v>
          </cell>
        </row>
        <row r="4176">
          <cell r="A4176">
            <v>18125000</v>
          </cell>
          <cell r="B4176" t="str">
            <v xml:space="preserve">יול"א בגני ילדים  </v>
          </cell>
        </row>
        <row r="4177">
          <cell r="A4177">
            <v>1812500110</v>
          </cell>
          <cell r="B4177" t="str">
            <v>השכר הקובע-תקציבית</v>
          </cell>
        </row>
        <row r="4178">
          <cell r="A4178">
            <v>1812500119</v>
          </cell>
          <cell r="B4178" t="str">
            <v xml:space="preserve">השכר הקובע-צוברת  </v>
          </cell>
        </row>
        <row r="4179">
          <cell r="A4179">
            <v>1812500122</v>
          </cell>
          <cell r="B4179" t="str">
            <v xml:space="preserve">ביגוד             </v>
          </cell>
        </row>
        <row r="4180">
          <cell r="A4180">
            <v>1812500126</v>
          </cell>
          <cell r="B4180" t="str">
            <v xml:space="preserve">דמי הבראה         </v>
          </cell>
        </row>
        <row r="4181">
          <cell r="A4181">
            <v>1812500264</v>
          </cell>
          <cell r="B4181" t="str">
            <v xml:space="preserve">יול"א-חברת מוסדות </v>
          </cell>
        </row>
        <row r="4182">
          <cell r="A4182">
            <v>1812500723</v>
          </cell>
          <cell r="B4182" t="str">
            <v xml:space="preserve">חומרי עבודה       </v>
          </cell>
        </row>
        <row r="4183">
          <cell r="A4183">
            <v>1812500724</v>
          </cell>
          <cell r="B4183" t="str">
            <v>מזון ליום לימ'ארוך</v>
          </cell>
        </row>
        <row r="4184">
          <cell r="A4184">
            <v>1812500744</v>
          </cell>
          <cell r="B4184" t="str">
            <v xml:space="preserve">ביגוד קייטנה      </v>
          </cell>
        </row>
        <row r="4185">
          <cell r="A4185">
            <v>1812500755</v>
          </cell>
          <cell r="B4185" t="str">
            <v>עוזרות לגננות-קבלן</v>
          </cell>
        </row>
        <row r="4186">
          <cell r="A4186">
            <v>1812500756</v>
          </cell>
          <cell r="B4186" t="str">
            <v>שמירה-קיטנות יול"א</v>
          </cell>
        </row>
        <row r="4187">
          <cell r="A4187">
            <v>1812500764</v>
          </cell>
          <cell r="B4187" t="str">
            <v xml:space="preserve">יול"א-חברת מוסדות </v>
          </cell>
        </row>
        <row r="4188">
          <cell r="A4188">
            <v>1812500780</v>
          </cell>
          <cell r="B4188" t="str">
            <v xml:space="preserve">תקורה             </v>
          </cell>
        </row>
        <row r="4189">
          <cell r="A4189">
            <v>1812500789</v>
          </cell>
          <cell r="B4189" t="str">
            <v xml:space="preserve">פעולות העשרה      </v>
          </cell>
        </row>
        <row r="4190">
          <cell r="A4190">
            <v>1812500794</v>
          </cell>
          <cell r="B4190" t="str">
            <v xml:space="preserve">השתתפות בעזר 094  </v>
          </cell>
        </row>
        <row r="4191">
          <cell r="A4191">
            <v>1812500871</v>
          </cell>
          <cell r="B4191" t="str">
            <v>צהרונים - פרוייקט ניצנים</v>
          </cell>
        </row>
        <row r="4192">
          <cell r="A4192">
            <v>1812500872</v>
          </cell>
          <cell r="B4192" t="str">
            <v xml:space="preserve">יול"א ( הורים )    </v>
          </cell>
        </row>
        <row r="4193">
          <cell r="A4193" t="str">
            <v>#VALUE!</v>
          </cell>
          <cell r="B4193" t="str">
            <v xml:space="preserve">יול"א בגני ילדים  </v>
          </cell>
        </row>
        <row r="4194">
          <cell r="A4194">
            <v>18130000</v>
          </cell>
          <cell r="B4194" t="str">
            <v xml:space="preserve">חינוך יסודי       </v>
          </cell>
        </row>
        <row r="4195">
          <cell r="A4195">
            <v>18132000</v>
          </cell>
          <cell r="B4195" t="str">
            <v xml:space="preserve">בתי ספר יסודיים   </v>
          </cell>
        </row>
        <row r="4196">
          <cell r="A4196">
            <v>1813200100</v>
          </cell>
          <cell r="B4196" t="str">
            <v>שכר עובדים לפי תקן</v>
          </cell>
        </row>
        <row r="4197">
          <cell r="A4197">
            <v>1813200110</v>
          </cell>
          <cell r="B4197" t="str">
            <v>השכר הקובע-תקציבית</v>
          </cell>
          <cell r="C4197">
            <v>852600</v>
          </cell>
        </row>
        <row r="4198">
          <cell r="A4198">
            <v>1813200119</v>
          </cell>
          <cell r="B4198" t="str">
            <v xml:space="preserve">השכר הקובע-צוברת  </v>
          </cell>
          <cell r="C4198">
            <v>8904800</v>
          </cell>
        </row>
        <row r="4199">
          <cell r="A4199">
            <v>1813200122</v>
          </cell>
          <cell r="B4199" t="str">
            <v xml:space="preserve">ביגוד             </v>
          </cell>
          <cell r="C4199">
            <v>113500</v>
          </cell>
        </row>
        <row r="4200">
          <cell r="A4200">
            <v>1813200126</v>
          </cell>
          <cell r="B4200" t="str">
            <v xml:space="preserve">דמי הבראה         </v>
          </cell>
          <cell r="C4200">
            <v>281000</v>
          </cell>
        </row>
        <row r="4201">
          <cell r="A4201">
            <v>1813200130</v>
          </cell>
          <cell r="B4201" t="str">
            <v xml:space="preserve">שעות נוספות       </v>
          </cell>
          <cell r="C4201">
            <v>179200</v>
          </cell>
        </row>
        <row r="4202">
          <cell r="A4202">
            <v>1813200140</v>
          </cell>
          <cell r="B4202" t="str">
            <v>השתתפות באחזקת רכב</v>
          </cell>
          <cell r="C4202">
            <v>42600</v>
          </cell>
        </row>
        <row r="4203">
          <cell r="A4203">
            <v>1813200200</v>
          </cell>
          <cell r="B4203" t="str">
            <v>שכר עובדים ללא תקן</v>
          </cell>
        </row>
        <row r="4204">
          <cell r="A4204">
            <v>1813200210</v>
          </cell>
          <cell r="B4204" t="str">
            <v xml:space="preserve">השכר הקובע        </v>
          </cell>
        </row>
        <row r="4205">
          <cell r="A4205">
            <v>1813200213</v>
          </cell>
          <cell r="B4205" t="str">
            <v xml:space="preserve">קבוצות טיפוליות   </v>
          </cell>
          <cell r="C4205">
            <v>60000</v>
          </cell>
        </row>
        <row r="4206">
          <cell r="A4206">
            <v>1813200214</v>
          </cell>
          <cell r="B4206" t="str">
            <v>תל"ן דביר</v>
          </cell>
        </row>
        <row r="4207">
          <cell r="A4207">
            <v>1813200215</v>
          </cell>
          <cell r="B4207" t="str">
            <v>קייטנת קיץ בחט"ב ובתיכוניים</v>
          </cell>
        </row>
        <row r="4208">
          <cell r="A4208">
            <v>1813200255</v>
          </cell>
          <cell r="B4208" t="str">
            <v xml:space="preserve">מ"מ מזכירה ושרתים </v>
          </cell>
          <cell r="C4208">
            <v>150000</v>
          </cell>
        </row>
        <row r="4209">
          <cell r="A4209">
            <v>1813200257</v>
          </cell>
          <cell r="B4209" t="str">
            <v>שרתים ו'-ח' כלכלית</v>
          </cell>
        </row>
        <row r="4210">
          <cell r="A4210">
            <v>1813200263</v>
          </cell>
          <cell r="B4210" t="str">
            <v xml:space="preserve">עובדי חב' מוסדות  </v>
          </cell>
          <cell r="C4210">
            <v>250000</v>
          </cell>
        </row>
        <row r="4211">
          <cell r="A4211">
            <v>1813200264</v>
          </cell>
          <cell r="B4211" t="str">
            <v>סייעות-מוסדות+חברה</v>
          </cell>
        </row>
        <row r="4212">
          <cell r="A4212">
            <v>1813200400</v>
          </cell>
          <cell r="B4212" t="str">
            <v>אחזקת בנינים וציוד</v>
          </cell>
        </row>
        <row r="4213">
          <cell r="A4213">
            <v>1813200411</v>
          </cell>
          <cell r="B4213" t="str">
            <v xml:space="preserve">שכירת אולמות      </v>
          </cell>
        </row>
        <row r="4214">
          <cell r="A4214">
            <v>1813200413</v>
          </cell>
          <cell r="B4214" t="str">
            <v>דמי שימוש אולם שמיר</v>
          </cell>
          <cell r="C4214">
            <v>125000</v>
          </cell>
        </row>
        <row r="4215">
          <cell r="A4215">
            <v>1813200420</v>
          </cell>
          <cell r="B4215" t="str">
            <v xml:space="preserve">כיבוי אש          </v>
          </cell>
          <cell r="C4215">
            <v>110000</v>
          </cell>
        </row>
        <row r="4216">
          <cell r="A4216">
            <v>1813200423</v>
          </cell>
          <cell r="B4216" t="str">
            <v xml:space="preserve">תחזוקת מבנה       </v>
          </cell>
          <cell r="C4216">
            <v>616400</v>
          </cell>
        </row>
        <row r="4217">
          <cell r="A4217">
            <v>1813200430</v>
          </cell>
          <cell r="B4217" t="str">
            <v xml:space="preserve">גז לכלכלת  בית    </v>
          </cell>
        </row>
        <row r="4218">
          <cell r="A4218">
            <v>1813200431</v>
          </cell>
          <cell r="B4218" t="str">
            <v xml:space="preserve">חשמל              </v>
          </cell>
          <cell r="C4218">
            <v>2317000</v>
          </cell>
        </row>
        <row r="4219">
          <cell r="A4219">
            <v>1813200432</v>
          </cell>
          <cell r="B4219" t="str">
            <v xml:space="preserve">מים               </v>
          </cell>
          <cell r="C4219">
            <v>932700</v>
          </cell>
        </row>
        <row r="4220">
          <cell r="A4220">
            <v>1813200433</v>
          </cell>
          <cell r="B4220" t="str">
            <v xml:space="preserve">חומרי נקיון       </v>
          </cell>
        </row>
        <row r="4221">
          <cell r="A4221">
            <v>1813200434</v>
          </cell>
          <cell r="B4221" t="str">
            <v xml:space="preserve">חיטוי והדברה      </v>
          </cell>
        </row>
        <row r="4222">
          <cell r="A4222">
            <v>1813200437</v>
          </cell>
          <cell r="B4222" t="str">
            <v xml:space="preserve">אחזקת אזעקה       </v>
          </cell>
          <cell r="C4222">
            <v>60000</v>
          </cell>
        </row>
        <row r="4223">
          <cell r="A4223">
            <v>1813200438</v>
          </cell>
          <cell r="B4223" t="str">
            <v>הש'באח' מחשב ויצמן</v>
          </cell>
        </row>
        <row r="4224">
          <cell r="A4224">
            <v>1813200441</v>
          </cell>
          <cell r="B4224" t="str">
            <v xml:space="preserve">ביטוח             </v>
          </cell>
        </row>
        <row r="4225">
          <cell r="A4225">
            <v>1813200450</v>
          </cell>
          <cell r="B4225" t="str">
            <v xml:space="preserve">ריהוט ואחזקתו     </v>
          </cell>
        </row>
        <row r="4226">
          <cell r="A4226">
            <v>1813200451</v>
          </cell>
          <cell r="B4226" t="str">
            <v>הוצאות גפ"ן בית ספרי</v>
          </cell>
          <cell r="C4226">
            <v>1500000</v>
          </cell>
        </row>
        <row r="4227">
          <cell r="A4227">
            <v>1813200471</v>
          </cell>
          <cell r="B4227" t="str">
            <v xml:space="preserve">מכשירי כתיבה      </v>
          </cell>
        </row>
        <row r="4228">
          <cell r="A4228">
            <v>1813200473</v>
          </cell>
          <cell r="B4228" t="str">
            <v xml:space="preserve">אחזקת מכשירים     </v>
          </cell>
        </row>
        <row r="4229">
          <cell r="A4229">
            <v>1813200500</v>
          </cell>
          <cell r="B4229" t="str">
            <v xml:space="preserve">הוצאות מינהליות   </v>
          </cell>
        </row>
        <row r="4230">
          <cell r="A4230">
            <v>1813200511</v>
          </cell>
          <cell r="B4230" t="str">
            <v xml:space="preserve">אירוח וכיבוד      </v>
          </cell>
          <cell r="C4230">
            <v>81300</v>
          </cell>
        </row>
        <row r="4231">
          <cell r="A4231">
            <v>1813200512</v>
          </cell>
          <cell r="B4231" t="str">
            <v xml:space="preserve">נסיעות ואש"ל      </v>
          </cell>
        </row>
        <row r="4232">
          <cell r="A4232">
            <v>1813200517</v>
          </cell>
          <cell r="B4232" t="str">
            <v xml:space="preserve">מסיבות מפקדים ושי </v>
          </cell>
        </row>
        <row r="4233">
          <cell r="A4233">
            <v>1813200530</v>
          </cell>
          <cell r="B4233" t="str">
            <v xml:space="preserve">אופניים לעובדים   </v>
          </cell>
        </row>
        <row r="4234">
          <cell r="A4234">
            <v>1813200540</v>
          </cell>
          <cell r="B4234" t="str">
            <v xml:space="preserve">הוצאות טלפון      </v>
          </cell>
        </row>
        <row r="4235">
          <cell r="A4235">
            <v>1813200544</v>
          </cell>
          <cell r="B4235" t="str">
            <v xml:space="preserve">הוצאות דאר        </v>
          </cell>
        </row>
        <row r="4236">
          <cell r="A4236">
            <v>1813200551</v>
          </cell>
          <cell r="B4236" t="str">
            <v xml:space="preserve">פירסומים          </v>
          </cell>
          <cell r="C4236">
            <v>4500</v>
          </cell>
        </row>
        <row r="4237">
          <cell r="A4237">
            <v>1813200561</v>
          </cell>
          <cell r="B4237" t="str">
            <v xml:space="preserve">שיכפולים          </v>
          </cell>
        </row>
        <row r="4238">
          <cell r="A4238">
            <v>1813200562</v>
          </cell>
          <cell r="B4238" t="str">
            <v xml:space="preserve">הדפסות            </v>
          </cell>
          <cell r="C4238">
            <v>17000</v>
          </cell>
        </row>
        <row r="4239">
          <cell r="A4239">
            <v>1813200563</v>
          </cell>
          <cell r="B4239" t="str">
            <v xml:space="preserve">הדפסות אוטומציה   </v>
          </cell>
        </row>
        <row r="4240">
          <cell r="A4240">
            <v>1813200570</v>
          </cell>
          <cell r="B4240" t="str">
            <v xml:space="preserve">שרות מערכת מנב"ס  </v>
          </cell>
          <cell r="C4240">
            <v>150000</v>
          </cell>
        </row>
        <row r="4241">
          <cell r="A4241">
            <v>1813200571</v>
          </cell>
          <cell r="B4241" t="str">
            <v xml:space="preserve">מיכון וענ"א       </v>
          </cell>
        </row>
        <row r="4242">
          <cell r="A4242">
            <v>1813200580</v>
          </cell>
          <cell r="B4242" t="str">
            <v>יעוץ נהול עצמי</v>
          </cell>
          <cell r="C4242">
            <v>180000</v>
          </cell>
        </row>
        <row r="4243">
          <cell r="A4243">
            <v>1813200700</v>
          </cell>
          <cell r="B4243" t="str">
            <v xml:space="preserve">הוצאות לפעולות    </v>
          </cell>
        </row>
        <row r="4244">
          <cell r="A4244">
            <v>1813200710</v>
          </cell>
          <cell r="B4244" t="str">
            <v xml:space="preserve">הובלות והסעות     </v>
          </cell>
        </row>
        <row r="4245">
          <cell r="A4245">
            <v>1813200721</v>
          </cell>
          <cell r="B4245" t="str">
            <v>חמרים-תחזוקת מבנים</v>
          </cell>
          <cell r="C4245">
            <v>81000</v>
          </cell>
        </row>
        <row r="4246">
          <cell r="A4246">
            <v>1813200722</v>
          </cell>
          <cell r="B4246" t="str">
            <v>חמרים-תחזוקה עצמית</v>
          </cell>
        </row>
        <row r="4247">
          <cell r="A4247">
            <v>1813200723</v>
          </cell>
          <cell r="B4247" t="str">
            <v xml:space="preserve">אספקת חול וכורכר  </v>
          </cell>
        </row>
        <row r="4248">
          <cell r="A4248">
            <v>1813200725</v>
          </cell>
          <cell r="B4248" t="str">
            <v>קבוצות טיפוליות-מניעת נשירה</v>
          </cell>
          <cell r="C4248">
            <v>25000</v>
          </cell>
        </row>
        <row r="4249">
          <cell r="A4249">
            <v>1813200727</v>
          </cell>
          <cell r="B4249" t="str">
            <v>הוצאות אפיק (הכנ')</v>
          </cell>
        </row>
        <row r="4250">
          <cell r="A4250">
            <v>1813200728</v>
          </cell>
          <cell r="B4250" t="str">
            <v xml:space="preserve">מרכז טיפולי אפיק  </v>
          </cell>
        </row>
        <row r="4251">
          <cell r="A4251">
            <v>1813200729</v>
          </cell>
          <cell r="B4251" t="str">
            <v xml:space="preserve">החלפת נורות       </v>
          </cell>
        </row>
        <row r="4252">
          <cell r="A4252">
            <v>1813200741</v>
          </cell>
          <cell r="B4252" t="str">
            <v xml:space="preserve">ציוד ספורט        </v>
          </cell>
        </row>
        <row r="4253">
          <cell r="A4253">
            <v>1813200742</v>
          </cell>
          <cell r="B4253" t="str">
            <v xml:space="preserve">עזרי לימוד        </v>
          </cell>
        </row>
        <row r="4254">
          <cell r="A4254">
            <v>1813200743</v>
          </cell>
          <cell r="B4254" t="str">
            <v xml:space="preserve">ציוד למרכז לטבע   </v>
          </cell>
        </row>
        <row r="4255">
          <cell r="A4255">
            <v>1813200744</v>
          </cell>
          <cell r="B4255" t="str">
            <v xml:space="preserve">חקלאות            </v>
          </cell>
        </row>
        <row r="4256">
          <cell r="A4256">
            <v>1813200745</v>
          </cell>
          <cell r="B4256" t="str">
            <v xml:space="preserve">דמי פריצה - תכולה </v>
          </cell>
        </row>
        <row r="4257">
          <cell r="A4257">
            <v>1813200746</v>
          </cell>
          <cell r="B4257" t="str">
            <v xml:space="preserve">דמי פריצה - מבנה  </v>
          </cell>
        </row>
        <row r="4258">
          <cell r="A4258">
            <v>1813200747</v>
          </cell>
          <cell r="B4258" t="str">
            <v>ציוד בטיחות</v>
          </cell>
        </row>
        <row r="4259">
          <cell r="A4259">
            <v>1813200750</v>
          </cell>
          <cell r="B4259" t="str">
            <v>אחזקת מוסדות</v>
          </cell>
          <cell r="C4259">
            <v>8600000</v>
          </cell>
        </row>
        <row r="4260">
          <cell r="A4260">
            <v>1813200751</v>
          </cell>
          <cell r="B4260" t="str">
            <v xml:space="preserve">עבודות קבלניות    </v>
          </cell>
        </row>
        <row r="4261">
          <cell r="A4261">
            <v>1813200752</v>
          </cell>
          <cell r="B4261" t="str">
            <v xml:space="preserve">נקיון בקבלנות     </v>
          </cell>
          <cell r="C4261">
            <v>13363100</v>
          </cell>
        </row>
        <row r="4262">
          <cell r="A4262">
            <v>1813200753</v>
          </cell>
          <cell r="B4262" t="str">
            <v>מועדוניות שכונתיות</v>
          </cell>
          <cell r="C4262">
            <v>1311000</v>
          </cell>
        </row>
        <row r="4263">
          <cell r="A4263">
            <v>1813200755</v>
          </cell>
          <cell r="B4263" t="str">
            <v xml:space="preserve">מ"מ מזכירה ושרתים </v>
          </cell>
          <cell r="C4263">
            <v>90000</v>
          </cell>
        </row>
        <row r="4264">
          <cell r="A4264">
            <v>1813200757</v>
          </cell>
          <cell r="B4264" t="str">
            <v>שרתים ו'-ח' כלכלית</v>
          </cell>
        </row>
        <row r="4265">
          <cell r="A4265">
            <v>1813200759</v>
          </cell>
          <cell r="B4265" t="str">
            <v>שרותי סייעות</v>
          </cell>
          <cell r="C4265">
            <v>52848100</v>
          </cell>
        </row>
        <row r="4266">
          <cell r="A4266">
            <v>1813200763</v>
          </cell>
          <cell r="B4266" t="str">
            <v xml:space="preserve">עובדי חב' מוסדות  </v>
          </cell>
        </row>
        <row r="4267">
          <cell r="A4267">
            <v>1813200764</v>
          </cell>
          <cell r="B4267" t="str">
            <v>סייעות-מוסדות+חברה</v>
          </cell>
        </row>
        <row r="4268">
          <cell r="A4268">
            <v>1813200780</v>
          </cell>
          <cell r="B4268" t="str">
            <v xml:space="preserve">השת' בניצן ובסרטן     </v>
          </cell>
        </row>
        <row r="4269">
          <cell r="A4269">
            <v>1813200781</v>
          </cell>
          <cell r="B4269" t="str">
            <v>הזנה</v>
          </cell>
        </row>
        <row r="4270">
          <cell r="A4270">
            <v>1813200783</v>
          </cell>
          <cell r="B4270" t="str">
            <v>תגבור יהדות</v>
          </cell>
        </row>
        <row r="4271">
          <cell r="A4271">
            <v>1813200784</v>
          </cell>
          <cell r="B4271" t="str">
            <v>רכז קהילה - יחד</v>
          </cell>
          <cell r="C4271">
            <v>0</v>
          </cell>
        </row>
        <row r="4272">
          <cell r="A4272">
            <v>1813200788</v>
          </cell>
          <cell r="B4272" t="str">
            <v xml:space="preserve">פרויקט פר"ח       </v>
          </cell>
          <cell r="C4272">
            <v>140000</v>
          </cell>
        </row>
        <row r="4273">
          <cell r="A4273">
            <v>1813200789</v>
          </cell>
          <cell r="B4273" t="str">
            <v>תרומה - קרן אריסון</v>
          </cell>
        </row>
        <row r="4274">
          <cell r="A4274">
            <v>1813200794</v>
          </cell>
          <cell r="B4274" t="str">
            <v xml:space="preserve">השתתפות בעזר 094  </v>
          </cell>
        </row>
        <row r="4275">
          <cell r="A4275">
            <v>1813200810</v>
          </cell>
          <cell r="B4275" t="str">
            <v xml:space="preserve">הקצבות מינהל עצמי </v>
          </cell>
          <cell r="C4275">
            <v>0</v>
          </cell>
        </row>
        <row r="4276">
          <cell r="A4276">
            <v>1813200811</v>
          </cell>
          <cell r="B4276" t="str">
            <v>העשרה למחוננים (מ' החינוך)</v>
          </cell>
          <cell r="C4276">
            <v>120000</v>
          </cell>
        </row>
        <row r="4277">
          <cell r="A4277">
            <v>1813200812</v>
          </cell>
          <cell r="B4277" t="str">
            <v>מסיבות כיתתיות</v>
          </cell>
          <cell r="C4277">
            <v>300000</v>
          </cell>
        </row>
        <row r="4278">
          <cell r="A4278">
            <v>1813200816</v>
          </cell>
          <cell r="B4278" t="str">
            <v>יסודי - הכלה והשתלבות</v>
          </cell>
        </row>
        <row r="4279">
          <cell r="A4279">
            <v>1813200838</v>
          </cell>
          <cell r="B4279" t="str">
            <v>העברה כנגד הכנסות מש' החינוך</v>
          </cell>
        </row>
        <row r="4280">
          <cell r="A4280">
            <v>1813200870</v>
          </cell>
          <cell r="B4280" t="str">
            <v>בני מנחם חב"ד</v>
          </cell>
        </row>
        <row r="4281">
          <cell r="A4281">
            <v>1813200871</v>
          </cell>
          <cell r="B4281" t="str">
            <v>בנות מנחם חב"ד</v>
          </cell>
        </row>
        <row r="4282">
          <cell r="A4282">
            <v>1813200872</v>
          </cell>
          <cell r="B4282" t="str">
            <v xml:space="preserve">מפי עוללים-חינוך  </v>
          </cell>
          <cell r="C4282">
            <v>180000</v>
          </cell>
        </row>
        <row r="4283">
          <cell r="A4283">
            <v>1813200873</v>
          </cell>
          <cell r="B4283" t="str">
            <v xml:space="preserve">בית יוסף          </v>
          </cell>
          <cell r="C4283">
            <v>3690002</v>
          </cell>
        </row>
        <row r="4284">
          <cell r="A4284">
            <v>1813200874</v>
          </cell>
          <cell r="B4284" t="str">
            <v>בית דוד תיכון ט'</v>
          </cell>
          <cell r="C4284">
            <v>37000</v>
          </cell>
        </row>
        <row r="4285">
          <cell r="A4285">
            <v>1813200875</v>
          </cell>
          <cell r="B4285" t="str">
            <v>בית דוד בנות</v>
          </cell>
          <cell r="C4285">
            <v>480000</v>
          </cell>
        </row>
        <row r="4286">
          <cell r="A4286">
            <v>1813200876</v>
          </cell>
          <cell r="B4286" t="str">
            <v>בית דוד בנים</v>
          </cell>
          <cell r="C4286">
            <v>115000</v>
          </cell>
        </row>
        <row r="4287">
          <cell r="A4287">
            <v>1813200877</v>
          </cell>
          <cell r="B4287" t="str">
            <v>בנות ציון</v>
          </cell>
          <cell r="C4287">
            <v>100000</v>
          </cell>
        </row>
        <row r="4288">
          <cell r="A4288">
            <v>1813200878</v>
          </cell>
          <cell r="B4288" t="str">
            <v>תלמוד תורה רבי</v>
          </cell>
          <cell r="C4288">
            <v>90000</v>
          </cell>
        </row>
        <row r="4289">
          <cell r="A4289">
            <v>1813200900</v>
          </cell>
          <cell r="B4289" t="str">
            <v xml:space="preserve">הוצאות חד פעמיות  </v>
          </cell>
        </row>
        <row r="4290">
          <cell r="A4290">
            <v>1813200911</v>
          </cell>
          <cell r="B4290" t="str">
            <v>פעילות חוויתית יהדות</v>
          </cell>
        </row>
        <row r="4291">
          <cell r="A4291">
            <v>1813200923</v>
          </cell>
          <cell r="B4291" t="str">
            <v>לימודי יהדות</v>
          </cell>
        </row>
        <row r="4292">
          <cell r="A4292">
            <v>1813200931</v>
          </cell>
          <cell r="B4292" t="str">
            <v xml:space="preserve">שלטים לבי"ס       </v>
          </cell>
          <cell r="C4292">
            <v>8100</v>
          </cell>
        </row>
        <row r="4293">
          <cell r="A4293">
            <v>1813200932</v>
          </cell>
          <cell r="B4293" t="str">
            <v>תוס' דיפרנצ' נהול עצמי-מהכ'</v>
          </cell>
          <cell r="C4293">
            <v>771600</v>
          </cell>
        </row>
        <row r="4294">
          <cell r="A4294">
            <v>1813200933</v>
          </cell>
          <cell r="B4294" t="str">
            <v>פרויקטים בהשת.מ.חנ</v>
          </cell>
          <cell r="C4294">
            <v>66000</v>
          </cell>
        </row>
        <row r="4295">
          <cell r="A4295">
            <v>1813200934</v>
          </cell>
          <cell r="B4295" t="str">
            <v>עוזרי חינוך - קורונה</v>
          </cell>
        </row>
        <row r="4296">
          <cell r="A4296">
            <v>1813200935</v>
          </cell>
          <cell r="B4296" t="str">
            <v>שגרירי הל"ב מפתח הל"ב</v>
          </cell>
          <cell r="C4296">
            <v>27000</v>
          </cell>
        </row>
        <row r="4297">
          <cell r="A4297">
            <v>1813200936</v>
          </cell>
          <cell r="B4297" t="str">
            <v xml:space="preserve">רכישות דרך מחסן   </v>
          </cell>
        </row>
        <row r="4298">
          <cell r="A4298">
            <v>1813200937</v>
          </cell>
          <cell r="B4298" t="str">
            <v>סיוע לניהול עצמי</v>
          </cell>
        </row>
        <row r="4299">
          <cell r="A4299">
            <v>1813200951</v>
          </cell>
          <cell r="B4299" t="str">
            <v>ציוד ומכ' חנ"ג (כנגד הכנס')</v>
          </cell>
        </row>
        <row r="4300">
          <cell r="A4300">
            <v>1813200953</v>
          </cell>
          <cell r="B4300" t="str">
            <v>מערכת גפ"ן</v>
          </cell>
          <cell r="C4300">
            <v>4200000</v>
          </cell>
        </row>
        <row r="4301">
          <cell r="A4301">
            <v>1813200954</v>
          </cell>
          <cell r="B4301" t="str">
            <v>גפ"ן בית ספרי יסודי</v>
          </cell>
          <cell r="C4301">
            <v>20000000</v>
          </cell>
        </row>
        <row r="4302">
          <cell r="A4302">
            <v>1813200960</v>
          </cell>
          <cell r="B4302" t="str">
            <v>השלמה לתקן ניהול עצמי</v>
          </cell>
        </row>
        <row r="4303">
          <cell r="A4303">
            <v>1813200961</v>
          </cell>
          <cell r="B4303" t="str">
            <v>רז' פעולות ורכישות</v>
          </cell>
          <cell r="C4303">
            <v>57000</v>
          </cell>
        </row>
        <row r="4304">
          <cell r="A4304" t="str">
            <v>#VALUE!</v>
          </cell>
          <cell r="B4304" t="str">
            <v xml:space="preserve">בתי ספר יסודיים   </v>
          </cell>
        </row>
        <row r="4305">
          <cell r="A4305">
            <v>18132010</v>
          </cell>
          <cell r="B4305" t="str">
            <v>בתי ספר של קיץ + ניצנים</v>
          </cell>
        </row>
        <row r="4306">
          <cell r="A4306">
            <v>1813201761</v>
          </cell>
          <cell r="B4306" t="str">
            <v>ניצנים יסודי - גביה מהורים</v>
          </cell>
          <cell r="C4306">
            <v>13000000</v>
          </cell>
        </row>
        <row r="4307">
          <cell r="A4307">
            <v>1813201780</v>
          </cell>
          <cell r="B4307" t="str">
            <v>פע' ביה"ס בחופשה הגדולה</v>
          </cell>
          <cell r="C4307">
            <v>880000</v>
          </cell>
        </row>
        <row r="4308">
          <cell r="A4308">
            <v>1813201810</v>
          </cell>
          <cell r="B4308" t="str">
            <v>צהרונים - ניצנים  ממשה"ח</v>
          </cell>
          <cell r="C4308">
            <v>8600000</v>
          </cell>
        </row>
        <row r="4309">
          <cell r="A4309">
            <v>1813201840</v>
          </cell>
          <cell r="B4309" t="str">
            <v>השתתפות עירונית בקייטנות</v>
          </cell>
        </row>
        <row r="4310">
          <cell r="A4310">
            <v>1813201841</v>
          </cell>
          <cell r="B4310" t="str">
            <v>מסגרות קיץ (לרשת) ממשה"ח</v>
          </cell>
          <cell r="C4310">
            <v>4878000</v>
          </cell>
        </row>
        <row r="4311">
          <cell r="A4311">
            <v>1813201842</v>
          </cell>
          <cell r="B4311" t="str">
            <v>מסגרות קיץ - מוכש"ר</v>
          </cell>
          <cell r="C4311">
            <v>150000</v>
          </cell>
        </row>
        <row r="4312">
          <cell r="A4312" t="str">
            <v>#VALUE!</v>
          </cell>
          <cell r="B4312" t="str">
            <v>בתי ספר של הקיץ</v>
          </cell>
        </row>
        <row r="4313">
          <cell r="A4313">
            <v>18133000</v>
          </cell>
          <cell r="B4313" t="str">
            <v xml:space="preserve">חינוך מיוחד       </v>
          </cell>
        </row>
        <row r="4314">
          <cell r="A4314">
            <v>1813300100</v>
          </cell>
          <cell r="B4314" t="str">
            <v>שכר עובדים לפי תקן</v>
          </cell>
        </row>
        <row r="4315">
          <cell r="A4315">
            <v>1813300110</v>
          </cell>
          <cell r="B4315" t="str">
            <v>השכר הקובע-תקציבית</v>
          </cell>
          <cell r="C4315">
            <v>308000</v>
          </cell>
        </row>
        <row r="4316">
          <cell r="A4316">
            <v>1813300119</v>
          </cell>
          <cell r="B4316" t="str">
            <v xml:space="preserve">השכר הקובע-צוברת  </v>
          </cell>
          <cell r="C4316">
            <v>1454100</v>
          </cell>
        </row>
        <row r="4317">
          <cell r="A4317">
            <v>1813300122</v>
          </cell>
          <cell r="B4317" t="str">
            <v xml:space="preserve">ביגוד             </v>
          </cell>
          <cell r="C4317">
            <v>21400</v>
          </cell>
        </row>
        <row r="4318">
          <cell r="A4318">
            <v>1813300126</v>
          </cell>
          <cell r="B4318" t="str">
            <v xml:space="preserve">דמי הבראה         </v>
          </cell>
          <cell r="C4318">
            <v>49000</v>
          </cell>
        </row>
        <row r="4319">
          <cell r="A4319">
            <v>1813300130</v>
          </cell>
          <cell r="B4319" t="str">
            <v xml:space="preserve">שעות נוספות       </v>
          </cell>
          <cell r="C4319">
            <v>5000</v>
          </cell>
        </row>
        <row r="4320">
          <cell r="A4320">
            <v>1813300140</v>
          </cell>
          <cell r="B4320" t="str">
            <v>השתתפות באחזקת רכב</v>
          </cell>
          <cell r="C4320">
            <v>126100</v>
          </cell>
        </row>
        <row r="4321">
          <cell r="A4321">
            <v>1813300200</v>
          </cell>
          <cell r="B4321" t="str">
            <v>שכר עובדים ללא תקן</v>
          </cell>
        </row>
        <row r="4322">
          <cell r="A4322">
            <v>1813300210</v>
          </cell>
          <cell r="B4322" t="str">
            <v xml:space="preserve">השכר הקובע        </v>
          </cell>
        </row>
        <row r="4323">
          <cell r="A4323">
            <v>1813300212</v>
          </cell>
          <cell r="B4323" t="str">
            <v>חינוך תעבורתי - חלץ</v>
          </cell>
        </row>
        <row r="4324">
          <cell r="A4324">
            <v>1813300253</v>
          </cell>
          <cell r="B4324" t="str">
            <v xml:space="preserve">עובדי מתי"א       </v>
          </cell>
        </row>
        <row r="4325">
          <cell r="A4325">
            <v>1813300263</v>
          </cell>
          <cell r="B4325" t="str">
            <v xml:space="preserve">עובדי מינהלה      </v>
          </cell>
          <cell r="C4325">
            <v>30000</v>
          </cell>
        </row>
        <row r="4326">
          <cell r="A4326">
            <v>1813300264</v>
          </cell>
          <cell r="B4326" t="str">
            <v>סייעות-מוסדות+חברה</v>
          </cell>
        </row>
        <row r="4327">
          <cell r="A4327">
            <v>1813300400</v>
          </cell>
          <cell r="B4327" t="str">
            <v>אחזקת בנינים וציוד</v>
          </cell>
        </row>
        <row r="4328">
          <cell r="A4328">
            <v>1813300411</v>
          </cell>
          <cell r="B4328" t="str">
            <v xml:space="preserve">שכירת אולמות      </v>
          </cell>
        </row>
        <row r="4329">
          <cell r="A4329">
            <v>1813300420</v>
          </cell>
          <cell r="B4329" t="str">
            <v xml:space="preserve">כיבוי אש          </v>
          </cell>
          <cell r="C4329">
            <v>16000</v>
          </cell>
        </row>
        <row r="4330">
          <cell r="A4330">
            <v>1813300423</v>
          </cell>
          <cell r="B4330" t="str">
            <v xml:space="preserve">תחזוקת מבנה       </v>
          </cell>
          <cell r="C4330">
            <v>120000</v>
          </cell>
        </row>
        <row r="4331">
          <cell r="A4331">
            <v>1813300431</v>
          </cell>
          <cell r="B4331" t="str">
            <v xml:space="preserve">חשמל              </v>
          </cell>
          <cell r="C4331">
            <v>220000</v>
          </cell>
        </row>
        <row r="4332">
          <cell r="A4332">
            <v>1813300432</v>
          </cell>
          <cell r="B4332" t="str">
            <v xml:space="preserve">מים               </v>
          </cell>
          <cell r="C4332">
            <v>122400</v>
          </cell>
        </row>
        <row r="4333">
          <cell r="A4333">
            <v>1813300433</v>
          </cell>
          <cell r="B4333" t="str">
            <v xml:space="preserve">חומרי נקיון       </v>
          </cell>
        </row>
        <row r="4334">
          <cell r="A4334">
            <v>1813300434</v>
          </cell>
          <cell r="B4334" t="str">
            <v xml:space="preserve">חיטוי והדברה      </v>
          </cell>
        </row>
        <row r="4335">
          <cell r="A4335">
            <v>1813300437</v>
          </cell>
          <cell r="B4335" t="str">
            <v xml:space="preserve">אחזקת אזעקה       </v>
          </cell>
          <cell r="C4335">
            <v>8400</v>
          </cell>
        </row>
        <row r="4336">
          <cell r="A4336">
            <v>1813300441</v>
          </cell>
          <cell r="B4336" t="str">
            <v xml:space="preserve">ביטוח             </v>
          </cell>
        </row>
        <row r="4337">
          <cell r="A4337">
            <v>1813300450</v>
          </cell>
          <cell r="B4337" t="str">
            <v>אחזקת תמי 4</v>
          </cell>
          <cell r="C4337">
            <v>1200</v>
          </cell>
        </row>
        <row r="4338">
          <cell r="A4338">
            <v>1813300470</v>
          </cell>
          <cell r="B4338" t="str">
            <v xml:space="preserve">אחזקת מכונות משרד </v>
          </cell>
        </row>
        <row r="4339">
          <cell r="A4339">
            <v>1813300471</v>
          </cell>
          <cell r="B4339" t="str">
            <v xml:space="preserve">מכשירי כתיבה      </v>
          </cell>
        </row>
        <row r="4340">
          <cell r="A4340">
            <v>1813300500</v>
          </cell>
          <cell r="B4340" t="str">
            <v xml:space="preserve">הוצאות מינהליות   </v>
          </cell>
        </row>
        <row r="4341">
          <cell r="A4341">
            <v>1813300511</v>
          </cell>
          <cell r="B4341" t="str">
            <v xml:space="preserve">אירוח וכיבוד      </v>
          </cell>
          <cell r="C4341">
            <v>30000</v>
          </cell>
        </row>
        <row r="4342">
          <cell r="A4342">
            <v>1813300512</v>
          </cell>
          <cell r="B4342" t="str">
            <v xml:space="preserve">נסיעות ואש"ל      </v>
          </cell>
        </row>
        <row r="4343">
          <cell r="A4343">
            <v>1813300530</v>
          </cell>
          <cell r="B4343" t="str">
            <v xml:space="preserve">אופניים לעובדים   </v>
          </cell>
        </row>
        <row r="4344">
          <cell r="A4344">
            <v>1813300540</v>
          </cell>
          <cell r="B4344" t="str">
            <v xml:space="preserve">הוצאות טלפון      </v>
          </cell>
        </row>
        <row r="4345">
          <cell r="A4345">
            <v>1813300544</v>
          </cell>
          <cell r="B4345" t="str">
            <v xml:space="preserve">הוצאות דאר        </v>
          </cell>
        </row>
        <row r="4346">
          <cell r="A4346">
            <v>1813300561</v>
          </cell>
          <cell r="B4346" t="str">
            <v xml:space="preserve">שיכפולים          </v>
          </cell>
        </row>
        <row r="4347">
          <cell r="A4347">
            <v>1813300563</v>
          </cell>
          <cell r="B4347" t="str">
            <v xml:space="preserve">תשלום לאוטומציה   </v>
          </cell>
        </row>
        <row r="4348">
          <cell r="A4348">
            <v>1813300580</v>
          </cell>
          <cell r="B4348" t="str">
            <v>בי"ס לבעיות התנהגות</v>
          </cell>
          <cell r="C4348">
            <v>100000</v>
          </cell>
        </row>
        <row r="4349">
          <cell r="A4349">
            <v>1813300585</v>
          </cell>
          <cell r="B4349" t="str">
            <v xml:space="preserve">אחות לבי"ס חלץ    </v>
          </cell>
        </row>
        <row r="4350">
          <cell r="A4350">
            <v>1813300700</v>
          </cell>
          <cell r="B4350" t="str">
            <v xml:space="preserve">הוצאות לפעולות    </v>
          </cell>
        </row>
        <row r="4351">
          <cell r="A4351">
            <v>1813300721</v>
          </cell>
          <cell r="B4351" t="str">
            <v>חמרים-תחזוקת מבנים</v>
          </cell>
          <cell r="C4351">
            <v>7000</v>
          </cell>
        </row>
        <row r="4352">
          <cell r="A4352">
            <v>1813300722</v>
          </cell>
          <cell r="B4352" t="str">
            <v>חמרים-תחזוקה עצמית</v>
          </cell>
        </row>
        <row r="4353">
          <cell r="A4353">
            <v>1813300723</v>
          </cell>
          <cell r="B4353" t="str">
            <v xml:space="preserve">חומרים למלאכה     </v>
          </cell>
        </row>
        <row r="4354">
          <cell r="A4354">
            <v>1813300724</v>
          </cell>
          <cell r="B4354" t="str">
            <v xml:space="preserve">הוצאות ייצור חלץ  </v>
          </cell>
          <cell r="C4354">
            <v>110000</v>
          </cell>
        </row>
        <row r="4355">
          <cell r="A4355">
            <v>1813300725</v>
          </cell>
          <cell r="B4355" t="str">
            <v xml:space="preserve">סדנאות חלץ        </v>
          </cell>
        </row>
        <row r="4356">
          <cell r="A4356">
            <v>1813300726</v>
          </cell>
          <cell r="B4356" t="str">
            <v xml:space="preserve">מועדון טיפולי חלץ </v>
          </cell>
        </row>
        <row r="4357">
          <cell r="A4357">
            <v>1813300727</v>
          </cell>
          <cell r="B4357" t="str">
            <v>הוצאות אפיק (הכנ')</v>
          </cell>
        </row>
        <row r="4358">
          <cell r="A4358">
            <v>1813300728</v>
          </cell>
          <cell r="B4358" t="str">
            <v xml:space="preserve">מרכז טיפולי אפיק  </v>
          </cell>
          <cell r="C4358">
            <v>15000</v>
          </cell>
        </row>
        <row r="4359">
          <cell r="A4359">
            <v>1813300729</v>
          </cell>
          <cell r="B4359" t="str">
            <v xml:space="preserve">נורות             </v>
          </cell>
        </row>
        <row r="4360">
          <cell r="A4360">
            <v>1813300741</v>
          </cell>
          <cell r="B4360" t="str">
            <v xml:space="preserve">ציוד ספורט        </v>
          </cell>
          <cell r="C4360">
            <v>4800</v>
          </cell>
        </row>
        <row r="4361">
          <cell r="A4361">
            <v>1813300742</v>
          </cell>
          <cell r="B4361" t="str">
            <v xml:space="preserve">כלים וציוד        </v>
          </cell>
          <cell r="C4361">
            <v>40000</v>
          </cell>
        </row>
        <row r="4362">
          <cell r="A4362">
            <v>1813300743</v>
          </cell>
          <cell r="B4362" t="str">
            <v xml:space="preserve">תחזוקת ציוד       </v>
          </cell>
        </row>
        <row r="4363">
          <cell r="A4363">
            <v>1813300745</v>
          </cell>
          <cell r="B4363" t="str">
            <v xml:space="preserve">דמי פריצה - תכולה </v>
          </cell>
        </row>
        <row r="4364">
          <cell r="A4364">
            <v>1813300746</v>
          </cell>
          <cell r="B4364" t="str">
            <v xml:space="preserve">דמי פריצה - מבנה  </v>
          </cell>
        </row>
        <row r="4365">
          <cell r="A4365">
            <v>1813300750</v>
          </cell>
          <cell r="B4365" t="str">
            <v>אחזקת מוסדות</v>
          </cell>
          <cell r="C4365">
            <v>1715000</v>
          </cell>
        </row>
        <row r="4366">
          <cell r="A4366">
            <v>1813300751</v>
          </cell>
          <cell r="B4366" t="str">
            <v xml:space="preserve">עבודות קבלניות    </v>
          </cell>
          <cell r="C4366">
            <v>25000</v>
          </cell>
        </row>
        <row r="4367">
          <cell r="A4367">
            <v>1813300752</v>
          </cell>
          <cell r="B4367" t="str">
            <v xml:space="preserve">נקיון בקבלנות     </v>
          </cell>
          <cell r="C4367">
            <v>1723500</v>
          </cell>
        </row>
        <row r="4368">
          <cell r="A4368">
            <v>1813300753</v>
          </cell>
          <cell r="B4368" t="str">
            <v xml:space="preserve">עובדי מתי"א       </v>
          </cell>
        </row>
        <row r="4369">
          <cell r="A4369">
            <v>1813300755</v>
          </cell>
          <cell r="B4369" t="str">
            <v xml:space="preserve">אחות לבי"ס חלץ    </v>
          </cell>
        </row>
        <row r="4370">
          <cell r="A4370">
            <v>1813300756</v>
          </cell>
          <cell r="B4370" t="str">
            <v>שמירה מרכז אפיק</v>
          </cell>
        </row>
        <row r="4371">
          <cell r="A4371">
            <v>1813300759</v>
          </cell>
          <cell r="B4371" t="str">
            <v>שרותי סייעות</v>
          </cell>
          <cell r="C4371">
            <v>16461700</v>
          </cell>
        </row>
        <row r="4372">
          <cell r="A4372">
            <v>1813300763</v>
          </cell>
          <cell r="B4372" t="str">
            <v xml:space="preserve">עובדי מינהלה      </v>
          </cell>
        </row>
        <row r="4373">
          <cell r="A4373">
            <v>1813300764</v>
          </cell>
          <cell r="B4373" t="str">
            <v>סייעות-מוסדות+חברה</v>
          </cell>
        </row>
        <row r="4374">
          <cell r="A4374">
            <v>1813300780</v>
          </cell>
          <cell r="B4374" t="str">
            <v>השתת' בהסעה-ניצן</v>
          </cell>
        </row>
        <row r="4375">
          <cell r="A4375">
            <v>1813300781</v>
          </cell>
          <cell r="B4375" t="str">
            <v xml:space="preserve">השת' בהזנה        </v>
          </cell>
          <cell r="C4375">
            <v>2840000</v>
          </cell>
        </row>
        <row r="4376">
          <cell r="A4376">
            <v>1813300782</v>
          </cell>
          <cell r="B4376" t="str">
            <v>אתגרים</v>
          </cell>
          <cell r="C4376">
            <v>75000</v>
          </cell>
        </row>
        <row r="4377">
          <cell r="A4377">
            <v>1813300794</v>
          </cell>
          <cell r="B4377" t="str">
            <v xml:space="preserve">השתתפות בעזר 094  </v>
          </cell>
        </row>
        <row r="4378">
          <cell r="A4378">
            <v>1813300810</v>
          </cell>
          <cell r="B4378" t="str">
            <v xml:space="preserve">הקצבה-מינהל עצמי  </v>
          </cell>
          <cell r="C4378">
            <v>300000</v>
          </cell>
        </row>
        <row r="4379">
          <cell r="A4379">
            <v>1813300812</v>
          </cell>
          <cell r="B4379" t="str">
            <v>מסיבות כיתתיות</v>
          </cell>
          <cell r="C4379">
            <v>10500</v>
          </cell>
        </row>
        <row r="4380">
          <cell r="A4380">
            <v>1813300838</v>
          </cell>
          <cell r="B4380" t="str">
            <v>העברה כנגד הכנסות מש' החינוך</v>
          </cell>
        </row>
        <row r="4381">
          <cell r="A4381">
            <v>1813300900</v>
          </cell>
          <cell r="B4381" t="str">
            <v xml:space="preserve">הוצאות חד פעמיות  </v>
          </cell>
        </row>
        <row r="4382">
          <cell r="A4382">
            <v>1813300911</v>
          </cell>
          <cell r="B4382" t="str">
            <v>פעילות חוויתית יהדות</v>
          </cell>
        </row>
        <row r="4383">
          <cell r="A4383">
            <v>1813300933</v>
          </cell>
          <cell r="B4383" t="str">
            <v xml:space="preserve">השתת.משרד החינוך  </v>
          </cell>
          <cell r="C4383">
            <v>200000</v>
          </cell>
        </row>
        <row r="4384">
          <cell r="A4384">
            <v>1813300934</v>
          </cell>
          <cell r="B4384" t="str">
            <v xml:space="preserve">חומרים-ח"מ חופשות </v>
          </cell>
          <cell r="C4384">
            <v>511000</v>
          </cell>
        </row>
        <row r="4385">
          <cell r="A4385">
            <v>1813300937</v>
          </cell>
          <cell r="B4385" t="str">
            <v>התבור - בטל"א</v>
          </cell>
        </row>
        <row r="4386">
          <cell r="A4386">
            <v>1813300953</v>
          </cell>
          <cell r="B4386" t="str">
            <v>מערכת גפ"ן</v>
          </cell>
        </row>
        <row r="4387">
          <cell r="A4387">
            <v>1813300961</v>
          </cell>
          <cell r="B4387" t="str">
            <v>רז' פעולות ורכישות</v>
          </cell>
        </row>
        <row r="4388">
          <cell r="A4388" t="str">
            <v>#VALUE!</v>
          </cell>
          <cell r="B4388" t="str">
            <v xml:space="preserve">חינוך מיוחד       </v>
          </cell>
        </row>
        <row r="4389">
          <cell r="A4389">
            <v>18133100</v>
          </cell>
          <cell r="B4389" t="str">
            <v xml:space="preserve">בי"ס ע"ש הרצפלד   </v>
          </cell>
        </row>
        <row r="4390">
          <cell r="A4390">
            <v>1813310100</v>
          </cell>
          <cell r="B4390" t="str">
            <v>שכר עובדים לפי תקן</v>
          </cell>
        </row>
        <row r="4391">
          <cell r="A4391">
            <v>1813310110</v>
          </cell>
          <cell r="B4391" t="str">
            <v>השכר הקובע-תקציבית</v>
          </cell>
          <cell r="C4391">
            <v>195000</v>
          </cell>
        </row>
        <row r="4392">
          <cell r="A4392">
            <v>1813310119</v>
          </cell>
          <cell r="B4392" t="str">
            <v xml:space="preserve">השכר הקובע-צוברת  </v>
          </cell>
          <cell r="C4392">
            <v>489400</v>
          </cell>
        </row>
        <row r="4393">
          <cell r="A4393">
            <v>1813310122</v>
          </cell>
          <cell r="B4393" t="str">
            <v xml:space="preserve">ביגוד             </v>
          </cell>
          <cell r="C4393">
            <v>2100</v>
          </cell>
        </row>
        <row r="4394">
          <cell r="A4394">
            <v>1813310126</v>
          </cell>
          <cell r="B4394" t="str">
            <v xml:space="preserve">דמי הבראה         </v>
          </cell>
          <cell r="C4394">
            <v>9000</v>
          </cell>
        </row>
        <row r="4395">
          <cell r="A4395">
            <v>1813310140</v>
          </cell>
          <cell r="B4395" t="str">
            <v>השתתפות באחזקת רכב</v>
          </cell>
          <cell r="C4395">
            <v>8000</v>
          </cell>
        </row>
        <row r="4396">
          <cell r="A4396">
            <v>1813310200</v>
          </cell>
          <cell r="B4396" t="str">
            <v>שכר עובדים ללא תקן</v>
          </cell>
        </row>
        <row r="4397">
          <cell r="A4397">
            <v>1813310210</v>
          </cell>
          <cell r="B4397" t="str">
            <v xml:space="preserve">השכר הקובע        </v>
          </cell>
        </row>
        <row r="4398">
          <cell r="A4398">
            <v>1813310263</v>
          </cell>
          <cell r="B4398" t="str">
            <v xml:space="preserve">עובדי מינהלה      </v>
          </cell>
        </row>
        <row r="4399">
          <cell r="A4399">
            <v>1813310264</v>
          </cell>
          <cell r="B4399" t="str">
            <v>סייעות-שירות לאומי</v>
          </cell>
        </row>
        <row r="4400">
          <cell r="A4400">
            <v>1813310400</v>
          </cell>
          <cell r="B4400" t="str">
            <v>אחזקת בנינים וציוד</v>
          </cell>
        </row>
        <row r="4401">
          <cell r="A4401">
            <v>1813310412</v>
          </cell>
          <cell r="B4401" t="str">
            <v xml:space="preserve">ארנונה            </v>
          </cell>
        </row>
        <row r="4402">
          <cell r="A4402">
            <v>1813310420</v>
          </cell>
          <cell r="B4402" t="str">
            <v xml:space="preserve">כיבוי אש          </v>
          </cell>
          <cell r="C4402">
            <v>7000</v>
          </cell>
        </row>
        <row r="4403">
          <cell r="A4403">
            <v>1813310423</v>
          </cell>
          <cell r="B4403" t="str">
            <v xml:space="preserve">תחזוקת מבנה       </v>
          </cell>
        </row>
        <row r="4404">
          <cell r="A4404">
            <v>1813310431</v>
          </cell>
          <cell r="B4404" t="str">
            <v xml:space="preserve">חשמל              </v>
          </cell>
          <cell r="C4404">
            <v>143000</v>
          </cell>
        </row>
        <row r="4405">
          <cell r="A4405">
            <v>1813310432</v>
          </cell>
          <cell r="B4405" t="str">
            <v xml:space="preserve">מים               </v>
          </cell>
          <cell r="C4405">
            <v>70300</v>
          </cell>
        </row>
        <row r="4406">
          <cell r="A4406">
            <v>1813310433</v>
          </cell>
          <cell r="B4406" t="str">
            <v xml:space="preserve">חומרי נקיון       </v>
          </cell>
        </row>
        <row r="4407">
          <cell r="A4407">
            <v>1813310434</v>
          </cell>
          <cell r="B4407" t="str">
            <v xml:space="preserve">חיטוי והדברה      </v>
          </cell>
        </row>
        <row r="4408">
          <cell r="A4408">
            <v>1813310437</v>
          </cell>
          <cell r="B4408" t="str">
            <v xml:space="preserve">אחזקת אזעקה       </v>
          </cell>
          <cell r="C4408">
            <v>2500</v>
          </cell>
        </row>
        <row r="4409">
          <cell r="A4409">
            <v>1813310441</v>
          </cell>
          <cell r="B4409" t="str">
            <v xml:space="preserve">ביטוח             </v>
          </cell>
        </row>
        <row r="4410">
          <cell r="A4410">
            <v>1813310450</v>
          </cell>
          <cell r="B4410" t="str">
            <v xml:space="preserve">ריהוט ואחזקתו     </v>
          </cell>
        </row>
        <row r="4411">
          <cell r="A4411">
            <v>1813310470</v>
          </cell>
          <cell r="B4411" t="str">
            <v xml:space="preserve">אחזקת מכונות משרד </v>
          </cell>
        </row>
        <row r="4412">
          <cell r="A4412">
            <v>1813310471</v>
          </cell>
          <cell r="B4412" t="str">
            <v xml:space="preserve">מכשירי כתיבה      </v>
          </cell>
        </row>
        <row r="4413">
          <cell r="A4413">
            <v>1813310500</v>
          </cell>
          <cell r="B4413" t="str">
            <v xml:space="preserve">הוצאות מינהליות   </v>
          </cell>
        </row>
        <row r="4414">
          <cell r="A4414">
            <v>1813310511</v>
          </cell>
          <cell r="B4414" t="str">
            <v xml:space="preserve">אירוח וכיבוד      </v>
          </cell>
          <cell r="C4414">
            <v>8500</v>
          </cell>
        </row>
        <row r="4415">
          <cell r="A4415">
            <v>1813310512</v>
          </cell>
          <cell r="B4415" t="str">
            <v xml:space="preserve">נסיעות ואש"ל      </v>
          </cell>
        </row>
        <row r="4416">
          <cell r="A4416">
            <v>1813310530</v>
          </cell>
          <cell r="B4416" t="str">
            <v xml:space="preserve">אופניים לעובדים   </v>
          </cell>
        </row>
        <row r="4417">
          <cell r="A4417">
            <v>1813310540</v>
          </cell>
          <cell r="B4417" t="str">
            <v xml:space="preserve">הוצאות טלפון      </v>
          </cell>
        </row>
        <row r="4418">
          <cell r="A4418">
            <v>1813310544</v>
          </cell>
          <cell r="B4418" t="str">
            <v xml:space="preserve">הוצאות דאר        </v>
          </cell>
        </row>
        <row r="4419">
          <cell r="A4419">
            <v>1813310561</v>
          </cell>
          <cell r="B4419" t="str">
            <v xml:space="preserve">שיכפולים          </v>
          </cell>
        </row>
        <row r="4420">
          <cell r="A4420">
            <v>1813310596</v>
          </cell>
          <cell r="B4420" t="str">
            <v xml:space="preserve">טיולים            </v>
          </cell>
        </row>
        <row r="4421">
          <cell r="A4421">
            <v>1813310700</v>
          </cell>
          <cell r="B4421" t="str">
            <v xml:space="preserve">הוצאות לפעולות    </v>
          </cell>
        </row>
        <row r="4422">
          <cell r="A4422">
            <v>1813310710</v>
          </cell>
          <cell r="B4422" t="str">
            <v xml:space="preserve">הובלות  והסעות    </v>
          </cell>
        </row>
        <row r="4423">
          <cell r="A4423">
            <v>1813310721</v>
          </cell>
          <cell r="B4423" t="str">
            <v>חמרים-תחזוקת מבנים</v>
          </cell>
        </row>
        <row r="4424">
          <cell r="A4424">
            <v>1813310723</v>
          </cell>
          <cell r="B4424" t="str">
            <v xml:space="preserve">חומרים    </v>
          </cell>
          <cell r="C4424">
            <v>7000</v>
          </cell>
        </row>
        <row r="4425">
          <cell r="A4425">
            <v>1813310742</v>
          </cell>
          <cell r="B4425" t="str">
            <v xml:space="preserve">עזרי לימוד וספורט </v>
          </cell>
          <cell r="C4425">
            <v>10000</v>
          </cell>
        </row>
        <row r="4426">
          <cell r="A4426">
            <v>1813310743</v>
          </cell>
          <cell r="B4426" t="str">
            <v xml:space="preserve">תחזוקת ציוד       </v>
          </cell>
        </row>
        <row r="4427">
          <cell r="A4427">
            <v>1813310745</v>
          </cell>
          <cell r="B4427" t="str">
            <v xml:space="preserve">דמי פריצה - תכולה </v>
          </cell>
        </row>
        <row r="4428">
          <cell r="A4428">
            <v>1813310746</v>
          </cell>
          <cell r="B4428" t="str">
            <v xml:space="preserve">דמי פריצה - מבנה  </v>
          </cell>
        </row>
        <row r="4429">
          <cell r="A4429">
            <v>1813310750</v>
          </cell>
          <cell r="B4429" t="str">
            <v>אחזקת מוסדות</v>
          </cell>
          <cell r="C4429">
            <v>321000</v>
          </cell>
        </row>
        <row r="4430">
          <cell r="A4430">
            <v>1813310751</v>
          </cell>
          <cell r="B4430" t="str">
            <v xml:space="preserve">עבודות קבלניות    </v>
          </cell>
        </row>
        <row r="4431">
          <cell r="A4431">
            <v>1813310752</v>
          </cell>
          <cell r="B4431" t="str">
            <v xml:space="preserve">נקיון בקבלנות     </v>
          </cell>
          <cell r="C4431">
            <v>316900</v>
          </cell>
        </row>
        <row r="4432">
          <cell r="A4432">
            <v>1813310753</v>
          </cell>
          <cell r="B4432" t="str">
            <v xml:space="preserve">שרות לאומי הרצפלד </v>
          </cell>
        </row>
        <row r="4433">
          <cell r="A4433">
            <v>1813310755</v>
          </cell>
          <cell r="B4433" t="str">
            <v xml:space="preserve">עובדים חיצוניים   </v>
          </cell>
        </row>
        <row r="4434">
          <cell r="A4434">
            <v>1813310758</v>
          </cell>
          <cell r="B4434" t="str">
            <v xml:space="preserve">גינון             </v>
          </cell>
        </row>
        <row r="4435">
          <cell r="A4435">
            <v>1813310759</v>
          </cell>
          <cell r="B4435" t="str">
            <v>שרותי סייעות</v>
          </cell>
          <cell r="C4435">
            <v>3533300</v>
          </cell>
        </row>
        <row r="4436">
          <cell r="A4436">
            <v>1813310763</v>
          </cell>
          <cell r="B4436" t="str">
            <v xml:space="preserve">עובדי מינהלה      </v>
          </cell>
        </row>
        <row r="4437">
          <cell r="A4437">
            <v>1813310764</v>
          </cell>
          <cell r="B4437" t="str">
            <v>סייעות-מוסדות+חברה</v>
          </cell>
        </row>
        <row r="4438">
          <cell r="A4438">
            <v>1813310780</v>
          </cell>
          <cell r="B4438" t="str">
            <v xml:space="preserve">השתתפות בנקיון    </v>
          </cell>
        </row>
        <row r="4439">
          <cell r="A4439">
            <v>1813310781</v>
          </cell>
          <cell r="B4439" t="str">
            <v xml:space="preserve">השת' בהזנה        </v>
          </cell>
          <cell r="C4439">
            <v>330000</v>
          </cell>
        </row>
        <row r="4440">
          <cell r="A4440">
            <v>1813310782</v>
          </cell>
          <cell r="B4440" t="str">
            <v xml:space="preserve">שרות לאומי        </v>
          </cell>
        </row>
        <row r="4441">
          <cell r="A4441">
            <v>1813310794</v>
          </cell>
          <cell r="B4441" t="str">
            <v xml:space="preserve">השתתפות בעזר 094  </v>
          </cell>
        </row>
        <row r="4442">
          <cell r="A4442">
            <v>1813310810</v>
          </cell>
          <cell r="B4442" t="str">
            <v xml:space="preserve">הקצבה-מינהל עצמי  </v>
          </cell>
          <cell r="C4442">
            <v>100000</v>
          </cell>
        </row>
        <row r="4443">
          <cell r="A4443">
            <v>1813310811</v>
          </cell>
          <cell r="B4443" t="str">
            <v>מלגות - שרות לאומי</v>
          </cell>
        </row>
        <row r="4444">
          <cell r="A4444">
            <v>1813310812</v>
          </cell>
          <cell r="B4444" t="str">
            <v>מסיבות כיתתיות</v>
          </cell>
          <cell r="C4444">
            <v>2000</v>
          </cell>
        </row>
        <row r="4445">
          <cell r="A4445">
            <v>1813310838</v>
          </cell>
          <cell r="B4445" t="str">
            <v>העברה כנגד הכנסות מש' החינוך</v>
          </cell>
        </row>
        <row r="4446">
          <cell r="A4446">
            <v>1813310931</v>
          </cell>
          <cell r="B4446" t="str">
            <v xml:space="preserve">ציוד וריהוט       </v>
          </cell>
          <cell r="C4446">
            <v>24000</v>
          </cell>
        </row>
        <row r="4447">
          <cell r="A4447">
            <v>1813310934</v>
          </cell>
          <cell r="B4447" t="str">
            <v xml:space="preserve">חומרים-ח"מ חופשות </v>
          </cell>
          <cell r="C4447">
            <v>59000</v>
          </cell>
        </row>
        <row r="4448">
          <cell r="A4448">
            <v>1813310953</v>
          </cell>
          <cell r="B4448" t="str">
            <v>מערכת גפ"ן</v>
          </cell>
        </row>
        <row r="4449">
          <cell r="A4449">
            <v>1813310961</v>
          </cell>
          <cell r="B4449" t="str">
            <v>רז' פעולות ורכישות</v>
          </cell>
        </row>
        <row r="4450">
          <cell r="A4450" t="str">
            <v>#VALUE!</v>
          </cell>
          <cell r="B4450" t="str">
            <v xml:space="preserve">בי"ס ע"ש הרצפלד   </v>
          </cell>
        </row>
        <row r="4451">
          <cell r="A4451">
            <v>18137000</v>
          </cell>
          <cell r="B4451" t="str">
            <v xml:space="preserve">החווה החקלאית     </v>
          </cell>
        </row>
        <row r="4452">
          <cell r="A4452">
            <v>1813700100</v>
          </cell>
          <cell r="B4452" t="str">
            <v>שכר עובדים לפי תקן</v>
          </cell>
        </row>
        <row r="4453">
          <cell r="A4453">
            <v>1813700110</v>
          </cell>
          <cell r="B4453" t="str">
            <v>השכר הקובע-תקציבית</v>
          </cell>
          <cell r="C4453">
            <v>0</v>
          </cell>
        </row>
        <row r="4454">
          <cell r="A4454">
            <v>1813700119</v>
          </cell>
          <cell r="B4454" t="str">
            <v xml:space="preserve">השכר הקובע-צוברת  </v>
          </cell>
          <cell r="C4454">
            <v>238300</v>
          </cell>
        </row>
        <row r="4455">
          <cell r="A4455">
            <v>1813700122</v>
          </cell>
          <cell r="B4455" t="str">
            <v xml:space="preserve">ביגוד             </v>
          </cell>
          <cell r="C4455">
            <v>2000</v>
          </cell>
        </row>
        <row r="4456">
          <cell r="A4456">
            <v>1813700126</v>
          </cell>
          <cell r="B4456" t="str">
            <v xml:space="preserve">דמי הבראה         </v>
          </cell>
          <cell r="C4456">
            <v>5000</v>
          </cell>
        </row>
        <row r="4457">
          <cell r="A4457">
            <v>1813700130</v>
          </cell>
          <cell r="B4457" t="str">
            <v xml:space="preserve">שעות נוספות       </v>
          </cell>
          <cell r="C4457">
            <v>5000</v>
          </cell>
        </row>
        <row r="4458">
          <cell r="A4458">
            <v>1813700140</v>
          </cell>
          <cell r="B4458" t="str">
            <v>השתתפות באחזקת רכב</v>
          </cell>
          <cell r="C4458">
            <v>3500</v>
          </cell>
        </row>
        <row r="4459">
          <cell r="A4459">
            <v>1813700200</v>
          </cell>
          <cell r="B4459" t="str">
            <v>שכר עובדים ללא תקן</v>
          </cell>
        </row>
        <row r="4460">
          <cell r="A4460">
            <v>1813700210</v>
          </cell>
          <cell r="B4460" t="str">
            <v xml:space="preserve">השכר הקובע        </v>
          </cell>
        </row>
        <row r="4461">
          <cell r="A4461">
            <v>1813700263</v>
          </cell>
          <cell r="B4461" t="str">
            <v xml:space="preserve">עובדי חברת מוסדות </v>
          </cell>
        </row>
        <row r="4462">
          <cell r="A4462">
            <v>1813700400</v>
          </cell>
          <cell r="B4462" t="str">
            <v>אחזקת בנינים וציוד</v>
          </cell>
        </row>
        <row r="4463">
          <cell r="A4463">
            <v>1813700420</v>
          </cell>
          <cell r="B4463" t="str">
            <v xml:space="preserve">כיבוי אש          </v>
          </cell>
          <cell r="C4463">
            <v>2000</v>
          </cell>
        </row>
        <row r="4464">
          <cell r="A4464">
            <v>1813700423</v>
          </cell>
          <cell r="B4464" t="str">
            <v xml:space="preserve">תחזוקת מבנה       </v>
          </cell>
        </row>
        <row r="4465">
          <cell r="A4465">
            <v>1813700431</v>
          </cell>
          <cell r="B4465" t="str">
            <v xml:space="preserve">חשמל              </v>
          </cell>
          <cell r="C4465">
            <v>16500</v>
          </cell>
        </row>
        <row r="4466">
          <cell r="A4466">
            <v>1813700432</v>
          </cell>
          <cell r="B4466" t="str">
            <v xml:space="preserve">מים               </v>
          </cell>
        </row>
        <row r="4467">
          <cell r="A4467">
            <v>1813700433</v>
          </cell>
          <cell r="B4467" t="str">
            <v xml:space="preserve">חומרי נקיון       </v>
          </cell>
        </row>
        <row r="4468">
          <cell r="A4468">
            <v>1813700434</v>
          </cell>
          <cell r="B4468" t="str">
            <v xml:space="preserve">חיטוי והדברה      </v>
          </cell>
          <cell r="C4468">
            <v>700</v>
          </cell>
        </row>
        <row r="4469">
          <cell r="A4469">
            <v>1813700437</v>
          </cell>
          <cell r="B4469" t="str">
            <v xml:space="preserve">אחזקת אזעקה       </v>
          </cell>
          <cell r="C4469">
            <v>1300</v>
          </cell>
        </row>
        <row r="4470">
          <cell r="A4470">
            <v>1813700441</v>
          </cell>
          <cell r="B4470" t="str">
            <v xml:space="preserve">ביטוח             </v>
          </cell>
        </row>
        <row r="4471">
          <cell r="A4471">
            <v>1813700471</v>
          </cell>
          <cell r="B4471" t="str">
            <v xml:space="preserve">מכשירי כתיבה      </v>
          </cell>
        </row>
        <row r="4472">
          <cell r="A4472">
            <v>1813700500</v>
          </cell>
          <cell r="B4472" t="str">
            <v xml:space="preserve">הוצאות מינהליות   </v>
          </cell>
        </row>
        <row r="4473">
          <cell r="A4473">
            <v>1813700511</v>
          </cell>
          <cell r="B4473" t="str">
            <v xml:space="preserve">אירוח וכיבוד      </v>
          </cell>
          <cell r="C4473">
            <v>800</v>
          </cell>
        </row>
        <row r="4474">
          <cell r="A4474">
            <v>1813700512</v>
          </cell>
          <cell r="B4474" t="str">
            <v xml:space="preserve">נסיעות ואש"ל      </v>
          </cell>
        </row>
        <row r="4475">
          <cell r="A4475">
            <v>1813700540</v>
          </cell>
          <cell r="B4475" t="str">
            <v xml:space="preserve">הוצאות טלפון      </v>
          </cell>
        </row>
        <row r="4476">
          <cell r="A4476">
            <v>1813700544</v>
          </cell>
          <cell r="B4476" t="str">
            <v xml:space="preserve">הוצאות דאר        </v>
          </cell>
        </row>
        <row r="4477">
          <cell r="A4477">
            <v>1813700596</v>
          </cell>
          <cell r="B4477" t="str">
            <v xml:space="preserve">השתתפות בעזר 096  </v>
          </cell>
        </row>
        <row r="4478">
          <cell r="A4478">
            <v>1813700700</v>
          </cell>
          <cell r="B4478" t="str">
            <v xml:space="preserve">הוצאות לפעולות    </v>
          </cell>
        </row>
        <row r="4479">
          <cell r="A4479">
            <v>1813700710</v>
          </cell>
          <cell r="B4479" t="str">
            <v xml:space="preserve">הסעת ילדים        </v>
          </cell>
          <cell r="C4479">
            <v>800000</v>
          </cell>
        </row>
        <row r="4480">
          <cell r="A4480">
            <v>1813700721</v>
          </cell>
          <cell r="B4480" t="str">
            <v>חמרים-תחזוקת מבנים</v>
          </cell>
        </row>
        <row r="4481">
          <cell r="A4481">
            <v>1813700722</v>
          </cell>
          <cell r="B4481" t="str">
            <v>חמרים-תחזוקה עצמית</v>
          </cell>
        </row>
        <row r="4482">
          <cell r="A4482">
            <v>1813700723</v>
          </cell>
          <cell r="B4482" t="str">
            <v xml:space="preserve">חומרים חקלאיים    </v>
          </cell>
        </row>
        <row r="4483">
          <cell r="A4483">
            <v>1813700728</v>
          </cell>
          <cell r="B4483" t="str">
            <v xml:space="preserve">כלכלת בית         </v>
          </cell>
        </row>
        <row r="4484">
          <cell r="A4484">
            <v>1813700742</v>
          </cell>
          <cell r="B4484" t="str">
            <v xml:space="preserve">כלים וציוד        </v>
          </cell>
          <cell r="C4484">
            <v>900</v>
          </cell>
        </row>
        <row r="4485">
          <cell r="A4485">
            <v>1813700743</v>
          </cell>
          <cell r="B4485" t="str">
            <v>תחזוקת בועה</v>
          </cell>
        </row>
        <row r="4486">
          <cell r="A4486">
            <v>1813700750</v>
          </cell>
          <cell r="B4486" t="str">
            <v>אחזקת מוסדות</v>
          </cell>
          <cell r="C4486">
            <v>249000</v>
          </cell>
        </row>
        <row r="4487">
          <cell r="A4487">
            <v>1813700751</v>
          </cell>
          <cell r="B4487" t="str">
            <v xml:space="preserve">עבודות קבלניות    </v>
          </cell>
        </row>
        <row r="4488">
          <cell r="A4488">
            <v>1813700752</v>
          </cell>
          <cell r="B4488" t="str">
            <v xml:space="preserve">נקיון בקבלנות     </v>
          </cell>
          <cell r="C4488">
            <v>43200</v>
          </cell>
        </row>
        <row r="4489">
          <cell r="A4489">
            <v>1813700753</v>
          </cell>
          <cell r="B4489" t="str">
            <v xml:space="preserve">עובדים חיצוניים   </v>
          </cell>
        </row>
        <row r="4490">
          <cell r="A4490">
            <v>1813700763</v>
          </cell>
          <cell r="B4490" t="str">
            <v xml:space="preserve">עובדי חברת מוסדות </v>
          </cell>
        </row>
        <row r="4491">
          <cell r="A4491">
            <v>1813700794</v>
          </cell>
          <cell r="B4491" t="str">
            <v xml:space="preserve">השתתפות בעזר 094  </v>
          </cell>
        </row>
        <row r="4492">
          <cell r="A4492">
            <v>1813700810</v>
          </cell>
          <cell r="B4492" t="str">
            <v>הקצבה שוטפת</v>
          </cell>
          <cell r="C4492">
            <v>57000</v>
          </cell>
        </row>
        <row r="4493">
          <cell r="A4493">
            <v>1813700931</v>
          </cell>
          <cell r="B4493" t="str">
            <v xml:space="preserve">הצטיידות-הכנסה משה"ח      </v>
          </cell>
          <cell r="C4493">
            <v>100000</v>
          </cell>
        </row>
        <row r="4494">
          <cell r="A4494">
            <v>1813700961</v>
          </cell>
          <cell r="B4494" t="str">
            <v>רז' פעולות ורכישות</v>
          </cell>
        </row>
        <row r="4495">
          <cell r="A4495" t="str">
            <v>#VALUE!</v>
          </cell>
          <cell r="B4495" t="str">
            <v xml:space="preserve">החווה החקלאית     </v>
          </cell>
        </row>
        <row r="4496">
          <cell r="A4496">
            <v>18139000</v>
          </cell>
          <cell r="B4496" t="str">
            <v xml:space="preserve">השתת' בלימודי חוץ </v>
          </cell>
        </row>
        <row r="4497">
          <cell r="A4497">
            <v>1813900800</v>
          </cell>
          <cell r="B4497" t="str">
            <v>השת' תמיכות תרומות</v>
          </cell>
        </row>
        <row r="4498">
          <cell r="A4498">
            <v>1813900810</v>
          </cell>
          <cell r="B4498" t="str">
            <v>הש' לימודי חוץ - רגיל</v>
          </cell>
          <cell r="C4498">
            <v>550000</v>
          </cell>
        </row>
        <row r="4499">
          <cell r="A4499">
            <v>1813900811</v>
          </cell>
          <cell r="B4499" t="str">
            <v xml:space="preserve">השת' בלימודי חוץ  </v>
          </cell>
          <cell r="C4499">
            <v>5500000</v>
          </cell>
        </row>
        <row r="4500">
          <cell r="A4500" t="str">
            <v>#VALUE!</v>
          </cell>
          <cell r="B4500" t="str">
            <v xml:space="preserve">השתת' בלימודי חוץ </v>
          </cell>
        </row>
        <row r="4501">
          <cell r="A4501">
            <v>18141000</v>
          </cell>
          <cell r="B4501" t="str">
            <v>חטיבות ביניים</v>
          </cell>
        </row>
        <row r="4502">
          <cell r="A4502">
            <v>1814100119</v>
          </cell>
          <cell r="B4502" t="str">
            <v xml:space="preserve">השכר הקובע-צוברת  </v>
          </cell>
        </row>
        <row r="4503">
          <cell r="A4503">
            <v>1814100780</v>
          </cell>
          <cell r="B4503" t="str">
            <v>רכזי מהו"ת - קו"פ</v>
          </cell>
          <cell r="C4503">
            <v>1060000</v>
          </cell>
        </row>
        <row r="4504">
          <cell r="A4504">
            <v>1814100781</v>
          </cell>
          <cell r="B4504" t="str">
            <v>מהו"ת - סמינר הקבוצים</v>
          </cell>
        </row>
        <row r="4505">
          <cell r="A4505" t="str">
            <v>#VALUE!</v>
          </cell>
          <cell r="B4505" t="str">
            <v>חטיבות ביניים</v>
          </cell>
        </row>
        <row r="4506">
          <cell r="A4506">
            <v>18150000</v>
          </cell>
          <cell r="B4506" t="str">
            <v xml:space="preserve">חינוך על-יסודי    </v>
          </cell>
        </row>
        <row r="4507">
          <cell r="A4507">
            <v>18151000</v>
          </cell>
          <cell r="B4507" t="str">
            <v xml:space="preserve">השתתפויות במוסדות </v>
          </cell>
        </row>
        <row r="4508">
          <cell r="A4508">
            <v>1815100110</v>
          </cell>
          <cell r="B4508" t="str">
            <v>השכר הקובע-תקציבית</v>
          </cell>
        </row>
        <row r="4509">
          <cell r="A4509">
            <v>1815100111</v>
          </cell>
          <cell r="B4509" t="str">
            <v xml:space="preserve">שעות תיגבור-נבון  </v>
          </cell>
        </row>
        <row r="4510">
          <cell r="A4510">
            <v>1815100112</v>
          </cell>
          <cell r="B4510" t="str">
            <v xml:space="preserve">שעות תיגבור-בגין  </v>
          </cell>
        </row>
        <row r="4511">
          <cell r="A4511">
            <v>1815100113</v>
          </cell>
          <cell r="B4511" t="str">
            <v xml:space="preserve">שעות תיגבור-הרצוג </v>
          </cell>
        </row>
        <row r="4512">
          <cell r="A4512">
            <v>1815100114</v>
          </cell>
          <cell r="B4512" t="str">
            <v xml:space="preserve">שעות תיגבור-ק"ש   </v>
          </cell>
        </row>
        <row r="4513">
          <cell r="A4513">
            <v>1815100115</v>
          </cell>
          <cell r="B4513" t="str">
            <v xml:space="preserve">שעות תיגבור-אילון </v>
          </cell>
        </row>
        <row r="4514">
          <cell r="A4514">
            <v>1815100116</v>
          </cell>
          <cell r="B4514" t="str">
            <v xml:space="preserve">שעות תיגבור-יבנה  </v>
          </cell>
        </row>
        <row r="4515">
          <cell r="A4515">
            <v>1815100117</v>
          </cell>
          <cell r="B4515" t="str">
            <v xml:space="preserve">שעות תיגבור-קציר  </v>
          </cell>
        </row>
        <row r="4516">
          <cell r="A4516">
            <v>1815100118</v>
          </cell>
          <cell r="B4516" t="str">
            <v>שע' תיגבור-הייטק היי</v>
          </cell>
        </row>
        <row r="4517">
          <cell r="A4517">
            <v>1815100119</v>
          </cell>
          <cell r="B4517" t="str">
            <v>שעות תיגבור-עתידים</v>
          </cell>
        </row>
        <row r="4518">
          <cell r="A4518">
            <v>1815100120</v>
          </cell>
          <cell r="B4518" t="str">
            <v>שעות תיגבור-ליוות חן</v>
          </cell>
        </row>
        <row r="4519">
          <cell r="A4519">
            <v>1815100122</v>
          </cell>
          <cell r="B4519" t="str">
            <v xml:space="preserve">ביגוד             </v>
          </cell>
        </row>
        <row r="4520">
          <cell r="A4520">
            <v>1815100126</v>
          </cell>
          <cell r="B4520" t="str">
            <v xml:space="preserve">דמי הבראה         </v>
          </cell>
        </row>
        <row r="4521">
          <cell r="A4521">
            <v>1815100210</v>
          </cell>
          <cell r="B4521" t="str">
            <v>שעות תיגבור בגרויות</v>
          </cell>
          <cell r="C4521">
            <v>950000</v>
          </cell>
        </row>
        <row r="4522">
          <cell r="A4522">
            <v>1815100211</v>
          </cell>
          <cell r="B4522" t="str">
            <v>יוזמות על יסודי</v>
          </cell>
        </row>
        <row r="4523">
          <cell r="A4523">
            <v>1815100213</v>
          </cell>
          <cell r="B4523" t="str">
            <v>השאלת ספרים חט"ב</v>
          </cell>
          <cell r="C4523">
            <v>60000</v>
          </cell>
        </row>
        <row r="4524">
          <cell r="A4524">
            <v>1815100220</v>
          </cell>
          <cell r="B4524" t="str">
            <v>מורות חיילות</v>
          </cell>
        </row>
        <row r="4525">
          <cell r="A4525">
            <v>1815100253</v>
          </cell>
          <cell r="B4525" t="str">
            <v xml:space="preserve">מ"מ תיכוניים      </v>
          </cell>
          <cell r="C4525">
            <v>120000</v>
          </cell>
        </row>
        <row r="4526">
          <cell r="A4526">
            <v>1815100263</v>
          </cell>
          <cell r="B4526" t="str">
            <v>אומ"ץ - מרכז</v>
          </cell>
        </row>
        <row r="4527">
          <cell r="A4527">
            <v>1815100410</v>
          </cell>
          <cell r="B4527" t="str">
            <v xml:space="preserve">שכירת אולם        </v>
          </cell>
          <cell r="C4527">
            <v>4300</v>
          </cell>
        </row>
        <row r="4528">
          <cell r="A4528">
            <v>1815100411</v>
          </cell>
          <cell r="B4528" t="str">
            <v xml:space="preserve">שכירת אולם קוגל   </v>
          </cell>
        </row>
        <row r="4529">
          <cell r="A4529">
            <v>1815100420</v>
          </cell>
          <cell r="B4529" t="str">
            <v xml:space="preserve">כיבוי אש          </v>
          </cell>
          <cell r="C4529">
            <v>5000</v>
          </cell>
        </row>
        <row r="4530">
          <cell r="A4530">
            <v>1815100431</v>
          </cell>
          <cell r="B4530" t="str">
            <v>רזרבה לחשמל-חט"ע</v>
          </cell>
          <cell r="C4530">
            <v>100000</v>
          </cell>
        </row>
        <row r="4531">
          <cell r="A4531">
            <v>1815100432</v>
          </cell>
          <cell r="B4531" t="str">
            <v>רזרבה למים-חט"ע</v>
          </cell>
          <cell r="C4531">
            <v>100000</v>
          </cell>
        </row>
        <row r="4532">
          <cell r="A4532">
            <v>1815100438</v>
          </cell>
          <cell r="B4532" t="str">
            <v xml:space="preserve">אחזקת  מעבדות     </v>
          </cell>
        </row>
        <row r="4533">
          <cell r="A4533">
            <v>1815100441</v>
          </cell>
          <cell r="B4533" t="str">
            <v>ביטוח אורט</v>
          </cell>
        </row>
        <row r="4534">
          <cell r="A4534">
            <v>1815100471</v>
          </cell>
          <cell r="B4534" t="str">
            <v xml:space="preserve">מכשירי כתיבה      </v>
          </cell>
        </row>
        <row r="4535">
          <cell r="A4535">
            <v>1815100521</v>
          </cell>
          <cell r="B4535" t="str">
            <v xml:space="preserve">השתלמויות         </v>
          </cell>
          <cell r="C4535">
            <v>8100</v>
          </cell>
        </row>
        <row r="4536">
          <cell r="A4536">
            <v>1815100550</v>
          </cell>
          <cell r="B4536" t="str">
            <v>פירסומים</v>
          </cell>
          <cell r="C4536">
            <v>17100</v>
          </cell>
        </row>
        <row r="4537">
          <cell r="A4537">
            <v>1815100562</v>
          </cell>
          <cell r="B4537" t="str">
            <v xml:space="preserve">הדפסות            </v>
          </cell>
          <cell r="C4537">
            <v>21400</v>
          </cell>
        </row>
        <row r="4538">
          <cell r="A4538">
            <v>1815100580</v>
          </cell>
          <cell r="B4538" t="str">
            <v>שירותי הכנה לבחינות בגרות</v>
          </cell>
          <cell r="C4538">
            <v>5000000</v>
          </cell>
        </row>
        <row r="4539">
          <cell r="A4539">
            <v>1815100710</v>
          </cell>
          <cell r="B4539" t="str">
            <v xml:space="preserve">הובלות והסעות     </v>
          </cell>
        </row>
        <row r="4540">
          <cell r="A4540">
            <v>1815100711</v>
          </cell>
          <cell r="B4540" t="str">
            <v>הסעת מחויבות אישית</v>
          </cell>
        </row>
        <row r="4541">
          <cell r="A4541">
            <v>1815100723</v>
          </cell>
          <cell r="B4541" t="str">
            <v>הוצאות מיוחדות</v>
          </cell>
          <cell r="C4541">
            <v>9000</v>
          </cell>
        </row>
        <row r="4542">
          <cell r="A4542">
            <v>1815100751</v>
          </cell>
          <cell r="B4542" t="str">
            <v xml:space="preserve">עב' קבלניות מענה  </v>
          </cell>
        </row>
        <row r="4543">
          <cell r="A4543">
            <v>1815100753</v>
          </cell>
          <cell r="B4543" t="str">
            <v xml:space="preserve">מ"מ תיכוניים      </v>
          </cell>
          <cell r="C4543">
            <v>150000</v>
          </cell>
        </row>
        <row r="4544">
          <cell r="A4544">
            <v>1815100759</v>
          </cell>
          <cell r="B4544" t="str">
            <v>מ"מ סייעות</v>
          </cell>
        </row>
        <row r="4545">
          <cell r="A4545">
            <v>1815100763</v>
          </cell>
          <cell r="B4545" t="str">
            <v>שכר על-יסודי מרפ"ד</v>
          </cell>
        </row>
        <row r="4546">
          <cell r="A4546">
            <v>1815100764</v>
          </cell>
          <cell r="B4546" t="str">
            <v>פרוייקט בגרות 2001</v>
          </cell>
        </row>
        <row r="4547">
          <cell r="A4547">
            <v>1815100780</v>
          </cell>
          <cell r="B4547" t="str">
            <v>חוגי טכנולוגיה-משרד המדע</v>
          </cell>
        </row>
        <row r="4548">
          <cell r="A4548">
            <v>1815100781</v>
          </cell>
          <cell r="B4548" t="str">
            <v>שביתה - הכנ' משה"ח</v>
          </cell>
        </row>
        <row r="4549">
          <cell r="A4549">
            <v>1815100782</v>
          </cell>
          <cell r="B4549" t="str">
            <v>השת' בג' מוס' חוץ</v>
          </cell>
          <cell r="C4549">
            <v>700000</v>
          </cell>
        </row>
        <row r="4550">
          <cell r="A4550">
            <v>1815100783</v>
          </cell>
          <cell r="B4550" t="str">
            <v>מהו"ת תשע"ב</v>
          </cell>
        </row>
        <row r="4551">
          <cell r="A4551">
            <v>1815100784</v>
          </cell>
          <cell r="B4551" t="str">
            <v xml:space="preserve">השתלמויות מורים    </v>
          </cell>
        </row>
        <row r="4552">
          <cell r="A4552">
            <v>1815100785</v>
          </cell>
          <cell r="B4552" t="str">
            <v>דירת חיילים</v>
          </cell>
        </row>
        <row r="4553">
          <cell r="A4553">
            <v>1815100786</v>
          </cell>
          <cell r="B4553" t="str">
            <v>מענק לבגרויות</v>
          </cell>
          <cell r="C4553">
            <v>108000</v>
          </cell>
        </row>
        <row r="4554">
          <cell r="A4554">
            <v>1815100787</v>
          </cell>
          <cell r="B4554" t="str">
            <v>פרוייקטים עי"ס</v>
          </cell>
        </row>
        <row r="4555">
          <cell r="A4555">
            <v>1815100788</v>
          </cell>
          <cell r="B4555" t="str">
            <v>פרוייקטים מערכתיים</v>
          </cell>
          <cell r="C4555">
            <v>586500</v>
          </cell>
        </row>
        <row r="4556">
          <cell r="A4556">
            <v>1815100789</v>
          </cell>
          <cell r="B4556" t="str">
            <v>פרוייקט החלל - עתידים</v>
          </cell>
        </row>
        <row r="4557">
          <cell r="A4557">
            <v>1815100790</v>
          </cell>
          <cell r="B4557" t="str">
            <v>השתת' ע"ח בגרויות</v>
          </cell>
        </row>
        <row r="4558">
          <cell r="A4558">
            <v>1815100791</v>
          </cell>
          <cell r="B4558" t="str">
            <v>קשישים - שיוויון חברתי</v>
          </cell>
        </row>
        <row r="4559">
          <cell r="A4559">
            <v>1815100792</v>
          </cell>
          <cell r="B4559" t="str">
            <v>מעורבות חברתית</v>
          </cell>
          <cell r="C4559">
            <v>60000</v>
          </cell>
        </row>
        <row r="4560">
          <cell r="A4560">
            <v>1815100800</v>
          </cell>
          <cell r="B4560" t="str">
            <v>השת' תמיכות תרומות</v>
          </cell>
        </row>
        <row r="4561">
          <cell r="A4561">
            <v>1815100812</v>
          </cell>
          <cell r="B4561" t="str">
            <v xml:space="preserve">השתת' לבי"ס אורט  </v>
          </cell>
        </row>
        <row r="4562">
          <cell r="A4562">
            <v>1815100813</v>
          </cell>
          <cell r="B4562" t="str">
            <v>אחז' מע' טכנולוגיה</v>
          </cell>
        </row>
        <row r="4563">
          <cell r="A4563">
            <v>1815100814</v>
          </cell>
          <cell r="B4563" t="str">
            <v>השת' המכללה למינהל</v>
          </cell>
        </row>
        <row r="4564">
          <cell r="A4564">
            <v>1815100815</v>
          </cell>
          <cell r="B4564" t="str">
            <v xml:space="preserve">השתת' שעות  נעמ"ת </v>
          </cell>
        </row>
        <row r="4565">
          <cell r="A4565">
            <v>1815100817</v>
          </cell>
          <cell r="B4565" t="str">
            <v xml:space="preserve">השתת' שעות  מלט"ב </v>
          </cell>
        </row>
        <row r="4566">
          <cell r="A4566">
            <v>1815100818</v>
          </cell>
          <cell r="B4566" t="str">
            <v>השת' שעות מקוה-ישר</v>
          </cell>
        </row>
        <row r="4567">
          <cell r="A4567">
            <v>1815100930</v>
          </cell>
          <cell r="B4567" t="str">
            <v>צ' חד-פעמי ( מזוזות )</v>
          </cell>
          <cell r="C4567">
            <v>10000</v>
          </cell>
        </row>
        <row r="4568">
          <cell r="A4568">
            <v>1815100960</v>
          </cell>
          <cell r="B4568" t="str">
            <v>פרויקטים בהשתתפות משה"ח</v>
          </cell>
          <cell r="C4568">
            <v>270000</v>
          </cell>
        </row>
        <row r="4569">
          <cell r="A4569">
            <v>1815100961</v>
          </cell>
          <cell r="B4569" t="str">
            <v>רזרבה לשעות תיגבור</v>
          </cell>
        </row>
        <row r="4570">
          <cell r="A4570">
            <v>1815100962</v>
          </cell>
          <cell r="B4570" t="str">
            <v>רז' פעולות ורכישות</v>
          </cell>
        </row>
        <row r="4571">
          <cell r="A4571">
            <v>1815100980</v>
          </cell>
          <cell r="B4571" t="str">
            <v>בית להיות - מרכז השואה</v>
          </cell>
        </row>
        <row r="4572">
          <cell r="A4572">
            <v>1815100981</v>
          </cell>
          <cell r="B4572" t="str">
            <v>פעילות לחיילים</v>
          </cell>
          <cell r="C4572">
            <v>81300</v>
          </cell>
        </row>
        <row r="4573">
          <cell r="A4573">
            <v>1815100982</v>
          </cell>
          <cell r="B4573" t="str">
            <v>משלחות בתי ספר</v>
          </cell>
          <cell r="C4573">
            <v>107200</v>
          </cell>
        </row>
        <row r="4574">
          <cell r="A4574">
            <v>1815100983</v>
          </cell>
          <cell r="B4574" t="str">
            <v>הכשרת מזכירות</v>
          </cell>
        </row>
        <row r="4575">
          <cell r="A4575">
            <v>1815100988</v>
          </cell>
          <cell r="B4575" t="str">
            <v>הכנה לצה"ל</v>
          </cell>
        </row>
        <row r="4576">
          <cell r="A4576" t="str">
            <v>#VALUE!</v>
          </cell>
          <cell r="B4576" t="str">
            <v xml:space="preserve">השתתפויות במוסדות </v>
          </cell>
        </row>
        <row r="4577">
          <cell r="A4577">
            <v>18151100</v>
          </cell>
          <cell r="B4577" t="str">
            <v>יוזמות - נבון</v>
          </cell>
        </row>
        <row r="4578">
          <cell r="A4578">
            <v>1815110118</v>
          </cell>
          <cell r="B4578" t="str">
            <v>אומ"ץ - מורים</v>
          </cell>
        </row>
        <row r="4579">
          <cell r="A4579">
            <v>1815110211</v>
          </cell>
          <cell r="B4579" t="str">
            <v>מענה</v>
          </cell>
        </row>
        <row r="4580">
          <cell r="A4580">
            <v>1815110212</v>
          </cell>
          <cell r="B4580" t="str">
            <v>יזמים צעירים</v>
          </cell>
        </row>
        <row r="4581">
          <cell r="A4581">
            <v>1815110213</v>
          </cell>
          <cell r="B4581" t="str">
            <v>אומ"ץ - מדריכים</v>
          </cell>
          <cell r="C4581">
            <v>100000</v>
          </cell>
        </row>
        <row r="4582">
          <cell r="A4582">
            <v>1815110214</v>
          </cell>
          <cell r="B4582" t="str">
            <v>מהות</v>
          </cell>
        </row>
        <row r="4583">
          <cell r="A4583">
            <v>1815110215</v>
          </cell>
          <cell r="B4583" t="str">
            <v>יעד</v>
          </cell>
        </row>
        <row r="4584">
          <cell r="A4584">
            <v>1815110216</v>
          </cell>
          <cell r="B4584" t="str">
            <v>תפ"ן</v>
          </cell>
        </row>
        <row r="4585">
          <cell r="A4585">
            <v>1815110780</v>
          </cell>
          <cell r="B4585" t="str">
            <v>פעולות - אומ"ץ</v>
          </cell>
          <cell r="C4585">
            <v>20000</v>
          </cell>
        </row>
        <row r="4586">
          <cell r="A4586">
            <v>1815110788</v>
          </cell>
          <cell r="B4586" t="str">
            <v>פרוייקטים</v>
          </cell>
        </row>
        <row r="4587">
          <cell r="A4587" t="str">
            <v>#VALUE!</v>
          </cell>
          <cell r="B4587" t="str">
            <v>יוזמות - נבון</v>
          </cell>
        </row>
        <row r="4588">
          <cell r="A4588">
            <v>18151200</v>
          </cell>
          <cell r="B4588" t="str">
            <v>יוזמות - קוגל</v>
          </cell>
        </row>
        <row r="4589">
          <cell r="A4589">
            <v>1815120118</v>
          </cell>
          <cell r="B4589" t="str">
            <v>אומ"ץ - מורים</v>
          </cell>
        </row>
        <row r="4590">
          <cell r="A4590">
            <v>1815120211</v>
          </cell>
          <cell r="B4590" t="str">
            <v>מענה</v>
          </cell>
        </row>
        <row r="4591">
          <cell r="A4591">
            <v>1815120212</v>
          </cell>
          <cell r="B4591" t="str">
            <v>יזמים צעירים</v>
          </cell>
        </row>
        <row r="4592">
          <cell r="A4592">
            <v>1815120213</v>
          </cell>
          <cell r="B4592" t="str">
            <v>אומ"ץ - מדריכים</v>
          </cell>
          <cell r="C4592">
            <v>110000</v>
          </cell>
        </row>
        <row r="4593">
          <cell r="A4593">
            <v>1815120214</v>
          </cell>
          <cell r="B4593" t="str">
            <v>מהות</v>
          </cell>
        </row>
        <row r="4594">
          <cell r="A4594">
            <v>1815120215</v>
          </cell>
          <cell r="B4594" t="str">
            <v>יעד</v>
          </cell>
        </row>
        <row r="4595">
          <cell r="A4595">
            <v>1815120216</v>
          </cell>
          <cell r="B4595" t="str">
            <v>תפ"ן</v>
          </cell>
        </row>
        <row r="4596">
          <cell r="A4596">
            <v>1815120780</v>
          </cell>
          <cell r="B4596" t="str">
            <v>פעולות - אומ"ץ</v>
          </cell>
          <cell r="C4596">
            <v>20000</v>
          </cell>
        </row>
        <row r="4597">
          <cell r="A4597">
            <v>1815120788</v>
          </cell>
          <cell r="B4597" t="str">
            <v>פרוייקטים</v>
          </cell>
        </row>
        <row r="4598">
          <cell r="A4598" t="str">
            <v>#VALUE!</v>
          </cell>
          <cell r="B4598" t="str">
            <v>יוזמות - קוגל</v>
          </cell>
        </row>
        <row r="4599">
          <cell r="A4599">
            <v>18151300</v>
          </cell>
          <cell r="B4599" t="str">
            <v>יוזמות - הרצוג</v>
          </cell>
        </row>
        <row r="4600">
          <cell r="A4600">
            <v>1815130118</v>
          </cell>
          <cell r="B4600" t="str">
            <v>אומ"ץ - מורים</v>
          </cell>
        </row>
        <row r="4601">
          <cell r="A4601">
            <v>1815130211</v>
          </cell>
          <cell r="B4601" t="str">
            <v>מענה</v>
          </cell>
        </row>
        <row r="4602">
          <cell r="A4602">
            <v>1815130212</v>
          </cell>
          <cell r="B4602" t="str">
            <v>יזמים צעירים</v>
          </cell>
        </row>
        <row r="4603">
          <cell r="A4603">
            <v>1815130213</v>
          </cell>
          <cell r="B4603" t="str">
            <v>אומ"ץ - מדריכים</v>
          </cell>
          <cell r="C4603">
            <v>370000</v>
          </cell>
        </row>
        <row r="4604">
          <cell r="A4604">
            <v>1815130214</v>
          </cell>
          <cell r="B4604" t="str">
            <v>מהות</v>
          </cell>
        </row>
        <row r="4605">
          <cell r="A4605">
            <v>1815130215</v>
          </cell>
          <cell r="B4605" t="str">
            <v>יעד</v>
          </cell>
        </row>
        <row r="4606">
          <cell r="A4606">
            <v>1815130216</v>
          </cell>
          <cell r="B4606" t="str">
            <v>תפ"ן</v>
          </cell>
        </row>
        <row r="4607">
          <cell r="A4607">
            <v>1815130780</v>
          </cell>
          <cell r="B4607" t="str">
            <v>פעולות - אומ"ץ</v>
          </cell>
          <cell r="C4607">
            <v>20000</v>
          </cell>
        </row>
        <row r="4608">
          <cell r="A4608">
            <v>1815130788</v>
          </cell>
          <cell r="B4608" t="str">
            <v>פרוייקטים</v>
          </cell>
        </row>
        <row r="4609">
          <cell r="A4609" t="str">
            <v>#VALUE!</v>
          </cell>
          <cell r="B4609" t="str">
            <v>יוזמות - הרצוג</v>
          </cell>
        </row>
        <row r="4610">
          <cell r="A4610">
            <v>18151400</v>
          </cell>
          <cell r="B4610" t="str">
            <v>יוזמות - ק"ש</v>
          </cell>
        </row>
        <row r="4611">
          <cell r="A4611">
            <v>1815140118</v>
          </cell>
          <cell r="B4611" t="str">
            <v>אומ"ץ - מורים</v>
          </cell>
        </row>
        <row r="4612">
          <cell r="A4612">
            <v>1815140211</v>
          </cell>
          <cell r="B4612" t="str">
            <v>מענה</v>
          </cell>
        </row>
        <row r="4613">
          <cell r="A4613">
            <v>1815140212</v>
          </cell>
          <cell r="B4613" t="str">
            <v>יזמים צעירים</v>
          </cell>
        </row>
        <row r="4614">
          <cell r="A4614">
            <v>1815140213</v>
          </cell>
          <cell r="B4614" t="str">
            <v>אומ"ץ - מדריכים</v>
          </cell>
          <cell r="C4614">
            <v>280000</v>
          </cell>
        </row>
        <row r="4615">
          <cell r="A4615">
            <v>1815140214</v>
          </cell>
          <cell r="B4615" t="str">
            <v>מהות</v>
          </cell>
        </row>
        <row r="4616">
          <cell r="A4616">
            <v>1815140215</v>
          </cell>
          <cell r="B4616" t="str">
            <v>יעד</v>
          </cell>
        </row>
        <row r="4617">
          <cell r="A4617">
            <v>1815140216</v>
          </cell>
          <cell r="B4617" t="str">
            <v>תפ"ן</v>
          </cell>
        </row>
        <row r="4618">
          <cell r="A4618">
            <v>1815140780</v>
          </cell>
          <cell r="B4618" t="str">
            <v>פעולות - אומ"ץ</v>
          </cell>
          <cell r="C4618">
            <v>20000</v>
          </cell>
        </row>
        <row r="4619">
          <cell r="A4619">
            <v>1815140788</v>
          </cell>
          <cell r="B4619" t="str">
            <v>פרוייקטים</v>
          </cell>
        </row>
        <row r="4620">
          <cell r="A4620" t="str">
            <v>#VALUE!</v>
          </cell>
          <cell r="B4620" t="str">
            <v>יוזמות - ק"ש</v>
          </cell>
        </row>
        <row r="4621">
          <cell r="A4621">
            <v>18151500</v>
          </cell>
          <cell r="B4621" t="str">
            <v>יוזמות - איילון</v>
          </cell>
        </row>
        <row r="4622">
          <cell r="A4622">
            <v>1815150118</v>
          </cell>
          <cell r="B4622" t="str">
            <v>אומ"ץ - מורים</v>
          </cell>
        </row>
        <row r="4623">
          <cell r="A4623">
            <v>1815150211</v>
          </cell>
          <cell r="B4623" t="str">
            <v>מענה</v>
          </cell>
        </row>
        <row r="4624">
          <cell r="A4624">
            <v>1815150212</v>
          </cell>
          <cell r="B4624" t="str">
            <v>יזמים צעירים</v>
          </cell>
        </row>
        <row r="4625">
          <cell r="A4625">
            <v>1815150213</v>
          </cell>
          <cell r="B4625" t="str">
            <v>אומ"ץ - מדריכים</v>
          </cell>
          <cell r="C4625">
            <v>235000</v>
          </cell>
        </row>
        <row r="4626">
          <cell r="A4626">
            <v>1815150214</v>
          </cell>
          <cell r="B4626" t="str">
            <v>מהות</v>
          </cell>
        </row>
        <row r="4627">
          <cell r="A4627">
            <v>1815150215</v>
          </cell>
          <cell r="B4627" t="str">
            <v>יעד</v>
          </cell>
        </row>
        <row r="4628">
          <cell r="A4628">
            <v>1815150216</v>
          </cell>
          <cell r="B4628" t="str">
            <v>תפ"ן</v>
          </cell>
        </row>
        <row r="4629">
          <cell r="A4629">
            <v>1815150780</v>
          </cell>
          <cell r="B4629" t="str">
            <v>פעולות - אומ"ץ</v>
          </cell>
          <cell r="C4629">
            <v>20000</v>
          </cell>
        </row>
        <row r="4630">
          <cell r="A4630">
            <v>1815150788</v>
          </cell>
          <cell r="B4630" t="str">
            <v>פרוייקטים</v>
          </cell>
        </row>
        <row r="4631">
          <cell r="A4631" t="str">
            <v>#VALUE!</v>
          </cell>
          <cell r="B4631" t="str">
            <v>יוזמות - איילון</v>
          </cell>
        </row>
        <row r="4632">
          <cell r="A4632">
            <v>18151600</v>
          </cell>
          <cell r="B4632" t="str">
            <v>יוזמות - יבנה</v>
          </cell>
        </row>
        <row r="4633">
          <cell r="A4633">
            <v>1815160118</v>
          </cell>
          <cell r="B4633" t="str">
            <v>אומ"ץ - מורים</v>
          </cell>
        </row>
        <row r="4634">
          <cell r="A4634">
            <v>1815160211</v>
          </cell>
          <cell r="B4634" t="str">
            <v>מענה</v>
          </cell>
        </row>
        <row r="4635">
          <cell r="A4635">
            <v>1815160212</v>
          </cell>
          <cell r="B4635" t="str">
            <v>יזמים צעירים</v>
          </cell>
        </row>
        <row r="4636">
          <cell r="A4636">
            <v>1815160213</v>
          </cell>
          <cell r="B4636" t="str">
            <v>אומ"ץ - מדריכים</v>
          </cell>
          <cell r="C4636">
            <v>190000</v>
          </cell>
        </row>
        <row r="4637">
          <cell r="A4637">
            <v>1815160214</v>
          </cell>
          <cell r="B4637" t="str">
            <v>מהות</v>
          </cell>
        </row>
        <row r="4638">
          <cell r="A4638">
            <v>1815160215</v>
          </cell>
          <cell r="B4638" t="str">
            <v>יעד</v>
          </cell>
        </row>
        <row r="4639">
          <cell r="A4639">
            <v>1815160216</v>
          </cell>
          <cell r="B4639" t="str">
            <v>תפ"ן</v>
          </cell>
        </row>
        <row r="4640">
          <cell r="A4640">
            <v>1815160780</v>
          </cell>
          <cell r="B4640" t="str">
            <v>פעולות - אומ"ץ</v>
          </cell>
          <cell r="C4640">
            <v>20000</v>
          </cell>
        </row>
        <row r="4641">
          <cell r="A4641">
            <v>1815160788</v>
          </cell>
          <cell r="B4641" t="str">
            <v>פרוייקטים</v>
          </cell>
        </row>
        <row r="4642">
          <cell r="A4642" t="str">
            <v>#VALUE!</v>
          </cell>
          <cell r="B4642" t="str">
            <v>יוזמות - יבנה</v>
          </cell>
        </row>
        <row r="4643">
          <cell r="A4643">
            <v>18151700</v>
          </cell>
          <cell r="B4643" t="str">
            <v>יוזמות - קציר</v>
          </cell>
        </row>
        <row r="4644">
          <cell r="A4644">
            <v>1815170118</v>
          </cell>
          <cell r="B4644" t="str">
            <v>אומ"ץ - מורים</v>
          </cell>
        </row>
        <row r="4645">
          <cell r="A4645">
            <v>1815170211</v>
          </cell>
          <cell r="B4645" t="str">
            <v>מענה</v>
          </cell>
        </row>
        <row r="4646">
          <cell r="A4646">
            <v>1815170212</v>
          </cell>
          <cell r="B4646" t="str">
            <v>יזמים צעירים</v>
          </cell>
        </row>
        <row r="4647">
          <cell r="A4647">
            <v>1815170213</v>
          </cell>
          <cell r="B4647" t="str">
            <v>אומ"ץ - מדריכים</v>
          </cell>
          <cell r="C4647">
            <v>250000</v>
          </cell>
        </row>
        <row r="4648">
          <cell r="A4648">
            <v>1815170214</v>
          </cell>
          <cell r="B4648" t="str">
            <v>מהות</v>
          </cell>
        </row>
        <row r="4649">
          <cell r="A4649">
            <v>1815170215</v>
          </cell>
          <cell r="B4649" t="str">
            <v>יעד</v>
          </cell>
        </row>
        <row r="4650">
          <cell r="A4650">
            <v>1815170216</v>
          </cell>
          <cell r="B4650" t="str">
            <v>תפ"ן</v>
          </cell>
        </row>
        <row r="4651">
          <cell r="A4651">
            <v>1815170780</v>
          </cell>
          <cell r="B4651" t="str">
            <v>פעולות - אומ"ץ</v>
          </cell>
          <cell r="C4651">
            <v>20000</v>
          </cell>
        </row>
        <row r="4652">
          <cell r="A4652">
            <v>1815170788</v>
          </cell>
          <cell r="B4652" t="str">
            <v>פרוייקטים</v>
          </cell>
        </row>
        <row r="4653">
          <cell r="A4653" t="str">
            <v>#VALUE!</v>
          </cell>
          <cell r="B4653" t="str">
            <v>יוזמות - קציר</v>
          </cell>
        </row>
        <row r="4654">
          <cell r="A4654">
            <v>18151800</v>
          </cell>
          <cell r="B4654" t="str">
            <v>יוזמות - כרם שלמה</v>
          </cell>
        </row>
        <row r="4655">
          <cell r="A4655">
            <v>1815180118</v>
          </cell>
          <cell r="B4655" t="str">
            <v>אומ"ץ - מורים</v>
          </cell>
        </row>
        <row r="4656">
          <cell r="A4656">
            <v>1815180211</v>
          </cell>
          <cell r="B4656" t="str">
            <v>מענה</v>
          </cell>
        </row>
        <row r="4657">
          <cell r="A4657">
            <v>1815180212</v>
          </cell>
          <cell r="B4657" t="str">
            <v>יזמים צעירים</v>
          </cell>
        </row>
        <row r="4658">
          <cell r="A4658">
            <v>1815180213</v>
          </cell>
          <cell r="B4658" t="str">
            <v>אומ"ץ - מדריכים</v>
          </cell>
        </row>
        <row r="4659">
          <cell r="A4659">
            <v>1815180214</v>
          </cell>
          <cell r="B4659" t="str">
            <v>מהות</v>
          </cell>
        </row>
        <row r="4660">
          <cell r="A4660">
            <v>1815180215</v>
          </cell>
          <cell r="B4660" t="str">
            <v>יעד</v>
          </cell>
        </row>
        <row r="4661">
          <cell r="A4661">
            <v>1815180216</v>
          </cell>
          <cell r="B4661" t="str">
            <v>תפ"ן</v>
          </cell>
        </row>
        <row r="4662">
          <cell r="A4662">
            <v>1815180780</v>
          </cell>
          <cell r="B4662" t="str">
            <v>פעולות - אומ"ץ</v>
          </cell>
        </row>
        <row r="4663">
          <cell r="A4663">
            <v>1815180788</v>
          </cell>
          <cell r="B4663" t="str">
            <v>פרוייקטים</v>
          </cell>
        </row>
        <row r="4664">
          <cell r="A4664" t="str">
            <v>#VALUE!</v>
          </cell>
          <cell r="B4664" t="str">
            <v>יוזמות - כרם שלמה</v>
          </cell>
        </row>
        <row r="4665">
          <cell r="A4665">
            <v>18151900</v>
          </cell>
          <cell r="B4665" t="str">
            <v>יוזמות - עתידים</v>
          </cell>
        </row>
        <row r="4666">
          <cell r="A4666">
            <v>1815190118</v>
          </cell>
          <cell r="B4666" t="str">
            <v>אומ"ץ - מורים</v>
          </cell>
        </row>
        <row r="4667">
          <cell r="A4667">
            <v>1815190211</v>
          </cell>
          <cell r="B4667" t="str">
            <v>מענה</v>
          </cell>
        </row>
        <row r="4668">
          <cell r="A4668">
            <v>1815190212</v>
          </cell>
          <cell r="B4668" t="str">
            <v>יזמים צעירים</v>
          </cell>
        </row>
        <row r="4669">
          <cell r="A4669">
            <v>1815190213</v>
          </cell>
          <cell r="B4669" t="str">
            <v>אומ"ץ - מדריכים</v>
          </cell>
          <cell r="C4669">
            <v>190000</v>
          </cell>
        </row>
        <row r="4670">
          <cell r="A4670">
            <v>1815190214</v>
          </cell>
          <cell r="B4670" t="str">
            <v>מהות</v>
          </cell>
        </row>
        <row r="4671">
          <cell r="A4671">
            <v>1815190215</v>
          </cell>
          <cell r="B4671" t="str">
            <v>יעד</v>
          </cell>
        </row>
        <row r="4672">
          <cell r="A4672">
            <v>1815190216</v>
          </cell>
          <cell r="B4672" t="str">
            <v>תפ"ן</v>
          </cell>
        </row>
        <row r="4673">
          <cell r="A4673">
            <v>1815190780</v>
          </cell>
          <cell r="B4673" t="str">
            <v>פעולות - אומ"ץ</v>
          </cell>
          <cell r="C4673">
            <v>20000</v>
          </cell>
        </row>
        <row r="4674">
          <cell r="A4674">
            <v>1815190788</v>
          </cell>
          <cell r="B4674" t="str">
            <v>פרוייקטים</v>
          </cell>
        </row>
        <row r="4675">
          <cell r="A4675" t="str">
            <v>#VALUE!</v>
          </cell>
          <cell r="B4675" t="str">
            <v>יוזמות - עתידים</v>
          </cell>
        </row>
        <row r="4676">
          <cell r="A4676">
            <v>18157000</v>
          </cell>
          <cell r="B4676" t="str">
            <v xml:space="preserve">בי"ס ע"י ומקיפים  </v>
          </cell>
        </row>
        <row r="4677">
          <cell r="A4677">
            <v>18157100</v>
          </cell>
          <cell r="B4677" t="str">
            <v xml:space="preserve">תיכון נבון </v>
          </cell>
        </row>
        <row r="4678">
          <cell r="A4678">
            <v>1815710110</v>
          </cell>
          <cell r="B4678" t="str">
            <v>השכר הקובע-תקציבית</v>
          </cell>
        </row>
        <row r="4679">
          <cell r="A4679">
            <v>1815710118</v>
          </cell>
          <cell r="B4679" t="str">
            <v xml:space="preserve">שכר עובדי הוראה   </v>
          </cell>
          <cell r="C4679">
            <v>13727700</v>
          </cell>
        </row>
        <row r="4680">
          <cell r="A4680">
            <v>1815710119</v>
          </cell>
          <cell r="B4680" t="str">
            <v xml:space="preserve">השכר הקובע-צוברת  </v>
          </cell>
          <cell r="C4680">
            <v>1370900</v>
          </cell>
        </row>
        <row r="4681">
          <cell r="A4681">
            <v>1815710122</v>
          </cell>
          <cell r="B4681" t="str">
            <v xml:space="preserve">ביגוד             </v>
          </cell>
          <cell r="C4681">
            <v>144000</v>
          </cell>
        </row>
        <row r="4682">
          <cell r="A4682">
            <v>1815710126</v>
          </cell>
          <cell r="B4682" t="str">
            <v xml:space="preserve">דמי הבראה         </v>
          </cell>
          <cell r="C4682">
            <v>300000</v>
          </cell>
        </row>
        <row r="4683">
          <cell r="A4683">
            <v>1815710130</v>
          </cell>
          <cell r="B4683" t="str">
            <v xml:space="preserve">שעות נוספות       </v>
          </cell>
          <cell r="C4683">
            <v>13000</v>
          </cell>
        </row>
        <row r="4684">
          <cell r="A4684">
            <v>1815710140</v>
          </cell>
          <cell r="B4684" t="str">
            <v>השתתפות באחזקת רכב</v>
          </cell>
          <cell r="C4684">
            <v>134000</v>
          </cell>
        </row>
        <row r="4685">
          <cell r="A4685">
            <v>1815710181</v>
          </cell>
          <cell r="B4685" t="str">
            <v>ק'השתל'מורים-מעביד</v>
          </cell>
        </row>
        <row r="4686">
          <cell r="A4686">
            <v>1815710210</v>
          </cell>
          <cell r="B4686" t="str">
            <v>השכר הקובע</v>
          </cell>
        </row>
        <row r="4687">
          <cell r="A4687">
            <v>1815710212</v>
          </cell>
          <cell r="B4687" t="str">
            <v xml:space="preserve">שעורי עזר לעולים  </v>
          </cell>
        </row>
        <row r="4688">
          <cell r="A4688">
            <v>1815710213</v>
          </cell>
          <cell r="B4688" t="str">
            <v xml:space="preserve">שעורי עזר לנכים   </v>
          </cell>
        </row>
        <row r="4689">
          <cell r="A4689">
            <v>1815710214</v>
          </cell>
          <cell r="B4689" t="str">
            <v>שעורי עזר לתלמידים</v>
          </cell>
        </row>
        <row r="4690">
          <cell r="A4690">
            <v>1815710215</v>
          </cell>
          <cell r="B4690" t="str">
            <v>קייטנת קיץ בחט"ב ובתיכוניים</v>
          </cell>
        </row>
        <row r="4691">
          <cell r="A4691">
            <v>1815710216</v>
          </cell>
          <cell r="B4691" t="str">
            <v>פרוייקט קשישים</v>
          </cell>
          <cell r="C4691">
            <v>10000</v>
          </cell>
        </row>
        <row r="4692">
          <cell r="A4692">
            <v>1815710250</v>
          </cell>
          <cell r="B4692" t="str">
            <v>שעות השאלה למשה"ח</v>
          </cell>
          <cell r="C4692">
            <v>35400</v>
          </cell>
        </row>
        <row r="4693">
          <cell r="A4693">
            <v>1815710261</v>
          </cell>
          <cell r="B4693" t="str">
            <v>תכנית גי"א / מש"ב</v>
          </cell>
        </row>
        <row r="4694">
          <cell r="A4694">
            <v>1815710262</v>
          </cell>
          <cell r="B4694" t="str">
            <v>שע' שאילה-מ' חינוך</v>
          </cell>
        </row>
        <row r="4695">
          <cell r="A4695">
            <v>1815710263</v>
          </cell>
          <cell r="B4695" t="str">
            <v xml:space="preserve">עובדי מינהלה      </v>
          </cell>
        </row>
        <row r="4696">
          <cell r="A4696">
            <v>1815710264</v>
          </cell>
          <cell r="B4696" t="str">
            <v>סייעות-מוסדות+חברה</v>
          </cell>
        </row>
        <row r="4697">
          <cell r="A4697">
            <v>1815710420</v>
          </cell>
          <cell r="B4697" t="str">
            <v xml:space="preserve">כיבוי אש          </v>
          </cell>
          <cell r="C4697">
            <v>11000</v>
          </cell>
        </row>
        <row r="4698">
          <cell r="A4698">
            <v>1815710423</v>
          </cell>
          <cell r="B4698" t="str">
            <v xml:space="preserve">תחזוקת מבנה       </v>
          </cell>
        </row>
        <row r="4699">
          <cell r="A4699">
            <v>1815710431</v>
          </cell>
          <cell r="B4699" t="str">
            <v xml:space="preserve">חשמל              </v>
          </cell>
          <cell r="C4699">
            <v>140000</v>
          </cell>
        </row>
        <row r="4700">
          <cell r="A4700">
            <v>1815710432</v>
          </cell>
          <cell r="B4700" t="str">
            <v xml:space="preserve">מים               </v>
          </cell>
        </row>
        <row r="4701">
          <cell r="A4701">
            <v>1815710433</v>
          </cell>
          <cell r="B4701" t="str">
            <v xml:space="preserve">חומרי נקיון       </v>
          </cell>
        </row>
        <row r="4702">
          <cell r="A4702">
            <v>1815710434</v>
          </cell>
          <cell r="B4702" t="str">
            <v xml:space="preserve">חיטוי והדברה      </v>
          </cell>
        </row>
        <row r="4703">
          <cell r="A4703">
            <v>1815710437</v>
          </cell>
          <cell r="B4703" t="str">
            <v xml:space="preserve">אחזקת אזעקה       </v>
          </cell>
          <cell r="C4703">
            <v>3700</v>
          </cell>
        </row>
        <row r="4704">
          <cell r="A4704">
            <v>1815710441</v>
          </cell>
          <cell r="B4704" t="str">
            <v xml:space="preserve">ביטוח             </v>
          </cell>
        </row>
        <row r="4705">
          <cell r="A4705">
            <v>1815710450</v>
          </cell>
          <cell r="B4705" t="str">
            <v xml:space="preserve">ריהוט ואחזקתו     </v>
          </cell>
          <cell r="C4705">
            <v>14000</v>
          </cell>
        </row>
        <row r="4706">
          <cell r="A4706">
            <v>1815710470</v>
          </cell>
          <cell r="B4706" t="str">
            <v xml:space="preserve">אחזקת מכונות משרד </v>
          </cell>
        </row>
        <row r="4707">
          <cell r="A4707">
            <v>1815710471</v>
          </cell>
          <cell r="B4707" t="str">
            <v xml:space="preserve">מכשירי כתיבה      </v>
          </cell>
        </row>
        <row r="4708">
          <cell r="A4708">
            <v>1815710511</v>
          </cell>
          <cell r="B4708" t="str">
            <v xml:space="preserve">אירוח וכיבוד      </v>
          </cell>
          <cell r="C4708">
            <v>13000</v>
          </cell>
        </row>
        <row r="4709">
          <cell r="A4709">
            <v>1815710512</v>
          </cell>
          <cell r="B4709" t="str">
            <v xml:space="preserve">נסיעות ואש"ל      </v>
          </cell>
        </row>
        <row r="4710">
          <cell r="A4710">
            <v>1815710517</v>
          </cell>
          <cell r="B4710" t="str">
            <v xml:space="preserve">מסיבות מפקדים ושי </v>
          </cell>
        </row>
        <row r="4711">
          <cell r="A4711">
            <v>1815710522</v>
          </cell>
          <cell r="B4711" t="str">
            <v xml:space="preserve">ספרים ועיתונים    </v>
          </cell>
        </row>
        <row r="4712">
          <cell r="A4712">
            <v>1815710530</v>
          </cell>
          <cell r="B4712" t="str">
            <v xml:space="preserve">אופניים לעובדים   </v>
          </cell>
        </row>
        <row r="4713">
          <cell r="A4713">
            <v>1815710540</v>
          </cell>
          <cell r="B4713" t="str">
            <v xml:space="preserve">הוצאות טלפון      </v>
          </cell>
        </row>
        <row r="4714">
          <cell r="A4714">
            <v>1815710544</v>
          </cell>
          <cell r="B4714" t="str">
            <v xml:space="preserve">הוצאות דאר        </v>
          </cell>
        </row>
        <row r="4715">
          <cell r="A4715">
            <v>1815710562</v>
          </cell>
          <cell r="B4715" t="str">
            <v xml:space="preserve">הדפסות            </v>
          </cell>
        </row>
        <row r="4716">
          <cell r="A4716">
            <v>1815710583</v>
          </cell>
          <cell r="B4716" t="str">
            <v xml:space="preserve">שרות רפואי        </v>
          </cell>
        </row>
        <row r="4717">
          <cell r="A4717">
            <v>1815710585</v>
          </cell>
          <cell r="B4717" t="str">
            <v xml:space="preserve">שרות אחות         </v>
          </cell>
        </row>
        <row r="4718">
          <cell r="A4718">
            <v>1815710721</v>
          </cell>
          <cell r="B4718" t="str">
            <v>חמרים-תחזוקת מבנים</v>
          </cell>
        </row>
        <row r="4719">
          <cell r="A4719">
            <v>1815710722</v>
          </cell>
          <cell r="B4719" t="str">
            <v>חמרים-תחזוקה עצמית</v>
          </cell>
        </row>
        <row r="4720">
          <cell r="A4720">
            <v>1815710724</v>
          </cell>
          <cell r="B4720" t="str">
            <v>ציוד למגמות</v>
          </cell>
        </row>
        <row r="4721">
          <cell r="A4721">
            <v>1815710742</v>
          </cell>
          <cell r="B4721" t="str">
            <v xml:space="preserve">כלים וציוד        </v>
          </cell>
          <cell r="C4721">
            <v>66600</v>
          </cell>
        </row>
        <row r="4722">
          <cell r="A4722">
            <v>1815710745</v>
          </cell>
          <cell r="B4722" t="str">
            <v xml:space="preserve">דמי פריצה - תכולה </v>
          </cell>
        </row>
        <row r="4723">
          <cell r="A4723">
            <v>1815710746</v>
          </cell>
          <cell r="B4723" t="str">
            <v xml:space="preserve">דמי פריצה - מבנה  </v>
          </cell>
        </row>
        <row r="4724">
          <cell r="A4724">
            <v>1815710750</v>
          </cell>
          <cell r="B4724" t="str">
            <v>אחזקת מוסדות</v>
          </cell>
          <cell r="C4724">
            <v>561000</v>
          </cell>
        </row>
        <row r="4725">
          <cell r="A4725">
            <v>1815710751</v>
          </cell>
          <cell r="B4725" t="str">
            <v xml:space="preserve">עבודות קבלניות    </v>
          </cell>
        </row>
        <row r="4726">
          <cell r="A4726">
            <v>1815710752</v>
          </cell>
          <cell r="B4726" t="str">
            <v xml:space="preserve">נקיון בקבלנות     </v>
          </cell>
          <cell r="C4726">
            <v>967200</v>
          </cell>
        </row>
        <row r="4727">
          <cell r="A4727">
            <v>1815710753</v>
          </cell>
          <cell r="B4727" t="str">
            <v xml:space="preserve">עובדים חיצוניים   </v>
          </cell>
        </row>
        <row r="4728">
          <cell r="A4728">
            <v>1815710755</v>
          </cell>
          <cell r="B4728" t="str">
            <v xml:space="preserve">אחות              </v>
          </cell>
        </row>
        <row r="4729">
          <cell r="A4729">
            <v>1815710759</v>
          </cell>
          <cell r="B4729" t="str">
            <v>שרותי סייעות</v>
          </cell>
          <cell r="C4729">
            <v>192000</v>
          </cell>
        </row>
        <row r="4730">
          <cell r="A4730">
            <v>1815710762</v>
          </cell>
          <cell r="B4730" t="str">
            <v>שע' שאילה-מ' חינוך</v>
          </cell>
          <cell r="C4730">
            <v>1863900</v>
          </cell>
        </row>
        <row r="4731">
          <cell r="A4731">
            <v>1815710763</v>
          </cell>
          <cell r="B4731" t="str">
            <v xml:space="preserve">עובדי מינהלה      </v>
          </cell>
        </row>
        <row r="4732">
          <cell r="A4732">
            <v>1815710764</v>
          </cell>
          <cell r="B4732" t="str">
            <v>סייעות-מוסדות+חברה</v>
          </cell>
        </row>
        <row r="4733">
          <cell r="A4733">
            <v>1815710765</v>
          </cell>
          <cell r="B4733" t="str">
            <v xml:space="preserve">רכז חברתי - חט"ב  </v>
          </cell>
        </row>
        <row r="4734">
          <cell r="A4734">
            <v>1815710780</v>
          </cell>
          <cell r="B4734" t="str">
            <v xml:space="preserve">חינוך חברתי       </v>
          </cell>
          <cell r="C4734">
            <v>18500</v>
          </cell>
        </row>
        <row r="4735">
          <cell r="A4735">
            <v>1815710781</v>
          </cell>
          <cell r="B4735" t="str">
            <v xml:space="preserve">אחזקת מכשירים     </v>
          </cell>
        </row>
        <row r="4736">
          <cell r="A4736">
            <v>1815710794</v>
          </cell>
          <cell r="B4736" t="str">
            <v xml:space="preserve">השתתפות בעזר 094  </v>
          </cell>
        </row>
        <row r="4737">
          <cell r="A4737">
            <v>1815710810</v>
          </cell>
          <cell r="B4737" t="str">
            <v>הקצבה לניהול עצמי</v>
          </cell>
          <cell r="C4737">
            <v>149500</v>
          </cell>
        </row>
        <row r="4738">
          <cell r="A4738">
            <v>1815710812</v>
          </cell>
          <cell r="B4738" t="str">
            <v>מסיבות כיתתיות</v>
          </cell>
          <cell r="C4738">
            <v>23000</v>
          </cell>
        </row>
        <row r="4739">
          <cell r="A4739">
            <v>1815710816</v>
          </cell>
          <cell r="B4739" t="str">
            <v>חט"ב - הכלה והשתלבות</v>
          </cell>
        </row>
        <row r="4740">
          <cell r="A4740">
            <v>1815710838</v>
          </cell>
          <cell r="B4740" t="str">
            <v>תכנית לאומית-קידום אנגלית</v>
          </cell>
        </row>
        <row r="4741">
          <cell r="A4741">
            <v>1815710911</v>
          </cell>
          <cell r="B4741" t="str">
            <v>פעילות חוויתית יהדות</v>
          </cell>
        </row>
        <row r="4742">
          <cell r="A4742">
            <v>1815710953</v>
          </cell>
          <cell r="B4742" t="str">
            <v>מערכת גפ"ן</v>
          </cell>
        </row>
        <row r="4743">
          <cell r="A4743">
            <v>1815710961</v>
          </cell>
          <cell r="B4743" t="str">
            <v>רז' פעולות ורכישות</v>
          </cell>
        </row>
        <row r="4744">
          <cell r="A4744">
            <v>1815710989</v>
          </cell>
          <cell r="B4744" t="str">
            <v xml:space="preserve">תקורה             </v>
          </cell>
        </row>
        <row r="4745">
          <cell r="A4745" t="str">
            <v>#VALUE!</v>
          </cell>
          <cell r="B4745" t="str">
            <v xml:space="preserve">תיכון נבון </v>
          </cell>
        </row>
        <row r="4746">
          <cell r="A4746">
            <v>18157200</v>
          </cell>
          <cell r="B4746" t="str">
            <v xml:space="preserve">בי"ס תיכון קוגל   </v>
          </cell>
        </row>
        <row r="4747">
          <cell r="A4747">
            <v>1815720100</v>
          </cell>
          <cell r="B4747" t="str">
            <v>שכר עובדים לפי תקן</v>
          </cell>
        </row>
        <row r="4748">
          <cell r="A4748">
            <v>1815720110</v>
          </cell>
          <cell r="B4748" t="str">
            <v>השכר הקובע-תקציבית</v>
          </cell>
          <cell r="C4748">
            <v>181000</v>
          </cell>
        </row>
        <row r="4749">
          <cell r="A4749">
            <v>1815720118</v>
          </cell>
          <cell r="B4749" t="str">
            <v xml:space="preserve">שכר עובדי הוראה   </v>
          </cell>
          <cell r="C4749">
            <v>19146600</v>
          </cell>
        </row>
        <row r="4750">
          <cell r="A4750">
            <v>1815720119</v>
          </cell>
          <cell r="B4750" t="str">
            <v xml:space="preserve">השכר הקובע-צוברת  </v>
          </cell>
          <cell r="C4750">
            <v>1550900</v>
          </cell>
        </row>
        <row r="4751">
          <cell r="A4751">
            <v>1815720122</v>
          </cell>
          <cell r="B4751" t="str">
            <v xml:space="preserve">ביגוד             </v>
          </cell>
          <cell r="C4751">
            <v>170000</v>
          </cell>
        </row>
        <row r="4752">
          <cell r="A4752">
            <v>1815720126</v>
          </cell>
          <cell r="B4752" t="str">
            <v xml:space="preserve">דמי הבראה         </v>
          </cell>
          <cell r="C4752">
            <v>375000</v>
          </cell>
        </row>
        <row r="4753">
          <cell r="A4753">
            <v>1815720130</v>
          </cell>
          <cell r="B4753" t="str">
            <v xml:space="preserve">שעות נוספות       </v>
          </cell>
          <cell r="C4753">
            <v>11000</v>
          </cell>
        </row>
        <row r="4754">
          <cell r="A4754">
            <v>1815720140</v>
          </cell>
          <cell r="B4754" t="str">
            <v>השתתפות באחזקת רכב</v>
          </cell>
          <cell r="C4754">
            <v>154000</v>
          </cell>
        </row>
        <row r="4755">
          <cell r="A4755">
            <v>1815720181</v>
          </cell>
          <cell r="B4755" t="str">
            <v>ק'השתל'מורים-מעביד</v>
          </cell>
        </row>
        <row r="4756">
          <cell r="A4756">
            <v>1815720200</v>
          </cell>
          <cell r="B4756" t="str">
            <v>שכר עובדים ללא תקן</v>
          </cell>
        </row>
        <row r="4757">
          <cell r="A4757">
            <v>1815720210</v>
          </cell>
          <cell r="B4757" t="str">
            <v xml:space="preserve">השכר הקובע        </v>
          </cell>
        </row>
        <row r="4758">
          <cell r="A4758">
            <v>1815720212</v>
          </cell>
          <cell r="B4758" t="str">
            <v xml:space="preserve">שעורי עזר לעולים  </v>
          </cell>
        </row>
        <row r="4759">
          <cell r="A4759">
            <v>1815720213</v>
          </cell>
          <cell r="B4759" t="str">
            <v xml:space="preserve">שעורי עזר לנכים   </v>
          </cell>
        </row>
        <row r="4760">
          <cell r="A4760">
            <v>1815720214</v>
          </cell>
          <cell r="B4760" t="str">
            <v>שעורי עזר לתלמידים</v>
          </cell>
        </row>
        <row r="4761">
          <cell r="A4761">
            <v>1815720215</v>
          </cell>
          <cell r="B4761" t="str">
            <v>קייטנת קיץ בחט"ב ובתיכוניים</v>
          </cell>
        </row>
        <row r="4762">
          <cell r="A4762">
            <v>1815720216</v>
          </cell>
          <cell r="B4762" t="str">
            <v>פרוייקט לקשיש-קוגל</v>
          </cell>
          <cell r="C4762">
            <v>60000</v>
          </cell>
        </row>
        <row r="4763">
          <cell r="A4763">
            <v>1815720250</v>
          </cell>
          <cell r="B4763" t="str">
            <v>שעות השאלה למשה"ח</v>
          </cell>
          <cell r="C4763">
            <v>35400</v>
          </cell>
        </row>
        <row r="4764">
          <cell r="A4764">
            <v>1815720261</v>
          </cell>
          <cell r="B4764" t="str">
            <v>תכנית גי"א / מש"ב</v>
          </cell>
        </row>
        <row r="4765">
          <cell r="A4765">
            <v>1815720262</v>
          </cell>
          <cell r="B4765" t="str">
            <v xml:space="preserve">שאילת מורים       </v>
          </cell>
        </row>
        <row r="4766">
          <cell r="A4766">
            <v>1815720263</v>
          </cell>
          <cell r="B4766" t="str">
            <v xml:space="preserve">עובדי חברת מוסדות </v>
          </cell>
        </row>
        <row r="4767">
          <cell r="A4767">
            <v>1815720400</v>
          </cell>
          <cell r="B4767" t="str">
            <v>אחזקת בנינים וציוד</v>
          </cell>
        </row>
        <row r="4768">
          <cell r="A4768">
            <v>1815720410</v>
          </cell>
          <cell r="B4768" t="str">
            <v xml:space="preserve">שכ"ד להפועל חולון </v>
          </cell>
        </row>
        <row r="4769">
          <cell r="A4769">
            <v>1815720411</v>
          </cell>
          <cell r="B4769" t="str">
            <v xml:space="preserve">שכירת אולמות      </v>
          </cell>
        </row>
        <row r="4770">
          <cell r="A4770">
            <v>1815720413</v>
          </cell>
          <cell r="B4770" t="str">
            <v xml:space="preserve">דמי שימוש באולם   </v>
          </cell>
        </row>
        <row r="4771">
          <cell r="A4771">
            <v>1815720420</v>
          </cell>
          <cell r="B4771" t="str">
            <v xml:space="preserve">כיבוי אש          </v>
          </cell>
          <cell r="C4771">
            <v>12000</v>
          </cell>
        </row>
        <row r="4772">
          <cell r="A4772">
            <v>1815720423</v>
          </cell>
          <cell r="B4772" t="str">
            <v xml:space="preserve">תחזוקת מבנה       </v>
          </cell>
        </row>
        <row r="4773">
          <cell r="A4773">
            <v>1815720431</v>
          </cell>
          <cell r="B4773" t="str">
            <v xml:space="preserve">חשמל              </v>
          </cell>
          <cell r="C4773">
            <v>260000</v>
          </cell>
        </row>
        <row r="4774">
          <cell r="A4774">
            <v>1815720432</v>
          </cell>
          <cell r="B4774" t="str">
            <v xml:space="preserve">מים               </v>
          </cell>
        </row>
        <row r="4775">
          <cell r="A4775">
            <v>1815720433</v>
          </cell>
          <cell r="B4775" t="str">
            <v xml:space="preserve">חומרי נקיון       </v>
          </cell>
        </row>
        <row r="4776">
          <cell r="A4776">
            <v>1815720434</v>
          </cell>
          <cell r="B4776" t="str">
            <v xml:space="preserve">חיטוי והדברה      </v>
          </cell>
        </row>
        <row r="4777">
          <cell r="A4777">
            <v>1815720437</v>
          </cell>
          <cell r="B4777" t="str">
            <v xml:space="preserve">אחזקת אזעקה       </v>
          </cell>
          <cell r="C4777">
            <v>2500</v>
          </cell>
        </row>
        <row r="4778">
          <cell r="A4778">
            <v>1815720441</v>
          </cell>
          <cell r="B4778" t="str">
            <v xml:space="preserve">ביטוח             </v>
          </cell>
        </row>
        <row r="4779">
          <cell r="A4779">
            <v>1815720450</v>
          </cell>
          <cell r="B4779" t="str">
            <v xml:space="preserve">ריהוט ואחזקתו     </v>
          </cell>
          <cell r="C4779">
            <v>11000</v>
          </cell>
        </row>
        <row r="4780">
          <cell r="A4780">
            <v>1815720470</v>
          </cell>
          <cell r="B4780" t="str">
            <v xml:space="preserve">אחזקת מכונות משרד </v>
          </cell>
        </row>
        <row r="4781">
          <cell r="A4781">
            <v>1815720471</v>
          </cell>
          <cell r="B4781" t="str">
            <v xml:space="preserve">מכשירי כתיבה      </v>
          </cell>
        </row>
        <row r="4782">
          <cell r="A4782">
            <v>1815720500</v>
          </cell>
          <cell r="B4782" t="str">
            <v xml:space="preserve">הוצאות מינהליות   </v>
          </cell>
        </row>
        <row r="4783">
          <cell r="A4783">
            <v>1815720511</v>
          </cell>
          <cell r="B4783" t="str">
            <v xml:space="preserve">אירוח וכיבוד      </v>
          </cell>
          <cell r="C4783">
            <v>15000</v>
          </cell>
        </row>
        <row r="4784">
          <cell r="A4784">
            <v>1815720512</v>
          </cell>
          <cell r="B4784" t="str">
            <v xml:space="preserve">נסיעות ואש"ל      </v>
          </cell>
        </row>
        <row r="4785">
          <cell r="A4785">
            <v>1815720517</v>
          </cell>
          <cell r="B4785" t="str">
            <v xml:space="preserve">מסיבות מפקדים ושי </v>
          </cell>
        </row>
        <row r="4786">
          <cell r="A4786">
            <v>1815720522</v>
          </cell>
          <cell r="B4786" t="str">
            <v xml:space="preserve">ספרים             </v>
          </cell>
        </row>
        <row r="4787">
          <cell r="A4787">
            <v>1815720530</v>
          </cell>
          <cell r="B4787" t="str">
            <v xml:space="preserve">אופניים לעובדים   </v>
          </cell>
        </row>
        <row r="4788">
          <cell r="A4788">
            <v>1815720540</v>
          </cell>
          <cell r="B4788" t="str">
            <v xml:space="preserve">הוצאות טלפון      </v>
          </cell>
        </row>
        <row r="4789">
          <cell r="A4789">
            <v>1815720544</v>
          </cell>
          <cell r="B4789" t="str">
            <v xml:space="preserve">הוצאות דאר        </v>
          </cell>
        </row>
        <row r="4790">
          <cell r="A4790">
            <v>1815720562</v>
          </cell>
          <cell r="B4790" t="str">
            <v xml:space="preserve">הדפסות            </v>
          </cell>
        </row>
        <row r="4791">
          <cell r="A4791">
            <v>1815720583</v>
          </cell>
          <cell r="B4791" t="str">
            <v xml:space="preserve">שרות רפואי        </v>
          </cell>
        </row>
        <row r="4792">
          <cell r="A4792">
            <v>1815720584</v>
          </cell>
          <cell r="B4792" t="str">
            <v xml:space="preserve">שרות פסיכולוגי    </v>
          </cell>
        </row>
        <row r="4793">
          <cell r="A4793">
            <v>1815720585</v>
          </cell>
          <cell r="B4793" t="str">
            <v xml:space="preserve">שרות אחות         </v>
          </cell>
        </row>
        <row r="4794">
          <cell r="A4794">
            <v>1815720700</v>
          </cell>
          <cell r="B4794" t="str">
            <v xml:space="preserve">הוצאות לפעולות    </v>
          </cell>
        </row>
        <row r="4795">
          <cell r="A4795">
            <v>1815720721</v>
          </cell>
          <cell r="B4795" t="str">
            <v>חמרים-תחזוקת מבנים</v>
          </cell>
        </row>
        <row r="4796">
          <cell r="A4796">
            <v>1815720722</v>
          </cell>
          <cell r="B4796" t="str">
            <v>חמרים-תחזוקה עצמית</v>
          </cell>
        </row>
        <row r="4797">
          <cell r="A4797">
            <v>1815720724</v>
          </cell>
          <cell r="B4797" t="str">
            <v>ציוד למגמות</v>
          </cell>
        </row>
        <row r="4798">
          <cell r="A4798">
            <v>1815720742</v>
          </cell>
          <cell r="B4798" t="str">
            <v xml:space="preserve">כלים וציוד        </v>
          </cell>
          <cell r="C4798">
            <v>56800</v>
          </cell>
        </row>
        <row r="4799">
          <cell r="A4799">
            <v>1815720745</v>
          </cell>
          <cell r="B4799" t="str">
            <v xml:space="preserve">דמי פריצה - תכולה </v>
          </cell>
        </row>
        <row r="4800">
          <cell r="A4800">
            <v>1815720746</v>
          </cell>
          <cell r="B4800" t="str">
            <v xml:space="preserve">דמי פריצה - מבנה  </v>
          </cell>
        </row>
        <row r="4801">
          <cell r="A4801">
            <v>1815720750</v>
          </cell>
          <cell r="B4801" t="str">
            <v>אחזקת מוסדות</v>
          </cell>
          <cell r="C4801">
            <v>561000</v>
          </cell>
        </row>
        <row r="4802">
          <cell r="A4802">
            <v>1815720751</v>
          </cell>
          <cell r="B4802" t="str">
            <v xml:space="preserve">עבודות קבלניות    </v>
          </cell>
        </row>
        <row r="4803">
          <cell r="A4803">
            <v>1815720752</v>
          </cell>
          <cell r="B4803" t="str">
            <v xml:space="preserve">נקיון בקבלנות     </v>
          </cell>
          <cell r="C4803">
            <v>1135800</v>
          </cell>
        </row>
        <row r="4804">
          <cell r="A4804">
            <v>1815720753</v>
          </cell>
          <cell r="B4804" t="str">
            <v xml:space="preserve">עובדים חיצוניים   </v>
          </cell>
        </row>
        <row r="4805">
          <cell r="A4805">
            <v>1815720755</v>
          </cell>
          <cell r="B4805" t="str">
            <v xml:space="preserve">אחות              </v>
          </cell>
        </row>
        <row r="4806">
          <cell r="A4806">
            <v>1815720759</v>
          </cell>
          <cell r="B4806" t="str">
            <v>שרותי סייעות</v>
          </cell>
          <cell r="C4806">
            <v>876000</v>
          </cell>
        </row>
        <row r="4807">
          <cell r="A4807">
            <v>1815720762</v>
          </cell>
          <cell r="B4807" t="str">
            <v xml:space="preserve">שאילת מורים       </v>
          </cell>
          <cell r="C4807">
            <v>934100</v>
          </cell>
        </row>
        <row r="4808">
          <cell r="A4808">
            <v>1815720763</v>
          </cell>
          <cell r="B4808" t="str">
            <v xml:space="preserve">עובדי חברת מוסדות </v>
          </cell>
        </row>
        <row r="4809">
          <cell r="A4809">
            <v>1815720765</v>
          </cell>
          <cell r="B4809" t="str">
            <v xml:space="preserve">רכז חברתי - חט"ב  </v>
          </cell>
        </row>
        <row r="4810">
          <cell r="A4810">
            <v>1815720780</v>
          </cell>
          <cell r="B4810" t="str">
            <v xml:space="preserve">חינוך חברתי       </v>
          </cell>
          <cell r="C4810">
            <v>23000</v>
          </cell>
        </row>
        <row r="4811">
          <cell r="A4811">
            <v>1815720782</v>
          </cell>
          <cell r="B4811" t="str">
            <v>המרת שעות</v>
          </cell>
        </row>
        <row r="4812">
          <cell r="A4812">
            <v>1815720786</v>
          </cell>
          <cell r="B4812" t="str">
            <v>העברה מקפה גן סיפור</v>
          </cell>
        </row>
        <row r="4813">
          <cell r="A4813">
            <v>1815720794</v>
          </cell>
          <cell r="B4813" t="str">
            <v xml:space="preserve">השתתפות בעזר 094  </v>
          </cell>
        </row>
        <row r="4814">
          <cell r="A4814">
            <v>1815720800</v>
          </cell>
          <cell r="B4814" t="str">
            <v>השת' תמיכות תרומות</v>
          </cell>
        </row>
        <row r="4815">
          <cell r="A4815">
            <v>1815720810</v>
          </cell>
          <cell r="B4815" t="str">
            <v>הקצבה לניהול עצמי</v>
          </cell>
          <cell r="C4815">
            <v>82900</v>
          </cell>
        </row>
        <row r="4816">
          <cell r="A4816">
            <v>1815720812</v>
          </cell>
          <cell r="B4816" t="str">
            <v>מסיבות כיתתיות</v>
          </cell>
          <cell r="C4816">
            <v>29000</v>
          </cell>
        </row>
        <row r="4817">
          <cell r="A4817">
            <v>1815720816</v>
          </cell>
          <cell r="B4817" t="str">
            <v>חט"ב - הכלה והשתלבות</v>
          </cell>
        </row>
        <row r="4818">
          <cell r="A4818">
            <v>1815720838</v>
          </cell>
          <cell r="B4818" t="str">
            <v>תכנית לאומית-קידום אנגלית</v>
          </cell>
        </row>
        <row r="4819">
          <cell r="A4819">
            <v>1815720911</v>
          </cell>
          <cell r="B4819" t="str">
            <v>פעילות חוויתית יהדות</v>
          </cell>
        </row>
        <row r="4820">
          <cell r="A4820">
            <v>1815720953</v>
          </cell>
          <cell r="B4820" t="str">
            <v>מערכת גפ"ן</v>
          </cell>
        </row>
        <row r="4821">
          <cell r="A4821">
            <v>1815720961</v>
          </cell>
          <cell r="B4821" t="str">
            <v>רז' פעולות ורכישות</v>
          </cell>
        </row>
        <row r="4822">
          <cell r="A4822">
            <v>1815720989</v>
          </cell>
          <cell r="B4822" t="str">
            <v xml:space="preserve">תקורה             </v>
          </cell>
        </row>
        <row r="4823">
          <cell r="A4823" t="str">
            <v>#VALUE!</v>
          </cell>
          <cell r="B4823" t="str">
            <v xml:space="preserve">בי"ס תיכון קוגל   </v>
          </cell>
        </row>
        <row r="4824">
          <cell r="A4824">
            <v>18157300</v>
          </cell>
          <cell r="B4824" t="str">
            <v xml:space="preserve">גמנסיה ע"ש הרצוג  </v>
          </cell>
        </row>
        <row r="4825">
          <cell r="A4825">
            <v>1815730110</v>
          </cell>
          <cell r="B4825" t="str">
            <v>השכר הקובע-תקציבית</v>
          </cell>
          <cell r="C4825">
            <v>407000</v>
          </cell>
        </row>
        <row r="4826">
          <cell r="A4826">
            <v>1815730118</v>
          </cell>
          <cell r="B4826" t="str">
            <v xml:space="preserve">שכר עובדי הוראה   </v>
          </cell>
          <cell r="C4826">
            <v>14303300</v>
          </cell>
        </row>
        <row r="4827">
          <cell r="A4827">
            <v>1815730119</v>
          </cell>
          <cell r="B4827" t="str">
            <v xml:space="preserve">השכר הקובע-צוברת  </v>
          </cell>
          <cell r="C4827">
            <v>1466500</v>
          </cell>
        </row>
        <row r="4828">
          <cell r="A4828">
            <v>1815730122</v>
          </cell>
          <cell r="B4828" t="str">
            <v xml:space="preserve">ביגוד             </v>
          </cell>
          <cell r="C4828">
            <v>133000</v>
          </cell>
        </row>
        <row r="4829">
          <cell r="A4829">
            <v>1815730126</v>
          </cell>
          <cell r="B4829" t="str">
            <v xml:space="preserve">דמי הבראה         </v>
          </cell>
          <cell r="C4829">
            <v>304500</v>
          </cell>
        </row>
        <row r="4830">
          <cell r="A4830">
            <v>1815730130</v>
          </cell>
          <cell r="B4830" t="str">
            <v xml:space="preserve">שעות נוספות       </v>
          </cell>
          <cell r="C4830">
            <v>50000</v>
          </cell>
        </row>
        <row r="4831">
          <cell r="A4831">
            <v>1815730140</v>
          </cell>
          <cell r="B4831" t="str">
            <v>השתתפות באחזקת רכב</v>
          </cell>
          <cell r="C4831">
            <v>127000</v>
          </cell>
        </row>
        <row r="4832">
          <cell r="A4832">
            <v>1815730181</v>
          </cell>
          <cell r="B4832" t="str">
            <v>ק'השתל'מורים-מעביד</v>
          </cell>
        </row>
        <row r="4833">
          <cell r="A4833">
            <v>1815730200</v>
          </cell>
          <cell r="B4833" t="str">
            <v>שכר עובדים ללא תקן</v>
          </cell>
        </row>
        <row r="4834">
          <cell r="A4834">
            <v>1815730210</v>
          </cell>
          <cell r="B4834" t="str">
            <v xml:space="preserve">השכר הקובע        </v>
          </cell>
        </row>
        <row r="4835">
          <cell r="A4835">
            <v>1815730211</v>
          </cell>
          <cell r="B4835" t="str">
            <v>הזדמנות ראשונה</v>
          </cell>
        </row>
        <row r="4836">
          <cell r="A4836">
            <v>1815730212</v>
          </cell>
          <cell r="B4836" t="str">
            <v xml:space="preserve">שעורי עזר לעולים  </v>
          </cell>
        </row>
        <row r="4837">
          <cell r="A4837">
            <v>1815730213</v>
          </cell>
          <cell r="B4837" t="str">
            <v xml:space="preserve">שעורי עזר לנכים   </v>
          </cell>
        </row>
        <row r="4838">
          <cell r="A4838">
            <v>1815730214</v>
          </cell>
          <cell r="B4838" t="str">
            <v>שעורי עזר לתלמידים</v>
          </cell>
        </row>
        <row r="4839">
          <cell r="A4839">
            <v>1815730215</v>
          </cell>
          <cell r="B4839" t="str">
            <v>קייטנת קיץ בחט"ב ובתיכוניים</v>
          </cell>
        </row>
        <row r="4840">
          <cell r="A4840">
            <v>1815730216</v>
          </cell>
          <cell r="B4840" t="str">
            <v>פרוייקט גימלאים</v>
          </cell>
        </row>
        <row r="4841">
          <cell r="A4841">
            <v>1815730250</v>
          </cell>
          <cell r="B4841" t="str">
            <v>שעות השאלה למשה"ח</v>
          </cell>
          <cell r="C4841">
            <v>495600</v>
          </cell>
        </row>
        <row r="4842">
          <cell r="A4842">
            <v>1815730261</v>
          </cell>
          <cell r="B4842" t="str">
            <v>תכנית גי"א / מש"ב</v>
          </cell>
        </row>
        <row r="4843">
          <cell r="A4843">
            <v>1815730262</v>
          </cell>
          <cell r="B4843" t="str">
            <v xml:space="preserve">שאילת מורים       </v>
          </cell>
        </row>
        <row r="4844">
          <cell r="A4844">
            <v>1815730263</v>
          </cell>
          <cell r="B4844" t="str">
            <v xml:space="preserve">עובדי מינהלה      </v>
          </cell>
        </row>
        <row r="4845">
          <cell r="A4845">
            <v>1815730400</v>
          </cell>
          <cell r="B4845" t="str">
            <v>אחזקת בנינים וציוד</v>
          </cell>
        </row>
        <row r="4846">
          <cell r="A4846">
            <v>1815730411</v>
          </cell>
          <cell r="B4846" t="str">
            <v xml:space="preserve">שכירת אולמות      </v>
          </cell>
        </row>
        <row r="4847">
          <cell r="A4847">
            <v>1815730420</v>
          </cell>
          <cell r="B4847" t="str">
            <v xml:space="preserve">כיבוי אש          </v>
          </cell>
          <cell r="C4847">
            <v>15000</v>
          </cell>
        </row>
        <row r="4848">
          <cell r="A4848">
            <v>1815730423</v>
          </cell>
          <cell r="B4848" t="str">
            <v xml:space="preserve">תחזוקת מבנה       </v>
          </cell>
        </row>
        <row r="4849">
          <cell r="A4849">
            <v>1815730431</v>
          </cell>
          <cell r="B4849" t="str">
            <v xml:space="preserve">חשמל              </v>
          </cell>
          <cell r="C4849">
            <v>140000</v>
          </cell>
        </row>
        <row r="4850">
          <cell r="A4850">
            <v>1815730432</v>
          </cell>
          <cell r="B4850" t="str">
            <v xml:space="preserve">מים               </v>
          </cell>
        </row>
        <row r="4851">
          <cell r="A4851">
            <v>1815730433</v>
          </cell>
          <cell r="B4851" t="str">
            <v xml:space="preserve">חומרי נקיון       </v>
          </cell>
        </row>
        <row r="4852">
          <cell r="A4852">
            <v>1815730434</v>
          </cell>
          <cell r="B4852" t="str">
            <v xml:space="preserve">חיטוי והדברה      </v>
          </cell>
        </row>
        <row r="4853">
          <cell r="A4853">
            <v>1815730437</v>
          </cell>
          <cell r="B4853" t="str">
            <v xml:space="preserve">אחזקת אזעקה       </v>
          </cell>
          <cell r="C4853">
            <v>2500</v>
          </cell>
        </row>
        <row r="4854">
          <cell r="A4854">
            <v>1815730441</v>
          </cell>
          <cell r="B4854" t="str">
            <v xml:space="preserve">ביטוח             </v>
          </cell>
        </row>
        <row r="4855">
          <cell r="A4855">
            <v>1815730450</v>
          </cell>
          <cell r="B4855" t="str">
            <v xml:space="preserve">ריהוט ואחזקתו     </v>
          </cell>
          <cell r="C4855">
            <v>13000</v>
          </cell>
        </row>
        <row r="4856">
          <cell r="A4856">
            <v>1815730470</v>
          </cell>
          <cell r="B4856" t="str">
            <v xml:space="preserve">אחזקת מכונות משרד </v>
          </cell>
        </row>
        <row r="4857">
          <cell r="A4857">
            <v>1815730471</v>
          </cell>
          <cell r="B4857" t="str">
            <v xml:space="preserve">מכשירי כתיבה      </v>
          </cell>
        </row>
        <row r="4858">
          <cell r="A4858">
            <v>1815730500</v>
          </cell>
          <cell r="B4858" t="str">
            <v xml:space="preserve">הוצאות מינהליות   </v>
          </cell>
        </row>
        <row r="4859">
          <cell r="A4859">
            <v>1815730511</v>
          </cell>
          <cell r="B4859" t="str">
            <v xml:space="preserve">אירוח וכיבוד      </v>
          </cell>
          <cell r="C4859">
            <v>12000</v>
          </cell>
        </row>
        <row r="4860">
          <cell r="A4860">
            <v>1815730512</v>
          </cell>
          <cell r="B4860" t="str">
            <v xml:space="preserve">נסיעות ואש"ל      </v>
          </cell>
        </row>
        <row r="4861">
          <cell r="A4861">
            <v>1815730517</v>
          </cell>
          <cell r="B4861" t="str">
            <v xml:space="preserve">מסיבות מפקדים ושי </v>
          </cell>
        </row>
        <row r="4862">
          <cell r="A4862">
            <v>1815730522</v>
          </cell>
          <cell r="B4862" t="str">
            <v xml:space="preserve">ספריות            </v>
          </cell>
        </row>
        <row r="4863">
          <cell r="A4863">
            <v>1815730530</v>
          </cell>
          <cell r="B4863" t="str">
            <v xml:space="preserve">אופניים לעובדים   </v>
          </cell>
        </row>
        <row r="4864">
          <cell r="A4864">
            <v>1815730540</v>
          </cell>
          <cell r="B4864" t="str">
            <v xml:space="preserve">הוצאות טלפון      </v>
          </cell>
        </row>
        <row r="4865">
          <cell r="A4865">
            <v>1815730544</v>
          </cell>
          <cell r="B4865" t="str">
            <v xml:space="preserve">הוצאות דאר        </v>
          </cell>
        </row>
        <row r="4866">
          <cell r="A4866">
            <v>1815730562</v>
          </cell>
          <cell r="B4866" t="str">
            <v xml:space="preserve">הדפסות            </v>
          </cell>
        </row>
        <row r="4867">
          <cell r="A4867">
            <v>1815730583</v>
          </cell>
          <cell r="B4867" t="str">
            <v xml:space="preserve">שרות רפואי        </v>
          </cell>
        </row>
        <row r="4868">
          <cell r="A4868">
            <v>1815730584</v>
          </cell>
          <cell r="B4868" t="str">
            <v xml:space="preserve">שרות פסיכולוגי    </v>
          </cell>
        </row>
        <row r="4869">
          <cell r="A4869">
            <v>1815730585</v>
          </cell>
          <cell r="B4869" t="str">
            <v xml:space="preserve">שרות אחות         </v>
          </cell>
        </row>
        <row r="4870">
          <cell r="A4870">
            <v>1815730700</v>
          </cell>
          <cell r="B4870" t="str">
            <v xml:space="preserve">הוצאות לפעולות    </v>
          </cell>
        </row>
        <row r="4871">
          <cell r="A4871">
            <v>1815730721</v>
          </cell>
          <cell r="B4871" t="str">
            <v>חמרים-תחזוקת מבנים</v>
          </cell>
          <cell r="C4871">
            <v>4500</v>
          </cell>
        </row>
        <row r="4872">
          <cell r="A4872">
            <v>1815730722</v>
          </cell>
          <cell r="B4872" t="str">
            <v>חמרים-תחזוקה עצמית</v>
          </cell>
        </row>
        <row r="4873">
          <cell r="A4873">
            <v>1815730723</v>
          </cell>
          <cell r="B4873" t="str">
            <v xml:space="preserve">חומרים אוזלים     </v>
          </cell>
        </row>
        <row r="4874">
          <cell r="A4874">
            <v>1815730724</v>
          </cell>
          <cell r="B4874" t="str">
            <v>ציוד למגמות</v>
          </cell>
        </row>
        <row r="4875">
          <cell r="A4875">
            <v>1815730742</v>
          </cell>
          <cell r="B4875" t="str">
            <v xml:space="preserve">כלים וציוד        </v>
          </cell>
          <cell r="C4875">
            <v>78100</v>
          </cell>
        </row>
        <row r="4876">
          <cell r="A4876">
            <v>1815730743</v>
          </cell>
          <cell r="B4876" t="str">
            <v>תחז' ציוד אלקטרוני</v>
          </cell>
        </row>
        <row r="4877">
          <cell r="A4877">
            <v>1815730744</v>
          </cell>
          <cell r="B4877" t="str">
            <v>ציוד מגמה טכנולוגי</v>
          </cell>
        </row>
        <row r="4878">
          <cell r="A4878">
            <v>1815730745</v>
          </cell>
          <cell r="B4878" t="str">
            <v xml:space="preserve">דמי פריצה - תכולה </v>
          </cell>
        </row>
        <row r="4879">
          <cell r="A4879">
            <v>1815730746</v>
          </cell>
          <cell r="B4879" t="str">
            <v xml:space="preserve">דמי פריצה - מבנה  </v>
          </cell>
        </row>
        <row r="4880">
          <cell r="A4880">
            <v>1815730750</v>
          </cell>
          <cell r="B4880" t="str">
            <v>אחזקת מוסדות</v>
          </cell>
          <cell r="C4880">
            <v>300000</v>
          </cell>
        </row>
        <row r="4881">
          <cell r="A4881">
            <v>1815730751</v>
          </cell>
          <cell r="B4881" t="str">
            <v xml:space="preserve">עבודות קבלניות    </v>
          </cell>
        </row>
        <row r="4882">
          <cell r="A4882">
            <v>1815730752</v>
          </cell>
          <cell r="B4882" t="str">
            <v xml:space="preserve">נקיון בקבלנות     </v>
          </cell>
          <cell r="C4882">
            <v>949500</v>
          </cell>
        </row>
        <row r="4883">
          <cell r="A4883">
            <v>1815730753</v>
          </cell>
          <cell r="B4883" t="str">
            <v xml:space="preserve">עובדים חיצוניים   </v>
          </cell>
        </row>
        <row r="4884">
          <cell r="A4884">
            <v>1815730755</v>
          </cell>
          <cell r="B4884" t="str">
            <v xml:space="preserve">אחות-חברת כ"א     </v>
          </cell>
        </row>
        <row r="4885">
          <cell r="A4885">
            <v>1815730757</v>
          </cell>
          <cell r="B4885" t="str">
            <v xml:space="preserve">פעילות מנ"ע       </v>
          </cell>
        </row>
        <row r="4886">
          <cell r="A4886">
            <v>1815730759</v>
          </cell>
          <cell r="B4886" t="str">
            <v>שרותי סייעות</v>
          </cell>
          <cell r="C4886">
            <v>228000</v>
          </cell>
        </row>
        <row r="4887">
          <cell r="A4887">
            <v>1815730762</v>
          </cell>
          <cell r="B4887" t="str">
            <v xml:space="preserve">שאילת מורים       </v>
          </cell>
          <cell r="C4887">
            <v>825900</v>
          </cell>
        </row>
        <row r="4888">
          <cell r="A4888">
            <v>1815730763</v>
          </cell>
          <cell r="B4888" t="str">
            <v xml:space="preserve">עובדי מינהלה      </v>
          </cell>
        </row>
        <row r="4889">
          <cell r="A4889">
            <v>1815730764</v>
          </cell>
          <cell r="B4889" t="str">
            <v xml:space="preserve">מוסדות מנ"ע       </v>
          </cell>
        </row>
        <row r="4890">
          <cell r="A4890">
            <v>1815730765</v>
          </cell>
          <cell r="B4890" t="str">
            <v xml:space="preserve">רכז חברתי - חט"ב  </v>
          </cell>
        </row>
        <row r="4891">
          <cell r="A4891">
            <v>1815730780</v>
          </cell>
          <cell r="B4891" t="str">
            <v xml:space="preserve">חינוך חברתי       </v>
          </cell>
          <cell r="C4891">
            <v>16000</v>
          </cell>
        </row>
        <row r="4892">
          <cell r="A4892">
            <v>1815730781</v>
          </cell>
          <cell r="B4892" t="str">
            <v xml:space="preserve">סיון מחשבים       </v>
          </cell>
        </row>
        <row r="4893">
          <cell r="A4893">
            <v>1815730794</v>
          </cell>
          <cell r="B4893" t="str">
            <v xml:space="preserve">השתתפות בעזר 094  </v>
          </cell>
        </row>
        <row r="4894">
          <cell r="A4894">
            <v>1815730810</v>
          </cell>
          <cell r="B4894" t="str">
            <v>הקצבה לניהול עצמי</v>
          </cell>
          <cell r="C4894">
            <v>114400</v>
          </cell>
        </row>
        <row r="4895">
          <cell r="A4895">
            <v>1815730812</v>
          </cell>
          <cell r="B4895" t="str">
            <v>מסיבות כיתתיות</v>
          </cell>
          <cell r="C4895">
            <v>18500</v>
          </cell>
        </row>
        <row r="4896">
          <cell r="A4896">
            <v>1815730816</v>
          </cell>
          <cell r="B4896" t="str">
            <v>חט"ב - הכלה והשתלבות</v>
          </cell>
        </row>
        <row r="4897">
          <cell r="A4897">
            <v>1815730838</v>
          </cell>
          <cell r="B4897" t="str">
            <v>תכנית לאומית-קידום אנגלית</v>
          </cell>
        </row>
        <row r="4898">
          <cell r="A4898">
            <v>1815730839</v>
          </cell>
          <cell r="B4898" t="str">
            <v>פרוייקט "מניפה"</v>
          </cell>
        </row>
        <row r="4899">
          <cell r="A4899">
            <v>1815730911</v>
          </cell>
          <cell r="B4899" t="str">
            <v>פעילות חוויתית יהדות</v>
          </cell>
        </row>
        <row r="4900">
          <cell r="A4900">
            <v>1815730953</v>
          </cell>
          <cell r="B4900" t="str">
            <v>מערכת גפ"ן</v>
          </cell>
        </row>
        <row r="4901">
          <cell r="A4901">
            <v>1815730961</v>
          </cell>
          <cell r="B4901" t="str">
            <v>רז' פעולות ורכישות</v>
          </cell>
        </row>
        <row r="4902">
          <cell r="A4902">
            <v>1815730989</v>
          </cell>
          <cell r="B4902" t="str">
            <v xml:space="preserve">תקורה             </v>
          </cell>
        </row>
        <row r="4903">
          <cell r="A4903" t="str">
            <v>#VALUE!</v>
          </cell>
          <cell r="B4903" t="str">
            <v xml:space="preserve">גמנסיה ע"ש הרצוג  </v>
          </cell>
        </row>
        <row r="4904">
          <cell r="A4904">
            <v>18157400</v>
          </cell>
          <cell r="B4904" t="str">
            <v xml:space="preserve">בי"ס מקיף ק' שרת  </v>
          </cell>
        </row>
        <row r="4905">
          <cell r="A4905">
            <v>1815740100</v>
          </cell>
          <cell r="B4905" t="str">
            <v>שכר עובדים לפי תקן</v>
          </cell>
        </row>
        <row r="4906">
          <cell r="A4906">
            <v>1815740110</v>
          </cell>
          <cell r="B4906" t="str">
            <v>השכר הקובע-תקציבית</v>
          </cell>
          <cell r="C4906">
            <v>177600</v>
          </cell>
        </row>
        <row r="4907">
          <cell r="A4907">
            <v>1815740118</v>
          </cell>
          <cell r="B4907" t="str">
            <v xml:space="preserve">שכר עובדי הוראה   </v>
          </cell>
          <cell r="C4907">
            <v>26921600</v>
          </cell>
        </row>
        <row r="4908">
          <cell r="A4908">
            <v>1815740119</v>
          </cell>
          <cell r="B4908" t="str">
            <v xml:space="preserve">השכר הקובע-צוברת  </v>
          </cell>
          <cell r="C4908">
            <v>2730500</v>
          </cell>
        </row>
        <row r="4909">
          <cell r="A4909">
            <v>1815740122</v>
          </cell>
          <cell r="B4909" t="str">
            <v xml:space="preserve">ביגוד             </v>
          </cell>
          <cell r="C4909">
            <v>281000</v>
          </cell>
        </row>
        <row r="4910">
          <cell r="A4910">
            <v>1815740126</v>
          </cell>
          <cell r="B4910" t="str">
            <v xml:space="preserve">דמי הבראה         </v>
          </cell>
          <cell r="C4910">
            <v>615000</v>
          </cell>
        </row>
        <row r="4911">
          <cell r="A4911">
            <v>1815740130</v>
          </cell>
          <cell r="B4911" t="str">
            <v xml:space="preserve">שעות נוספות       </v>
          </cell>
          <cell r="C4911">
            <v>12400</v>
          </cell>
        </row>
        <row r="4912">
          <cell r="A4912">
            <v>1815740140</v>
          </cell>
          <cell r="B4912" t="str">
            <v>השתתפות באחזקת רכב</v>
          </cell>
          <cell r="C4912">
            <v>170000</v>
          </cell>
        </row>
        <row r="4913">
          <cell r="A4913">
            <v>1815740181</v>
          </cell>
          <cell r="B4913" t="str">
            <v>ק'השתל'מורים-מעביד</v>
          </cell>
        </row>
        <row r="4914">
          <cell r="A4914">
            <v>1815740210</v>
          </cell>
          <cell r="B4914" t="str">
            <v xml:space="preserve">השכר הקובע        </v>
          </cell>
        </row>
        <row r="4915">
          <cell r="A4915">
            <v>1815740212</v>
          </cell>
          <cell r="B4915" t="str">
            <v xml:space="preserve">שעורי עזר לעולים  </v>
          </cell>
        </row>
        <row r="4916">
          <cell r="A4916">
            <v>1815740213</v>
          </cell>
          <cell r="B4916" t="str">
            <v xml:space="preserve">שעורי עזר לנכים   </v>
          </cell>
        </row>
        <row r="4917">
          <cell r="A4917">
            <v>1815740214</v>
          </cell>
          <cell r="B4917" t="str">
            <v>שעורי עזר לתלמידים</v>
          </cell>
        </row>
        <row r="4918">
          <cell r="A4918">
            <v>1815740216</v>
          </cell>
          <cell r="B4918" t="str">
            <v>פרוייקט קשישים-ק"ש</v>
          </cell>
          <cell r="C4918">
            <v>70000</v>
          </cell>
        </row>
        <row r="4919">
          <cell r="A4919">
            <v>1815740215</v>
          </cell>
          <cell r="B4919" t="str">
            <v>קייטנת קיץ בחט"ב ובתיכוניים</v>
          </cell>
        </row>
        <row r="4920">
          <cell r="A4920">
            <v>1815740250</v>
          </cell>
          <cell r="B4920" t="str">
            <v>שעות השאלה למשה"ח</v>
          </cell>
          <cell r="C4920">
            <v>387600</v>
          </cell>
        </row>
        <row r="4921">
          <cell r="A4921">
            <v>1815740262</v>
          </cell>
          <cell r="B4921" t="str">
            <v xml:space="preserve">שאילת מורים       </v>
          </cell>
        </row>
        <row r="4922">
          <cell r="A4922">
            <v>1815740261</v>
          </cell>
          <cell r="B4922" t="str">
            <v>תכנית גי"א / מש"ב</v>
          </cell>
        </row>
        <row r="4923">
          <cell r="A4923">
            <v>1815740263</v>
          </cell>
          <cell r="B4923" t="str">
            <v xml:space="preserve">עובדי חברת מוסדות </v>
          </cell>
        </row>
        <row r="4924">
          <cell r="A4924">
            <v>1815740264</v>
          </cell>
          <cell r="B4924" t="str">
            <v>ימי מחלה לא מנוצלים-מורים</v>
          </cell>
        </row>
        <row r="4925">
          <cell r="A4925">
            <v>1815740320</v>
          </cell>
          <cell r="B4925" t="str">
            <v>תשלומי פיצויים</v>
          </cell>
        </row>
        <row r="4926">
          <cell r="A4926">
            <v>1815740400</v>
          </cell>
          <cell r="B4926" t="str">
            <v>אחזקת בנינים וציוד</v>
          </cell>
        </row>
        <row r="4927">
          <cell r="A4927">
            <v>1815740411</v>
          </cell>
          <cell r="B4927" t="str">
            <v xml:space="preserve">שכירת אולמות      </v>
          </cell>
        </row>
        <row r="4928">
          <cell r="A4928">
            <v>1815740413</v>
          </cell>
          <cell r="B4928" t="str">
            <v xml:space="preserve">דמי שימוש באולם   </v>
          </cell>
        </row>
        <row r="4929">
          <cell r="A4929">
            <v>1815740420</v>
          </cell>
          <cell r="B4929" t="str">
            <v xml:space="preserve">כיבוי אש          </v>
          </cell>
          <cell r="C4929">
            <v>20000</v>
          </cell>
        </row>
        <row r="4930">
          <cell r="A4930">
            <v>1815740423</v>
          </cell>
          <cell r="B4930" t="str">
            <v xml:space="preserve">תחזוקת מבנה       </v>
          </cell>
        </row>
        <row r="4931">
          <cell r="A4931">
            <v>1815740431</v>
          </cell>
          <cell r="B4931" t="str">
            <v xml:space="preserve">חשמל              </v>
          </cell>
          <cell r="C4931">
            <v>400000</v>
          </cell>
        </row>
        <row r="4932">
          <cell r="A4932">
            <v>1815740432</v>
          </cell>
          <cell r="B4932" t="str">
            <v xml:space="preserve">מים               </v>
          </cell>
        </row>
        <row r="4933">
          <cell r="A4933">
            <v>1815740433</v>
          </cell>
          <cell r="B4933" t="str">
            <v xml:space="preserve">חומרי נקיון       </v>
          </cell>
        </row>
        <row r="4934">
          <cell r="A4934">
            <v>1815740434</v>
          </cell>
          <cell r="B4934" t="str">
            <v xml:space="preserve">חיטוי והדברה      </v>
          </cell>
        </row>
        <row r="4935">
          <cell r="A4935">
            <v>1815740437</v>
          </cell>
          <cell r="B4935" t="str">
            <v xml:space="preserve">אחזקת אזעקה       </v>
          </cell>
          <cell r="C4935">
            <v>3800</v>
          </cell>
        </row>
        <row r="4936">
          <cell r="A4936">
            <v>1815740441</v>
          </cell>
          <cell r="B4936" t="str">
            <v xml:space="preserve">ביטוח             </v>
          </cell>
        </row>
        <row r="4937">
          <cell r="A4937">
            <v>1815740450</v>
          </cell>
          <cell r="B4937" t="str">
            <v xml:space="preserve">ריהוט ואחזקתו     </v>
          </cell>
          <cell r="C4937">
            <v>21000</v>
          </cell>
        </row>
        <row r="4938">
          <cell r="A4938">
            <v>1815740470</v>
          </cell>
          <cell r="B4938" t="str">
            <v xml:space="preserve">אחזקת מכונות משרד </v>
          </cell>
        </row>
        <row r="4939">
          <cell r="A4939">
            <v>1815740471</v>
          </cell>
          <cell r="B4939" t="str">
            <v xml:space="preserve">מכשירי כתיבה      </v>
          </cell>
        </row>
        <row r="4940">
          <cell r="A4940">
            <v>1815740500</v>
          </cell>
          <cell r="B4940" t="str">
            <v xml:space="preserve">הוצאות מינהליות   </v>
          </cell>
        </row>
        <row r="4941">
          <cell r="A4941">
            <v>1815740511</v>
          </cell>
          <cell r="B4941" t="str">
            <v xml:space="preserve">אירוח וכיבוד      </v>
          </cell>
          <cell r="C4941">
            <v>24000</v>
          </cell>
        </row>
        <row r="4942">
          <cell r="A4942">
            <v>1815740512</v>
          </cell>
          <cell r="B4942" t="str">
            <v xml:space="preserve">נסיעות ואש"ל      </v>
          </cell>
        </row>
        <row r="4943">
          <cell r="A4943">
            <v>1815740517</v>
          </cell>
          <cell r="B4943" t="str">
            <v xml:space="preserve">מסיבות מפקדים ושי </v>
          </cell>
        </row>
        <row r="4944">
          <cell r="A4944">
            <v>1815740522</v>
          </cell>
          <cell r="B4944" t="str">
            <v xml:space="preserve">ספריות            </v>
          </cell>
        </row>
        <row r="4945">
          <cell r="A4945">
            <v>1815740530</v>
          </cell>
          <cell r="B4945" t="str">
            <v xml:space="preserve">אופניים לעובדים   </v>
          </cell>
        </row>
        <row r="4946">
          <cell r="A4946">
            <v>1815740540</v>
          </cell>
          <cell r="B4946" t="str">
            <v xml:space="preserve">הוצאות טלפון      </v>
          </cell>
        </row>
        <row r="4947">
          <cell r="A4947">
            <v>1815740544</v>
          </cell>
          <cell r="B4947" t="str">
            <v xml:space="preserve">הוצאות דאר        </v>
          </cell>
        </row>
        <row r="4948">
          <cell r="A4948">
            <v>1815740562</v>
          </cell>
          <cell r="B4948" t="str">
            <v xml:space="preserve">הדפסות            </v>
          </cell>
        </row>
        <row r="4949">
          <cell r="A4949">
            <v>1815740580</v>
          </cell>
          <cell r="B4949" t="str">
            <v>ניהול חשבונאי</v>
          </cell>
        </row>
        <row r="4950">
          <cell r="A4950">
            <v>1815740583</v>
          </cell>
          <cell r="B4950" t="str">
            <v xml:space="preserve">שרות רפואי        </v>
          </cell>
        </row>
        <row r="4951">
          <cell r="A4951">
            <v>1815740585</v>
          </cell>
          <cell r="B4951" t="str">
            <v xml:space="preserve">שרות אחות         </v>
          </cell>
        </row>
        <row r="4952">
          <cell r="A4952">
            <v>1815740700</v>
          </cell>
          <cell r="B4952" t="str">
            <v xml:space="preserve">הוצאות לפעולות    </v>
          </cell>
        </row>
        <row r="4953">
          <cell r="A4953">
            <v>1815740721</v>
          </cell>
          <cell r="B4953" t="str">
            <v>חמרים-תחזוקת מבנים</v>
          </cell>
        </row>
        <row r="4954">
          <cell r="A4954">
            <v>1815740722</v>
          </cell>
          <cell r="B4954" t="str">
            <v>חמרים-תחזוקה עצמית</v>
          </cell>
        </row>
        <row r="4955">
          <cell r="A4955">
            <v>1815740724</v>
          </cell>
          <cell r="B4955" t="str">
            <v>ציוד למגמות</v>
          </cell>
        </row>
        <row r="4956">
          <cell r="A4956">
            <v>1815740742</v>
          </cell>
          <cell r="B4956" t="str">
            <v xml:space="preserve">כלים וציוד        </v>
          </cell>
          <cell r="C4956">
            <v>92200</v>
          </cell>
        </row>
        <row r="4957">
          <cell r="A4957">
            <v>1815740744</v>
          </cell>
          <cell r="B4957" t="str">
            <v xml:space="preserve">ציוד מגמות        </v>
          </cell>
        </row>
        <row r="4958">
          <cell r="A4958">
            <v>1815740745</v>
          </cell>
          <cell r="B4958" t="str">
            <v xml:space="preserve">דמי פריצה - תכולה </v>
          </cell>
        </row>
        <row r="4959">
          <cell r="A4959">
            <v>1815740746</v>
          </cell>
          <cell r="B4959" t="str">
            <v xml:space="preserve">דמי פריצה - מבנה  </v>
          </cell>
        </row>
        <row r="4960">
          <cell r="A4960">
            <v>1815740750</v>
          </cell>
          <cell r="B4960" t="str">
            <v>אחזקת מוסדות</v>
          </cell>
          <cell r="C4960">
            <v>1203000</v>
          </cell>
        </row>
        <row r="4961">
          <cell r="A4961">
            <v>1815740751</v>
          </cell>
          <cell r="B4961" t="str">
            <v xml:space="preserve">עבודות קבלניות    </v>
          </cell>
        </row>
        <row r="4962">
          <cell r="A4962">
            <v>1815740752</v>
          </cell>
          <cell r="B4962" t="str">
            <v xml:space="preserve">נקיון בקבלנות     </v>
          </cell>
          <cell r="C4962">
            <v>1793000</v>
          </cell>
        </row>
        <row r="4963">
          <cell r="A4963">
            <v>1815740753</v>
          </cell>
          <cell r="B4963" t="str">
            <v xml:space="preserve">עובדים חיצוניים   </v>
          </cell>
        </row>
        <row r="4964">
          <cell r="A4964">
            <v>1815740755</v>
          </cell>
          <cell r="B4964" t="str">
            <v xml:space="preserve">אחות-חברת כ"א     </v>
          </cell>
        </row>
        <row r="4965">
          <cell r="A4965">
            <v>1815740759</v>
          </cell>
          <cell r="B4965" t="str">
            <v>שרותי סייעות</v>
          </cell>
          <cell r="C4965">
            <v>1680000</v>
          </cell>
        </row>
        <row r="4966">
          <cell r="A4966">
            <v>1815740758</v>
          </cell>
          <cell r="B4966" t="str">
            <v>אב בית-מועדונית נחשונים</v>
          </cell>
        </row>
        <row r="4967">
          <cell r="A4967">
            <v>1815740762</v>
          </cell>
          <cell r="B4967" t="str">
            <v xml:space="preserve">שאילת מורים       </v>
          </cell>
          <cell r="C4967">
            <v>271400</v>
          </cell>
        </row>
        <row r="4968">
          <cell r="A4968">
            <v>1815740763</v>
          </cell>
          <cell r="B4968" t="str">
            <v xml:space="preserve">עובדי חברת מוסדות </v>
          </cell>
        </row>
        <row r="4969">
          <cell r="A4969">
            <v>1815740764</v>
          </cell>
          <cell r="B4969" t="str">
            <v>סייעות</v>
          </cell>
        </row>
        <row r="4970">
          <cell r="A4970">
            <v>1815740765</v>
          </cell>
          <cell r="B4970" t="str">
            <v xml:space="preserve">רכז חברתי - חט"ב  </v>
          </cell>
        </row>
        <row r="4971">
          <cell r="A4971">
            <v>1815740780</v>
          </cell>
          <cell r="B4971" t="str">
            <v xml:space="preserve">חינוך חברתי       </v>
          </cell>
          <cell r="C4971">
            <v>33000</v>
          </cell>
        </row>
        <row r="4972">
          <cell r="A4972">
            <v>1815740781</v>
          </cell>
          <cell r="B4972" t="str">
            <v>השת' בהוצאות נבחרת</v>
          </cell>
        </row>
        <row r="4973">
          <cell r="A4973">
            <v>1815740782</v>
          </cell>
          <cell r="B4973" t="str">
            <v>השת' בהעסקת מאמנים</v>
          </cell>
        </row>
        <row r="4974">
          <cell r="A4974">
            <v>1815740783</v>
          </cell>
          <cell r="B4974" t="str">
            <v>תיגבור יהדות</v>
          </cell>
        </row>
        <row r="4975">
          <cell r="A4975">
            <v>1815740794</v>
          </cell>
          <cell r="B4975" t="str">
            <v xml:space="preserve">השתתפות בעזר 094  </v>
          </cell>
        </row>
        <row r="4976">
          <cell r="A4976">
            <v>1815740810</v>
          </cell>
          <cell r="B4976" t="str">
            <v>הקצבה לניהול עצמי</v>
          </cell>
          <cell r="C4976">
            <v>237000</v>
          </cell>
        </row>
        <row r="4977">
          <cell r="A4977">
            <v>1815740812</v>
          </cell>
          <cell r="B4977" t="str">
            <v>מסיבות כיתתיות</v>
          </cell>
          <cell r="C4977">
            <v>45000</v>
          </cell>
        </row>
        <row r="4978">
          <cell r="A4978">
            <v>1815740816</v>
          </cell>
          <cell r="B4978" t="str">
            <v>חט"ב - הכלה והשתלבות</v>
          </cell>
        </row>
        <row r="4979">
          <cell r="A4979">
            <v>1815740838</v>
          </cell>
          <cell r="B4979" t="str">
            <v>תכנית לאומית-קידום אנגלית</v>
          </cell>
        </row>
        <row r="4980">
          <cell r="A4980">
            <v>1815740930</v>
          </cell>
          <cell r="B4980" t="str">
            <v>רכ' כלי נגינה - מוז'</v>
          </cell>
        </row>
        <row r="4981">
          <cell r="A4981">
            <v>1815740931</v>
          </cell>
          <cell r="B4981" t="str">
            <v>הפרשים</v>
          </cell>
        </row>
        <row r="4982">
          <cell r="A4982">
            <v>1815740953</v>
          </cell>
          <cell r="B4982" t="str">
            <v>מערכת גפ"ן</v>
          </cell>
        </row>
        <row r="4983">
          <cell r="A4983">
            <v>1815740961</v>
          </cell>
          <cell r="B4983" t="str">
            <v>רז' פעולות ורכישות</v>
          </cell>
        </row>
        <row r="4984">
          <cell r="A4984">
            <v>1815740989</v>
          </cell>
          <cell r="B4984" t="str">
            <v xml:space="preserve">תקורה             </v>
          </cell>
        </row>
        <row r="4985">
          <cell r="A4985" t="str">
            <v>#VALUE!</v>
          </cell>
          <cell r="B4985" t="str">
            <v xml:space="preserve">בי"ס מקיף ק' שרת  </v>
          </cell>
        </row>
        <row r="4986">
          <cell r="A4986">
            <v>18157500</v>
          </cell>
          <cell r="B4986" t="str">
            <v xml:space="preserve">תיכון אילון       </v>
          </cell>
        </row>
        <row r="4987">
          <cell r="A4987">
            <v>1815750100</v>
          </cell>
          <cell r="B4987" t="str">
            <v>שכר עובדים לפי תקן</v>
          </cell>
        </row>
        <row r="4988">
          <cell r="A4988">
            <v>1815750110</v>
          </cell>
          <cell r="B4988" t="str">
            <v>השכר הקובע-תקציבית</v>
          </cell>
          <cell r="C4988">
            <v>266000</v>
          </cell>
        </row>
        <row r="4989">
          <cell r="A4989">
            <v>1815750118</v>
          </cell>
          <cell r="B4989" t="str">
            <v xml:space="preserve">שכר עובדי הוראה   </v>
          </cell>
          <cell r="C4989">
            <v>21804600</v>
          </cell>
        </row>
        <row r="4990">
          <cell r="A4990">
            <v>1815750119</v>
          </cell>
          <cell r="B4990" t="str">
            <v xml:space="preserve">השכר הקובע-צוברת  </v>
          </cell>
          <cell r="C4990">
            <v>1575900</v>
          </cell>
        </row>
        <row r="4991">
          <cell r="A4991">
            <v>1815750122</v>
          </cell>
          <cell r="B4991" t="str">
            <v xml:space="preserve">ביגוד             </v>
          </cell>
          <cell r="C4991">
            <v>210000</v>
          </cell>
        </row>
        <row r="4992">
          <cell r="A4992">
            <v>1815750126</v>
          </cell>
          <cell r="B4992" t="str">
            <v xml:space="preserve">דמי הבראה         </v>
          </cell>
          <cell r="C4992">
            <v>446000</v>
          </cell>
        </row>
        <row r="4993">
          <cell r="A4993">
            <v>1815750130</v>
          </cell>
          <cell r="B4993" t="str">
            <v xml:space="preserve">שעות נוספות       </v>
          </cell>
          <cell r="C4993">
            <v>15300</v>
          </cell>
        </row>
        <row r="4994">
          <cell r="A4994">
            <v>1815750140</v>
          </cell>
          <cell r="B4994" t="str">
            <v>השתתפות באחזקת רכב</v>
          </cell>
          <cell r="C4994">
            <v>132700</v>
          </cell>
        </row>
        <row r="4995">
          <cell r="A4995">
            <v>1815750181</v>
          </cell>
          <cell r="B4995" t="str">
            <v>ק'השתל'מורים-מעביד</v>
          </cell>
        </row>
        <row r="4996">
          <cell r="A4996">
            <v>1815750200</v>
          </cell>
          <cell r="B4996" t="str">
            <v>שכר עובדים ללא תקן</v>
          </cell>
        </row>
        <row r="4997">
          <cell r="A4997">
            <v>1815750210</v>
          </cell>
          <cell r="B4997" t="str">
            <v xml:space="preserve">השכר הקובע        </v>
          </cell>
        </row>
        <row r="4998">
          <cell r="A4998">
            <v>1815750212</v>
          </cell>
          <cell r="B4998" t="str">
            <v xml:space="preserve">שעורי עזר לעולים  </v>
          </cell>
        </row>
        <row r="4999">
          <cell r="A4999">
            <v>1815750213</v>
          </cell>
          <cell r="B4999" t="str">
            <v xml:space="preserve">שעורי עזר לנכים   </v>
          </cell>
        </row>
        <row r="5000">
          <cell r="A5000">
            <v>1815750214</v>
          </cell>
          <cell r="B5000" t="str">
            <v>שעורי עזר לתלמידים</v>
          </cell>
        </row>
        <row r="5001">
          <cell r="A5001">
            <v>1815750215</v>
          </cell>
          <cell r="B5001" t="str">
            <v>קייטנת קיץ בחט"ב ובתיכוניים</v>
          </cell>
        </row>
        <row r="5002">
          <cell r="A5002">
            <v>1815750216</v>
          </cell>
          <cell r="B5002" t="str">
            <v>קשישים - שוויון חברתי</v>
          </cell>
          <cell r="C5002">
            <v>30000</v>
          </cell>
        </row>
        <row r="5003">
          <cell r="A5003">
            <v>1815750250</v>
          </cell>
          <cell r="B5003" t="str">
            <v>שעות השאלה למשה"ח</v>
          </cell>
          <cell r="C5003">
            <v>340500</v>
          </cell>
        </row>
        <row r="5004">
          <cell r="A5004">
            <v>1815750261</v>
          </cell>
          <cell r="B5004" t="str">
            <v>תכנית גי"א / מש"ב</v>
          </cell>
        </row>
        <row r="5005">
          <cell r="A5005">
            <v>1815750262</v>
          </cell>
          <cell r="B5005" t="str">
            <v xml:space="preserve">שאילת מורים       </v>
          </cell>
        </row>
        <row r="5006">
          <cell r="A5006">
            <v>1815750263</v>
          </cell>
          <cell r="B5006" t="str">
            <v xml:space="preserve">עובדי חברת מוסדות </v>
          </cell>
        </row>
        <row r="5007">
          <cell r="A5007">
            <v>1815750264</v>
          </cell>
          <cell r="B5007" t="str">
            <v xml:space="preserve">עובדי חברת מוסדות </v>
          </cell>
        </row>
        <row r="5008">
          <cell r="A5008">
            <v>1815750400</v>
          </cell>
          <cell r="B5008" t="str">
            <v>אחזקת בנינים וציוד</v>
          </cell>
        </row>
        <row r="5009">
          <cell r="A5009">
            <v>1815750411</v>
          </cell>
          <cell r="B5009" t="str">
            <v xml:space="preserve">שכירת אולמות      </v>
          </cell>
        </row>
        <row r="5010">
          <cell r="A5010">
            <v>1815750420</v>
          </cell>
          <cell r="B5010" t="str">
            <v xml:space="preserve">כיבוי אש          </v>
          </cell>
          <cell r="C5010">
            <v>9000</v>
          </cell>
        </row>
        <row r="5011">
          <cell r="A5011">
            <v>1815750423</v>
          </cell>
          <cell r="B5011" t="str">
            <v xml:space="preserve">תחזוקת מבנה       </v>
          </cell>
        </row>
        <row r="5012">
          <cell r="A5012">
            <v>1815750431</v>
          </cell>
          <cell r="B5012" t="str">
            <v xml:space="preserve">חשמל              </v>
          </cell>
          <cell r="C5012">
            <v>260000</v>
          </cell>
        </row>
        <row r="5013">
          <cell r="A5013">
            <v>1815750432</v>
          </cell>
          <cell r="B5013" t="str">
            <v xml:space="preserve">מים               </v>
          </cell>
        </row>
        <row r="5014">
          <cell r="A5014">
            <v>1815750433</v>
          </cell>
          <cell r="B5014" t="str">
            <v xml:space="preserve">חומרי נקיון       </v>
          </cell>
        </row>
        <row r="5015">
          <cell r="A5015">
            <v>1815750434</v>
          </cell>
          <cell r="B5015" t="str">
            <v xml:space="preserve">חיטוי והדברה      </v>
          </cell>
        </row>
        <row r="5016">
          <cell r="A5016">
            <v>1815750437</v>
          </cell>
          <cell r="B5016" t="str">
            <v xml:space="preserve">אחזקת אזעקה       </v>
          </cell>
          <cell r="C5016">
            <v>3800</v>
          </cell>
        </row>
        <row r="5017">
          <cell r="A5017">
            <v>1815750441</v>
          </cell>
          <cell r="B5017" t="str">
            <v xml:space="preserve">ביטוח             </v>
          </cell>
        </row>
        <row r="5018">
          <cell r="A5018">
            <v>1815750450</v>
          </cell>
          <cell r="B5018" t="str">
            <v xml:space="preserve">ריהוט ואחזקתו     </v>
          </cell>
          <cell r="C5018">
            <v>21000</v>
          </cell>
        </row>
        <row r="5019">
          <cell r="A5019">
            <v>1815750470</v>
          </cell>
          <cell r="B5019" t="str">
            <v xml:space="preserve">אחזקת מכונות משרד </v>
          </cell>
        </row>
        <row r="5020">
          <cell r="A5020">
            <v>1815750471</v>
          </cell>
          <cell r="B5020" t="str">
            <v xml:space="preserve">מכשירי כתיבה      </v>
          </cell>
        </row>
        <row r="5021">
          <cell r="A5021">
            <v>1815750500</v>
          </cell>
          <cell r="B5021" t="str">
            <v xml:space="preserve">הוצאות מינהליות   </v>
          </cell>
        </row>
        <row r="5022">
          <cell r="A5022">
            <v>1815750511</v>
          </cell>
          <cell r="B5022" t="str">
            <v xml:space="preserve">אירוח וכיבוד      </v>
          </cell>
          <cell r="C5022">
            <v>19000</v>
          </cell>
        </row>
        <row r="5023">
          <cell r="A5023">
            <v>1815750512</v>
          </cell>
          <cell r="B5023" t="str">
            <v xml:space="preserve">נסיעות ואש"ל      </v>
          </cell>
        </row>
        <row r="5024">
          <cell r="A5024">
            <v>1815750517</v>
          </cell>
          <cell r="B5024" t="str">
            <v xml:space="preserve">מסיבות מפקדים ושי </v>
          </cell>
        </row>
        <row r="5025">
          <cell r="A5025">
            <v>1815750522</v>
          </cell>
          <cell r="B5025" t="str">
            <v xml:space="preserve">ספריות            </v>
          </cell>
        </row>
        <row r="5026">
          <cell r="A5026">
            <v>1815750530</v>
          </cell>
          <cell r="B5026" t="str">
            <v xml:space="preserve">אופניים לעובדים   </v>
          </cell>
        </row>
        <row r="5027">
          <cell r="A5027">
            <v>1815750540</v>
          </cell>
          <cell r="B5027" t="str">
            <v xml:space="preserve">הוצאות טלפון      </v>
          </cell>
        </row>
        <row r="5028">
          <cell r="A5028">
            <v>1815750544</v>
          </cell>
          <cell r="B5028" t="str">
            <v xml:space="preserve">הוצאות דאר        </v>
          </cell>
        </row>
        <row r="5029">
          <cell r="A5029">
            <v>1815750562</v>
          </cell>
          <cell r="B5029" t="str">
            <v xml:space="preserve">הדפסות            </v>
          </cell>
        </row>
        <row r="5030">
          <cell r="A5030">
            <v>1815750583</v>
          </cell>
          <cell r="B5030" t="str">
            <v xml:space="preserve">שרות רפואי        </v>
          </cell>
        </row>
        <row r="5031">
          <cell r="A5031">
            <v>1815750585</v>
          </cell>
          <cell r="B5031" t="str">
            <v xml:space="preserve">שרות אחות         </v>
          </cell>
        </row>
        <row r="5032">
          <cell r="A5032">
            <v>1815750700</v>
          </cell>
          <cell r="B5032" t="str">
            <v xml:space="preserve">הוצאות לפעולות    </v>
          </cell>
        </row>
        <row r="5033">
          <cell r="A5033">
            <v>1815750721</v>
          </cell>
          <cell r="B5033" t="str">
            <v>חמרים-תחזוקת מבנים</v>
          </cell>
          <cell r="C5033">
            <v>2700</v>
          </cell>
        </row>
        <row r="5034">
          <cell r="A5034">
            <v>1815750722</v>
          </cell>
          <cell r="B5034" t="str">
            <v>חמרים-תחזוקה עצמית</v>
          </cell>
        </row>
        <row r="5035">
          <cell r="A5035">
            <v>1815750724</v>
          </cell>
          <cell r="B5035" t="str">
            <v>ציוד למגמות</v>
          </cell>
        </row>
        <row r="5036">
          <cell r="A5036">
            <v>1815750742</v>
          </cell>
          <cell r="B5036" t="str">
            <v xml:space="preserve">כלים וציוד        </v>
          </cell>
          <cell r="C5036">
            <v>57900</v>
          </cell>
        </row>
        <row r="5037">
          <cell r="A5037">
            <v>1815750744</v>
          </cell>
          <cell r="B5037" t="str">
            <v>ציוד מגמת  טלויזיה</v>
          </cell>
        </row>
        <row r="5038">
          <cell r="A5038">
            <v>1815750745</v>
          </cell>
          <cell r="B5038" t="str">
            <v xml:space="preserve">דמי פריצה - תכולה </v>
          </cell>
        </row>
        <row r="5039">
          <cell r="A5039">
            <v>1815750746</v>
          </cell>
          <cell r="B5039" t="str">
            <v xml:space="preserve">דמי פריצה - מבנה  </v>
          </cell>
        </row>
        <row r="5040">
          <cell r="A5040">
            <v>1815750750</v>
          </cell>
          <cell r="B5040" t="str">
            <v>אחזקת מוסדות</v>
          </cell>
          <cell r="C5040">
            <v>561000</v>
          </cell>
        </row>
        <row r="5041">
          <cell r="A5041">
            <v>1815750751</v>
          </cell>
          <cell r="B5041" t="str">
            <v xml:space="preserve">עבודות קבלניות    </v>
          </cell>
          <cell r="C5041">
            <v>25000</v>
          </cell>
        </row>
        <row r="5042">
          <cell r="A5042">
            <v>1815750752</v>
          </cell>
          <cell r="B5042" t="str">
            <v xml:space="preserve">נקיון בקבלנות     </v>
          </cell>
          <cell r="C5042">
            <v>10417000</v>
          </cell>
        </row>
        <row r="5043">
          <cell r="A5043">
            <v>1815750753</v>
          </cell>
          <cell r="B5043" t="str">
            <v xml:space="preserve">עובדים חיצוניים   </v>
          </cell>
        </row>
        <row r="5044">
          <cell r="A5044">
            <v>1815750755</v>
          </cell>
          <cell r="B5044" t="str">
            <v xml:space="preserve">אחות              </v>
          </cell>
        </row>
        <row r="5045">
          <cell r="A5045">
            <v>1815750759</v>
          </cell>
          <cell r="B5045" t="str">
            <v>שרותי סייעות</v>
          </cell>
          <cell r="C5045">
            <v>2184000</v>
          </cell>
        </row>
        <row r="5046">
          <cell r="A5046">
            <v>1815750762</v>
          </cell>
          <cell r="B5046" t="str">
            <v xml:space="preserve">שאילת מורים       </v>
          </cell>
          <cell r="C5046">
            <v>425400</v>
          </cell>
        </row>
        <row r="5047">
          <cell r="A5047">
            <v>1815750763</v>
          </cell>
          <cell r="B5047" t="str">
            <v xml:space="preserve">עובדי חברת מוסדות </v>
          </cell>
        </row>
        <row r="5048">
          <cell r="A5048">
            <v>1815750765</v>
          </cell>
          <cell r="B5048" t="str">
            <v xml:space="preserve">רכז חברתי - חט"ב  </v>
          </cell>
        </row>
        <row r="5049">
          <cell r="A5049">
            <v>1815750780</v>
          </cell>
          <cell r="B5049" t="str">
            <v xml:space="preserve">חינוך חברתי       </v>
          </cell>
          <cell r="C5049">
            <v>23000</v>
          </cell>
        </row>
        <row r="5050">
          <cell r="A5050">
            <v>1815750794</v>
          </cell>
          <cell r="B5050" t="str">
            <v xml:space="preserve">השתתפות בעזר 094  </v>
          </cell>
        </row>
        <row r="5051">
          <cell r="A5051">
            <v>1815750800</v>
          </cell>
          <cell r="B5051" t="str">
            <v>השת' תמיכות תרומות</v>
          </cell>
        </row>
        <row r="5052">
          <cell r="A5052">
            <v>1815750810</v>
          </cell>
          <cell r="B5052" t="str">
            <v>הקצבה לניהול עצמי</v>
          </cell>
          <cell r="C5052">
            <v>101900</v>
          </cell>
        </row>
        <row r="5053">
          <cell r="A5053">
            <v>1815750811</v>
          </cell>
          <cell r="B5053" t="str">
            <v>העשרת מחוננים</v>
          </cell>
          <cell r="C5053">
            <v>250000</v>
          </cell>
        </row>
        <row r="5054">
          <cell r="A5054">
            <v>1815750812</v>
          </cell>
          <cell r="B5054" t="str">
            <v>מסיבות כיתתיות</v>
          </cell>
          <cell r="C5054">
            <v>25000</v>
          </cell>
        </row>
        <row r="5055">
          <cell r="A5055">
            <v>1815750816</v>
          </cell>
          <cell r="B5055" t="str">
            <v>חט"ב - הכלה והשתלבות</v>
          </cell>
        </row>
        <row r="5056">
          <cell r="A5056">
            <v>1815750838</v>
          </cell>
          <cell r="B5056" t="str">
            <v>תכנית לאומית-קידום אנגלית</v>
          </cell>
        </row>
        <row r="5057">
          <cell r="A5057">
            <v>1815750911</v>
          </cell>
          <cell r="B5057" t="str">
            <v>פעילות חוויתית יהדות</v>
          </cell>
        </row>
        <row r="5058">
          <cell r="A5058">
            <v>1815750953</v>
          </cell>
          <cell r="B5058" t="str">
            <v>מערכת גפ"ן</v>
          </cell>
        </row>
        <row r="5059">
          <cell r="A5059">
            <v>1815750961</v>
          </cell>
          <cell r="B5059" t="str">
            <v>רז' פעולות ורכישות</v>
          </cell>
        </row>
        <row r="5060">
          <cell r="A5060">
            <v>1815750989</v>
          </cell>
          <cell r="B5060" t="str">
            <v xml:space="preserve">תקורה             </v>
          </cell>
        </row>
        <row r="5061">
          <cell r="A5061" t="str">
            <v>#VALUE!</v>
          </cell>
          <cell r="B5061" t="str">
            <v xml:space="preserve">תיכון אילון       </v>
          </cell>
        </row>
        <row r="5062">
          <cell r="A5062">
            <v>18157600</v>
          </cell>
          <cell r="B5062" t="str">
            <v xml:space="preserve">תיכון יבנה        </v>
          </cell>
        </row>
        <row r="5063">
          <cell r="A5063">
            <v>1815760100</v>
          </cell>
          <cell r="B5063" t="str">
            <v>שכר עובדים לפי תקן</v>
          </cell>
        </row>
        <row r="5064">
          <cell r="A5064">
            <v>1815760110</v>
          </cell>
          <cell r="B5064" t="str">
            <v>השכר הקובע-תקציבית</v>
          </cell>
          <cell r="C5064">
            <v>363400</v>
          </cell>
        </row>
        <row r="5065">
          <cell r="A5065">
            <v>1815760118</v>
          </cell>
          <cell r="B5065" t="str">
            <v xml:space="preserve">שכר עובדי הוראה   </v>
          </cell>
          <cell r="C5065">
            <v>3062600</v>
          </cell>
        </row>
        <row r="5066">
          <cell r="A5066">
            <v>1815760119</v>
          </cell>
          <cell r="B5066" t="str">
            <v xml:space="preserve">השכר הקובע-צוברת  </v>
          </cell>
          <cell r="C5066">
            <v>675100</v>
          </cell>
        </row>
        <row r="5067">
          <cell r="A5067">
            <v>1815760122</v>
          </cell>
          <cell r="B5067" t="str">
            <v xml:space="preserve">ביגוד             </v>
          </cell>
          <cell r="C5067">
            <v>56000</v>
          </cell>
        </row>
        <row r="5068">
          <cell r="A5068">
            <v>1815760126</v>
          </cell>
          <cell r="B5068" t="str">
            <v xml:space="preserve">דמי הבראה         </v>
          </cell>
          <cell r="C5068">
            <v>126000</v>
          </cell>
        </row>
        <row r="5069">
          <cell r="A5069">
            <v>1815760130</v>
          </cell>
          <cell r="B5069" t="str">
            <v xml:space="preserve">שעות נוספות       </v>
          </cell>
          <cell r="C5069">
            <v>27800</v>
          </cell>
        </row>
        <row r="5070">
          <cell r="A5070">
            <v>1815760140</v>
          </cell>
          <cell r="B5070" t="str">
            <v>השתתפות באחזקת רכב</v>
          </cell>
          <cell r="C5070">
            <v>95900</v>
          </cell>
        </row>
        <row r="5071">
          <cell r="A5071">
            <v>1815760181</v>
          </cell>
          <cell r="B5071" t="str">
            <v>ק'השתל'מורים-מעביד</v>
          </cell>
        </row>
        <row r="5072">
          <cell r="A5072">
            <v>1815760200</v>
          </cell>
          <cell r="B5072" t="str">
            <v>שכר עובדים ללא תקן</v>
          </cell>
        </row>
        <row r="5073">
          <cell r="A5073">
            <v>1815760210</v>
          </cell>
          <cell r="B5073" t="str">
            <v xml:space="preserve">השכר הקובע        </v>
          </cell>
        </row>
        <row r="5074">
          <cell r="A5074">
            <v>1815760212</v>
          </cell>
          <cell r="B5074" t="str">
            <v xml:space="preserve">שעורי עזר לעולים  </v>
          </cell>
        </row>
        <row r="5075">
          <cell r="A5075">
            <v>1815760213</v>
          </cell>
          <cell r="B5075" t="str">
            <v xml:space="preserve">שעורי עזר לנכים   </v>
          </cell>
        </row>
        <row r="5076">
          <cell r="A5076">
            <v>1815760214</v>
          </cell>
          <cell r="B5076" t="str">
            <v>שעורי עזר - אולפנא</v>
          </cell>
        </row>
        <row r="5077">
          <cell r="A5077">
            <v>1815760215</v>
          </cell>
          <cell r="B5077" t="str">
            <v>קייטנת קיץ בחט"ב ובתיכוניים</v>
          </cell>
        </row>
        <row r="5078">
          <cell r="A5078">
            <v>1815760216</v>
          </cell>
          <cell r="B5078" t="str">
            <v>פרוייקט גימלאים</v>
          </cell>
        </row>
        <row r="5079">
          <cell r="A5079">
            <v>1815760250</v>
          </cell>
          <cell r="B5079" t="str">
            <v>שעות השאלה למשה"ח</v>
          </cell>
          <cell r="C5079">
            <v>272900</v>
          </cell>
        </row>
        <row r="5080">
          <cell r="A5080">
            <v>1815760261</v>
          </cell>
          <cell r="B5080" t="str">
            <v>תכנית גי"א / מש"ב</v>
          </cell>
        </row>
        <row r="5081">
          <cell r="A5081">
            <v>1815760262</v>
          </cell>
          <cell r="B5081" t="str">
            <v xml:space="preserve">שאילת מורים       </v>
          </cell>
        </row>
        <row r="5082">
          <cell r="A5082">
            <v>1815760263</v>
          </cell>
          <cell r="B5082" t="str">
            <v xml:space="preserve">עובדי חברת מוסדות </v>
          </cell>
        </row>
        <row r="5083">
          <cell r="A5083">
            <v>1815760400</v>
          </cell>
          <cell r="B5083" t="str">
            <v>אחזקת בנינים וציוד</v>
          </cell>
        </row>
        <row r="5084">
          <cell r="A5084">
            <v>1815760411</v>
          </cell>
          <cell r="B5084" t="str">
            <v xml:space="preserve">שכירת אולמות      </v>
          </cell>
        </row>
        <row r="5085">
          <cell r="A5085">
            <v>1815760420</v>
          </cell>
          <cell r="B5085" t="str">
            <v xml:space="preserve">כיבוי אש          </v>
          </cell>
          <cell r="C5085">
            <v>7000</v>
          </cell>
        </row>
        <row r="5086">
          <cell r="A5086">
            <v>1815760423</v>
          </cell>
          <cell r="B5086" t="str">
            <v xml:space="preserve">תחזוקת מבנה       </v>
          </cell>
        </row>
        <row r="5087">
          <cell r="A5087">
            <v>1815760431</v>
          </cell>
          <cell r="B5087" t="str">
            <v xml:space="preserve">חשמל              </v>
          </cell>
          <cell r="C5087">
            <v>44900</v>
          </cell>
        </row>
        <row r="5088">
          <cell r="A5088">
            <v>1815760432</v>
          </cell>
          <cell r="B5088" t="str">
            <v xml:space="preserve">מים               </v>
          </cell>
        </row>
        <row r="5089">
          <cell r="A5089">
            <v>1815760433</v>
          </cell>
          <cell r="B5089" t="str">
            <v xml:space="preserve">חומרי נקיון       </v>
          </cell>
        </row>
        <row r="5090">
          <cell r="A5090">
            <v>1815760434</v>
          </cell>
          <cell r="B5090" t="str">
            <v xml:space="preserve">חיטוי והדברה      </v>
          </cell>
        </row>
        <row r="5091">
          <cell r="A5091">
            <v>1815760437</v>
          </cell>
          <cell r="B5091" t="str">
            <v xml:space="preserve">אחזקת אזעקה       </v>
          </cell>
          <cell r="C5091">
            <v>1300</v>
          </cell>
        </row>
        <row r="5092">
          <cell r="A5092">
            <v>1815760441</v>
          </cell>
          <cell r="B5092" t="str">
            <v xml:space="preserve">ביטוח             </v>
          </cell>
        </row>
        <row r="5093">
          <cell r="A5093">
            <v>1815760450</v>
          </cell>
          <cell r="B5093" t="str">
            <v xml:space="preserve">ריהוט ואחזקתו     </v>
          </cell>
          <cell r="C5093">
            <v>9000</v>
          </cell>
        </row>
        <row r="5094">
          <cell r="A5094">
            <v>1815760470</v>
          </cell>
          <cell r="B5094" t="str">
            <v xml:space="preserve">אחזקת מכונות משרד </v>
          </cell>
        </row>
        <row r="5095">
          <cell r="A5095">
            <v>1815760471</v>
          </cell>
          <cell r="B5095" t="str">
            <v xml:space="preserve">מכשירי כתיבה      </v>
          </cell>
        </row>
        <row r="5096">
          <cell r="A5096">
            <v>1815760500</v>
          </cell>
          <cell r="B5096" t="str">
            <v xml:space="preserve">הוצאות מינהליות   </v>
          </cell>
        </row>
        <row r="5097">
          <cell r="A5097">
            <v>1815760511</v>
          </cell>
          <cell r="B5097" t="str">
            <v xml:space="preserve">אירוח וכיבוד      </v>
          </cell>
          <cell r="C5097">
            <v>6500</v>
          </cell>
        </row>
        <row r="5098">
          <cell r="A5098">
            <v>1815760512</v>
          </cell>
          <cell r="B5098" t="str">
            <v xml:space="preserve">נסיעות ואש"ל      </v>
          </cell>
        </row>
        <row r="5099">
          <cell r="A5099">
            <v>1815760517</v>
          </cell>
          <cell r="B5099" t="str">
            <v xml:space="preserve">מסיבות מפקדים ושי </v>
          </cell>
        </row>
        <row r="5100">
          <cell r="A5100">
            <v>1815760522</v>
          </cell>
          <cell r="B5100" t="str">
            <v xml:space="preserve">ספריות            </v>
          </cell>
        </row>
        <row r="5101">
          <cell r="A5101">
            <v>1815760530</v>
          </cell>
          <cell r="B5101" t="str">
            <v xml:space="preserve">אופניים לעובדים   </v>
          </cell>
        </row>
        <row r="5102">
          <cell r="A5102">
            <v>1815760540</v>
          </cell>
          <cell r="B5102" t="str">
            <v xml:space="preserve">הוצאות טלפון      </v>
          </cell>
        </row>
        <row r="5103">
          <cell r="A5103">
            <v>1815760544</v>
          </cell>
          <cell r="B5103" t="str">
            <v xml:space="preserve">הוצאות דאר        </v>
          </cell>
        </row>
        <row r="5104">
          <cell r="A5104">
            <v>1815760562</v>
          </cell>
          <cell r="B5104" t="str">
            <v xml:space="preserve">הדפסות            </v>
          </cell>
        </row>
        <row r="5105">
          <cell r="A5105">
            <v>1815760583</v>
          </cell>
          <cell r="B5105" t="str">
            <v xml:space="preserve">שרות רפואי        </v>
          </cell>
        </row>
        <row r="5106">
          <cell r="A5106">
            <v>1815760585</v>
          </cell>
          <cell r="B5106" t="str">
            <v xml:space="preserve">שרות אחות         </v>
          </cell>
        </row>
        <row r="5107">
          <cell r="A5107">
            <v>1815760700</v>
          </cell>
          <cell r="B5107" t="str">
            <v xml:space="preserve">הוצאות לפעולות    </v>
          </cell>
        </row>
        <row r="5108">
          <cell r="A5108">
            <v>1815760721</v>
          </cell>
          <cell r="B5108" t="str">
            <v>חמרים-תחזוקת מבנים</v>
          </cell>
        </row>
        <row r="5109">
          <cell r="A5109">
            <v>1815760722</v>
          </cell>
          <cell r="B5109" t="str">
            <v>חמרים-תחזוקה עצמית</v>
          </cell>
        </row>
        <row r="5110">
          <cell r="A5110">
            <v>1815760724</v>
          </cell>
          <cell r="B5110" t="str">
            <v>ציוד למגמות</v>
          </cell>
        </row>
        <row r="5111">
          <cell r="A5111">
            <v>1815760742</v>
          </cell>
          <cell r="B5111" t="str">
            <v xml:space="preserve">כלים וציוד        </v>
          </cell>
          <cell r="C5111">
            <v>10000</v>
          </cell>
        </row>
        <row r="5112">
          <cell r="A5112">
            <v>1815760745</v>
          </cell>
          <cell r="B5112" t="str">
            <v xml:space="preserve">דמי פריצה - תכולה </v>
          </cell>
        </row>
        <row r="5113">
          <cell r="A5113">
            <v>1815760746</v>
          </cell>
          <cell r="B5113" t="str">
            <v xml:space="preserve">דמי פריצה - מבנה  </v>
          </cell>
        </row>
        <row r="5114">
          <cell r="A5114">
            <v>1815760750</v>
          </cell>
          <cell r="B5114" t="str">
            <v>אחזקת מוסדות</v>
          </cell>
          <cell r="C5114">
            <v>273000</v>
          </cell>
        </row>
        <row r="5115">
          <cell r="A5115">
            <v>1815760751</v>
          </cell>
          <cell r="B5115" t="str">
            <v xml:space="preserve">עבודות קבלניות    </v>
          </cell>
        </row>
        <row r="5116">
          <cell r="A5116">
            <v>1815760752</v>
          </cell>
          <cell r="B5116" t="str">
            <v xml:space="preserve">נקיון בקבלנות     </v>
          </cell>
          <cell r="C5116">
            <v>425500</v>
          </cell>
        </row>
        <row r="5117">
          <cell r="A5117">
            <v>1815760753</v>
          </cell>
          <cell r="B5117" t="str">
            <v xml:space="preserve">עובדים חיצוניים   </v>
          </cell>
        </row>
        <row r="5118">
          <cell r="A5118">
            <v>1815760755</v>
          </cell>
          <cell r="B5118" t="str">
            <v xml:space="preserve">אחות-חברת כ"א     </v>
          </cell>
        </row>
        <row r="5119">
          <cell r="A5119">
            <v>1815760759</v>
          </cell>
          <cell r="B5119" t="str">
            <v>שרותי סייעות</v>
          </cell>
          <cell r="C5119">
            <v>276000</v>
          </cell>
        </row>
        <row r="5120">
          <cell r="A5120">
            <v>1815760762</v>
          </cell>
          <cell r="B5120" t="str">
            <v xml:space="preserve">שאילת מורים       </v>
          </cell>
          <cell r="C5120">
            <v>1802900</v>
          </cell>
        </row>
        <row r="5121">
          <cell r="A5121">
            <v>1815760763</v>
          </cell>
          <cell r="B5121" t="str">
            <v xml:space="preserve">עובדי חברת מוסדות </v>
          </cell>
        </row>
        <row r="5122">
          <cell r="A5122">
            <v>1815760765</v>
          </cell>
          <cell r="B5122" t="str">
            <v xml:space="preserve">רכז חברתי - חט"ב  </v>
          </cell>
        </row>
        <row r="5123">
          <cell r="A5123">
            <v>1815760780</v>
          </cell>
          <cell r="B5123" t="str">
            <v xml:space="preserve">חינוך חברתי       </v>
          </cell>
          <cell r="C5123">
            <v>6000</v>
          </cell>
        </row>
        <row r="5124">
          <cell r="A5124">
            <v>1815760781</v>
          </cell>
          <cell r="B5124" t="str">
            <v>יהדות המזרח</v>
          </cell>
        </row>
        <row r="5125">
          <cell r="A5125">
            <v>1815760794</v>
          </cell>
          <cell r="B5125" t="str">
            <v xml:space="preserve">השתתפות בעזר 094  </v>
          </cell>
        </row>
        <row r="5126">
          <cell r="A5126">
            <v>1815760800</v>
          </cell>
          <cell r="B5126" t="str">
            <v>השת' תמיכות תרומות</v>
          </cell>
        </row>
        <row r="5127">
          <cell r="A5127">
            <v>1815760810</v>
          </cell>
          <cell r="B5127" t="str">
            <v>הקצבה לניהול עצמי</v>
          </cell>
          <cell r="C5127">
            <v>86300</v>
          </cell>
        </row>
        <row r="5128">
          <cell r="A5128">
            <v>1815760812</v>
          </cell>
          <cell r="B5128" t="str">
            <v>מסיבות כיתתיות</v>
          </cell>
          <cell r="C5128">
            <v>9000</v>
          </cell>
        </row>
        <row r="5129">
          <cell r="A5129">
            <v>1815760816</v>
          </cell>
          <cell r="B5129" t="str">
            <v>חט"ב - הכלה והשתלבות</v>
          </cell>
        </row>
        <row r="5130">
          <cell r="A5130">
            <v>1815760838</v>
          </cell>
          <cell r="B5130" t="str">
            <v>תכנית לאומית-קידום אנגלית</v>
          </cell>
        </row>
        <row r="5131">
          <cell r="A5131">
            <v>1815760953</v>
          </cell>
          <cell r="B5131" t="str">
            <v>מערכת גפ"ן</v>
          </cell>
        </row>
        <row r="5132">
          <cell r="A5132">
            <v>1815760911</v>
          </cell>
          <cell r="B5132" t="str">
            <v>פעילות חוויתית יהדות</v>
          </cell>
        </row>
        <row r="5133">
          <cell r="A5133">
            <v>1815760961</v>
          </cell>
          <cell r="B5133" t="str">
            <v>רז' פעולות ורכישות</v>
          </cell>
        </row>
        <row r="5134">
          <cell r="A5134">
            <v>1815760989</v>
          </cell>
          <cell r="B5134" t="str">
            <v xml:space="preserve">תקורה             </v>
          </cell>
        </row>
        <row r="5135">
          <cell r="A5135" t="str">
            <v>#VALUE!</v>
          </cell>
          <cell r="B5135" t="str">
            <v xml:space="preserve">תיכון יבנה        </v>
          </cell>
        </row>
        <row r="5136">
          <cell r="A5136">
            <v>18157700</v>
          </cell>
          <cell r="B5136" t="str">
            <v>גמנסיה למדעים-קציר</v>
          </cell>
        </row>
        <row r="5137">
          <cell r="A5137">
            <v>1815770100</v>
          </cell>
          <cell r="B5137" t="str">
            <v>שכר עובדים לפי תקן</v>
          </cell>
        </row>
        <row r="5138">
          <cell r="A5138">
            <v>1815770110</v>
          </cell>
          <cell r="B5138" t="str">
            <v>השכר הקובע-תקציבית</v>
          </cell>
          <cell r="C5138">
            <v>0</v>
          </cell>
        </row>
        <row r="5139">
          <cell r="A5139">
            <v>1815770118</v>
          </cell>
          <cell r="B5139" t="str">
            <v xml:space="preserve">שכר עובדי הוראה   </v>
          </cell>
          <cell r="C5139">
            <v>16433600</v>
          </cell>
        </row>
        <row r="5140">
          <cell r="A5140">
            <v>1815770119</v>
          </cell>
          <cell r="B5140" t="str">
            <v xml:space="preserve">השכר הקובע-צוברת  </v>
          </cell>
          <cell r="C5140">
            <v>1508600</v>
          </cell>
        </row>
        <row r="5141">
          <cell r="A5141">
            <v>1815770122</v>
          </cell>
          <cell r="B5141" t="str">
            <v xml:space="preserve">ביגוד             </v>
          </cell>
          <cell r="C5141">
            <v>163000</v>
          </cell>
        </row>
        <row r="5142">
          <cell r="A5142">
            <v>1815770126</v>
          </cell>
          <cell r="B5142" t="str">
            <v xml:space="preserve">דמי הבראה         </v>
          </cell>
          <cell r="C5142">
            <v>351000</v>
          </cell>
        </row>
        <row r="5143">
          <cell r="A5143">
            <v>1815770130</v>
          </cell>
          <cell r="B5143" t="str">
            <v xml:space="preserve">שעות נוספות       </v>
          </cell>
          <cell r="C5143">
            <v>9900</v>
          </cell>
        </row>
        <row r="5144">
          <cell r="A5144">
            <v>1815770140</v>
          </cell>
          <cell r="B5144" t="str">
            <v>השתתפות באחזקת רכב</v>
          </cell>
          <cell r="C5144">
            <v>107000</v>
          </cell>
        </row>
        <row r="5145">
          <cell r="A5145">
            <v>1815770181</v>
          </cell>
          <cell r="B5145" t="str">
            <v>ק'השתל'מורים-מעביד</v>
          </cell>
        </row>
        <row r="5146">
          <cell r="A5146">
            <v>1815770200</v>
          </cell>
          <cell r="B5146" t="str">
            <v>שכר עובדים ללא תקן</v>
          </cell>
        </row>
        <row r="5147">
          <cell r="A5147">
            <v>1815770210</v>
          </cell>
          <cell r="B5147" t="str">
            <v xml:space="preserve">השכר הקובע        </v>
          </cell>
        </row>
        <row r="5148">
          <cell r="A5148">
            <v>1815770211</v>
          </cell>
          <cell r="B5148" t="str">
            <v>הזדמנות ראשונה</v>
          </cell>
        </row>
        <row r="5149">
          <cell r="A5149">
            <v>1815770212</v>
          </cell>
          <cell r="B5149" t="str">
            <v xml:space="preserve">שעורי עזר לעולים  </v>
          </cell>
        </row>
        <row r="5150">
          <cell r="A5150">
            <v>1815770213</v>
          </cell>
          <cell r="B5150" t="str">
            <v xml:space="preserve">שעורי עזר לנכים   </v>
          </cell>
        </row>
        <row r="5151">
          <cell r="A5151">
            <v>1815770214</v>
          </cell>
          <cell r="B5151" t="str">
            <v>שעורי עזר לתלמידים</v>
          </cell>
        </row>
        <row r="5152">
          <cell r="A5152">
            <v>1815770215</v>
          </cell>
          <cell r="B5152" t="str">
            <v>קייטנת קיץ בחט"ב ובתיכוניים</v>
          </cell>
        </row>
        <row r="5153">
          <cell r="A5153">
            <v>1815770250</v>
          </cell>
          <cell r="B5153" t="str">
            <v>שעות השאלה למשה"ח</v>
          </cell>
          <cell r="C5153">
            <v>46900</v>
          </cell>
        </row>
        <row r="5154">
          <cell r="A5154">
            <v>1815770261</v>
          </cell>
          <cell r="B5154" t="str">
            <v>תכנית גי"א / מש"ב</v>
          </cell>
        </row>
        <row r="5155">
          <cell r="A5155">
            <v>1815770262</v>
          </cell>
          <cell r="B5155" t="str">
            <v xml:space="preserve">שאילת מורים       </v>
          </cell>
        </row>
        <row r="5156">
          <cell r="A5156">
            <v>1815770263</v>
          </cell>
          <cell r="B5156" t="str">
            <v xml:space="preserve">עובדי חברת מוסדות </v>
          </cell>
        </row>
        <row r="5157">
          <cell r="A5157">
            <v>1815770264</v>
          </cell>
          <cell r="B5157" t="str">
            <v xml:space="preserve">מוסדות מנ"ע       </v>
          </cell>
        </row>
        <row r="5158">
          <cell r="A5158">
            <v>1815770320</v>
          </cell>
          <cell r="B5158" t="str">
            <v>תשלומי פיצויים</v>
          </cell>
        </row>
        <row r="5159">
          <cell r="A5159">
            <v>1815770400</v>
          </cell>
          <cell r="B5159" t="str">
            <v>אחזקת בנינים וציוד</v>
          </cell>
        </row>
        <row r="5160">
          <cell r="A5160">
            <v>1815770411</v>
          </cell>
          <cell r="B5160" t="str">
            <v xml:space="preserve">שכירת אולמות      </v>
          </cell>
        </row>
        <row r="5161">
          <cell r="A5161">
            <v>1815770413</v>
          </cell>
          <cell r="B5161" t="str">
            <v xml:space="preserve">דמי שימוש באולם   </v>
          </cell>
        </row>
        <row r="5162">
          <cell r="A5162">
            <v>1815770420</v>
          </cell>
          <cell r="B5162" t="str">
            <v xml:space="preserve">כיבוי אש          </v>
          </cell>
          <cell r="C5162">
            <v>9000</v>
          </cell>
        </row>
        <row r="5163">
          <cell r="A5163">
            <v>1815770423</v>
          </cell>
          <cell r="B5163" t="str">
            <v xml:space="preserve">תחזוקת מבנה       </v>
          </cell>
        </row>
        <row r="5164">
          <cell r="A5164">
            <v>1815770431</v>
          </cell>
          <cell r="B5164" t="str">
            <v xml:space="preserve">חשמל              </v>
          </cell>
          <cell r="C5164">
            <v>289400</v>
          </cell>
        </row>
        <row r="5165">
          <cell r="A5165">
            <v>1815770432</v>
          </cell>
          <cell r="B5165" t="str">
            <v xml:space="preserve">מים               </v>
          </cell>
        </row>
        <row r="5166">
          <cell r="A5166">
            <v>1815770433</v>
          </cell>
          <cell r="B5166" t="str">
            <v xml:space="preserve">חומרי נקיון       </v>
          </cell>
        </row>
        <row r="5167">
          <cell r="A5167">
            <v>1815770434</v>
          </cell>
          <cell r="B5167" t="str">
            <v xml:space="preserve">חיטוי והדברה      </v>
          </cell>
        </row>
        <row r="5168">
          <cell r="A5168">
            <v>1815770435</v>
          </cell>
          <cell r="B5168" t="str">
            <v>השת' באחזקת מחשבים</v>
          </cell>
        </row>
        <row r="5169">
          <cell r="A5169">
            <v>1815770437</v>
          </cell>
          <cell r="B5169" t="str">
            <v xml:space="preserve">אחזקת אזעקה       </v>
          </cell>
          <cell r="C5169">
            <v>5000</v>
          </cell>
        </row>
        <row r="5170">
          <cell r="A5170">
            <v>1815770441</v>
          </cell>
          <cell r="B5170" t="str">
            <v xml:space="preserve">ביטוח             </v>
          </cell>
        </row>
        <row r="5171">
          <cell r="A5171">
            <v>1815770450</v>
          </cell>
          <cell r="B5171" t="str">
            <v xml:space="preserve">ריהוט ואחזקתו     </v>
          </cell>
          <cell r="C5171">
            <v>35000</v>
          </cell>
        </row>
        <row r="5172">
          <cell r="A5172">
            <v>1815770470</v>
          </cell>
          <cell r="B5172" t="str">
            <v xml:space="preserve">אחזקת מכונות משרד </v>
          </cell>
        </row>
        <row r="5173">
          <cell r="A5173">
            <v>1815770471</v>
          </cell>
          <cell r="B5173" t="str">
            <v xml:space="preserve">מכשירי כתיבה      </v>
          </cell>
        </row>
        <row r="5174">
          <cell r="A5174">
            <v>1815770500</v>
          </cell>
          <cell r="B5174" t="str">
            <v xml:space="preserve">הוצאות מינהליות   </v>
          </cell>
        </row>
        <row r="5175">
          <cell r="A5175">
            <v>1815770511</v>
          </cell>
          <cell r="B5175" t="str">
            <v xml:space="preserve">אירוח וכיבוד      </v>
          </cell>
          <cell r="C5175">
            <v>13500</v>
          </cell>
        </row>
        <row r="5176">
          <cell r="A5176">
            <v>1815770512</v>
          </cell>
          <cell r="B5176" t="str">
            <v xml:space="preserve">נסיעות ואש"ל      </v>
          </cell>
        </row>
        <row r="5177">
          <cell r="A5177">
            <v>1815770517</v>
          </cell>
          <cell r="B5177" t="str">
            <v xml:space="preserve">מסיבות מפקדים ושי </v>
          </cell>
        </row>
        <row r="5178">
          <cell r="A5178">
            <v>1815770522</v>
          </cell>
          <cell r="B5178" t="str">
            <v xml:space="preserve">ספריות            </v>
          </cell>
        </row>
        <row r="5179">
          <cell r="A5179">
            <v>1815770530</v>
          </cell>
          <cell r="B5179" t="str">
            <v xml:space="preserve">אופניים לעובדים   </v>
          </cell>
        </row>
        <row r="5180">
          <cell r="A5180">
            <v>1815770540</v>
          </cell>
          <cell r="B5180" t="str">
            <v xml:space="preserve">הוצאות טלפון      </v>
          </cell>
        </row>
        <row r="5181">
          <cell r="A5181">
            <v>1815770544</v>
          </cell>
          <cell r="B5181" t="str">
            <v xml:space="preserve">הוצאות דאר        </v>
          </cell>
        </row>
        <row r="5182">
          <cell r="A5182">
            <v>1815770562</v>
          </cell>
          <cell r="B5182" t="str">
            <v xml:space="preserve">הדפסות            </v>
          </cell>
        </row>
        <row r="5183">
          <cell r="A5183">
            <v>1815770583</v>
          </cell>
          <cell r="B5183" t="str">
            <v xml:space="preserve">שרות רפואי        </v>
          </cell>
        </row>
        <row r="5184">
          <cell r="A5184">
            <v>1815770585</v>
          </cell>
          <cell r="B5184" t="str">
            <v xml:space="preserve">שרות אחות         </v>
          </cell>
        </row>
        <row r="5185">
          <cell r="A5185">
            <v>1815770700</v>
          </cell>
          <cell r="B5185" t="str">
            <v xml:space="preserve">הוצאות לפעולות    </v>
          </cell>
        </row>
        <row r="5186">
          <cell r="A5186">
            <v>1815770721</v>
          </cell>
          <cell r="B5186" t="str">
            <v>חמרים-תחזוקת מבנים</v>
          </cell>
        </row>
        <row r="5187">
          <cell r="A5187">
            <v>1815770722</v>
          </cell>
          <cell r="B5187" t="str">
            <v>חמרים-תחזוקה עצמית</v>
          </cell>
        </row>
        <row r="5188">
          <cell r="A5188">
            <v>1815770723</v>
          </cell>
          <cell r="B5188" t="str">
            <v xml:space="preserve">חומרי לימוד       </v>
          </cell>
        </row>
        <row r="5189">
          <cell r="A5189">
            <v>1815770724</v>
          </cell>
          <cell r="B5189" t="str">
            <v>ציוד למגמות</v>
          </cell>
        </row>
        <row r="5190">
          <cell r="A5190">
            <v>1815770742</v>
          </cell>
          <cell r="B5190" t="str">
            <v xml:space="preserve">כלים וציוד        </v>
          </cell>
          <cell r="C5190">
            <v>100000</v>
          </cell>
        </row>
        <row r="5191">
          <cell r="A5191">
            <v>1815770743</v>
          </cell>
          <cell r="B5191" t="str">
            <v>תחז' ציוד אלקטרוני</v>
          </cell>
        </row>
        <row r="5192">
          <cell r="A5192">
            <v>1815770744</v>
          </cell>
          <cell r="B5192" t="str">
            <v>ציוד מגמה טכנולוגי</v>
          </cell>
        </row>
        <row r="5193">
          <cell r="A5193">
            <v>1815770745</v>
          </cell>
          <cell r="B5193" t="str">
            <v xml:space="preserve">דמי פריצה - תכולה </v>
          </cell>
        </row>
        <row r="5194">
          <cell r="A5194">
            <v>1815770746</v>
          </cell>
          <cell r="B5194" t="str">
            <v xml:space="preserve">דמי פריצה - מבנה  </v>
          </cell>
        </row>
        <row r="5195">
          <cell r="A5195">
            <v>1815770750</v>
          </cell>
          <cell r="B5195" t="str">
            <v>אחזקת מוסדות</v>
          </cell>
          <cell r="C5195">
            <v>705000</v>
          </cell>
        </row>
        <row r="5196">
          <cell r="A5196">
            <v>1815770751</v>
          </cell>
          <cell r="B5196" t="str">
            <v xml:space="preserve">עבודות קבלניות    </v>
          </cell>
        </row>
        <row r="5197">
          <cell r="A5197">
            <v>1815770752</v>
          </cell>
          <cell r="B5197" t="str">
            <v xml:space="preserve">נקיון בקבלנות     </v>
          </cell>
          <cell r="C5197">
            <v>863700</v>
          </cell>
        </row>
        <row r="5198">
          <cell r="A5198">
            <v>1815770753</v>
          </cell>
          <cell r="B5198" t="str">
            <v xml:space="preserve">עובדים חיצוניים   </v>
          </cell>
        </row>
        <row r="5199">
          <cell r="A5199">
            <v>1815770755</v>
          </cell>
          <cell r="B5199" t="str">
            <v xml:space="preserve">אחות-חברת כ"א     </v>
          </cell>
        </row>
        <row r="5200">
          <cell r="A5200">
            <v>1815770757</v>
          </cell>
          <cell r="B5200" t="str">
            <v xml:space="preserve">פעילות מנ"ע       </v>
          </cell>
        </row>
        <row r="5201">
          <cell r="A5201">
            <v>1815770759</v>
          </cell>
          <cell r="B5201" t="str">
            <v>שרותי סייעות</v>
          </cell>
          <cell r="C5201">
            <v>840000</v>
          </cell>
        </row>
        <row r="5202">
          <cell r="A5202">
            <v>1815770762</v>
          </cell>
          <cell r="B5202" t="str">
            <v xml:space="preserve">שאילת מורים       </v>
          </cell>
          <cell r="C5202">
            <v>448000</v>
          </cell>
        </row>
        <row r="5203">
          <cell r="A5203">
            <v>1815770763</v>
          </cell>
          <cell r="B5203" t="str">
            <v xml:space="preserve">עובדי חברת מוסדות </v>
          </cell>
        </row>
        <row r="5204">
          <cell r="A5204">
            <v>1815770764</v>
          </cell>
          <cell r="B5204" t="str">
            <v xml:space="preserve">מוסדות מנ"ע       </v>
          </cell>
        </row>
        <row r="5205">
          <cell r="A5205">
            <v>1815770765</v>
          </cell>
          <cell r="B5205" t="str">
            <v xml:space="preserve">רכז חברתי - חט"ב  </v>
          </cell>
        </row>
        <row r="5206">
          <cell r="A5206">
            <v>1815770780</v>
          </cell>
          <cell r="B5206" t="str">
            <v xml:space="preserve">חינוך חברתי       </v>
          </cell>
          <cell r="C5206">
            <v>20000</v>
          </cell>
        </row>
        <row r="5207">
          <cell r="A5207">
            <v>1815770781</v>
          </cell>
          <cell r="B5207" t="str">
            <v xml:space="preserve">הפעלת אשכולות פיס </v>
          </cell>
        </row>
        <row r="5208">
          <cell r="A5208">
            <v>1815770782</v>
          </cell>
          <cell r="B5208" t="str">
            <v xml:space="preserve">אחזקת אשכול פיס   </v>
          </cell>
        </row>
        <row r="5209">
          <cell r="A5209">
            <v>1815770783</v>
          </cell>
          <cell r="B5209" t="str">
            <v>תגבור יהדות(משה"ח)</v>
          </cell>
        </row>
        <row r="5210">
          <cell r="A5210">
            <v>1815770794</v>
          </cell>
          <cell r="B5210" t="str">
            <v xml:space="preserve">השתתפות בעזר 094  </v>
          </cell>
        </row>
        <row r="5211">
          <cell r="A5211">
            <v>1815770800</v>
          </cell>
          <cell r="B5211" t="str">
            <v>השת' תמיכות תרומות</v>
          </cell>
        </row>
        <row r="5212">
          <cell r="A5212">
            <v>1815770810</v>
          </cell>
          <cell r="B5212" t="str">
            <v>הקצבה לניהול עצמי</v>
          </cell>
          <cell r="C5212">
            <v>140300</v>
          </cell>
        </row>
        <row r="5213">
          <cell r="A5213">
            <v>1815770812</v>
          </cell>
          <cell r="B5213" t="str">
            <v>מסיבות כיתתיות</v>
          </cell>
          <cell r="C5213">
            <v>30000</v>
          </cell>
        </row>
        <row r="5214">
          <cell r="A5214">
            <v>1815770816</v>
          </cell>
          <cell r="B5214" t="str">
            <v>חט"ב - הכלה והשתלבות</v>
          </cell>
        </row>
        <row r="5215">
          <cell r="A5215">
            <v>1815770838</v>
          </cell>
          <cell r="B5215" t="str">
            <v>תכנית לאומית-קידום אנגלית</v>
          </cell>
        </row>
        <row r="5216">
          <cell r="A5216">
            <v>1815770953</v>
          </cell>
          <cell r="B5216" t="str">
            <v>מערכת גפ"ן</v>
          </cell>
        </row>
        <row r="5217">
          <cell r="A5217">
            <v>1815760911</v>
          </cell>
          <cell r="B5217" t="str">
            <v>פעילות חוויתית יהדות</v>
          </cell>
        </row>
        <row r="5218">
          <cell r="A5218">
            <v>1815770927</v>
          </cell>
          <cell r="B5218" t="str">
            <v xml:space="preserve">מנ"ע-קב' טיפוליות </v>
          </cell>
        </row>
        <row r="5219">
          <cell r="A5219">
            <v>1815770961</v>
          </cell>
          <cell r="B5219" t="str">
            <v>רז' פעולות ורכישות</v>
          </cell>
        </row>
        <row r="5220">
          <cell r="A5220">
            <v>1815770989</v>
          </cell>
          <cell r="B5220" t="str">
            <v xml:space="preserve">תקורה             </v>
          </cell>
        </row>
        <row r="5221">
          <cell r="A5221" t="str">
            <v>#VALUE!</v>
          </cell>
          <cell r="B5221" t="str">
            <v>גמנסיה למדעים-קציר</v>
          </cell>
        </row>
        <row r="5222">
          <cell r="A5222">
            <v>18157800</v>
          </cell>
          <cell r="B5222" t="str">
            <v xml:space="preserve">תיכון כרם שלמה    </v>
          </cell>
        </row>
        <row r="5223">
          <cell r="A5223">
            <v>1815780110</v>
          </cell>
          <cell r="B5223" t="str">
            <v>השכר הקובע-תקציבית</v>
          </cell>
        </row>
        <row r="5224">
          <cell r="A5224">
            <v>1815780118</v>
          </cell>
          <cell r="B5224" t="str">
            <v>שכר הוראה</v>
          </cell>
        </row>
        <row r="5225">
          <cell r="A5225">
            <v>1815780119</v>
          </cell>
          <cell r="B5225" t="str">
            <v xml:space="preserve">השכר הקובע-צוברת  </v>
          </cell>
        </row>
        <row r="5226">
          <cell r="A5226">
            <v>1815780122</v>
          </cell>
          <cell r="B5226" t="str">
            <v xml:space="preserve">ביגוד             </v>
          </cell>
        </row>
        <row r="5227">
          <cell r="A5227">
            <v>1815780126</v>
          </cell>
          <cell r="B5227" t="str">
            <v xml:space="preserve">דמי הבראה         </v>
          </cell>
        </row>
        <row r="5228">
          <cell r="A5228">
            <v>1815780130</v>
          </cell>
          <cell r="B5228" t="str">
            <v xml:space="preserve">שעות נוספות       </v>
          </cell>
        </row>
        <row r="5229">
          <cell r="A5229">
            <v>1815780140</v>
          </cell>
          <cell r="B5229" t="str">
            <v>השתתפות באחזקת רכב</v>
          </cell>
        </row>
        <row r="5230">
          <cell r="A5230">
            <v>1815780212</v>
          </cell>
          <cell r="B5230" t="str">
            <v xml:space="preserve">שעורי עזר לעולים   </v>
          </cell>
        </row>
        <row r="5231">
          <cell r="A5231">
            <v>1815780213</v>
          </cell>
          <cell r="B5231" t="str">
            <v xml:space="preserve">שעורי עזר לנכים   </v>
          </cell>
        </row>
        <row r="5232">
          <cell r="A5232">
            <v>1815780215</v>
          </cell>
          <cell r="B5232" t="str">
            <v xml:space="preserve">שכר חוגים         </v>
          </cell>
        </row>
        <row r="5233">
          <cell r="A5233">
            <v>1815780217</v>
          </cell>
          <cell r="B5233" t="str">
            <v>תגבור יהדות</v>
          </cell>
        </row>
        <row r="5234">
          <cell r="A5234">
            <v>1815780250</v>
          </cell>
          <cell r="B5234" t="str">
            <v>שעות השאלה למשה"ח</v>
          </cell>
        </row>
        <row r="5235">
          <cell r="A5235">
            <v>1815780262</v>
          </cell>
          <cell r="B5235" t="str">
            <v xml:space="preserve">שאילת מורים       </v>
          </cell>
        </row>
        <row r="5236">
          <cell r="A5236">
            <v>1815780263</v>
          </cell>
          <cell r="B5236" t="str">
            <v xml:space="preserve">עובדי חברת מוסדות </v>
          </cell>
        </row>
        <row r="5237">
          <cell r="A5237">
            <v>1815780420</v>
          </cell>
          <cell r="B5237" t="str">
            <v xml:space="preserve">כיבוי אש          </v>
          </cell>
        </row>
        <row r="5238">
          <cell r="A5238">
            <v>1815780431</v>
          </cell>
          <cell r="B5238" t="str">
            <v xml:space="preserve">חשמל              </v>
          </cell>
        </row>
        <row r="5239">
          <cell r="A5239">
            <v>1815780432</v>
          </cell>
          <cell r="B5239" t="str">
            <v xml:space="preserve">מים               </v>
          </cell>
        </row>
        <row r="5240">
          <cell r="A5240">
            <v>1815780441</v>
          </cell>
          <cell r="B5240" t="str">
            <v xml:space="preserve">ביטוח             </v>
          </cell>
        </row>
        <row r="5241">
          <cell r="A5241">
            <v>1815780437</v>
          </cell>
          <cell r="B5241" t="str">
            <v>אחזקת אזעקה</v>
          </cell>
        </row>
        <row r="5242">
          <cell r="A5242">
            <v>1815780450</v>
          </cell>
          <cell r="B5242" t="str">
            <v xml:space="preserve">ריהוט ואחזקתו     </v>
          </cell>
        </row>
        <row r="5243">
          <cell r="A5243">
            <v>1815780471</v>
          </cell>
          <cell r="B5243" t="str">
            <v xml:space="preserve">מכשירי כתיבה      </v>
          </cell>
        </row>
        <row r="5244">
          <cell r="A5244">
            <v>1815780511</v>
          </cell>
          <cell r="B5244" t="str">
            <v xml:space="preserve">אירוח וכיבוד      </v>
          </cell>
        </row>
        <row r="5245">
          <cell r="A5245">
            <v>1815780512</v>
          </cell>
          <cell r="B5245" t="str">
            <v xml:space="preserve">נסיעות ואש"ל      </v>
          </cell>
        </row>
        <row r="5246">
          <cell r="A5246">
            <v>1815780517</v>
          </cell>
          <cell r="B5246" t="str">
            <v xml:space="preserve">מסיבות מפקדים ושי </v>
          </cell>
        </row>
        <row r="5247">
          <cell r="A5247">
            <v>1815780522</v>
          </cell>
          <cell r="B5247" t="str">
            <v xml:space="preserve">ספריות            </v>
          </cell>
        </row>
        <row r="5248">
          <cell r="A5248">
            <v>1815780530</v>
          </cell>
          <cell r="B5248" t="str">
            <v xml:space="preserve">אופניים לעובדים   </v>
          </cell>
        </row>
        <row r="5249">
          <cell r="A5249">
            <v>1815780540</v>
          </cell>
          <cell r="B5249" t="str">
            <v xml:space="preserve">הוצאות טלפון      </v>
          </cell>
        </row>
        <row r="5250">
          <cell r="A5250">
            <v>1815780583</v>
          </cell>
          <cell r="B5250" t="str">
            <v xml:space="preserve">שרות רפואי        </v>
          </cell>
        </row>
        <row r="5251">
          <cell r="A5251">
            <v>1815780585</v>
          </cell>
          <cell r="B5251" t="str">
            <v xml:space="preserve">שרות אחות         </v>
          </cell>
        </row>
        <row r="5252">
          <cell r="A5252">
            <v>1815780721</v>
          </cell>
          <cell r="B5252" t="str">
            <v>חמרים-תחזוקת מבנים</v>
          </cell>
        </row>
        <row r="5253">
          <cell r="A5253">
            <v>1815780722</v>
          </cell>
          <cell r="B5253" t="str">
            <v>חמרים לתחזוקה עצמית</v>
          </cell>
        </row>
        <row r="5254">
          <cell r="A5254">
            <v>1815780742</v>
          </cell>
          <cell r="B5254" t="str">
            <v xml:space="preserve">כלים וציוד        </v>
          </cell>
        </row>
        <row r="5255">
          <cell r="A5255">
            <v>1815780751</v>
          </cell>
          <cell r="B5255" t="str">
            <v xml:space="preserve">עבודות קבלניות    </v>
          </cell>
        </row>
        <row r="5256">
          <cell r="A5256">
            <v>1815780752</v>
          </cell>
          <cell r="B5256" t="str">
            <v xml:space="preserve">נקיון בקבלנות     </v>
          </cell>
        </row>
        <row r="5257">
          <cell r="A5257">
            <v>1815780759</v>
          </cell>
          <cell r="B5257" t="str">
            <v>שרותי סייעות</v>
          </cell>
        </row>
        <row r="5258">
          <cell r="A5258">
            <v>1815780762</v>
          </cell>
          <cell r="B5258" t="str">
            <v xml:space="preserve">שאילת מורים       </v>
          </cell>
        </row>
        <row r="5259">
          <cell r="A5259">
            <v>1815780763</v>
          </cell>
          <cell r="B5259" t="str">
            <v xml:space="preserve">עובדי חברת מוסדות </v>
          </cell>
        </row>
        <row r="5260">
          <cell r="A5260">
            <v>1815780780</v>
          </cell>
          <cell r="B5260" t="str">
            <v xml:space="preserve">חינוך חברתי       </v>
          </cell>
        </row>
        <row r="5261">
          <cell r="A5261">
            <v>1815780781</v>
          </cell>
          <cell r="B5261" t="str">
            <v>ישיבת בני עקיבא</v>
          </cell>
          <cell r="C5261">
            <v>632000</v>
          </cell>
        </row>
        <row r="5262">
          <cell r="A5262">
            <v>1815780783</v>
          </cell>
          <cell r="B5262" t="str">
            <v>תיגבור יהדות (מהכנסות)</v>
          </cell>
        </row>
        <row r="5263">
          <cell r="A5263">
            <v>1815780784</v>
          </cell>
          <cell r="B5263" t="str">
            <v>חוגים  תורניים</v>
          </cell>
        </row>
        <row r="5264">
          <cell r="A5264">
            <v>1815780810</v>
          </cell>
          <cell r="B5264" t="str">
            <v>הקצבה לניהול עצמי</v>
          </cell>
        </row>
        <row r="5265">
          <cell r="A5265">
            <v>1815780811</v>
          </cell>
          <cell r="B5265" t="str">
            <v xml:space="preserve">הפעלת ביה"ס       </v>
          </cell>
        </row>
        <row r="5266">
          <cell r="A5266">
            <v>1815780961</v>
          </cell>
          <cell r="B5266" t="str">
            <v>רז' פעולות ורכישות</v>
          </cell>
        </row>
        <row r="5267">
          <cell r="A5267" t="str">
            <v>#VALUE!</v>
          </cell>
          <cell r="B5267" t="str">
            <v xml:space="preserve">תיכון כרם שלמה    </v>
          </cell>
        </row>
        <row r="5268">
          <cell r="A5268">
            <v>18157900</v>
          </cell>
          <cell r="B5268" t="str">
            <v>תיכון דמוקרטי (יחד)</v>
          </cell>
        </row>
        <row r="5269">
          <cell r="A5269">
            <v>1815790110</v>
          </cell>
          <cell r="B5269" t="str">
            <v>השכר הקובע-תקציבית</v>
          </cell>
        </row>
        <row r="5270">
          <cell r="A5270">
            <v>1815790118</v>
          </cell>
          <cell r="B5270" t="str">
            <v>שכר הוראה</v>
          </cell>
        </row>
        <row r="5271">
          <cell r="A5271">
            <v>1815790119</v>
          </cell>
          <cell r="B5271" t="str">
            <v xml:space="preserve">השכר הקובע-צוברת  </v>
          </cell>
          <cell r="C5271">
            <v>172800</v>
          </cell>
        </row>
        <row r="5272">
          <cell r="A5272">
            <v>1815790122</v>
          </cell>
          <cell r="B5272" t="str">
            <v xml:space="preserve">ביגוד             </v>
          </cell>
          <cell r="C5272">
            <v>1000</v>
          </cell>
        </row>
        <row r="5273">
          <cell r="A5273">
            <v>1815790126</v>
          </cell>
          <cell r="B5273" t="str">
            <v xml:space="preserve">דמי הבראה         </v>
          </cell>
        </row>
        <row r="5274">
          <cell r="A5274">
            <v>1815790130</v>
          </cell>
          <cell r="B5274" t="str">
            <v xml:space="preserve">שעות נוספות       </v>
          </cell>
        </row>
        <row r="5275">
          <cell r="A5275">
            <v>1815790140</v>
          </cell>
          <cell r="B5275" t="str">
            <v>השתתפות באחזקת רכב</v>
          </cell>
        </row>
        <row r="5276">
          <cell r="A5276">
            <v>1815790250</v>
          </cell>
          <cell r="B5276" t="str">
            <v>שעות השאלה למשה"ח</v>
          </cell>
        </row>
        <row r="5277">
          <cell r="A5277">
            <v>1815790262</v>
          </cell>
          <cell r="B5277" t="str">
            <v xml:space="preserve">שאילת מורים       </v>
          </cell>
        </row>
        <row r="5278">
          <cell r="A5278">
            <v>1815790263</v>
          </cell>
          <cell r="B5278" t="str">
            <v xml:space="preserve">עובדי חברת מוסדות </v>
          </cell>
        </row>
        <row r="5279">
          <cell r="A5279">
            <v>1815790431</v>
          </cell>
          <cell r="B5279" t="str">
            <v xml:space="preserve">חשמל              </v>
          </cell>
        </row>
        <row r="5280">
          <cell r="A5280">
            <v>1815790437</v>
          </cell>
          <cell r="B5280" t="str">
            <v>אחזקת אזעקה</v>
          </cell>
        </row>
        <row r="5281">
          <cell r="A5281">
            <v>1815790441</v>
          </cell>
          <cell r="B5281" t="str">
            <v xml:space="preserve">ביטוח             </v>
          </cell>
        </row>
        <row r="5282">
          <cell r="A5282">
            <v>1815790583</v>
          </cell>
          <cell r="B5282" t="str">
            <v xml:space="preserve">שרות רפואי         </v>
          </cell>
        </row>
        <row r="5283">
          <cell r="A5283">
            <v>1815790585</v>
          </cell>
          <cell r="B5283" t="str">
            <v xml:space="preserve">שרות אחות         </v>
          </cell>
        </row>
        <row r="5284">
          <cell r="A5284">
            <v>1815790721</v>
          </cell>
          <cell r="B5284" t="str">
            <v>חמרים-תחזוקת מבנים</v>
          </cell>
        </row>
        <row r="5285">
          <cell r="A5285">
            <v>1815790751</v>
          </cell>
          <cell r="B5285" t="str">
            <v xml:space="preserve">עבודות קבלניות    </v>
          </cell>
        </row>
        <row r="5286">
          <cell r="A5286">
            <v>1815790752</v>
          </cell>
          <cell r="B5286" t="str">
            <v xml:space="preserve">נקיון בקבלנות     </v>
          </cell>
        </row>
        <row r="5287">
          <cell r="A5287">
            <v>1815790759</v>
          </cell>
          <cell r="B5287" t="str">
            <v>מ"מ תיכוניים</v>
          </cell>
        </row>
        <row r="5288">
          <cell r="A5288">
            <v>1815790762</v>
          </cell>
          <cell r="B5288" t="str">
            <v xml:space="preserve">שאילת מורים       </v>
          </cell>
        </row>
        <row r="5289">
          <cell r="A5289">
            <v>1815790763</v>
          </cell>
          <cell r="B5289" t="str">
            <v xml:space="preserve">עובדי חברת מוסדות </v>
          </cell>
        </row>
        <row r="5290">
          <cell r="A5290">
            <v>1815790780</v>
          </cell>
          <cell r="B5290" t="str">
            <v xml:space="preserve">חינוך חברתי       </v>
          </cell>
        </row>
        <row r="5291">
          <cell r="A5291">
            <v>1815790810</v>
          </cell>
          <cell r="B5291" t="str">
            <v>השתת' בהפעלת ביה"ס</v>
          </cell>
        </row>
        <row r="5292">
          <cell r="A5292">
            <v>1815790811</v>
          </cell>
          <cell r="B5292" t="str">
            <v>הפעלת  ביה"ס</v>
          </cell>
        </row>
        <row r="5293">
          <cell r="A5293">
            <v>1815790812</v>
          </cell>
          <cell r="B5293" t="str">
            <v>מסיבות כיתתיות</v>
          </cell>
        </row>
        <row r="5294">
          <cell r="A5294">
            <v>1815790838</v>
          </cell>
          <cell r="B5294" t="str">
            <v>תכנית לאומית-קידום אנגלית</v>
          </cell>
        </row>
        <row r="5295">
          <cell r="A5295">
            <v>1815790911</v>
          </cell>
          <cell r="B5295" t="str">
            <v>פעילות חוויתית יהדות</v>
          </cell>
        </row>
        <row r="5296">
          <cell r="A5296" t="str">
            <v>#VALUE!</v>
          </cell>
          <cell r="B5296" t="str">
            <v>תיכון דמוקרטי (יחד)</v>
          </cell>
        </row>
        <row r="5297">
          <cell r="A5297">
            <v>18158000</v>
          </cell>
          <cell r="B5297" t="str">
            <v>בי"ס תיכון עתידים</v>
          </cell>
        </row>
        <row r="5298">
          <cell r="A5298">
            <v>1815800110</v>
          </cell>
          <cell r="B5298" t="str">
            <v>השכר הקובע-תקציבית</v>
          </cell>
          <cell r="C5298">
            <v>246000</v>
          </cell>
        </row>
        <row r="5299">
          <cell r="A5299">
            <v>1815800118</v>
          </cell>
          <cell r="B5299" t="str">
            <v xml:space="preserve">שכר עובדי הוראה   </v>
          </cell>
          <cell r="C5299">
            <v>16433600</v>
          </cell>
        </row>
        <row r="5300">
          <cell r="A5300">
            <v>1815800119</v>
          </cell>
          <cell r="B5300" t="str">
            <v xml:space="preserve">השכר הקובע-צוברת  </v>
          </cell>
          <cell r="C5300">
            <v>1261500</v>
          </cell>
        </row>
        <row r="5301">
          <cell r="A5301">
            <v>1815800122</v>
          </cell>
          <cell r="B5301" t="str">
            <v xml:space="preserve">ביגוד             </v>
          </cell>
          <cell r="C5301">
            <v>144000</v>
          </cell>
        </row>
        <row r="5302">
          <cell r="A5302">
            <v>1815800126</v>
          </cell>
          <cell r="B5302" t="str">
            <v xml:space="preserve">דמי הבראה         </v>
          </cell>
          <cell r="C5302">
            <v>295100</v>
          </cell>
        </row>
        <row r="5303">
          <cell r="A5303">
            <v>1815800130</v>
          </cell>
          <cell r="B5303" t="str">
            <v xml:space="preserve">שעות נוספות       </v>
          </cell>
          <cell r="C5303">
            <v>12000</v>
          </cell>
        </row>
        <row r="5304">
          <cell r="A5304">
            <v>1815800140</v>
          </cell>
          <cell r="B5304" t="str">
            <v>השתתפות באחזקת רכב</v>
          </cell>
          <cell r="C5304">
            <v>56000</v>
          </cell>
        </row>
        <row r="5305">
          <cell r="A5305">
            <v>1815800210</v>
          </cell>
          <cell r="B5305" t="str">
            <v>השכר הקובע</v>
          </cell>
        </row>
        <row r="5306">
          <cell r="A5306">
            <v>1815800212</v>
          </cell>
          <cell r="B5306" t="str">
            <v xml:space="preserve">שעורי עזר לעולים  </v>
          </cell>
        </row>
        <row r="5307">
          <cell r="A5307">
            <v>1815800213</v>
          </cell>
          <cell r="B5307" t="str">
            <v xml:space="preserve">שעורי עזר לנכים   </v>
          </cell>
        </row>
        <row r="5308">
          <cell r="A5308">
            <v>1815800214</v>
          </cell>
          <cell r="B5308" t="str">
            <v>שעורי עזר לתלמידים</v>
          </cell>
        </row>
        <row r="5309">
          <cell r="A5309">
            <v>1815800215</v>
          </cell>
          <cell r="B5309" t="str">
            <v>קייטנת קיץ בחט"ב ובתיכוניים</v>
          </cell>
        </row>
        <row r="5310">
          <cell r="A5310">
            <v>1815800216</v>
          </cell>
          <cell r="B5310" t="str">
            <v>פרוייקט גימלאים</v>
          </cell>
          <cell r="C5310">
            <v>30000</v>
          </cell>
        </row>
        <row r="5311">
          <cell r="A5311">
            <v>1815800250</v>
          </cell>
          <cell r="B5311" t="str">
            <v>שעות השאלה למשה"ח</v>
          </cell>
          <cell r="C5311">
            <v>473600</v>
          </cell>
        </row>
        <row r="5312">
          <cell r="A5312">
            <v>1815800261</v>
          </cell>
          <cell r="B5312" t="str">
            <v>תכנית גי"א / מש"ב</v>
          </cell>
        </row>
        <row r="5313">
          <cell r="A5313">
            <v>1815800263</v>
          </cell>
          <cell r="B5313" t="str">
            <v>עובדי מינהלה</v>
          </cell>
        </row>
        <row r="5314">
          <cell r="A5314">
            <v>1815800264</v>
          </cell>
          <cell r="B5314" t="str">
            <v>סייעות-מוסדות+חברה</v>
          </cell>
        </row>
        <row r="5315">
          <cell r="A5315">
            <v>1815800350</v>
          </cell>
          <cell r="B5315" t="str">
            <v>ליסינג- 320-65-103</v>
          </cell>
          <cell r="C5315">
            <v>51000</v>
          </cell>
        </row>
        <row r="5316">
          <cell r="A5316">
            <v>1815800351</v>
          </cell>
          <cell r="B5316" t="str">
            <v>הוצאות- 320-65-103</v>
          </cell>
          <cell r="C5316">
            <v>25400</v>
          </cell>
        </row>
        <row r="5317">
          <cell r="A5317">
            <v>1815800410</v>
          </cell>
          <cell r="B5317" t="str">
            <v>השכרת אולם הפועל חולון</v>
          </cell>
        </row>
        <row r="5318">
          <cell r="A5318">
            <v>1815800420</v>
          </cell>
          <cell r="B5318" t="str">
            <v xml:space="preserve">כיבוי אש          </v>
          </cell>
          <cell r="C5318">
            <v>8000</v>
          </cell>
        </row>
        <row r="5319">
          <cell r="A5319">
            <v>1815800423</v>
          </cell>
          <cell r="B5319" t="str">
            <v xml:space="preserve">תחזוקת מבנה       </v>
          </cell>
        </row>
        <row r="5320">
          <cell r="A5320">
            <v>1815800431</v>
          </cell>
          <cell r="B5320" t="str">
            <v xml:space="preserve">חשמל              </v>
          </cell>
          <cell r="C5320">
            <v>142900</v>
          </cell>
        </row>
        <row r="5321">
          <cell r="A5321">
            <v>1815800432</v>
          </cell>
          <cell r="B5321" t="str">
            <v xml:space="preserve">מים               </v>
          </cell>
        </row>
        <row r="5322">
          <cell r="A5322">
            <v>1815800433</v>
          </cell>
          <cell r="B5322" t="str">
            <v xml:space="preserve">חומרי נקיון       </v>
          </cell>
        </row>
        <row r="5323">
          <cell r="A5323">
            <v>1815800434</v>
          </cell>
          <cell r="B5323" t="str">
            <v xml:space="preserve">חיטוי והדברה      </v>
          </cell>
        </row>
        <row r="5324">
          <cell r="A5324">
            <v>1815800437</v>
          </cell>
          <cell r="B5324" t="str">
            <v>אחזקת אזעקה</v>
          </cell>
          <cell r="C5324">
            <v>1300</v>
          </cell>
        </row>
        <row r="5325">
          <cell r="A5325">
            <v>1815800441</v>
          </cell>
          <cell r="B5325" t="str">
            <v xml:space="preserve">ביטוח             </v>
          </cell>
        </row>
        <row r="5326">
          <cell r="A5326">
            <v>1815800450</v>
          </cell>
          <cell r="B5326" t="str">
            <v xml:space="preserve">ריהוט ואחזקתו     </v>
          </cell>
          <cell r="C5326">
            <v>18000</v>
          </cell>
        </row>
        <row r="5327">
          <cell r="A5327">
            <v>1815800470</v>
          </cell>
          <cell r="B5327" t="str">
            <v xml:space="preserve">אחזקת מכונות משרד </v>
          </cell>
        </row>
        <row r="5328">
          <cell r="A5328">
            <v>1815800471</v>
          </cell>
          <cell r="B5328" t="str">
            <v xml:space="preserve">מכשירי כתיבה      </v>
          </cell>
        </row>
        <row r="5329">
          <cell r="A5329">
            <v>1815800511</v>
          </cell>
          <cell r="B5329" t="str">
            <v xml:space="preserve">אירוח וכיבוד      </v>
          </cell>
          <cell r="C5329">
            <v>10500</v>
          </cell>
        </row>
        <row r="5330">
          <cell r="A5330">
            <v>1815800512</v>
          </cell>
          <cell r="B5330" t="str">
            <v xml:space="preserve">נסיעות ואש"ל      </v>
          </cell>
        </row>
        <row r="5331">
          <cell r="A5331">
            <v>1815800517</v>
          </cell>
          <cell r="B5331" t="str">
            <v xml:space="preserve">מסיבות מפקדים ושי </v>
          </cell>
        </row>
        <row r="5332">
          <cell r="A5332">
            <v>1815800522</v>
          </cell>
          <cell r="B5332" t="str">
            <v xml:space="preserve">ספרים ועיתונים    </v>
          </cell>
        </row>
        <row r="5333">
          <cell r="A5333">
            <v>1815800530</v>
          </cell>
          <cell r="B5333" t="str">
            <v xml:space="preserve">אופניים לעובדים   </v>
          </cell>
        </row>
        <row r="5334">
          <cell r="A5334">
            <v>1815800540</v>
          </cell>
          <cell r="B5334" t="str">
            <v xml:space="preserve">הוצאות טלפון      </v>
          </cell>
        </row>
        <row r="5335">
          <cell r="A5335">
            <v>1815800544</v>
          </cell>
          <cell r="B5335" t="str">
            <v xml:space="preserve">הוצאות דאר        </v>
          </cell>
        </row>
        <row r="5336">
          <cell r="A5336">
            <v>1815800562</v>
          </cell>
          <cell r="B5336" t="str">
            <v xml:space="preserve">הדפסות            </v>
          </cell>
        </row>
        <row r="5337">
          <cell r="A5337">
            <v>1815800583</v>
          </cell>
          <cell r="B5337" t="str">
            <v>שרות רפואי</v>
          </cell>
        </row>
        <row r="5338">
          <cell r="A5338">
            <v>1815800585</v>
          </cell>
          <cell r="B5338" t="str">
            <v xml:space="preserve">שרות אחות         </v>
          </cell>
        </row>
        <row r="5339">
          <cell r="A5339">
            <v>1815800721</v>
          </cell>
          <cell r="B5339" t="str">
            <v>חמרים-תחזוקת מבנים</v>
          </cell>
        </row>
        <row r="5340">
          <cell r="A5340">
            <v>1815800722</v>
          </cell>
          <cell r="B5340" t="str">
            <v>חמרים-תחזוקה עצמית</v>
          </cell>
        </row>
        <row r="5341">
          <cell r="A5341">
            <v>1815800724</v>
          </cell>
          <cell r="B5341" t="str">
            <v>ציוד למגמות</v>
          </cell>
        </row>
        <row r="5342">
          <cell r="A5342">
            <v>1815800742</v>
          </cell>
          <cell r="B5342" t="str">
            <v xml:space="preserve">כלים וציוד        </v>
          </cell>
          <cell r="C5342">
            <v>20500</v>
          </cell>
        </row>
        <row r="5343">
          <cell r="A5343">
            <v>1815800745</v>
          </cell>
          <cell r="B5343" t="str">
            <v>דמי פריצה - ציוד</v>
          </cell>
        </row>
        <row r="5344">
          <cell r="A5344">
            <v>1815800746</v>
          </cell>
          <cell r="B5344" t="str">
            <v xml:space="preserve">דמי פריצה - מבנה  </v>
          </cell>
        </row>
        <row r="5345">
          <cell r="A5345">
            <v>1815800750</v>
          </cell>
          <cell r="B5345" t="str">
            <v>אחזקת מוסדות</v>
          </cell>
          <cell r="C5345">
            <v>300000</v>
          </cell>
        </row>
        <row r="5346">
          <cell r="A5346">
            <v>1815800751</v>
          </cell>
          <cell r="B5346" t="str">
            <v xml:space="preserve">עבודות קבלניות    </v>
          </cell>
          <cell r="C5346">
            <v>8000</v>
          </cell>
        </row>
        <row r="5347">
          <cell r="A5347">
            <v>1815800752</v>
          </cell>
          <cell r="B5347" t="str">
            <v xml:space="preserve">נקיון בקבלנות     </v>
          </cell>
          <cell r="C5347">
            <v>495000</v>
          </cell>
        </row>
        <row r="5348">
          <cell r="A5348">
            <v>1815800753</v>
          </cell>
          <cell r="B5348" t="str">
            <v xml:space="preserve">עובדים חיצוניים   </v>
          </cell>
        </row>
        <row r="5349">
          <cell r="A5349">
            <v>1815800755</v>
          </cell>
          <cell r="B5349" t="str">
            <v>אחות</v>
          </cell>
        </row>
        <row r="5350">
          <cell r="A5350">
            <v>1815800759</v>
          </cell>
          <cell r="B5350" t="str">
            <v>שרותי סייעות</v>
          </cell>
          <cell r="C5350">
            <v>168000</v>
          </cell>
        </row>
        <row r="5351">
          <cell r="A5351">
            <v>1815800762</v>
          </cell>
          <cell r="B5351" t="str">
            <v>שעות שאילה - משה"ח</v>
          </cell>
          <cell r="C5351">
            <v>276400</v>
          </cell>
        </row>
        <row r="5352">
          <cell r="A5352">
            <v>1815800763</v>
          </cell>
          <cell r="B5352" t="str">
            <v>עובדי מינהלה</v>
          </cell>
        </row>
        <row r="5353">
          <cell r="A5353">
            <v>1815800764</v>
          </cell>
          <cell r="B5353" t="str">
            <v>סייעות-מוסדות+חברה</v>
          </cell>
        </row>
        <row r="5354">
          <cell r="A5354">
            <v>1815800765</v>
          </cell>
          <cell r="B5354" t="str">
            <v xml:space="preserve">רכז חברתי - חט"ב  </v>
          </cell>
        </row>
        <row r="5355">
          <cell r="A5355">
            <v>1815800780</v>
          </cell>
          <cell r="B5355" t="str">
            <v xml:space="preserve">חינוך חברתי       </v>
          </cell>
          <cell r="C5355">
            <v>15500</v>
          </cell>
        </row>
        <row r="5356">
          <cell r="A5356">
            <v>1815800781</v>
          </cell>
          <cell r="B5356" t="str">
            <v>אחזקת מכשירים</v>
          </cell>
        </row>
        <row r="5357">
          <cell r="A5357">
            <v>1815800783</v>
          </cell>
          <cell r="B5357" t="str">
            <v>תיגבור לימודי יהדות</v>
          </cell>
        </row>
        <row r="5358">
          <cell r="A5358">
            <v>1815800794</v>
          </cell>
          <cell r="B5358" t="str">
            <v xml:space="preserve">השתתפות בעזר 094  </v>
          </cell>
        </row>
        <row r="5359">
          <cell r="A5359">
            <v>1815800810</v>
          </cell>
          <cell r="B5359" t="str">
            <v>הקצבה לניהול עצמי</v>
          </cell>
          <cell r="C5359">
            <v>109200</v>
          </cell>
        </row>
        <row r="5360">
          <cell r="A5360">
            <v>1815800812</v>
          </cell>
          <cell r="B5360" t="str">
            <v>מסיבות כיתתיות</v>
          </cell>
          <cell r="C5360">
            <v>20000</v>
          </cell>
        </row>
        <row r="5361">
          <cell r="A5361">
            <v>1815800816</v>
          </cell>
          <cell r="B5361" t="str">
            <v>חט"ב - הכלה והשתלבות</v>
          </cell>
        </row>
        <row r="5362">
          <cell r="A5362">
            <v>1815800838</v>
          </cell>
          <cell r="B5362" t="str">
            <v>תכנית לאומית-קידום אנגלית</v>
          </cell>
        </row>
        <row r="5363">
          <cell r="A5363">
            <v>1815800911</v>
          </cell>
          <cell r="B5363" t="str">
            <v>פעילות חוויתית יהדות</v>
          </cell>
        </row>
        <row r="5364">
          <cell r="A5364">
            <v>1815800953</v>
          </cell>
          <cell r="B5364" t="str">
            <v>מערכת גפ"ן</v>
          </cell>
        </row>
        <row r="5365">
          <cell r="A5365">
            <v>1815800961</v>
          </cell>
          <cell r="B5365" t="str">
            <v>רז'  לפעולות+רכישות</v>
          </cell>
        </row>
        <row r="5366">
          <cell r="A5366">
            <v>1815800989</v>
          </cell>
          <cell r="B5366" t="str">
            <v>תקורה</v>
          </cell>
        </row>
        <row r="5367">
          <cell r="A5367" t="str">
            <v>#VALUE!</v>
          </cell>
          <cell r="B5367" t="str">
            <v>בי"ס תיכון עתידים</v>
          </cell>
        </row>
        <row r="5368">
          <cell r="A5368">
            <v>18158100</v>
          </cell>
          <cell r="B5368" t="str">
            <v>תיכון הייטק - היי</v>
          </cell>
        </row>
        <row r="5369">
          <cell r="A5369">
            <v>1815810118</v>
          </cell>
          <cell r="B5369" t="str">
            <v xml:space="preserve">שכר עובדי הוראה   </v>
          </cell>
          <cell r="C5369">
            <v>13738800</v>
          </cell>
        </row>
        <row r="5370">
          <cell r="A5370">
            <v>1815810119</v>
          </cell>
          <cell r="B5370" t="str">
            <v xml:space="preserve">השכר הקובע-צוברת  </v>
          </cell>
          <cell r="C5370">
            <v>780200</v>
          </cell>
        </row>
        <row r="5371">
          <cell r="A5371">
            <v>1815810122</v>
          </cell>
          <cell r="B5371" t="str">
            <v xml:space="preserve">ביגוד             </v>
          </cell>
          <cell r="C5371">
            <v>116000</v>
          </cell>
        </row>
        <row r="5372">
          <cell r="A5372">
            <v>1815810126</v>
          </cell>
          <cell r="B5372" t="str">
            <v xml:space="preserve">דמי הבראה         </v>
          </cell>
          <cell r="C5372">
            <v>225000</v>
          </cell>
        </row>
        <row r="5373">
          <cell r="A5373">
            <v>1815810140</v>
          </cell>
          <cell r="B5373" t="str">
            <v>השתתפות באחזקת רכב</v>
          </cell>
          <cell r="C5373">
            <v>79800</v>
          </cell>
        </row>
        <row r="5374">
          <cell r="A5374">
            <v>1815810210</v>
          </cell>
          <cell r="B5374" t="str">
            <v>השכר הקובע</v>
          </cell>
        </row>
        <row r="5375">
          <cell r="A5375">
            <v>1815810214</v>
          </cell>
          <cell r="B5375" t="str">
            <v>שעורי עזר לתלמידים</v>
          </cell>
        </row>
        <row r="5376">
          <cell r="A5376">
            <v>1815810215</v>
          </cell>
          <cell r="B5376" t="str">
            <v>קייטנת קיץ בחט"ב ובתיכוניים</v>
          </cell>
        </row>
        <row r="5377">
          <cell r="A5377">
            <v>1815810216</v>
          </cell>
          <cell r="B5377" t="str">
            <v>פרויקט גימלאים</v>
          </cell>
        </row>
        <row r="5378">
          <cell r="A5378">
            <v>1815810250</v>
          </cell>
          <cell r="B5378" t="str">
            <v>שעות השאלה למשה"ח</v>
          </cell>
        </row>
        <row r="5379">
          <cell r="A5379">
            <v>1815810261</v>
          </cell>
          <cell r="B5379" t="str">
            <v>תכנית גי"א / מש"ב</v>
          </cell>
        </row>
        <row r="5380">
          <cell r="A5380">
            <v>1815810263</v>
          </cell>
          <cell r="B5380" t="str">
            <v>עובדי מינהלה</v>
          </cell>
        </row>
        <row r="5381">
          <cell r="A5381">
            <v>1815810420</v>
          </cell>
          <cell r="B5381" t="str">
            <v xml:space="preserve">כיבוי אש          </v>
          </cell>
          <cell r="C5381">
            <v>7000</v>
          </cell>
        </row>
        <row r="5382">
          <cell r="A5382">
            <v>1815810431</v>
          </cell>
          <cell r="B5382" t="str">
            <v xml:space="preserve">חשמל              </v>
          </cell>
          <cell r="C5382">
            <v>84200</v>
          </cell>
        </row>
        <row r="5383">
          <cell r="A5383">
            <v>1815810432</v>
          </cell>
          <cell r="B5383" t="str">
            <v xml:space="preserve">מים               </v>
          </cell>
        </row>
        <row r="5384">
          <cell r="A5384">
            <v>1815810437</v>
          </cell>
          <cell r="B5384" t="str">
            <v>אחזקת אזעקה</v>
          </cell>
          <cell r="C5384">
            <v>5000</v>
          </cell>
        </row>
        <row r="5385">
          <cell r="A5385">
            <v>1815810450</v>
          </cell>
          <cell r="B5385" t="str">
            <v xml:space="preserve">ריהוט ואחזקתו     </v>
          </cell>
          <cell r="C5385">
            <v>15400</v>
          </cell>
        </row>
        <row r="5386">
          <cell r="A5386">
            <v>1815810511</v>
          </cell>
          <cell r="B5386" t="str">
            <v xml:space="preserve">אירוח וכיבוד      </v>
          </cell>
          <cell r="C5386">
            <v>12500</v>
          </cell>
        </row>
        <row r="5387">
          <cell r="A5387">
            <v>1815810583</v>
          </cell>
          <cell r="B5387" t="str">
            <v>שרות רפואי</v>
          </cell>
        </row>
        <row r="5388">
          <cell r="A5388">
            <v>1815810585</v>
          </cell>
          <cell r="B5388" t="str">
            <v xml:space="preserve">שרות אחות         </v>
          </cell>
        </row>
        <row r="5389">
          <cell r="A5389">
            <v>1815810742</v>
          </cell>
          <cell r="B5389" t="str">
            <v xml:space="preserve">כלים וציוד        </v>
          </cell>
          <cell r="C5389">
            <v>5000</v>
          </cell>
        </row>
        <row r="5390">
          <cell r="A5390">
            <v>1815810750</v>
          </cell>
          <cell r="B5390" t="str">
            <v>אחזקת מוסדות</v>
          </cell>
          <cell r="C5390">
            <v>400000</v>
          </cell>
        </row>
        <row r="5391">
          <cell r="A5391">
            <v>1815810752</v>
          </cell>
          <cell r="B5391" t="str">
            <v xml:space="preserve">נקיון בקבלנות     </v>
          </cell>
          <cell r="C5391">
            <v>867500</v>
          </cell>
        </row>
        <row r="5392">
          <cell r="A5392">
            <v>1815810759</v>
          </cell>
          <cell r="B5392" t="str">
            <v>שרותי סייעות</v>
          </cell>
          <cell r="C5392">
            <v>2520000</v>
          </cell>
        </row>
        <row r="5393">
          <cell r="A5393">
            <v>1815810762</v>
          </cell>
          <cell r="B5393" t="str">
            <v xml:space="preserve">שאילת מורים       </v>
          </cell>
          <cell r="C5393">
            <v>76000</v>
          </cell>
        </row>
        <row r="5394">
          <cell r="A5394">
            <v>1815810780</v>
          </cell>
          <cell r="B5394" t="str">
            <v xml:space="preserve">חינוך חברתי       </v>
          </cell>
          <cell r="C5394">
            <v>12000</v>
          </cell>
        </row>
        <row r="5395">
          <cell r="A5395">
            <v>1815810781</v>
          </cell>
          <cell r="B5395" t="str">
            <v xml:space="preserve">הפעלת ביה"ס       </v>
          </cell>
        </row>
        <row r="5396">
          <cell r="A5396">
            <v>1815810810</v>
          </cell>
          <cell r="B5396" t="str">
            <v>הקצבה לניהול עצמי</v>
          </cell>
          <cell r="C5396">
            <v>92000</v>
          </cell>
        </row>
        <row r="5397">
          <cell r="A5397">
            <v>1815810812</v>
          </cell>
          <cell r="B5397" t="str">
            <v>מסיבות כיתתיות</v>
          </cell>
          <cell r="C5397">
            <v>12500</v>
          </cell>
        </row>
        <row r="5398">
          <cell r="A5398">
            <v>1815810816</v>
          </cell>
          <cell r="B5398" t="str">
            <v>חט"ב - הכלה והשתלבות</v>
          </cell>
        </row>
        <row r="5399">
          <cell r="A5399">
            <v>1815810838</v>
          </cell>
          <cell r="B5399" t="str">
            <v>תכנית לאומית-קידום אנגלית</v>
          </cell>
        </row>
        <row r="5400">
          <cell r="A5400">
            <v>1815810953</v>
          </cell>
          <cell r="B5400" t="str">
            <v>מערכת גפ"ן</v>
          </cell>
        </row>
        <row r="5401">
          <cell r="A5401">
            <v>1815810911</v>
          </cell>
          <cell r="B5401" t="str">
            <v>פעילות חוויתית יהדות</v>
          </cell>
        </row>
        <row r="5402">
          <cell r="A5402">
            <v>1815810989</v>
          </cell>
          <cell r="B5402" t="str">
            <v>תקורה</v>
          </cell>
        </row>
        <row r="5403">
          <cell r="A5403" t="str">
            <v>#VALUE!</v>
          </cell>
          <cell r="B5403" t="str">
            <v>תיכון הייטק - היי</v>
          </cell>
        </row>
        <row r="5404">
          <cell r="A5404">
            <v>18158200</v>
          </cell>
          <cell r="B5404" t="str">
            <v>תיכון חרדי לווית  חן</v>
          </cell>
        </row>
        <row r="5405">
          <cell r="A5405">
            <v>1815820100</v>
          </cell>
          <cell r="B5405" t="str">
            <v>שכר עובדים לפי תקן</v>
          </cell>
        </row>
        <row r="5406">
          <cell r="A5406">
            <v>1815820118</v>
          </cell>
          <cell r="B5406" t="str">
            <v xml:space="preserve">שכר עובדי הוראה   </v>
          </cell>
          <cell r="C5406">
            <v>9829100</v>
          </cell>
        </row>
        <row r="5407">
          <cell r="A5407">
            <v>1815820119</v>
          </cell>
          <cell r="B5407" t="str">
            <v xml:space="preserve">השכר הקובע-צוברת  </v>
          </cell>
          <cell r="C5407">
            <v>241200</v>
          </cell>
        </row>
        <row r="5408">
          <cell r="A5408">
            <v>1815820122</v>
          </cell>
          <cell r="B5408" t="str">
            <v xml:space="preserve">ביגוד             </v>
          </cell>
          <cell r="C5408">
            <v>77000</v>
          </cell>
        </row>
        <row r="5409">
          <cell r="A5409">
            <v>1815820126</v>
          </cell>
          <cell r="B5409" t="str">
            <v xml:space="preserve">דמי הבראה         </v>
          </cell>
          <cell r="C5409">
            <v>155000</v>
          </cell>
        </row>
        <row r="5410">
          <cell r="A5410">
            <v>1815820130</v>
          </cell>
          <cell r="B5410" t="str">
            <v xml:space="preserve">שעות נוספות       </v>
          </cell>
        </row>
        <row r="5411">
          <cell r="A5411">
            <v>1815820140</v>
          </cell>
          <cell r="B5411" t="str">
            <v>השתתפות באחזקת רכב</v>
          </cell>
        </row>
        <row r="5412">
          <cell r="A5412">
            <v>1815820210</v>
          </cell>
          <cell r="B5412" t="str">
            <v>השכר הקובע</v>
          </cell>
        </row>
        <row r="5413">
          <cell r="A5413">
            <v>1815820212</v>
          </cell>
          <cell r="B5413" t="str">
            <v xml:space="preserve">שעורי עזר לעולים  </v>
          </cell>
        </row>
        <row r="5414">
          <cell r="A5414">
            <v>1815820213</v>
          </cell>
          <cell r="B5414" t="str">
            <v xml:space="preserve">שעורי עזר לנכים   </v>
          </cell>
        </row>
        <row r="5415">
          <cell r="A5415">
            <v>1815820214</v>
          </cell>
          <cell r="B5415" t="str">
            <v>שעורי עזר לתלמידים</v>
          </cell>
        </row>
        <row r="5416">
          <cell r="A5416">
            <v>1815820215</v>
          </cell>
          <cell r="B5416" t="str">
            <v>קייטנת קיץ בחט"ב ובתיכוניים</v>
          </cell>
        </row>
        <row r="5417">
          <cell r="A5417">
            <v>1815820216</v>
          </cell>
          <cell r="B5417" t="str">
            <v>פרויקט גימלאים</v>
          </cell>
        </row>
        <row r="5418">
          <cell r="A5418">
            <v>1815820261</v>
          </cell>
          <cell r="B5418" t="str">
            <v>תכנית גי"א / מש"ב</v>
          </cell>
        </row>
        <row r="5419">
          <cell r="A5419">
            <v>1815820263</v>
          </cell>
          <cell r="B5419" t="str">
            <v>עובדי חברה</v>
          </cell>
        </row>
        <row r="5420">
          <cell r="A5420">
            <v>1815820420</v>
          </cell>
          <cell r="B5420" t="str">
            <v xml:space="preserve">כיבוי אש          </v>
          </cell>
          <cell r="C5420">
            <v>2000</v>
          </cell>
        </row>
        <row r="5421">
          <cell r="A5421">
            <v>1815820423</v>
          </cell>
          <cell r="B5421" t="str">
            <v xml:space="preserve">תחזוקת מבנה       </v>
          </cell>
        </row>
        <row r="5422">
          <cell r="A5422">
            <v>1815820431</v>
          </cell>
          <cell r="B5422" t="str">
            <v xml:space="preserve">חשמל              </v>
          </cell>
          <cell r="C5422">
            <v>40000</v>
          </cell>
        </row>
        <row r="5423">
          <cell r="A5423">
            <v>1815820432</v>
          </cell>
          <cell r="B5423" t="str">
            <v xml:space="preserve">מים               </v>
          </cell>
        </row>
        <row r="5424">
          <cell r="A5424">
            <v>1815820437</v>
          </cell>
          <cell r="B5424" t="str">
            <v xml:space="preserve">אחזקת אזעקה       </v>
          </cell>
          <cell r="C5424">
            <v>1400</v>
          </cell>
        </row>
        <row r="5425">
          <cell r="A5425">
            <v>1815820450</v>
          </cell>
          <cell r="B5425" t="str">
            <v xml:space="preserve">ריהוט ואחזקתו     </v>
          </cell>
          <cell r="C5425">
            <v>7000</v>
          </cell>
        </row>
        <row r="5426">
          <cell r="A5426">
            <v>1815820500</v>
          </cell>
          <cell r="B5426" t="str">
            <v xml:space="preserve">הוצאות מינהליות   </v>
          </cell>
        </row>
        <row r="5427">
          <cell r="A5427">
            <v>1815820511</v>
          </cell>
          <cell r="B5427" t="str">
            <v xml:space="preserve">אירוח וכיבוד      </v>
          </cell>
          <cell r="C5427">
            <v>5000</v>
          </cell>
        </row>
        <row r="5428">
          <cell r="A5428">
            <v>1815820530</v>
          </cell>
          <cell r="B5428" t="str">
            <v xml:space="preserve">אופניים לעובדים   </v>
          </cell>
        </row>
        <row r="5429">
          <cell r="A5429">
            <v>1815820583</v>
          </cell>
          <cell r="B5429" t="str">
            <v xml:space="preserve">שרות רפואי        </v>
          </cell>
        </row>
        <row r="5430">
          <cell r="A5430">
            <v>1815820585</v>
          </cell>
          <cell r="B5430" t="str">
            <v xml:space="preserve">שרות אחות         </v>
          </cell>
        </row>
        <row r="5431">
          <cell r="A5431">
            <v>1815820700</v>
          </cell>
          <cell r="B5431" t="str">
            <v xml:space="preserve">הוצאות לפעולות    </v>
          </cell>
        </row>
        <row r="5432">
          <cell r="A5432">
            <v>1815820721</v>
          </cell>
          <cell r="B5432" t="str">
            <v>חמרים-תחזוקת מבנים</v>
          </cell>
        </row>
        <row r="5433">
          <cell r="A5433">
            <v>1815820742</v>
          </cell>
          <cell r="B5433" t="str">
            <v xml:space="preserve">כלים וציוד        </v>
          </cell>
          <cell r="C5433">
            <v>64100</v>
          </cell>
        </row>
        <row r="5434">
          <cell r="A5434">
            <v>1815820750</v>
          </cell>
          <cell r="B5434" t="str">
            <v>אחזקת מוסדות</v>
          </cell>
          <cell r="C5434">
            <v>249000</v>
          </cell>
        </row>
        <row r="5435">
          <cell r="A5435">
            <v>1815820751</v>
          </cell>
          <cell r="B5435" t="str">
            <v xml:space="preserve">עבודות קבלניות    </v>
          </cell>
        </row>
        <row r="5436">
          <cell r="A5436">
            <v>1815820752</v>
          </cell>
          <cell r="B5436" t="str">
            <v xml:space="preserve">נקיון בקבלנות     </v>
          </cell>
          <cell r="C5436">
            <v>394000</v>
          </cell>
        </row>
        <row r="5437">
          <cell r="A5437">
            <v>1815820780</v>
          </cell>
          <cell r="B5437" t="str">
            <v xml:space="preserve">חינוך חברתי       </v>
          </cell>
          <cell r="C5437">
            <v>9500</v>
          </cell>
        </row>
        <row r="5438">
          <cell r="A5438">
            <v>1815820794</v>
          </cell>
          <cell r="B5438" t="str">
            <v xml:space="preserve">השתתפות בעזר 094  </v>
          </cell>
        </row>
        <row r="5439">
          <cell r="A5439">
            <v>1815820800</v>
          </cell>
          <cell r="B5439" t="str">
            <v>השת' תמיכות תרומות</v>
          </cell>
        </row>
        <row r="5440">
          <cell r="A5440">
            <v>1815820810</v>
          </cell>
          <cell r="B5440" t="str">
            <v>הקצבה לניהול עצמי</v>
          </cell>
          <cell r="C5440">
            <v>60400</v>
          </cell>
        </row>
        <row r="5441">
          <cell r="A5441">
            <v>1815820812</v>
          </cell>
          <cell r="B5441" t="str">
            <v>מסיבות כיתתיות</v>
          </cell>
          <cell r="C5441">
            <v>9000</v>
          </cell>
        </row>
        <row r="5442">
          <cell r="A5442">
            <v>1815820838</v>
          </cell>
          <cell r="B5442" t="str">
            <v>תכנית לאומית-קידום אנגלית</v>
          </cell>
        </row>
        <row r="5443">
          <cell r="A5443">
            <v>1815820911</v>
          </cell>
          <cell r="B5443" t="str">
            <v>פעילות חוויתית יהדות</v>
          </cell>
        </row>
        <row r="5444">
          <cell r="A5444">
            <v>1815820924</v>
          </cell>
          <cell r="B5444" t="str">
            <v>לימודי יהדות</v>
          </cell>
        </row>
        <row r="5445">
          <cell r="A5445">
            <v>1815820953</v>
          </cell>
          <cell r="B5445" t="str">
            <v>מערכת גפ"ן</v>
          </cell>
        </row>
        <row r="5446">
          <cell r="A5446">
            <v>1815820989</v>
          </cell>
          <cell r="B5446" t="str">
            <v xml:space="preserve">תקורה             </v>
          </cell>
        </row>
        <row r="5447">
          <cell r="A5447" t="str">
            <v>#VALUE!</v>
          </cell>
          <cell r="B5447" t="str">
            <v>תיכון חרדי לווית  חן</v>
          </cell>
        </row>
        <row r="5448">
          <cell r="A5448">
            <v>18158300</v>
          </cell>
          <cell r="B5448" t="str">
            <v>תיכון חנקין</v>
          </cell>
        </row>
        <row r="5449">
          <cell r="A5449">
            <v>1815830100</v>
          </cell>
          <cell r="B5449" t="str">
            <v>שכר עובדים לפי תקן</v>
          </cell>
        </row>
        <row r="5450">
          <cell r="A5450">
            <v>1815830118</v>
          </cell>
          <cell r="B5450" t="str">
            <v xml:space="preserve">שכר עובדי הוראה   </v>
          </cell>
        </row>
        <row r="5451">
          <cell r="A5451">
            <v>1815830119</v>
          </cell>
          <cell r="B5451" t="str">
            <v xml:space="preserve">השכר הקובע-צוברת  </v>
          </cell>
          <cell r="C5451">
            <v>395200</v>
          </cell>
        </row>
        <row r="5452">
          <cell r="A5452">
            <v>1815830122</v>
          </cell>
          <cell r="B5452" t="str">
            <v xml:space="preserve">ביגוד             </v>
          </cell>
          <cell r="C5452">
            <v>5000</v>
          </cell>
        </row>
        <row r="5453">
          <cell r="A5453">
            <v>1815830126</v>
          </cell>
          <cell r="B5453" t="str">
            <v xml:space="preserve">דמי הבראה         </v>
          </cell>
          <cell r="C5453">
            <v>17000</v>
          </cell>
        </row>
        <row r="5454">
          <cell r="A5454">
            <v>1815830140</v>
          </cell>
          <cell r="B5454" t="str">
            <v>השתתפות באחזקת רכב</v>
          </cell>
        </row>
        <row r="5455">
          <cell r="A5455">
            <v>1815830210</v>
          </cell>
          <cell r="B5455" t="str">
            <v>השכר הקובע</v>
          </cell>
        </row>
        <row r="5456">
          <cell r="A5456">
            <v>1815830215</v>
          </cell>
          <cell r="B5456" t="str">
            <v>שעורי עזר לתלמידים</v>
          </cell>
        </row>
        <row r="5457">
          <cell r="A5457">
            <v>1815830263</v>
          </cell>
          <cell r="B5457" t="str">
            <v>עובדי מנהלה</v>
          </cell>
        </row>
        <row r="5458">
          <cell r="A5458">
            <v>1815830420</v>
          </cell>
          <cell r="B5458" t="str">
            <v xml:space="preserve">כיבוי אש          </v>
          </cell>
          <cell r="C5458">
            <v>1000</v>
          </cell>
        </row>
        <row r="5459">
          <cell r="A5459">
            <v>1815830431</v>
          </cell>
          <cell r="B5459" t="str">
            <v xml:space="preserve">חשמל              </v>
          </cell>
          <cell r="C5459">
            <v>42500</v>
          </cell>
        </row>
        <row r="5460">
          <cell r="A5460">
            <v>1815830432</v>
          </cell>
          <cell r="B5460" t="str">
            <v xml:space="preserve">מים               </v>
          </cell>
          <cell r="C5460">
            <v>20000</v>
          </cell>
        </row>
        <row r="5461">
          <cell r="A5461">
            <v>1815830437</v>
          </cell>
          <cell r="B5461" t="str">
            <v xml:space="preserve">אחזקת אזעקה       </v>
          </cell>
        </row>
        <row r="5462">
          <cell r="A5462">
            <v>1815830450</v>
          </cell>
          <cell r="B5462" t="str">
            <v xml:space="preserve">ריהוט ואחזקתו     </v>
          </cell>
          <cell r="C5462">
            <v>9000</v>
          </cell>
        </row>
        <row r="5463">
          <cell r="A5463">
            <v>1815830511</v>
          </cell>
          <cell r="B5463" t="str">
            <v xml:space="preserve">אירוח וכיבוד      </v>
          </cell>
          <cell r="C5463">
            <v>2000</v>
          </cell>
        </row>
        <row r="5464">
          <cell r="A5464">
            <v>1815830742</v>
          </cell>
          <cell r="B5464" t="str">
            <v xml:space="preserve">כלים וציוד        </v>
          </cell>
        </row>
        <row r="5465">
          <cell r="A5465">
            <v>1815830750</v>
          </cell>
          <cell r="B5465" t="str">
            <v>אחזקת מוסדות</v>
          </cell>
          <cell r="C5465">
            <v>249000</v>
          </cell>
        </row>
        <row r="5466">
          <cell r="A5466">
            <v>1815830752</v>
          </cell>
          <cell r="B5466" t="str">
            <v xml:space="preserve">נקיון בקבלנות     </v>
          </cell>
          <cell r="C5466">
            <v>351200</v>
          </cell>
        </row>
        <row r="5467">
          <cell r="A5467">
            <v>1815830759</v>
          </cell>
          <cell r="B5467" t="str">
            <v>שרותי סייעות</v>
          </cell>
          <cell r="C5467">
            <v>747600</v>
          </cell>
        </row>
        <row r="5468">
          <cell r="A5468">
            <v>1815830762</v>
          </cell>
          <cell r="B5468" t="str">
            <v xml:space="preserve">שאילת מורים       </v>
          </cell>
        </row>
        <row r="5469">
          <cell r="A5469">
            <v>1815830780</v>
          </cell>
          <cell r="B5469" t="str">
            <v xml:space="preserve">חינוך חברתי       </v>
          </cell>
        </row>
        <row r="5470">
          <cell r="A5470">
            <v>1815830781</v>
          </cell>
          <cell r="B5470" t="str">
            <v xml:space="preserve">הפעלת ביה"ס       </v>
          </cell>
        </row>
        <row r="5471">
          <cell r="A5471">
            <v>1815830810</v>
          </cell>
          <cell r="B5471" t="str">
            <v>הקצבה לניהול עצמי</v>
          </cell>
          <cell r="C5471">
            <v>81700</v>
          </cell>
        </row>
        <row r="5472">
          <cell r="A5472">
            <v>1815830812</v>
          </cell>
          <cell r="B5472" t="str">
            <v>מסיבות כיתתיות</v>
          </cell>
          <cell r="C5472">
            <v>8600</v>
          </cell>
        </row>
        <row r="5473">
          <cell r="A5473">
            <v>1815830816</v>
          </cell>
          <cell r="B5473" t="str">
            <v>חט"ב-הכלה והשתלבות</v>
          </cell>
        </row>
        <row r="5474">
          <cell r="A5474">
            <v>1815830953</v>
          </cell>
          <cell r="B5474" t="str">
            <v>מערכת גפ"ן</v>
          </cell>
        </row>
        <row r="5475">
          <cell r="A5475">
            <v>1815830989</v>
          </cell>
          <cell r="B5475" t="str">
            <v xml:space="preserve">תקורה             </v>
          </cell>
        </row>
        <row r="5476">
          <cell r="A5476" t="str">
            <v>#VALUE!</v>
          </cell>
          <cell r="B5476" t="str">
            <v>תיכון חנקין</v>
          </cell>
        </row>
        <row r="5477">
          <cell r="A5477">
            <v>18170000</v>
          </cell>
          <cell r="B5477" t="str">
            <v>שרותים נוספים למוס' חינוך</v>
          </cell>
        </row>
        <row r="5478">
          <cell r="A5478">
            <v>18172000</v>
          </cell>
          <cell r="B5478" t="str">
            <v xml:space="preserve">מכללת חנקין       </v>
          </cell>
        </row>
        <row r="5479">
          <cell r="A5479">
            <v>1817200110</v>
          </cell>
          <cell r="B5479" t="str">
            <v>השכר הקובע-תקציבית</v>
          </cell>
        </row>
        <row r="5480">
          <cell r="A5480">
            <v>1817200119</v>
          </cell>
          <cell r="B5480" t="str">
            <v xml:space="preserve">השכר הקובע-צוברת  </v>
          </cell>
        </row>
        <row r="5481">
          <cell r="A5481">
            <v>1817200122</v>
          </cell>
          <cell r="B5481" t="str">
            <v xml:space="preserve">ביגוד             </v>
          </cell>
        </row>
        <row r="5482">
          <cell r="A5482">
            <v>1817200126</v>
          </cell>
          <cell r="B5482" t="str">
            <v xml:space="preserve">דמי הבראה         </v>
          </cell>
        </row>
        <row r="5483">
          <cell r="A5483">
            <v>1817200130</v>
          </cell>
          <cell r="B5483" t="str">
            <v xml:space="preserve">שעות נוספות       </v>
          </cell>
        </row>
        <row r="5484">
          <cell r="A5484">
            <v>1817200140</v>
          </cell>
          <cell r="B5484" t="str">
            <v>השתתפות באחזקת רכב</v>
          </cell>
        </row>
        <row r="5485">
          <cell r="A5485">
            <v>1817200210</v>
          </cell>
          <cell r="B5485" t="str">
            <v xml:space="preserve">השכר הקובע        </v>
          </cell>
        </row>
        <row r="5486">
          <cell r="A5486">
            <v>1817200263</v>
          </cell>
          <cell r="B5486" t="str">
            <v xml:space="preserve">עובדים חיצוניים   </v>
          </cell>
        </row>
        <row r="5487">
          <cell r="A5487">
            <v>1817200420</v>
          </cell>
          <cell r="B5487" t="str">
            <v xml:space="preserve">כיבוי אש          </v>
          </cell>
        </row>
        <row r="5488">
          <cell r="A5488">
            <v>1817200423</v>
          </cell>
          <cell r="B5488" t="str">
            <v xml:space="preserve">תחזוקת מבנה       </v>
          </cell>
        </row>
        <row r="5489">
          <cell r="A5489">
            <v>1817200431</v>
          </cell>
          <cell r="B5489" t="str">
            <v xml:space="preserve">חשמל              </v>
          </cell>
          <cell r="C5489">
            <v>5000</v>
          </cell>
        </row>
        <row r="5490">
          <cell r="A5490">
            <v>1817200432</v>
          </cell>
          <cell r="B5490" t="str">
            <v xml:space="preserve">מים               </v>
          </cell>
        </row>
        <row r="5491">
          <cell r="A5491">
            <v>1817200433</v>
          </cell>
          <cell r="B5491" t="str">
            <v xml:space="preserve">חומרי נקיון       </v>
          </cell>
        </row>
        <row r="5492">
          <cell r="A5492">
            <v>1817200434</v>
          </cell>
          <cell r="B5492" t="str">
            <v xml:space="preserve">חיטוי והדברה      </v>
          </cell>
        </row>
        <row r="5493">
          <cell r="A5493">
            <v>1817200436</v>
          </cell>
          <cell r="B5493" t="str">
            <v xml:space="preserve">אחזקת מזגנים      </v>
          </cell>
        </row>
        <row r="5494">
          <cell r="A5494">
            <v>1817200437</v>
          </cell>
          <cell r="B5494" t="str">
            <v xml:space="preserve">אחזקת אזעקה       </v>
          </cell>
        </row>
        <row r="5495">
          <cell r="A5495">
            <v>1817200438</v>
          </cell>
          <cell r="B5495" t="str">
            <v xml:space="preserve">תחזוקת אינטרנט    </v>
          </cell>
        </row>
        <row r="5496">
          <cell r="A5496">
            <v>1817200441</v>
          </cell>
          <cell r="B5496" t="str">
            <v xml:space="preserve">ביטוח             </v>
          </cell>
        </row>
        <row r="5497">
          <cell r="A5497">
            <v>1817200450</v>
          </cell>
          <cell r="B5497" t="str">
            <v xml:space="preserve">ריהוט ואחזקתו     </v>
          </cell>
        </row>
        <row r="5498">
          <cell r="A5498">
            <v>1817200470</v>
          </cell>
          <cell r="B5498" t="str">
            <v xml:space="preserve">אחזקת מכונות משרד </v>
          </cell>
        </row>
        <row r="5499">
          <cell r="A5499">
            <v>1817200471</v>
          </cell>
          <cell r="B5499" t="str">
            <v xml:space="preserve">מכשירי כתיבה      </v>
          </cell>
        </row>
        <row r="5500">
          <cell r="A5500">
            <v>1817200511</v>
          </cell>
          <cell r="B5500" t="str">
            <v xml:space="preserve">אירוח וכיבוד      </v>
          </cell>
        </row>
        <row r="5501">
          <cell r="A5501">
            <v>1817200512</v>
          </cell>
          <cell r="B5501" t="str">
            <v xml:space="preserve">נסיעות ואש"ל      </v>
          </cell>
        </row>
        <row r="5502">
          <cell r="A5502">
            <v>1817200522</v>
          </cell>
          <cell r="B5502" t="str">
            <v xml:space="preserve">ספרים ועיתונים    </v>
          </cell>
        </row>
        <row r="5503">
          <cell r="A5503">
            <v>1817200540</v>
          </cell>
          <cell r="B5503" t="str">
            <v xml:space="preserve">הוצאות טלפון      </v>
          </cell>
        </row>
        <row r="5504">
          <cell r="A5504">
            <v>1817200544</v>
          </cell>
          <cell r="B5504" t="str">
            <v xml:space="preserve">הוצאות דאר        </v>
          </cell>
        </row>
        <row r="5505">
          <cell r="A5505">
            <v>1817200550</v>
          </cell>
          <cell r="B5505" t="str">
            <v xml:space="preserve">פירסומים          </v>
          </cell>
        </row>
        <row r="5506">
          <cell r="A5506">
            <v>1817200551</v>
          </cell>
          <cell r="B5506" t="str">
            <v xml:space="preserve">הדבקת מודעות      </v>
          </cell>
        </row>
        <row r="5507">
          <cell r="A5507">
            <v>1817200561</v>
          </cell>
          <cell r="B5507" t="str">
            <v xml:space="preserve">שיכפולים          </v>
          </cell>
        </row>
        <row r="5508">
          <cell r="A5508">
            <v>1817200562</v>
          </cell>
          <cell r="B5508" t="str">
            <v xml:space="preserve">הדפסות            </v>
          </cell>
        </row>
        <row r="5509">
          <cell r="A5509">
            <v>1817200571</v>
          </cell>
          <cell r="B5509" t="str">
            <v xml:space="preserve">מיכון וענ"א       </v>
          </cell>
        </row>
        <row r="5510">
          <cell r="A5510">
            <v>1817200583</v>
          </cell>
          <cell r="B5510" t="str">
            <v xml:space="preserve">שכר מרצים         </v>
          </cell>
        </row>
        <row r="5511">
          <cell r="A5511">
            <v>1817200710</v>
          </cell>
          <cell r="B5511" t="str">
            <v xml:space="preserve">הובלות            </v>
          </cell>
        </row>
        <row r="5512">
          <cell r="A5512">
            <v>1817200722</v>
          </cell>
          <cell r="B5512" t="str">
            <v>חמרים-תחזוקה עצמית</v>
          </cell>
        </row>
        <row r="5513">
          <cell r="A5513">
            <v>1817200723</v>
          </cell>
          <cell r="B5513" t="str">
            <v xml:space="preserve">חומרים            </v>
          </cell>
        </row>
        <row r="5514">
          <cell r="A5514">
            <v>1817200742</v>
          </cell>
          <cell r="B5514" t="str">
            <v xml:space="preserve">כלים וציוד        </v>
          </cell>
        </row>
        <row r="5515">
          <cell r="A5515">
            <v>1817200743</v>
          </cell>
          <cell r="B5515" t="str">
            <v xml:space="preserve">תחזוקת ציוד       </v>
          </cell>
        </row>
        <row r="5516">
          <cell r="A5516">
            <v>1817200745</v>
          </cell>
          <cell r="B5516" t="str">
            <v xml:space="preserve">דמי פריצה - תכולה  </v>
          </cell>
        </row>
        <row r="5517">
          <cell r="A5517">
            <v>1817200746</v>
          </cell>
          <cell r="B5517" t="str">
            <v xml:space="preserve">דמי פריצה - מבנה  </v>
          </cell>
        </row>
        <row r="5518">
          <cell r="A5518">
            <v>1817200752</v>
          </cell>
          <cell r="B5518" t="str">
            <v xml:space="preserve">נקיון בקבלנות     </v>
          </cell>
        </row>
        <row r="5519">
          <cell r="A5519">
            <v>1817200753</v>
          </cell>
          <cell r="B5519" t="str">
            <v xml:space="preserve">כ"א - מתי"א       </v>
          </cell>
        </row>
        <row r="5520">
          <cell r="A5520">
            <v>1817200763</v>
          </cell>
          <cell r="B5520" t="str">
            <v xml:space="preserve">עובדים חיצוניים   </v>
          </cell>
        </row>
        <row r="5521">
          <cell r="A5521">
            <v>1817200780</v>
          </cell>
          <cell r="B5521" t="str">
            <v xml:space="preserve">סיורים            </v>
          </cell>
        </row>
        <row r="5522">
          <cell r="A5522">
            <v>1817200782</v>
          </cell>
          <cell r="B5522" t="str">
            <v>מרכז מחשבים (הכנ')</v>
          </cell>
        </row>
        <row r="5523">
          <cell r="A5523">
            <v>1817200784</v>
          </cell>
          <cell r="B5523" t="str">
            <v>הפעלת חנקין</v>
          </cell>
        </row>
        <row r="5524">
          <cell r="A5524">
            <v>1817200794</v>
          </cell>
          <cell r="B5524" t="str">
            <v xml:space="preserve">השתתפות בעזר 094  </v>
          </cell>
        </row>
        <row r="5525">
          <cell r="A5525">
            <v>1817200872</v>
          </cell>
          <cell r="B5525" t="str">
            <v>הפעלת חנקין</v>
          </cell>
        </row>
        <row r="5526">
          <cell r="A5526">
            <v>1817200879</v>
          </cell>
          <cell r="B5526" t="str">
            <v>ביטוח-כנגד הכנסות</v>
          </cell>
        </row>
        <row r="5527">
          <cell r="A5527">
            <v>1817200931</v>
          </cell>
          <cell r="B5527" t="str">
            <v>פעולות כנגד הכנסות</v>
          </cell>
        </row>
        <row r="5528">
          <cell r="A5528">
            <v>1817200932</v>
          </cell>
          <cell r="B5528" t="str">
            <v>העברה חד - פעמית</v>
          </cell>
        </row>
        <row r="5529">
          <cell r="A5529">
            <v>1817200961</v>
          </cell>
          <cell r="B5529" t="str">
            <v>רז' פעולות ורכישות</v>
          </cell>
        </row>
        <row r="5530">
          <cell r="A5530">
            <v>1817200980</v>
          </cell>
          <cell r="B5530" t="str">
            <v xml:space="preserve">תקורה - מרפ"ד     </v>
          </cell>
        </row>
        <row r="5531">
          <cell r="A5531" t="str">
            <v>#VALUE!</v>
          </cell>
          <cell r="B5531" t="str">
            <v xml:space="preserve">מכללת חנקין       </v>
          </cell>
        </row>
        <row r="5532">
          <cell r="A5532">
            <v>18172100</v>
          </cell>
          <cell r="B5532" t="str">
            <v xml:space="preserve">מרכזיה פדגוגית    </v>
          </cell>
        </row>
        <row r="5533">
          <cell r="A5533">
            <v>1817210100</v>
          </cell>
          <cell r="B5533" t="str">
            <v>שכר עובדים לפי תקן</v>
          </cell>
        </row>
        <row r="5534">
          <cell r="A5534">
            <v>1817210110</v>
          </cell>
          <cell r="B5534" t="str">
            <v>השכר הקובע-תקציבית</v>
          </cell>
          <cell r="C5534">
            <v>125000</v>
          </cell>
        </row>
        <row r="5535">
          <cell r="A5535">
            <v>1817210119</v>
          </cell>
          <cell r="B5535" t="str">
            <v xml:space="preserve">השכר הקובע-צוברת  </v>
          </cell>
          <cell r="C5535">
            <v>325400</v>
          </cell>
        </row>
        <row r="5536">
          <cell r="A5536">
            <v>1817210122</v>
          </cell>
          <cell r="B5536" t="str">
            <v xml:space="preserve">ביגוד             </v>
          </cell>
          <cell r="C5536">
            <v>5800</v>
          </cell>
        </row>
        <row r="5537">
          <cell r="A5537">
            <v>1817210126</v>
          </cell>
          <cell r="B5537" t="str">
            <v xml:space="preserve">דמי הבראה         </v>
          </cell>
          <cell r="C5537">
            <v>13500</v>
          </cell>
        </row>
        <row r="5538">
          <cell r="A5538">
            <v>1817210130</v>
          </cell>
          <cell r="B5538" t="str">
            <v xml:space="preserve">שעות נוספות       </v>
          </cell>
          <cell r="C5538">
            <v>2000</v>
          </cell>
        </row>
        <row r="5539">
          <cell r="A5539">
            <v>1817210140</v>
          </cell>
          <cell r="B5539" t="str">
            <v>השתתפות באחזקת רכב</v>
          </cell>
          <cell r="C5539">
            <v>20500</v>
          </cell>
        </row>
        <row r="5540">
          <cell r="A5540">
            <v>1817210210</v>
          </cell>
          <cell r="B5540" t="str">
            <v xml:space="preserve">השכר הקובע        </v>
          </cell>
        </row>
        <row r="5541">
          <cell r="A5541">
            <v>1817210263</v>
          </cell>
          <cell r="B5541" t="str">
            <v xml:space="preserve">עובדי חברת מוסדות </v>
          </cell>
        </row>
        <row r="5542">
          <cell r="A5542">
            <v>1817210264</v>
          </cell>
          <cell r="B5542" t="str">
            <v>מפעילת  מחשבים (הכנ')</v>
          </cell>
        </row>
        <row r="5543">
          <cell r="A5543">
            <v>1817210400</v>
          </cell>
          <cell r="B5543" t="str">
            <v>אחזקת בנינים וציוד</v>
          </cell>
        </row>
        <row r="5544">
          <cell r="A5544">
            <v>1817210410</v>
          </cell>
          <cell r="B5544" t="str">
            <v>שכירות פסג"ה</v>
          </cell>
        </row>
        <row r="5545">
          <cell r="A5545">
            <v>1817210423</v>
          </cell>
          <cell r="B5545" t="str">
            <v xml:space="preserve">תחזוקת מבנה       </v>
          </cell>
        </row>
        <row r="5546">
          <cell r="A5546">
            <v>1817210431</v>
          </cell>
          <cell r="B5546" t="str">
            <v xml:space="preserve">חשמל              </v>
          </cell>
        </row>
        <row r="5547">
          <cell r="A5547">
            <v>1817210432</v>
          </cell>
          <cell r="B5547" t="str">
            <v xml:space="preserve">מים               </v>
          </cell>
        </row>
        <row r="5548">
          <cell r="A5548">
            <v>1817210433</v>
          </cell>
          <cell r="B5548" t="str">
            <v xml:space="preserve">חומרי נקיון       </v>
          </cell>
        </row>
        <row r="5549">
          <cell r="A5549">
            <v>1817210441</v>
          </cell>
          <cell r="B5549" t="str">
            <v xml:space="preserve">ביטוח             </v>
          </cell>
        </row>
        <row r="5550">
          <cell r="A5550">
            <v>1817210470</v>
          </cell>
          <cell r="B5550" t="str">
            <v xml:space="preserve">אחזקת מכונות משרד </v>
          </cell>
        </row>
        <row r="5551">
          <cell r="A5551">
            <v>1817210471</v>
          </cell>
          <cell r="B5551" t="str">
            <v xml:space="preserve">מכשירי כתיבה      </v>
          </cell>
        </row>
        <row r="5552">
          <cell r="A5552">
            <v>1817210500</v>
          </cell>
          <cell r="B5552" t="str">
            <v xml:space="preserve">הוצאות מינהליות   </v>
          </cell>
        </row>
        <row r="5553">
          <cell r="A5553">
            <v>1817210511</v>
          </cell>
          <cell r="B5553" t="str">
            <v xml:space="preserve">אירוח וכיבוד      </v>
          </cell>
        </row>
        <row r="5554">
          <cell r="A5554">
            <v>1817210512</v>
          </cell>
          <cell r="B5554" t="str">
            <v xml:space="preserve">נסיעות ואש"ל      </v>
          </cell>
        </row>
        <row r="5555">
          <cell r="A5555">
            <v>1817210522</v>
          </cell>
          <cell r="B5555" t="str">
            <v xml:space="preserve">עיתונים ופירסומים </v>
          </cell>
        </row>
        <row r="5556">
          <cell r="A5556">
            <v>1817210540</v>
          </cell>
          <cell r="B5556" t="str">
            <v xml:space="preserve">הוצאות טלפון      </v>
          </cell>
        </row>
        <row r="5557">
          <cell r="A5557">
            <v>1817210544</v>
          </cell>
          <cell r="B5557" t="str">
            <v xml:space="preserve">הוצאות דאר        </v>
          </cell>
        </row>
        <row r="5558">
          <cell r="A5558">
            <v>1817210561</v>
          </cell>
          <cell r="B5558" t="str">
            <v xml:space="preserve">שיכפולים          </v>
          </cell>
        </row>
        <row r="5559">
          <cell r="A5559">
            <v>1817210562</v>
          </cell>
          <cell r="B5559" t="str">
            <v xml:space="preserve">הדפסות            </v>
          </cell>
        </row>
        <row r="5560">
          <cell r="A5560">
            <v>1817210700</v>
          </cell>
          <cell r="B5560" t="str">
            <v xml:space="preserve">הוצאות לפעולות    </v>
          </cell>
        </row>
        <row r="5561">
          <cell r="A5561">
            <v>1817210721</v>
          </cell>
          <cell r="B5561" t="str">
            <v>חמרים-תחזוקת מבנים</v>
          </cell>
        </row>
        <row r="5562">
          <cell r="A5562">
            <v>1817210723</v>
          </cell>
          <cell r="B5562" t="str">
            <v xml:space="preserve">חומרים למרפ"ד     </v>
          </cell>
        </row>
        <row r="5563">
          <cell r="A5563">
            <v>1817210724</v>
          </cell>
          <cell r="B5563" t="str">
            <v>רכישות(הכ'מ'חינוך)</v>
          </cell>
        </row>
        <row r="5564">
          <cell r="A5564">
            <v>1817210741</v>
          </cell>
          <cell r="B5564" t="str">
            <v xml:space="preserve">כריכת ספרים       </v>
          </cell>
        </row>
        <row r="5565">
          <cell r="A5565">
            <v>1817210742</v>
          </cell>
          <cell r="B5565" t="str">
            <v xml:space="preserve">כלים וציוד        </v>
          </cell>
        </row>
        <row r="5566">
          <cell r="A5566">
            <v>1817210745</v>
          </cell>
          <cell r="B5566" t="str">
            <v xml:space="preserve">דמי פריצה - תכולה </v>
          </cell>
        </row>
        <row r="5567">
          <cell r="A5567">
            <v>1817210750</v>
          </cell>
          <cell r="B5567" t="str">
            <v>אחזקת מוסדות</v>
          </cell>
          <cell r="C5567">
            <v>177000</v>
          </cell>
        </row>
        <row r="5568">
          <cell r="A5568">
            <v>1817210751</v>
          </cell>
          <cell r="B5568" t="str">
            <v xml:space="preserve">עבודות קבלניות    </v>
          </cell>
          <cell r="C5568">
            <v>11300</v>
          </cell>
        </row>
        <row r="5569">
          <cell r="A5569">
            <v>1817210752</v>
          </cell>
          <cell r="B5569" t="str">
            <v xml:space="preserve">נקיון בקבלנות     </v>
          </cell>
          <cell r="C5569">
            <v>230000</v>
          </cell>
        </row>
        <row r="5570">
          <cell r="A5570">
            <v>1817210753</v>
          </cell>
          <cell r="B5570" t="str">
            <v xml:space="preserve">עובדים חיצוניים   </v>
          </cell>
        </row>
        <row r="5571">
          <cell r="A5571">
            <v>1817210763</v>
          </cell>
          <cell r="B5571" t="str">
            <v xml:space="preserve">עובדי חברת מוסדות </v>
          </cell>
        </row>
        <row r="5572">
          <cell r="A5572">
            <v>1817210780</v>
          </cell>
          <cell r="B5572" t="str">
            <v>הפעלת פסג"ה</v>
          </cell>
          <cell r="C5572">
            <v>69900</v>
          </cell>
        </row>
        <row r="5573">
          <cell r="A5573">
            <v>1817210782</v>
          </cell>
          <cell r="B5573" t="str">
            <v>מרכז מחשבים (הכנ')</v>
          </cell>
        </row>
        <row r="5574">
          <cell r="A5574">
            <v>1817210783</v>
          </cell>
          <cell r="B5574" t="str">
            <v>פסג"ה-הכנ' משרד</v>
          </cell>
        </row>
        <row r="5575">
          <cell r="A5575">
            <v>1817210961</v>
          </cell>
          <cell r="B5575" t="str">
            <v>רז' פעולות ורכישות</v>
          </cell>
        </row>
        <row r="5576">
          <cell r="A5576">
            <v>1817210980</v>
          </cell>
          <cell r="B5576" t="str">
            <v xml:space="preserve">העמסת תקורה       </v>
          </cell>
        </row>
        <row r="5577">
          <cell r="A5577" t="str">
            <v>#VALUE!</v>
          </cell>
          <cell r="B5577" t="str">
            <v xml:space="preserve">מרכזיה פדגוגית    </v>
          </cell>
        </row>
        <row r="5578">
          <cell r="A5578">
            <v>18173000</v>
          </cell>
          <cell r="B5578" t="str">
            <v>שרותים פסיכולוגיים</v>
          </cell>
        </row>
        <row r="5579">
          <cell r="A5579">
            <v>1817300100</v>
          </cell>
          <cell r="B5579" t="str">
            <v>שכר עובדים לפי תקן</v>
          </cell>
        </row>
        <row r="5580">
          <cell r="A5580">
            <v>1817300110</v>
          </cell>
          <cell r="B5580" t="str">
            <v>השכר הקובע-תקציבית</v>
          </cell>
          <cell r="C5580">
            <v>339200</v>
          </cell>
        </row>
        <row r="5581">
          <cell r="A5581">
            <v>1817300119</v>
          </cell>
          <cell r="B5581" t="str">
            <v xml:space="preserve">השכר הקובע-צוברת  </v>
          </cell>
          <cell r="C5581">
            <v>9611400</v>
          </cell>
        </row>
        <row r="5582">
          <cell r="A5582">
            <v>1817300122</v>
          </cell>
          <cell r="B5582" t="str">
            <v xml:space="preserve">ביגוד             </v>
          </cell>
          <cell r="C5582">
            <v>113500</v>
          </cell>
        </row>
        <row r="5583">
          <cell r="A5583">
            <v>1817300126</v>
          </cell>
          <cell r="B5583" t="str">
            <v xml:space="preserve">דמי הבראה         </v>
          </cell>
          <cell r="C5583">
            <v>245000</v>
          </cell>
        </row>
        <row r="5584">
          <cell r="A5584">
            <v>1817300130</v>
          </cell>
          <cell r="B5584" t="str">
            <v xml:space="preserve">שעות נוספות       </v>
          </cell>
          <cell r="C5584">
            <v>20000</v>
          </cell>
        </row>
        <row r="5585">
          <cell r="A5585">
            <v>1817300140</v>
          </cell>
          <cell r="B5585" t="str">
            <v>השתתפות באחזקת רכב</v>
          </cell>
          <cell r="C5585">
            <v>795000</v>
          </cell>
        </row>
        <row r="5586">
          <cell r="A5586">
            <v>1817300210</v>
          </cell>
          <cell r="B5586" t="str">
            <v>שפ"מ</v>
          </cell>
        </row>
        <row r="5587">
          <cell r="A5587">
            <v>1817300211</v>
          </cell>
          <cell r="B5587" t="str">
            <v>איבחונים חט"ע</v>
          </cell>
        </row>
        <row r="5588">
          <cell r="A5588">
            <v>1817300212</v>
          </cell>
          <cell r="B5588" t="str">
            <v>יוזמות כנגד הכנסות</v>
          </cell>
        </row>
        <row r="5589">
          <cell r="A5589">
            <v>1817300263</v>
          </cell>
          <cell r="B5589" t="str">
            <v xml:space="preserve">עובדי חברת מוסדות </v>
          </cell>
        </row>
        <row r="5590">
          <cell r="A5590">
            <v>1817300400</v>
          </cell>
          <cell r="B5590" t="str">
            <v>אחזקת בנינים וציוד</v>
          </cell>
        </row>
        <row r="5591">
          <cell r="A5591">
            <v>1817300410</v>
          </cell>
          <cell r="B5591" t="str">
            <v xml:space="preserve">השתתפות בועד בית  </v>
          </cell>
        </row>
        <row r="5592">
          <cell r="A5592">
            <v>1817300420</v>
          </cell>
          <cell r="B5592" t="str">
            <v xml:space="preserve">כיבוי אש          </v>
          </cell>
          <cell r="C5592">
            <v>3000</v>
          </cell>
        </row>
        <row r="5593">
          <cell r="A5593">
            <v>1817300423</v>
          </cell>
          <cell r="B5593" t="str">
            <v xml:space="preserve">תחזוקת מבנה       </v>
          </cell>
          <cell r="C5593">
            <v>4600</v>
          </cell>
        </row>
        <row r="5594">
          <cell r="A5594">
            <v>1817300431</v>
          </cell>
          <cell r="B5594" t="str">
            <v xml:space="preserve">חשמל              </v>
          </cell>
          <cell r="C5594">
            <v>6600</v>
          </cell>
        </row>
        <row r="5595">
          <cell r="A5595">
            <v>1817300432</v>
          </cell>
          <cell r="B5595" t="str">
            <v xml:space="preserve">מים               </v>
          </cell>
        </row>
        <row r="5596">
          <cell r="A5596">
            <v>1817300433</v>
          </cell>
          <cell r="B5596" t="str">
            <v xml:space="preserve">חומרי נקיון       </v>
          </cell>
          <cell r="C5596">
            <v>4600</v>
          </cell>
        </row>
        <row r="5597">
          <cell r="A5597">
            <v>1817300437</v>
          </cell>
          <cell r="B5597" t="str">
            <v xml:space="preserve">אחזקת אזעקה       </v>
          </cell>
          <cell r="C5597">
            <v>2500</v>
          </cell>
        </row>
        <row r="5598">
          <cell r="A5598">
            <v>1817300441</v>
          </cell>
          <cell r="B5598" t="str">
            <v xml:space="preserve">ביטוח             </v>
          </cell>
        </row>
        <row r="5599">
          <cell r="A5599">
            <v>1817300450</v>
          </cell>
          <cell r="B5599" t="str">
            <v>אחזקת תמי 4</v>
          </cell>
          <cell r="C5599">
            <v>1300</v>
          </cell>
        </row>
        <row r="5600">
          <cell r="A5600">
            <v>1817300470</v>
          </cell>
          <cell r="B5600" t="str">
            <v xml:space="preserve">אחזקת מכונות משרד </v>
          </cell>
          <cell r="C5600">
            <v>3400</v>
          </cell>
        </row>
        <row r="5601">
          <cell r="A5601">
            <v>1817300471</v>
          </cell>
          <cell r="B5601" t="str">
            <v xml:space="preserve">מכשירי כתיבה      </v>
          </cell>
          <cell r="C5601">
            <v>23400</v>
          </cell>
        </row>
        <row r="5602">
          <cell r="A5602">
            <v>1817300500</v>
          </cell>
          <cell r="B5602" t="str">
            <v xml:space="preserve">הוצאות מינהליות   </v>
          </cell>
        </row>
        <row r="5603">
          <cell r="A5603">
            <v>1817300511</v>
          </cell>
          <cell r="B5603" t="str">
            <v xml:space="preserve">אירוח וכיבוד      </v>
          </cell>
          <cell r="C5603">
            <v>16300</v>
          </cell>
        </row>
        <row r="5604">
          <cell r="A5604">
            <v>1817300522</v>
          </cell>
          <cell r="B5604" t="str">
            <v xml:space="preserve">ספרים ועיתונים    </v>
          </cell>
          <cell r="C5604">
            <v>8600</v>
          </cell>
        </row>
        <row r="5605">
          <cell r="A5605">
            <v>1817300540</v>
          </cell>
          <cell r="B5605" t="str">
            <v xml:space="preserve">הוצאות טלפון      </v>
          </cell>
          <cell r="C5605">
            <v>3000</v>
          </cell>
        </row>
        <row r="5606">
          <cell r="A5606">
            <v>1817300544</v>
          </cell>
          <cell r="B5606" t="str">
            <v xml:space="preserve">הוצאות דאר        </v>
          </cell>
        </row>
        <row r="5607">
          <cell r="A5607">
            <v>1817300561</v>
          </cell>
          <cell r="B5607" t="str">
            <v xml:space="preserve">שיכפולים          </v>
          </cell>
        </row>
        <row r="5608">
          <cell r="A5608">
            <v>1817300562</v>
          </cell>
          <cell r="B5608" t="str">
            <v xml:space="preserve">הדפסות            </v>
          </cell>
          <cell r="C5608">
            <v>3400</v>
          </cell>
        </row>
        <row r="5609">
          <cell r="A5609">
            <v>1817300571</v>
          </cell>
          <cell r="B5609" t="str">
            <v xml:space="preserve">מיכון וענ"א       </v>
          </cell>
          <cell r="C5609">
            <v>69200</v>
          </cell>
        </row>
        <row r="5610">
          <cell r="A5610">
            <v>1817300583</v>
          </cell>
          <cell r="B5610" t="str">
            <v xml:space="preserve">השתלמויות והדרכות </v>
          </cell>
          <cell r="C5610">
            <v>436300</v>
          </cell>
        </row>
        <row r="5611">
          <cell r="A5611">
            <v>1817300700</v>
          </cell>
          <cell r="B5611" t="str">
            <v xml:space="preserve">הוצאות לפעולות    </v>
          </cell>
        </row>
        <row r="5612">
          <cell r="A5612">
            <v>1817300721</v>
          </cell>
          <cell r="B5612" t="str">
            <v>חמרים-תחזוקת מבנים</v>
          </cell>
          <cell r="C5612">
            <v>900</v>
          </cell>
        </row>
        <row r="5613">
          <cell r="A5613">
            <v>1817300742</v>
          </cell>
          <cell r="B5613" t="str">
            <v xml:space="preserve">כלים וציוד        </v>
          </cell>
          <cell r="C5613">
            <v>3500</v>
          </cell>
        </row>
        <row r="5614">
          <cell r="A5614">
            <v>1817300751</v>
          </cell>
          <cell r="B5614" t="str">
            <v xml:space="preserve">עבודות קבלניות    </v>
          </cell>
          <cell r="C5614">
            <v>2200</v>
          </cell>
        </row>
        <row r="5615">
          <cell r="A5615">
            <v>1817300752</v>
          </cell>
          <cell r="B5615" t="str">
            <v xml:space="preserve">נקיון בקבלנות     </v>
          </cell>
          <cell r="C5615">
            <v>64000</v>
          </cell>
        </row>
        <row r="5616">
          <cell r="A5616">
            <v>1817300753</v>
          </cell>
          <cell r="B5616" t="str">
            <v xml:space="preserve">עובדי קבלן        </v>
          </cell>
        </row>
        <row r="5617">
          <cell r="A5617">
            <v>1817300756</v>
          </cell>
          <cell r="B5617" t="str">
            <v>שמירה בקבלנות</v>
          </cell>
          <cell r="C5617">
            <v>200000</v>
          </cell>
        </row>
        <row r="5618">
          <cell r="A5618">
            <v>1817300763</v>
          </cell>
          <cell r="B5618" t="str">
            <v xml:space="preserve">עובדי חברת מוסדות </v>
          </cell>
        </row>
        <row r="5619">
          <cell r="A5619">
            <v>1817300782</v>
          </cell>
          <cell r="B5619" t="str">
            <v xml:space="preserve">יוזמות (מהכנסות)  </v>
          </cell>
          <cell r="C5619">
            <v>30000</v>
          </cell>
        </row>
        <row r="5620">
          <cell r="A5620">
            <v>1817300783</v>
          </cell>
          <cell r="B5620" t="str">
            <v>שרות משלים(הכנסות)</v>
          </cell>
          <cell r="C5620">
            <v>450000</v>
          </cell>
        </row>
        <row r="5621">
          <cell r="A5621">
            <v>1817300784</v>
          </cell>
          <cell r="B5621" t="str">
            <v>הכלה שפ"מ</v>
          </cell>
          <cell r="C5621">
            <v>500000</v>
          </cell>
        </row>
        <row r="5622">
          <cell r="A5622">
            <v>1817300785</v>
          </cell>
          <cell r="B5622" t="str">
            <v>מניעת אובדנות-פסיכיאטר</v>
          </cell>
          <cell r="C5622">
            <v>280000</v>
          </cell>
        </row>
        <row r="5623">
          <cell r="A5623">
            <v>1817300786</v>
          </cell>
          <cell r="B5623" t="str">
            <v>אבחונים ואפיונים</v>
          </cell>
          <cell r="C5623">
            <v>60000</v>
          </cell>
        </row>
        <row r="5624">
          <cell r="A5624">
            <v>1817300787</v>
          </cell>
          <cell r="B5624" t="str">
            <v>גני ASD פסיכולוגים</v>
          </cell>
        </row>
        <row r="5625">
          <cell r="A5625">
            <v>1817300931</v>
          </cell>
          <cell r="B5625" t="str">
            <v>פעולות ורכישות שונות</v>
          </cell>
          <cell r="C5625">
            <v>27000</v>
          </cell>
        </row>
        <row r="5626">
          <cell r="A5626">
            <v>1817300961</v>
          </cell>
          <cell r="B5626" t="str">
            <v>שירות פסיכולוגי-משרו</v>
          </cell>
          <cell r="C5626">
            <v>560000</v>
          </cell>
        </row>
        <row r="5627">
          <cell r="A5627" t="str">
            <v>#VALUE!</v>
          </cell>
          <cell r="B5627" t="str">
            <v>שרותים פסיכולוגיים</v>
          </cell>
        </row>
        <row r="5628">
          <cell r="A5628">
            <v>18176000</v>
          </cell>
          <cell r="B5628" t="str">
            <v xml:space="preserve">רווחה חינוכית     </v>
          </cell>
        </row>
        <row r="5629">
          <cell r="A5629">
            <v>1817600110</v>
          </cell>
          <cell r="B5629" t="str">
            <v>השכר הקובע-תקציבית</v>
          </cell>
        </row>
        <row r="5630">
          <cell r="A5630">
            <v>1817600119</v>
          </cell>
          <cell r="B5630" t="str">
            <v xml:space="preserve">השכר הקובע-צוברת  </v>
          </cell>
          <cell r="C5630">
            <v>408700</v>
          </cell>
        </row>
        <row r="5631">
          <cell r="A5631">
            <v>1817600122</v>
          </cell>
          <cell r="B5631" t="str">
            <v xml:space="preserve">ביגוד             </v>
          </cell>
          <cell r="C5631">
            <v>1900</v>
          </cell>
        </row>
        <row r="5632">
          <cell r="A5632">
            <v>1817600126</v>
          </cell>
          <cell r="B5632" t="str">
            <v xml:space="preserve">דמי הבראה         </v>
          </cell>
          <cell r="C5632">
            <v>5600</v>
          </cell>
        </row>
        <row r="5633">
          <cell r="A5633">
            <v>1817600130</v>
          </cell>
          <cell r="B5633" t="str">
            <v xml:space="preserve">שעות נוספות       </v>
          </cell>
          <cell r="C5633">
            <v>16000</v>
          </cell>
        </row>
        <row r="5634">
          <cell r="A5634">
            <v>1817600140</v>
          </cell>
          <cell r="B5634" t="str">
            <v>השתתפות באחזקת רכב</v>
          </cell>
          <cell r="C5634">
            <v>38500</v>
          </cell>
        </row>
        <row r="5635">
          <cell r="A5635">
            <v>1817600210</v>
          </cell>
          <cell r="B5635" t="str">
            <v xml:space="preserve">השכר הקובע        </v>
          </cell>
        </row>
        <row r="5636">
          <cell r="A5636">
            <v>1817600216</v>
          </cell>
          <cell r="B5636" t="str">
            <v xml:space="preserve">רווחה חינוכית     </v>
          </cell>
        </row>
        <row r="5637">
          <cell r="A5637">
            <v>1817600219</v>
          </cell>
          <cell r="B5637" t="str">
            <v xml:space="preserve">שכר קייטנת קיץ    </v>
          </cell>
        </row>
        <row r="5638">
          <cell r="A5638">
            <v>1817600253</v>
          </cell>
          <cell r="B5638" t="str">
            <v>שכר רכזת הורים</v>
          </cell>
        </row>
        <row r="5639">
          <cell r="A5639">
            <v>1817600263</v>
          </cell>
          <cell r="B5639" t="str">
            <v>מגשרת בוכרית</v>
          </cell>
        </row>
        <row r="5640">
          <cell r="A5640">
            <v>1817600561</v>
          </cell>
          <cell r="B5640" t="str">
            <v xml:space="preserve">שיכפולים          </v>
          </cell>
        </row>
        <row r="5641">
          <cell r="A5641">
            <v>1817600571</v>
          </cell>
          <cell r="B5641" t="str">
            <v xml:space="preserve">מיכון וענ"א       </v>
          </cell>
        </row>
        <row r="5642">
          <cell r="A5642">
            <v>1817600583</v>
          </cell>
          <cell r="B5642" t="str">
            <v>שכר טיפוח על יסודי</v>
          </cell>
        </row>
        <row r="5643">
          <cell r="A5643">
            <v>1817600700</v>
          </cell>
          <cell r="B5643" t="str">
            <v xml:space="preserve">הוצאות לפעולות    </v>
          </cell>
        </row>
        <row r="5644">
          <cell r="A5644">
            <v>1817600723</v>
          </cell>
          <cell r="B5644" t="str">
            <v>חומרים לאתג"ר וט"ף</v>
          </cell>
        </row>
        <row r="5645">
          <cell r="A5645">
            <v>1817600742</v>
          </cell>
          <cell r="B5645" t="str">
            <v xml:space="preserve">כלים וציוד        </v>
          </cell>
        </row>
        <row r="5646">
          <cell r="A5646">
            <v>1817600753</v>
          </cell>
          <cell r="B5646" t="str">
            <v>שכר רכזת הורים</v>
          </cell>
        </row>
        <row r="5647">
          <cell r="A5647">
            <v>1817600759</v>
          </cell>
          <cell r="B5647" t="str">
            <v>שרותי סייעות</v>
          </cell>
        </row>
        <row r="5648">
          <cell r="A5648">
            <v>1817600763</v>
          </cell>
          <cell r="B5648" t="str">
            <v>מגשרת בוכרית</v>
          </cell>
        </row>
        <row r="5649">
          <cell r="A5649">
            <v>1817600781</v>
          </cell>
          <cell r="B5649" t="str">
            <v>ארועים ופע' תיגבור</v>
          </cell>
        </row>
        <row r="5650">
          <cell r="A5650">
            <v>1817600782</v>
          </cell>
          <cell r="B5650" t="str">
            <v>פעולות רווחה חינוכית</v>
          </cell>
        </row>
        <row r="5651">
          <cell r="A5651">
            <v>1817600783</v>
          </cell>
          <cell r="B5651" t="str">
            <v>אם לאם בקהילה</v>
          </cell>
        </row>
        <row r="5652">
          <cell r="A5652">
            <v>1817600784</v>
          </cell>
          <cell r="B5652" t="str">
            <v>הזנה בלתי פורמלי</v>
          </cell>
        </row>
        <row r="5653">
          <cell r="A5653">
            <v>1817600961</v>
          </cell>
          <cell r="B5653" t="str">
            <v>רז' פעולות ורכישות</v>
          </cell>
        </row>
        <row r="5654">
          <cell r="A5654" t="str">
            <v>#VALUE!</v>
          </cell>
          <cell r="B5654" t="str">
            <v xml:space="preserve">רווחה חינוכית     </v>
          </cell>
        </row>
        <row r="5655">
          <cell r="A5655">
            <v>18178000</v>
          </cell>
          <cell r="B5655" t="str">
            <v xml:space="preserve">הסעת ילדים        </v>
          </cell>
        </row>
        <row r="5656">
          <cell r="A5656">
            <v>1817800210</v>
          </cell>
          <cell r="B5656" t="str">
            <v>השכר הקובע</v>
          </cell>
        </row>
        <row r="5657">
          <cell r="A5657">
            <v>1817800500</v>
          </cell>
          <cell r="B5657" t="str">
            <v xml:space="preserve">הוצאות מינהליות   </v>
          </cell>
        </row>
        <row r="5658">
          <cell r="A5658">
            <v>1817800596</v>
          </cell>
          <cell r="B5658" t="str">
            <v xml:space="preserve">הסעות             </v>
          </cell>
        </row>
        <row r="5659">
          <cell r="A5659">
            <v>1817800700</v>
          </cell>
          <cell r="B5659" t="str">
            <v xml:space="preserve">הוצאות לפעולות    </v>
          </cell>
        </row>
        <row r="5660">
          <cell r="A5660">
            <v>1817800710</v>
          </cell>
          <cell r="B5660" t="str">
            <v xml:space="preserve">הסעת תלמידים      </v>
          </cell>
          <cell r="C5660">
            <v>49000000</v>
          </cell>
        </row>
        <row r="5661">
          <cell r="A5661">
            <v>1817800711</v>
          </cell>
          <cell r="B5661" t="str">
            <v xml:space="preserve">השתתפות בכרטיסיות </v>
          </cell>
          <cell r="C5661">
            <v>600000</v>
          </cell>
        </row>
        <row r="5662">
          <cell r="A5662">
            <v>1817800712</v>
          </cell>
          <cell r="B5662" t="str">
            <v>הסעות צרכים מיוחדים</v>
          </cell>
        </row>
        <row r="5663">
          <cell r="A5663">
            <v>1817800713</v>
          </cell>
          <cell r="B5663" t="str">
            <v>תוכנת בקרת היסעים</v>
          </cell>
          <cell r="C5663">
            <v>1250000</v>
          </cell>
        </row>
        <row r="5664">
          <cell r="A5664">
            <v>1817800759</v>
          </cell>
          <cell r="B5664" t="str">
            <v xml:space="preserve">מלווים בהסעים     </v>
          </cell>
          <cell r="C5664">
            <v>38900000</v>
          </cell>
        </row>
        <row r="5665">
          <cell r="A5665">
            <v>1817800763</v>
          </cell>
          <cell r="B5665" t="str">
            <v xml:space="preserve">מלווים בהסעים     </v>
          </cell>
        </row>
        <row r="5666">
          <cell r="A5666">
            <v>1817800764</v>
          </cell>
          <cell r="B5666" t="str">
            <v xml:space="preserve">מלווים בהסעים     </v>
          </cell>
        </row>
        <row r="5667">
          <cell r="A5667" t="str">
            <v>#VALUE!</v>
          </cell>
          <cell r="B5667" t="str">
            <v xml:space="preserve">הסעת ילדים        </v>
          </cell>
        </row>
        <row r="5668">
          <cell r="A5668">
            <v>18179100</v>
          </cell>
          <cell r="B5668" t="str">
            <v xml:space="preserve">אספקת ספרים וציוד </v>
          </cell>
        </row>
        <row r="5669">
          <cell r="A5669">
            <v>1817910119</v>
          </cell>
          <cell r="B5669" t="str">
            <v xml:space="preserve">השכר הקובע-צוברת  </v>
          </cell>
        </row>
        <row r="5670">
          <cell r="A5670">
            <v>1817910263</v>
          </cell>
          <cell r="B5670" t="str">
            <v xml:space="preserve">שכר בריאות השן    </v>
          </cell>
        </row>
        <row r="5671">
          <cell r="A5671">
            <v>1817910400</v>
          </cell>
          <cell r="B5671" t="str">
            <v>אחזקת בנינים וציוד</v>
          </cell>
        </row>
        <row r="5672">
          <cell r="A5672">
            <v>1817910441</v>
          </cell>
          <cell r="B5672" t="str">
            <v>ביטוח תאונות לתלמ'</v>
          </cell>
          <cell r="C5672">
            <v>2600000</v>
          </cell>
        </row>
        <row r="5673">
          <cell r="A5673">
            <v>1817910700</v>
          </cell>
          <cell r="B5673" t="str">
            <v xml:space="preserve">הוצאות לפעולות    </v>
          </cell>
        </row>
        <row r="5674">
          <cell r="A5674">
            <v>1817910723</v>
          </cell>
          <cell r="B5674" t="str">
            <v xml:space="preserve">אספקת חומרי מלאכה </v>
          </cell>
        </row>
        <row r="5675">
          <cell r="A5675">
            <v>1817910725</v>
          </cell>
          <cell r="B5675" t="str">
            <v xml:space="preserve">ח' מלאכה על-יסודי </v>
          </cell>
        </row>
        <row r="5676">
          <cell r="A5676">
            <v>1817910741</v>
          </cell>
          <cell r="B5676" t="str">
            <v xml:space="preserve">כריכת ספרים       </v>
          </cell>
        </row>
        <row r="5677">
          <cell r="A5677">
            <v>1817910742</v>
          </cell>
          <cell r="B5677" t="str">
            <v xml:space="preserve">אספקת ספרים       </v>
          </cell>
          <cell r="C5677">
            <v>4300000</v>
          </cell>
        </row>
        <row r="5678">
          <cell r="A5678">
            <v>1817910756</v>
          </cell>
          <cell r="B5678" t="str">
            <v>אבטחת מוסדות חינוך</v>
          </cell>
          <cell r="C5678">
            <v>23000000</v>
          </cell>
        </row>
        <row r="5679">
          <cell r="A5679">
            <v>1817910763</v>
          </cell>
          <cell r="B5679" t="str">
            <v xml:space="preserve">שכר בריאות השן    </v>
          </cell>
        </row>
        <row r="5680">
          <cell r="A5680">
            <v>1817910780</v>
          </cell>
          <cell r="B5680" t="str">
            <v xml:space="preserve">תשל' שרותי בריאות </v>
          </cell>
        </row>
        <row r="5681">
          <cell r="A5681">
            <v>1817910781</v>
          </cell>
          <cell r="B5681" t="str">
            <v xml:space="preserve">בריאות השן        </v>
          </cell>
        </row>
        <row r="5682">
          <cell r="A5682">
            <v>1817910782</v>
          </cell>
          <cell r="B5682" t="str">
            <v xml:space="preserve">סל לעולים         </v>
          </cell>
        </row>
        <row r="5683">
          <cell r="A5683">
            <v>1817910783</v>
          </cell>
          <cell r="B5683" t="str">
            <v xml:space="preserve">הקצבת שיכפול      </v>
          </cell>
        </row>
        <row r="5684">
          <cell r="A5684">
            <v>1817910784</v>
          </cell>
          <cell r="B5684" t="str">
            <v>בט' ושיפוץ קיץ</v>
          </cell>
        </row>
        <row r="5685">
          <cell r="A5685">
            <v>1817910785</v>
          </cell>
          <cell r="B5685" t="str">
            <v>תשלום ועד הורים</v>
          </cell>
        </row>
        <row r="5686">
          <cell r="A5686">
            <v>1817910794</v>
          </cell>
          <cell r="B5686" t="str">
            <v xml:space="preserve">השתתפות בעזר 094  </v>
          </cell>
        </row>
        <row r="5687">
          <cell r="A5687">
            <v>1817910931</v>
          </cell>
          <cell r="B5687" t="str">
            <v xml:space="preserve">רכישות חד-פעמיות  </v>
          </cell>
        </row>
        <row r="5688">
          <cell r="A5688">
            <v>1817910960</v>
          </cell>
          <cell r="B5688" t="str">
            <v>השאלת ספרים מש' החינוך</v>
          </cell>
        </row>
        <row r="5689">
          <cell r="A5689" t="str">
            <v>#VALUE!</v>
          </cell>
          <cell r="B5689" t="str">
            <v xml:space="preserve">אספקת ספרים וציוד </v>
          </cell>
        </row>
        <row r="5690">
          <cell r="A5690">
            <v>18179200</v>
          </cell>
          <cell r="B5690" t="str">
            <v>תחנה לטיפול בדיבור</v>
          </cell>
        </row>
        <row r="5691">
          <cell r="A5691">
            <v>1817920110</v>
          </cell>
          <cell r="B5691" t="str">
            <v>השכר הקובע-תקציבית</v>
          </cell>
        </row>
        <row r="5692">
          <cell r="A5692">
            <v>1817920119</v>
          </cell>
          <cell r="B5692" t="str">
            <v xml:space="preserve">השכר הקובע-צוברת  </v>
          </cell>
          <cell r="C5692">
            <v>112000</v>
          </cell>
        </row>
        <row r="5693">
          <cell r="A5693">
            <v>1817920122</v>
          </cell>
          <cell r="B5693" t="str">
            <v xml:space="preserve">ביגוד             </v>
          </cell>
          <cell r="C5693">
            <v>1100</v>
          </cell>
        </row>
        <row r="5694">
          <cell r="A5694">
            <v>1817920126</v>
          </cell>
          <cell r="B5694" t="str">
            <v xml:space="preserve">דמי הבראה         </v>
          </cell>
          <cell r="C5694">
            <v>2900</v>
          </cell>
        </row>
        <row r="5695">
          <cell r="A5695">
            <v>1817920130</v>
          </cell>
          <cell r="B5695" t="str">
            <v xml:space="preserve">שעות נוספות       </v>
          </cell>
        </row>
        <row r="5696">
          <cell r="A5696">
            <v>1817920140</v>
          </cell>
          <cell r="B5696" t="str">
            <v>השתתפות באחזקת רכב</v>
          </cell>
        </row>
        <row r="5697">
          <cell r="A5697">
            <v>1817920420</v>
          </cell>
          <cell r="B5697" t="str">
            <v xml:space="preserve">כיבוי אש          </v>
          </cell>
        </row>
        <row r="5698">
          <cell r="A5698">
            <v>1817920431</v>
          </cell>
          <cell r="B5698" t="str">
            <v xml:space="preserve">חשמל              </v>
          </cell>
        </row>
        <row r="5699">
          <cell r="A5699">
            <v>1817920433</v>
          </cell>
          <cell r="B5699" t="str">
            <v xml:space="preserve">חומרי נקיון       </v>
          </cell>
        </row>
        <row r="5700">
          <cell r="A5700">
            <v>1817920434</v>
          </cell>
          <cell r="B5700" t="str">
            <v xml:space="preserve">חיטוי והדברה      </v>
          </cell>
        </row>
        <row r="5701">
          <cell r="A5701">
            <v>1817920450</v>
          </cell>
          <cell r="B5701" t="str">
            <v xml:space="preserve">ריהוט ואחזקתו     </v>
          </cell>
        </row>
        <row r="5702">
          <cell r="A5702">
            <v>1817920470</v>
          </cell>
          <cell r="B5702" t="str">
            <v xml:space="preserve">אחזקת מכונות משרד </v>
          </cell>
        </row>
        <row r="5703">
          <cell r="A5703">
            <v>1817920471</v>
          </cell>
          <cell r="B5703" t="str">
            <v xml:space="preserve">מכשירי כתיבה      </v>
          </cell>
        </row>
        <row r="5704">
          <cell r="A5704">
            <v>1817920511</v>
          </cell>
          <cell r="B5704" t="str">
            <v xml:space="preserve">אירוח וכיבוד      </v>
          </cell>
        </row>
        <row r="5705">
          <cell r="A5705">
            <v>1817920561</v>
          </cell>
          <cell r="B5705" t="str">
            <v xml:space="preserve">שיכפולים          </v>
          </cell>
        </row>
        <row r="5706">
          <cell r="A5706">
            <v>1817920721</v>
          </cell>
          <cell r="B5706" t="str">
            <v>חמרים-תחזוקת מבנים</v>
          </cell>
        </row>
        <row r="5707">
          <cell r="A5707">
            <v>1817920742</v>
          </cell>
          <cell r="B5707" t="str">
            <v xml:space="preserve">כלים וציוד        </v>
          </cell>
        </row>
        <row r="5708">
          <cell r="A5708">
            <v>1817920751</v>
          </cell>
          <cell r="B5708" t="str">
            <v xml:space="preserve">עבודות קבלניות    </v>
          </cell>
        </row>
        <row r="5709">
          <cell r="A5709">
            <v>1817920763</v>
          </cell>
          <cell r="B5709" t="str">
            <v xml:space="preserve">עובדי חברת מוסדות </v>
          </cell>
        </row>
        <row r="5710">
          <cell r="A5710">
            <v>1817920781</v>
          </cell>
          <cell r="B5710" t="str">
            <v>תפעול המרכז</v>
          </cell>
        </row>
        <row r="5711">
          <cell r="A5711">
            <v>1817920931</v>
          </cell>
          <cell r="B5711" t="str">
            <v xml:space="preserve">רכישות חד-פעמיות  </v>
          </cell>
        </row>
        <row r="5712">
          <cell r="A5712">
            <v>1817920961</v>
          </cell>
          <cell r="B5712" t="str">
            <v>רז' פעולות ורכישות</v>
          </cell>
        </row>
        <row r="5713">
          <cell r="A5713" t="str">
            <v>#VALUE!</v>
          </cell>
          <cell r="B5713" t="str">
            <v>תחנה לטיפול בדיבור</v>
          </cell>
        </row>
        <row r="5714">
          <cell r="A5714">
            <v>18179300</v>
          </cell>
          <cell r="B5714" t="str">
            <v xml:space="preserve">תיאטרון סל-תרבות  </v>
          </cell>
        </row>
        <row r="5715">
          <cell r="A5715">
            <v>1817930100</v>
          </cell>
          <cell r="B5715" t="str">
            <v>שכר עובדים לפי תקן</v>
          </cell>
        </row>
        <row r="5716">
          <cell r="A5716">
            <v>1817930110</v>
          </cell>
          <cell r="B5716" t="str">
            <v>השכר הקובע-תקציבית</v>
          </cell>
        </row>
        <row r="5717">
          <cell r="A5717">
            <v>1817930119</v>
          </cell>
          <cell r="B5717" t="str">
            <v xml:space="preserve">השכר הקובע-צוברת  </v>
          </cell>
          <cell r="C5717">
            <v>432400</v>
          </cell>
        </row>
        <row r="5718">
          <cell r="A5718">
            <v>1817930122</v>
          </cell>
          <cell r="B5718" t="str">
            <v xml:space="preserve">ביגוד             </v>
          </cell>
          <cell r="C5718">
            <v>3800</v>
          </cell>
        </row>
        <row r="5719">
          <cell r="A5719">
            <v>1817930126</v>
          </cell>
          <cell r="B5719" t="str">
            <v xml:space="preserve">דמי הבראה         </v>
          </cell>
          <cell r="C5719">
            <v>8900</v>
          </cell>
        </row>
        <row r="5720">
          <cell r="A5720">
            <v>1817930130</v>
          </cell>
          <cell r="B5720" t="str">
            <v xml:space="preserve">שעות נוספות       </v>
          </cell>
          <cell r="C5720">
            <v>4000</v>
          </cell>
        </row>
        <row r="5721">
          <cell r="A5721">
            <v>1817930140</v>
          </cell>
          <cell r="B5721" t="str">
            <v>השתתפות באחזקת רכב</v>
          </cell>
          <cell r="C5721">
            <v>43700</v>
          </cell>
        </row>
        <row r="5722">
          <cell r="A5722">
            <v>1817930263</v>
          </cell>
          <cell r="B5722" t="str">
            <v>שכר חב' כ"א</v>
          </cell>
        </row>
        <row r="5723">
          <cell r="A5723">
            <v>1817930410</v>
          </cell>
          <cell r="B5723" t="str">
            <v xml:space="preserve">השכרת אולם        </v>
          </cell>
        </row>
        <row r="5724">
          <cell r="A5724">
            <v>1817930471</v>
          </cell>
          <cell r="B5724" t="str">
            <v xml:space="preserve">מכשירי כתיבה      </v>
          </cell>
        </row>
        <row r="5725">
          <cell r="A5725">
            <v>1817930511</v>
          </cell>
          <cell r="B5725" t="str">
            <v xml:space="preserve">אירוח וכיבוד      </v>
          </cell>
        </row>
        <row r="5726">
          <cell r="A5726">
            <v>1817930561</v>
          </cell>
          <cell r="B5726" t="str">
            <v xml:space="preserve">שיכפולים          </v>
          </cell>
        </row>
        <row r="5727">
          <cell r="A5727">
            <v>1817930562</v>
          </cell>
          <cell r="B5727" t="str">
            <v xml:space="preserve">הדפסות            </v>
          </cell>
        </row>
        <row r="5728">
          <cell r="A5728">
            <v>1817930571</v>
          </cell>
          <cell r="B5728" t="str">
            <v xml:space="preserve">מיכון וענ"א       </v>
          </cell>
        </row>
        <row r="5729">
          <cell r="A5729">
            <v>1817930700</v>
          </cell>
          <cell r="B5729" t="str">
            <v xml:space="preserve">הוצאות לפעולות    </v>
          </cell>
        </row>
        <row r="5730">
          <cell r="A5730">
            <v>1817930710</v>
          </cell>
          <cell r="B5730" t="str">
            <v xml:space="preserve">הובלות  והסעות    </v>
          </cell>
        </row>
        <row r="5731">
          <cell r="A5731">
            <v>1817930782</v>
          </cell>
          <cell r="B5731" t="str">
            <v>השת' כרט' למוזיאון</v>
          </cell>
          <cell r="C5731">
            <v>81300</v>
          </cell>
        </row>
        <row r="5732">
          <cell r="A5732">
            <v>1817930783</v>
          </cell>
          <cell r="B5732" t="str">
            <v xml:space="preserve">תיאטרון ילדים  </v>
          </cell>
          <cell r="C5732">
            <v>2000000</v>
          </cell>
        </row>
        <row r="5733">
          <cell r="A5733">
            <v>1817930961</v>
          </cell>
          <cell r="B5733" t="str">
            <v>רז' פעולות ורכישות</v>
          </cell>
        </row>
        <row r="5734">
          <cell r="A5734" t="str">
            <v>#VALUE!</v>
          </cell>
          <cell r="B5734" t="str">
            <v xml:space="preserve">תיאטרון סל-תרבות  </v>
          </cell>
        </row>
        <row r="5735">
          <cell r="A5735">
            <v>18180000</v>
          </cell>
          <cell r="B5735" t="str">
            <v xml:space="preserve">חינוך מבוגרים     </v>
          </cell>
        </row>
        <row r="5736">
          <cell r="A5736">
            <v>18182000</v>
          </cell>
          <cell r="B5736" t="str">
            <v xml:space="preserve">מרכז למידה תהיל"ה </v>
          </cell>
        </row>
        <row r="5737">
          <cell r="A5737">
            <v>1818200100</v>
          </cell>
          <cell r="B5737" t="str">
            <v>שכר עובדים לפי תקן</v>
          </cell>
        </row>
        <row r="5738">
          <cell r="A5738">
            <v>1818200110</v>
          </cell>
          <cell r="B5738" t="str">
            <v>השכר הקובע-תקציבית</v>
          </cell>
        </row>
        <row r="5739">
          <cell r="A5739">
            <v>1818200119</v>
          </cell>
          <cell r="B5739" t="str">
            <v xml:space="preserve">השכר הקובע-צוברת  </v>
          </cell>
        </row>
        <row r="5740">
          <cell r="A5740">
            <v>1818200122</v>
          </cell>
          <cell r="B5740" t="str">
            <v xml:space="preserve">ביגוד             </v>
          </cell>
        </row>
        <row r="5741">
          <cell r="A5741">
            <v>1818200126</v>
          </cell>
          <cell r="B5741" t="str">
            <v xml:space="preserve">דמי הבראה         </v>
          </cell>
        </row>
        <row r="5742">
          <cell r="A5742">
            <v>1818200130</v>
          </cell>
          <cell r="B5742" t="str">
            <v xml:space="preserve">שעות נוספות       </v>
          </cell>
        </row>
        <row r="5743">
          <cell r="A5743">
            <v>1818200140</v>
          </cell>
          <cell r="B5743" t="str">
            <v>השתתפות באחזקת רכב</v>
          </cell>
        </row>
        <row r="5744">
          <cell r="A5744">
            <v>1818200200</v>
          </cell>
          <cell r="B5744" t="str">
            <v>שכר עובדים ללא תקן</v>
          </cell>
        </row>
        <row r="5745">
          <cell r="A5745">
            <v>1818200210</v>
          </cell>
          <cell r="B5745" t="str">
            <v xml:space="preserve">השכר הקובע        </v>
          </cell>
        </row>
        <row r="5746">
          <cell r="A5746">
            <v>1818200263</v>
          </cell>
          <cell r="B5746" t="str">
            <v xml:space="preserve">עובדים חיצוניים   </v>
          </cell>
        </row>
        <row r="5747">
          <cell r="A5747">
            <v>1818200400</v>
          </cell>
          <cell r="B5747" t="str">
            <v>אחזקת בנינים וציוד</v>
          </cell>
        </row>
        <row r="5748">
          <cell r="A5748">
            <v>1818200420</v>
          </cell>
          <cell r="B5748" t="str">
            <v xml:space="preserve">כיבוי אש          </v>
          </cell>
        </row>
        <row r="5749">
          <cell r="A5749">
            <v>1818200431</v>
          </cell>
          <cell r="B5749" t="str">
            <v xml:space="preserve">חשמל              </v>
          </cell>
        </row>
        <row r="5750">
          <cell r="A5750">
            <v>1818200433</v>
          </cell>
          <cell r="B5750" t="str">
            <v xml:space="preserve">חומרי נקיון       </v>
          </cell>
        </row>
        <row r="5751">
          <cell r="A5751">
            <v>1818200434</v>
          </cell>
          <cell r="B5751" t="str">
            <v xml:space="preserve">חיטוי והדברה      </v>
          </cell>
        </row>
        <row r="5752">
          <cell r="A5752">
            <v>1818200441</v>
          </cell>
          <cell r="B5752" t="str">
            <v xml:space="preserve">ביטוח             </v>
          </cell>
        </row>
        <row r="5753">
          <cell r="A5753">
            <v>1818200450</v>
          </cell>
          <cell r="B5753" t="str">
            <v xml:space="preserve">ריהוט ואחזקתו     </v>
          </cell>
        </row>
        <row r="5754">
          <cell r="A5754">
            <v>1818200470</v>
          </cell>
          <cell r="B5754" t="str">
            <v xml:space="preserve">אחזקת מכונות משרד </v>
          </cell>
        </row>
        <row r="5755">
          <cell r="A5755">
            <v>1818200471</v>
          </cell>
          <cell r="B5755" t="str">
            <v xml:space="preserve">מכשירי כתיבה      </v>
          </cell>
        </row>
        <row r="5756">
          <cell r="A5756">
            <v>1818200472</v>
          </cell>
          <cell r="B5756" t="str">
            <v>אחזקת מכונת שיכפול</v>
          </cell>
        </row>
        <row r="5757">
          <cell r="A5757">
            <v>1818200500</v>
          </cell>
          <cell r="B5757" t="str">
            <v xml:space="preserve">הוצאות מינהליות   </v>
          </cell>
        </row>
        <row r="5758">
          <cell r="A5758">
            <v>1818200511</v>
          </cell>
          <cell r="B5758" t="str">
            <v xml:space="preserve">אירוח וכיבוד      </v>
          </cell>
        </row>
        <row r="5759">
          <cell r="A5759">
            <v>1818200522</v>
          </cell>
          <cell r="B5759" t="str">
            <v xml:space="preserve">ספרים             </v>
          </cell>
        </row>
        <row r="5760">
          <cell r="A5760">
            <v>1818200540</v>
          </cell>
          <cell r="B5760" t="str">
            <v xml:space="preserve">הוצאות טלפון      </v>
          </cell>
        </row>
        <row r="5761">
          <cell r="A5761">
            <v>1818200544</v>
          </cell>
          <cell r="B5761" t="str">
            <v xml:space="preserve">הוצאות דאר        </v>
          </cell>
        </row>
        <row r="5762">
          <cell r="A5762">
            <v>1818200550</v>
          </cell>
          <cell r="B5762" t="str">
            <v xml:space="preserve">פירסומים          </v>
          </cell>
        </row>
        <row r="5763">
          <cell r="A5763">
            <v>1818200561</v>
          </cell>
          <cell r="B5763" t="str">
            <v xml:space="preserve">שיכפולים          </v>
          </cell>
        </row>
        <row r="5764">
          <cell r="A5764">
            <v>1818200700</v>
          </cell>
          <cell r="B5764" t="str">
            <v xml:space="preserve">הוצאות לפעולות    </v>
          </cell>
        </row>
        <row r="5765">
          <cell r="A5765">
            <v>1818200721</v>
          </cell>
          <cell r="B5765" t="str">
            <v>חמרים-תחזוקת מבנים</v>
          </cell>
        </row>
        <row r="5766">
          <cell r="A5766">
            <v>1818200722</v>
          </cell>
          <cell r="B5766" t="str">
            <v>חמרים-תחזוקה עצמית</v>
          </cell>
        </row>
        <row r="5767">
          <cell r="A5767">
            <v>1818200723</v>
          </cell>
          <cell r="B5767" t="str">
            <v xml:space="preserve">חומרים לעב' עצמית </v>
          </cell>
        </row>
        <row r="5768">
          <cell r="A5768">
            <v>1818200742</v>
          </cell>
          <cell r="B5768" t="str">
            <v xml:space="preserve">כלים וציוד        </v>
          </cell>
        </row>
        <row r="5769">
          <cell r="A5769">
            <v>1818200745</v>
          </cell>
          <cell r="B5769" t="str">
            <v>דמי פריצה - תכולה</v>
          </cell>
        </row>
        <row r="5770">
          <cell r="A5770">
            <v>1818200751</v>
          </cell>
          <cell r="B5770" t="str">
            <v xml:space="preserve">עבודות קבלניות    </v>
          </cell>
        </row>
        <row r="5771">
          <cell r="A5771">
            <v>1818200763</v>
          </cell>
          <cell r="B5771" t="str">
            <v xml:space="preserve">עובדים חיצוניים   </v>
          </cell>
        </row>
        <row r="5772">
          <cell r="A5772">
            <v>1818200781</v>
          </cell>
          <cell r="B5772" t="str">
            <v>הפעלת המרכז</v>
          </cell>
        </row>
        <row r="5773">
          <cell r="A5773">
            <v>1818200794</v>
          </cell>
          <cell r="B5773" t="str">
            <v xml:space="preserve">השתתפות בעזר 094  </v>
          </cell>
        </row>
        <row r="5774">
          <cell r="A5774">
            <v>1818200932</v>
          </cell>
          <cell r="B5774" t="str">
            <v>פעולות ( מהכנסות )</v>
          </cell>
        </row>
        <row r="5775">
          <cell r="A5775">
            <v>1818200961</v>
          </cell>
          <cell r="B5775" t="str">
            <v>רז' פעולות ורכישות</v>
          </cell>
        </row>
        <row r="5776">
          <cell r="A5776" t="str">
            <v>#VALUE!</v>
          </cell>
          <cell r="B5776" t="str">
            <v xml:space="preserve">מרכז למידה תהיל"ה </v>
          </cell>
        </row>
        <row r="5777">
          <cell r="A5777">
            <v>1819999989</v>
          </cell>
          <cell r="B5777" t="str">
            <v>קיזוז תקורות חינוך</v>
          </cell>
        </row>
        <row r="5778">
          <cell r="A5778" t="str">
            <v>#VALUE!</v>
          </cell>
          <cell r="B5778" t="str">
            <v>קיזוז תקורות חינוך</v>
          </cell>
        </row>
        <row r="5779">
          <cell r="A5779">
            <v>18200000</v>
          </cell>
          <cell r="B5779" t="str">
            <v xml:space="preserve">תרבות             </v>
          </cell>
        </row>
        <row r="5780">
          <cell r="A5780">
            <v>18220000</v>
          </cell>
          <cell r="B5780" t="str">
            <v xml:space="preserve">מחלקת תרבות       </v>
          </cell>
        </row>
        <row r="5781">
          <cell r="A5781">
            <v>18222000</v>
          </cell>
          <cell r="B5781" t="str">
            <v xml:space="preserve">פעולות תרבותיות   </v>
          </cell>
        </row>
        <row r="5782">
          <cell r="A5782">
            <v>1822200100</v>
          </cell>
          <cell r="B5782" t="str">
            <v>שכר עובדים לפי תקן</v>
          </cell>
        </row>
        <row r="5783">
          <cell r="A5783">
            <v>1822200110</v>
          </cell>
          <cell r="B5783" t="str">
            <v>השכר הקובע-תקציבית</v>
          </cell>
        </row>
        <row r="5784">
          <cell r="A5784">
            <v>1822200119</v>
          </cell>
          <cell r="B5784" t="str">
            <v xml:space="preserve">השכר הקובע-צוברת  </v>
          </cell>
          <cell r="C5784">
            <v>198900</v>
          </cell>
        </row>
        <row r="5785">
          <cell r="A5785">
            <v>1822200122</v>
          </cell>
          <cell r="B5785" t="str">
            <v xml:space="preserve">ביגוד             </v>
          </cell>
          <cell r="C5785">
            <v>0</v>
          </cell>
        </row>
        <row r="5786">
          <cell r="A5786">
            <v>1822200126</v>
          </cell>
          <cell r="B5786" t="str">
            <v xml:space="preserve">דמי הבראה         </v>
          </cell>
        </row>
        <row r="5787">
          <cell r="A5787">
            <v>1822200130</v>
          </cell>
          <cell r="B5787" t="str">
            <v xml:space="preserve">שעות נוספות       </v>
          </cell>
          <cell r="C5787">
            <v>17000</v>
          </cell>
        </row>
        <row r="5788">
          <cell r="A5788">
            <v>1822200140</v>
          </cell>
          <cell r="B5788" t="str">
            <v>השתתפות באחזקת רכב</v>
          </cell>
          <cell r="C5788">
            <v>35700</v>
          </cell>
        </row>
        <row r="5789">
          <cell r="A5789">
            <v>1822200210</v>
          </cell>
          <cell r="B5789" t="str">
            <v xml:space="preserve">השכר הקובע        </v>
          </cell>
        </row>
        <row r="5790">
          <cell r="A5790">
            <v>1822200215</v>
          </cell>
          <cell r="B5790" t="str">
            <v>ע' בית דבורה ועמנו</v>
          </cell>
        </row>
        <row r="5791">
          <cell r="A5791">
            <v>1822200263</v>
          </cell>
          <cell r="B5791" t="str">
            <v>עובדי חברה כ"א</v>
          </cell>
        </row>
        <row r="5792">
          <cell r="A5792">
            <v>1822200400</v>
          </cell>
          <cell r="B5792" t="str">
            <v>אחזקת בנינים וציוד</v>
          </cell>
        </row>
        <row r="5793">
          <cell r="A5793">
            <v>1822200420</v>
          </cell>
          <cell r="B5793" t="str">
            <v xml:space="preserve">כיבוי אש          </v>
          </cell>
        </row>
        <row r="5794">
          <cell r="A5794">
            <v>1822200423</v>
          </cell>
          <cell r="B5794" t="str">
            <v xml:space="preserve">תחזוקת מבנה       </v>
          </cell>
        </row>
        <row r="5795">
          <cell r="A5795">
            <v>1822200431</v>
          </cell>
          <cell r="B5795" t="str">
            <v xml:space="preserve">חשמל              </v>
          </cell>
          <cell r="C5795">
            <v>8600</v>
          </cell>
        </row>
        <row r="5796">
          <cell r="A5796">
            <v>1822200432</v>
          </cell>
          <cell r="B5796" t="str">
            <v xml:space="preserve">מים               </v>
          </cell>
        </row>
        <row r="5797">
          <cell r="A5797">
            <v>1822200433</v>
          </cell>
          <cell r="B5797" t="str">
            <v xml:space="preserve">חומרי נקיון       </v>
          </cell>
        </row>
        <row r="5798">
          <cell r="A5798">
            <v>1822200434</v>
          </cell>
          <cell r="B5798" t="str">
            <v xml:space="preserve">חיטוי והדברה      </v>
          </cell>
        </row>
        <row r="5799">
          <cell r="A5799">
            <v>1822200436</v>
          </cell>
          <cell r="B5799" t="str">
            <v xml:space="preserve">אחזקת מזגנים      </v>
          </cell>
        </row>
        <row r="5800">
          <cell r="A5800">
            <v>1822200437</v>
          </cell>
          <cell r="B5800" t="str">
            <v xml:space="preserve">אחזקת אזעקה       </v>
          </cell>
        </row>
        <row r="5801">
          <cell r="A5801">
            <v>1822200441</v>
          </cell>
          <cell r="B5801" t="str">
            <v xml:space="preserve">ביטוח             </v>
          </cell>
        </row>
        <row r="5802">
          <cell r="A5802">
            <v>1822200450</v>
          </cell>
          <cell r="B5802" t="str">
            <v xml:space="preserve">ריהוט והחזקתו     </v>
          </cell>
        </row>
        <row r="5803">
          <cell r="A5803">
            <v>1822200471</v>
          </cell>
          <cell r="B5803" t="str">
            <v xml:space="preserve">מכשירי כתיבה      </v>
          </cell>
        </row>
        <row r="5804">
          <cell r="A5804">
            <v>1822200500</v>
          </cell>
          <cell r="B5804" t="str">
            <v xml:space="preserve">הוצאות מינהליות   </v>
          </cell>
        </row>
        <row r="5805">
          <cell r="A5805">
            <v>1822200511</v>
          </cell>
          <cell r="B5805" t="str">
            <v xml:space="preserve">אירוח וכיבוד      </v>
          </cell>
        </row>
        <row r="5806">
          <cell r="A5806">
            <v>1822200512</v>
          </cell>
          <cell r="B5806" t="str">
            <v xml:space="preserve">נסיעות ואש"ל      </v>
          </cell>
        </row>
        <row r="5807">
          <cell r="A5807">
            <v>1822200514</v>
          </cell>
          <cell r="B5807" t="str">
            <v xml:space="preserve">פרס לספרות ואמנות </v>
          </cell>
        </row>
        <row r="5808">
          <cell r="A5808">
            <v>1822200522</v>
          </cell>
          <cell r="B5808" t="str">
            <v xml:space="preserve">ספרים             </v>
          </cell>
        </row>
        <row r="5809">
          <cell r="A5809">
            <v>1822200540</v>
          </cell>
          <cell r="B5809" t="str">
            <v xml:space="preserve">הוצאות טלפון      </v>
          </cell>
        </row>
        <row r="5810">
          <cell r="A5810">
            <v>1822200544</v>
          </cell>
          <cell r="B5810" t="str">
            <v xml:space="preserve">הוצאות דאר        </v>
          </cell>
        </row>
        <row r="5811">
          <cell r="A5811">
            <v>1822200550</v>
          </cell>
          <cell r="B5811" t="str">
            <v xml:space="preserve">פירסומים          </v>
          </cell>
        </row>
        <row r="5812">
          <cell r="A5812">
            <v>1822200551</v>
          </cell>
          <cell r="B5812" t="str">
            <v xml:space="preserve">מודעות והדבקתן    </v>
          </cell>
        </row>
        <row r="5813">
          <cell r="A5813">
            <v>1822200561</v>
          </cell>
          <cell r="B5813" t="str">
            <v xml:space="preserve">שיכפולים          </v>
          </cell>
        </row>
        <row r="5814">
          <cell r="A5814">
            <v>1822200562</v>
          </cell>
          <cell r="B5814" t="str">
            <v xml:space="preserve">הדפסות            </v>
          </cell>
        </row>
        <row r="5815">
          <cell r="A5815">
            <v>1822200571</v>
          </cell>
          <cell r="B5815" t="str">
            <v xml:space="preserve">מיכון וענ"א       </v>
          </cell>
        </row>
        <row r="5816">
          <cell r="A5816">
            <v>1822200583</v>
          </cell>
          <cell r="B5816" t="str">
            <v xml:space="preserve">מנהל אתר חוסמסה   </v>
          </cell>
        </row>
        <row r="5817">
          <cell r="A5817">
            <v>1822200700</v>
          </cell>
          <cell r="B5817" t="str">
            <v xml:space="preserve">הוצאות לפעולות    </v>
          </cell>
        </row>
        <row r="5818">
          <cell r="A5818">
            <v>1822200710</v>
          </cell>
          <cell r="B5818" t="str">
            <v xml:space="preserve">הובלות והסעות     </v>
          </cell>
        </row>
        <row r="5819">
          <cell r="A5819">
            <v>1822200721</v>
          </cell>
          <cell r="B5819" t="str">
            <v>חמרים-תחזוקת מבנים</v>
          </cell>
        </row>
        <row r="5820">
          <cell r="A5820">
            <v>1822200722</v>
          </cell>
          <cell r="B5820" t="str">
            <v>חמרים-תחזוקה עצמית</v>
          </cell>
        </row>
        <row r="5821">
          <cell r="A5821">
            <v>1822200723</v>
          </cell>
          <cell r="B5821" t="str">
            <v xml:space="preserve">חמרים למועדונים   </v>
          </cell>
        </row>
        <row r="5822">
          <cell r="A5822">
            <v>1822200742</v>
          </cell>
          <cell r="B5822" t="str">
            <v xml:space="preserve">כלים וציוד        </v>
          </cell>
        </row>
        <row r="5823">
          <cell r="A5823">
            <v>1822200743</v>
          </cell>
          <cell r="B5823" t="str">
            <v xml:space="preserve">תחזוקת ציוד       </v>
          </cell>
        </row>
        <row r="5824">
          <cell r="A5824">
            <v>1822200745</v>
          </cell>
          <cell r="B5824" t="str">
            <v xml:space="preserve">דמי פריצה - תכולה </v>
          </cell>
        </row>
        <row r="5825">
          <cell r="A5825">
            <v>1822200746</v>
          </cell>
          <cell r="B5825" t="str">
            <v xml:space="preserve">דמי פריצה - מבנה  </v>
          </cell>
        </row>
        <row r="5826">
          <cell r="A5826">
            <v>1822200751</v>
          </cell>
          <cell r="B5826" t="str">
            <v xml:space="preserve">עבודות קבלניות    </v>
          </cell>
          <cell r="C5826">
            <v>7300</v>
          </cell>
        </row>
        <row r="5827">
          <cell r="A5827">
            <v>1822200753</v>
          </cell>
          <cell r="B5827" t="str">
            <v xml:space="preserve">עובדים חיצוניים   </v>
          </cell>
        </row>
        <row r="5828">
          <cell r="A5828">
            <v>1822200763</v>
          </cell>
          <cell r="B5828" t="str">
            <v xml:space="preserve">עובדי חברת מוסדות </v>
          </cell>
        </row>
        <row r="5829">
          <cell r="A5829">
            <v>1822200780</v>
          </cell>
          <cell r="B5829" t="str">
            <v xml:space="preserve">תרבות תורנית      </v>
          </cell>
          <cell r="C5829">
            <v>1371800</v>
          </cell>
        </row>
        <row r="5830">
          <cell r="A5830">
            <v>1822200781</v>
          </cell>
          <cell r="B5830" t="str">
            <v xml:space="preserve">ארועים            </v>
          </cell>
        </row>
        <row r="5831">
          <cell r="A5831">
            <v>1822200782</v>
          </cell>
          <cell r="B5831" t="str">
            <v xml:space="preserve">יריד אומנים       </v>
          </cell>
        </row>
        <row r="5832">
          <cell r="A5832">
            <v>1822200783</v>
          </cell>
          <cell r="B5832" t="str">
            <v xml:space="preserve">חוג לתנ"ך         </v>
          </cell>
        </row>
        <row r="5833">
          <cell r="A5833">
            <v>1822200784</v>
          </cell>
          <cell r="B5833" t="str">
            <v>פיתוח כלכלי למגזר החרדי</v>
          </cell>
        </row>
        <row r="5834">
          <cell r="A5834">
            <v>1822200785</v>
          </cell>
          <cell r="B5834" t="str">
            <v>מכון בר-מצוה הכנסה</v>
          </cell>
        </row>
        <row r="5835">
          <cell r="A5835">
            <v>1822200786</v>
          </cell>
          <cell r="B5835" t="str">
            <v>ספר חולון</v>
          </cell>
        </row>
        <row r="5836">
          <cell r="A5836">
            <v>1822200787</v>
          </cell>
          <cell r="B5836" t="str">
            <v xml:space="preserve">פעולות תרבותיות   </v>
          </cell>
        </row>
        <row r="5837">
          <cell r="A5837">
            <v>1822200794</v>
          </cell>
          <cell r="B5837" t="str">
            <v xml:space="preserve">השתתפות בעזר 094  </v>
          </cell>
        </row>
        <row r="5838">
          <cell r="A5838">
            <v>1822200800</v>
          </cell>
          <cell r="B5838" t="str">
            <v>השת' תמיכות תרומות</v>
          </cell>
        </row>
        <row r="5839">
          <cell r="A5839">
            <v>1822200875</v>
          </cell>
          <cell r="B5839" t="str">
            <v>הוצ' החב' לפיתוח</v>
          </cell>
        </row>
        <row r="5840">
          <cell r="A5840">
            <v>1822200961</v>
          </cell>
          <cell r="B5840" t="str">
            <v>רז' פעולות ורכישות</v>
          </cell>
        </row>
        <row r="5841">
          <cell r="A5841" t="str">
            <v>#VALUE!</v>
          </cell>
          <cell r="B5841" t="str">
            <v xml:space="preserve">פעולות תרבותיות   </v>
          </cell>
        </row>
        <row r="5842">
          <cell r="A5842">
            <v>18227000</v>
          </cell>
          <cell r="B5842" t="str">
            <v xml:space="preserve">חוגי העשרה        </v>
          </cell>
        </row>
        <row r="5843">
          <cell r="A5843">
            <v>1822700110</v>
          </cell>
          <cell r="B5843" t="str">
            <v>השכר הקובע-תקציבית</v>
          </cell>
        </row>
        <row r="5844">
          <cell r="A5844">
            <v>1822700119</v>
          </cell>
          <cell r="B5844" t="str">
            <v xml:space="preserve">השכר הקובע-צוברת  </v>
          </cell>
          <cell r="C5844">
            <v>308500</v>
          </cell>
        </row>
        <row r="5845">
          <cell r="A5845">
            <v>1822700122</v>
          </cell>
          <cell r="B5845" t="str">
            <v xml:space="preserve">ביגוד             </v>
          </cell>
          <cell r="C5845">
            <v>1800</v>
          </cell>
        </row>
        <row r="5846">
          <cell r="A5846">
            <v>1822700126</v>
          </cell>
          <cell r="B5846" t="str">
            <v xml:space="preserve">דמי הבראה         </v>
          </cell>
          <cell r="C5846">
            <v>6000</v>
          </cell>
        </row>
        <row r="5847">
          <cell r="A5847">
            <v>1822700130</v>
          </cell>
          <cell r="B5847" t="str">
            <v xml:space="preserve">שעות נוספות       </v>
          </cell>
          <cell r="C5847">
            <v>13000</v>
          </cell>
        </row>
        <row r="5848">
          <cell r="A5848">
            <v>1822700140</v>
          </cell>
          <cell r="B5848" t="str">
            <v>השתתפות באחזקת רכב</v>
          </cell>
          <cell r="C5848">
            <v>27700</v>
          </cell>
        </row>
        <row r="5849">
          <cell r="A5849">
            <v>1822700210</v>
          </cell>
          <cell r="B5849" t="str">
            <v xml:space="preserve">השכר הקובע        </v>
          </cell>
        </row>
        <row r="5850">
          <cell r="A5850">
            <v>1822700263</v>
          </cell>
          <cell r="B5850" t="str">
            <v xml:space="preserve">עובדי חברת מוסדות </v>
          </cell>
        </row>
        <row r="5851">
          <cell r="A5851">
            <v>1822700433</v>
          </cell>
          <cell r="B5851" t="str">
            <v xml:space="preserve">חומרי נקיון       </v>
          </cell>
        </row>
        <row r="5852">
          <cell r="A5852">
            <v>1822700441</v>
          </cell>
          <cell r="B5852" t="str">
            <v xml:space="preserve">ביטוח             </v>
          </cell>
        </row>
        <row r="5853">
          <cell r="A5853">
            <v>1822700470</v>
          </cell>
          <cell r="B5853" t="str">
            <v xml:space="preserve">אחזקת מכונות משרד </v>
          </cell>
        </row>
        <row r="5854">
          <cell r="A5854">
            <v>1822700471</v>
          </cell>
          <cell r="B5854" t="str">
            <v xml:space="preserve">מכשירי כתיבה      </v>
          </cell>
        </row>
        <row r="5855">
          <cell r="A5855">
            <v>1822700511</v>
          </cell>
          <cell r="B5855" t="str">
            <v xml:space="preserve">אירוח וכיבוד      </v>
          </cell>
        </row>
        <row r="5856">
          <cell r="A5856">
            <v>1822700522</v>
          </cell>
          <cell r="B5856" t="str">
            <v xml:space="preserve">ספרים             </v>
          </cell>
        </row>
        <row r="5857">
          <cell r="A5857">
            <v>1822700540</v>
          </cell>
          <cell r="B5857" t="str">
            <v xml:space="preserve">הוצאות טלפון      </v>
          </cell>
        </row>
        <row r="5858">
          <cell r="A5858">
            <v>1822700544</v>
          </cell>
          <cell r="B5858" t="str">
            <v xml:space="preserve">הוצאות דאר        </v>
          </cell>
        </row>
        <row r="5859">
          <cell r="A5859">
            <v>1822700550</v>
          </cell>
          <cell r="B5859" t="str">
            <v xml:space="preserve">פירסומים          </v>
          </cell>
        </row>
        <row r="5860">
          <cell r="A5860">
            <v>1822700561</v>
          </cell>
          <cell r="B5860" t="str">
            <v xml:space="preserve">שיכפולים          </v>
          </cell>
        </row>
        <row r="5861">
          <cell r="A5861">
            <v>1822700562</v>
          </cell>
          <cell r="B5861" t="str">
            <v xml:space="preserve">הדפסות            </v>
          </cell>
        </row>
        <row r="5862">
          <cell r="A5862">
            <v>1822700571</v>
          </cell>
          <cell r="B5862" t="str">
            <v xml:space="preserve">מיכון וענ"א       </v>
          </cell>
        </row>
        <row r="5863">
          <cell r="A5863">
            <v>1822700580</v>
          </cell>
          <cell r="B5863" t="str">
            <v xml:space="preserve">יעוץ פסיכולוגי    </v>
          </cell>
        </row>
        <row r="5864">
          <cell r="A5864">
            <v>1822700583</v>
          </cell>
          <cell r="B5864" t="str">
            <v xml:space="preserve">מדריכים בחשבונית  </v>
          </cell>
        </row>
        <row r="5865">
          <cell r="A5865">
            <v>1822700710</v>
          </cell>
          <cell r="B5865" t="str">
            <v xml:space="preserve">הובלות            </v>
          </cell>
        </row>
        <row r="5866">
          <cell r="A5866">
            <v>1822700722</v>
          </cell>
          <cell r="B5866" t="str">
            <v>חמרים-תחזוקה עצמית</v>
          </cell>
        </row>
        <row r="5867">
          <cell r="A5867">
            <v>1822700723</v>
          </cell>
          <cell r="B5867" t="str">
            <v xml:space="preserve">חומרים לחוגים     </v>
          </cell>
        </row>
        <row r="5868">
          <cell r="A5868">
            <v>1822700743</v>
          </cell>
          <cell r="B5868" t="str">
            <v xml:space="preserve">תחזוקת ציוד       </v>
          </cell>
        </row>
        <row r="5869">
          <cell r="A5869">
            <v>1822700745</v>
          </cell>
          <cell r="B5869" t="str">
            <v>דמי פריצה - תכולה</v>
          </cell>
        </row>
        <row r="5870">
          <cell r="A5870">
            <v>1822700750</v>
          </cell>
          <cell r="B5870" t="str">
            <v xml:space="preserve">עבודות קבלניות    </v>
          </cell>
        </row>
        <row r="5871">
          <cell r="A5871">
            <v>1822700752</v>
          </cell>
          <cell r="B5871" t="str">
            <v xml:space="preserve">נקיון בקבלנות     </v>
          </cell>
        </row>
        <row r="5872">
          <cell r="A5872">
            <v>1822700753</v>
          </cell>
          <cell r="B5872" t="str">
            <v>ריכוז מבחנים וסדרן</v>
          </cell>
        </row>
        <row r="5873">
          <cell r="A5873">
            <v>1822700763</v>
          </cell>
          <cell r="B5873" t="str">
            <v xml:space="preserve">עובדי חברת מוסדות </v>
          </cell>
        </row>
        <row r="5874">
          <cell r="A5874">
            <v>1822700765</v>
          </cell>
          <cell r="B5874" t="str">
            <v xml:space="preserve">שעות מחשב+שכירות  </v>
          </cell>
        </row>
        <row r="5875">
          <cell r="A5875">
            <v>1822700780</v>
          </cell>
          <cell r="B5875" t="str">
            <v>פעולות ( מהכנסות )</v>
          </cell>
        </row>
        <row r="5876">
          <cell r="A5876">
            <v>1822700781</v>
          </cell>
          <cell r="B5876" t="str">
            <v>פעולות שונות</v>
          </cell>
        </row>
        <row r="5877">
          <cell r="A5877">
            <v>1822700782</v>
          </cell>
          <cell r="B5877" t="str">
            <v xml:space="preserve">ארועים            </v>
          </cell>
        </row>
        <row r="5878">
          <cell r="A5878">
            <v>1822700794</v>
          </cell>
          <cell r="B5878" t="str">
            <v xml:space="preserve">השתתפות בעזר 094  </v>
          </cell>
        </row>
        <row r="5879">
          <cell r="A5879">
            <v>1822700900</v>
          </cell>
          <cell r="B5879" t="str">
            <v xml:space="preserve">הוצאות חד פעמיות  </v>
          </cell>
        </row>
        <row r="5880">
          <cell r="A5880">
            <v>1822700931</v>
          </cell>
          <cell r="B5880" t="str">
            <v xml:space="preserve">ציוד חד פעמי      </v>
          </cell>
        </row>
        <row r="5881">
          <cell r="A5881">
            <v>1822700961</v>
          </cell>
          <cell r="B5881" t="str">
            <v>רז' פעולות ורכישות</v>
          </cell>
        </row>
        <row r="5882">
          <cell r="A5882" t="str">
            <v>#VALUE!</v>
          </cell>
          <cell r="B5882" t="str">
            <v xml:space="preserve">חוגי העשרה        </v>
          </cell>
        </row>
        <row r="5883">
          <cell r="A5883">
            <v>18230000</v>
          </cell>
          <cell r="B5883" t="str">
            <v xml:space="preserve">ספריות            </v>
          </cell>
        </row>
        <row r="5884">
          <cell r="A5884">
            <v>1823000100</v>
          </cell>
          <cell r="B5884" t="str">
            <v>שכר עובדים לפי תקן</v>
          </cell>
        </row>
        <row r="5885">
          <cell r="A5885">
            <v>1823000110</v>
          </cell>
          <cell r="B5885" t="str">
            <v>השכר הקובע-תקציבית</v>
          </cell>
          <cell r="C5885">
            <v>691200</v>
          </cell>
        </row>
        <row r="5886">
          <cell r="A5886">
            <v>1823000119</v>
          </cell>
          <cell r="B5886" t="str">
            <v xml:space="preserve">השכר הקובע-צוברת  </v>
          </cell>
        </row>
        <row r="5887">
          <cell r="A5887">
            <v>1823000122</v>
          </cell>
          <cell r="B5887" t="str">
            <v xml:space="preserve">ביגוד             </v>
          </cell>
          <cell r="C5887">
            <v>5000</v>
          </cell>
        </row>
        <row r="5888">
          <cell r="A5888">
            <v>1823000126</v>
          </cell>
          <cell r="B5888" t="str">
            <v xml:space="preserve">דמי הבראה         </v>
          </cell>
          <cell r="C5888">
            <v>26000</v>
          </cell>
        </row>
        <row r="5889">
          <cell r="A5889">
            <v>1823000130</v>
          </cell>
          <cell r="B5889" t="str">
            <v xml:space="preserve">שעות נוספות       </v>
          </cell>
          <cell r="C5889">
            <v>100000</v>
          </cell>
        </row>
        <row r="5890">
          <cell r="A5890">
            <v>1823000140</v>
          </cell>
          <cell r="B5890" t="str">
            <v>השתתפות באחזקת רכב</v>
          </cell>
          <cell r="C5890">
            <v>21000</v>
          </cell>
        </row>
        <row r="5891">
          <cell r="A5891">
            <v>1823000200</v>
          </cell>
          <cell r="B5891" t="str">
            <v>שכר עובדים ללא תקן</v>
          </cell>
        </row>
        <row r="5892">
          <cell r="A5892">
            <v>1823000210</v>
          </cell>
          <cell r="B5892" t="str">
            <v xml:space="preserve">השכר הקובע        </v>
          </cell>
        </row>
        <row r="5893">
          <cell r="A5893">
            <v>1823000263</v>
          </cell>
          <cell r="B5893" t="str">
            <v xml:space="preserve">ספרניות מוסדות    </v>
          </cell>
        </row>
        <row r="5894">
          <cell r="A5894">
            <v>1823000400</v>
          </cell>
          <cell r="B5894" t="str">
            <v>אחזקת בנינים וציוד</v>
          </cell>
        </row>
        <row r="5895">
          <cell r="A5895">
            <v>1823000410</v>
          </cell>
          <cell r="B5895" t="str">
            <v>מדיטק - שכר דירה</v>
          </cell>
        </row>
        <row r="5896">
          <cell r="A5896">
            <v>1823000413</v>
          </cell>
          <cell r="B5896" t="str">
            <v>דמ''ש</v>
          </cell>
        </row>
        <row r="5897">
          <cell r="A5897">
            <v>1823000420</v>
          </cell>
          <cell r="B5897" t="str">
            <v xml:space="preserve">כיבוי אש          </v>
          </cell>
        </row>
        <row r="5898">
          <cell r="A5898">
            <v>1823000423</v>
          </cell>
          <cell r="B5898" t="str">
            <v xml:space="preserve">תחזוקת מבנה       </v>
          </cell>
        </row>
        <row r="5899">
          <cell r="A5899">
            <v>1823000431</v>
          </cell>
          <cell r="B5899" t="str">
            <v xml:space="preserve">חשמל              </v>
          </cell>
        </row>
        <row r="5900">
          <cell r="A5900">
            <v>1823000432</v>
          </cell>
          <cell r="B5900" t="str">
            <v xml:space="preserve">מים               </v>
          </cell>
        </row>
        <row r="5901">
          <cell r="A5901">
            <v>1823000433</v>
          </cell>
          <cell r="B5901" t="str">
            <v xml:space="preserve">חומרי נקיון       </v>
          </cell>
        </row>
        <row r="5902">
          <cell r="A5902">
            <v>1823000434</v>
          </cell>
          <cell r="B5902" t="str">
            <v xml:space="preserve">חיטוי והדברה      </v>
          </cell>
        </row>
        <row r="5903">
          <cell r="A5903">
            <v>1823000436</v>
          </cell>
          <cell r="B5903" t="str">
            <v xml:space="preserve">אחזקת מזגנים      </v>
          </cell>
        </row>
        <row r="5904">
          <cell r="A5904">
            <v>1823000437</v>
          </cell>
          <cell r="B5904" t="str">
            <v xml:space="preserve">אחזקת אזעקה       </v>
          </cell>
        </row>
        <row r="5905">
          <cell r="A5905">
            <v>1823000441</v>
          </cell>
          <cell r="B5905" t="str">
            <v xml:space="preserve">ביטוח             </v>
          </cell>
          <cell r="C5905">
            <v>50600</v>
          </cell>
        </row>
        <row r="5906">
          <cell r="A5906">
            <v>1823000450</v>
          </cell>
          <cell r="B5906" t="str">
            <v xml:space="preserve">ריהוט ואחזקתו     </v>
          </cell>
        </row>
        <row r="5907">
          <cell r="A5907">
            <v>1823000471</v>
          </cell>
          <cell r="B5907" t="str">
            <v xml:space="preserve">מכשירי כתיבה      </v>
          </cell>
        </row>
        <row r="5908">
          <cell r="A5908">
            <v>1823000472</v>
          </cell>
          <cell r="B5908" t="str">
            <v xml:space="preserve">גילוי אש בן יהודה </v>
          </cell>
        </row>
        <row r="5909">
          <cell r="A5909">
            <v>1823000474</v>
          </cell>
          <cell r="B5909" t="str">
            <v>ש' מעליות בן-יהודה</v>
          </cell>
        </row>
        <row r="5910">
          <cell r="A5910">
            <v>1823000500</v>
          </cell>
          <cell r="B5910" t="str">
            <v xml:space="preserve">הוצאות מינהליות   </v>
          </cell>
        </row>
        <row r="5911">
          <cell r="A5911">
            <v>1823000511</v>
          </cell>
          <cell r="B5911" t="str">
            <v xml:space="preserve">אירוח וכיבוד      </v>
          </cell>
        </row>
        <row r="5912">
          <cell r="A5912">
            <v>1823000512</v>
          </cell>
          <cell r="B5912" t="str">
            <v xml:space="preserve">נסיעות ואש"ל      </v>
          </cell>
        </row>
        <row r="5913">
          <cell r="A5913">
            <v>1823000521</v>
          </cell>
          <cell r="B5913" t="str">
            <v>השתלמויות מידאטק</v>
          </cell>
        </row>
        <row r="5914">
          <cell r="A5914">
            <v>1823000522</v>
          </cell>
          <cell r="B5914" t="str">
            <v xml:space="preserve">ספרים ועיתונים    </v>
          </cell>
        </row>
        <row r="5915">
          <cell r="A5915">
            <v>1823000540</v>
          </cell>
          <cell r="B5915" t="str">
            <v xml:space="preserve">הוצאות טלפון      </v>
          </cell>
        </row>
        <row r="5916">
          <cell r="A5916">
            <v>1823000544</v>
          </cell>
          <cell r="B5916" t="str">
            <v xml:space="preserve">הוצאות דאר        </v>
          </cell>
        </row>
        <row r="5917">
          <cell r="A5917">
            <v>1823000561</v>
          </cell>
          <cell r="B5917" t="str">
            <v xml:space="preserve">שיכפולים          </v>
          </cell>
        </row>
        <row r="5918">
          <cell r="A5918">
            <v>1823000562</v>
          </cell>
          <cell r="B5918" t="str">
            <v xml:space="preserve">הדפסות            </v>
          </cell>
        </row>
        <row r="5919">
          <cell r="A5919">
            <v>1823000571</v>
          </cell>
          <cell r="B5919" t="str">
            <v xml:space="preserve">מיכון וענ"א       </v>
          </cell>
        </row>
        <row r="5920">
          <cell r="A5920">
            <v>1823000700</v>
          </cell>
          <cell r="B5920" t="str">
            <v xml:space="preserve">הוצאות לפעולות    </v>
          </cell>
        </row>
        <row r="5921">
          <cell r="A5921">
            <v>1823000710</v>
          </cell>
          <cell r="B5921" t="str">
            <v xml:space="preserve">הובלות והסעות     </v>
          </cell>
        </row>
        <row r="5922">
          <cell r="A5922">
            <v>1823000721</v>
          </cell>
          <cell r="B5922" t="str">
            <v>חמרים-תחזוקת מבנים</v>
          </cell>
        </row>
        <row r="5923">
          <cell r="A5923">
            <v>1823000722</v>
          </cell>
          <cell r="B5923" t="str">
            <v>חמרים-תחזוקה עצמית</v>
          </cell>
        </row>
        <row r="5924">
          <cell r="A5924">
            <v>1823000723</v>
          </cell>
          <cell r="B5924" t="str">
            <v>חומרים לעבוד ספרים</v>
          </cell>
        </row>
        <row r="5925">
          <cell r="A5925">
            <v>1823000724</v>
          </cell>
          <cell r="B5925" t="str">
            <v>רכישות מרכז ההדרכה</v>
          </cell>
        </row>
        <row r="5926">
          <cell r="A5926">
            <v>1823000741</v>
          </cell>
          <cell r="B5926" t="str">
            <v xml:space="preserve">כריכת ספרים       </v>
          </cell>
        </row>
        <row r="5927">
          <cell r="A5927">
            <v>1823000742</v>
          </cell>
          <cell r="B5927" t="str">
            <v xml:space="preserve">כלים וציוד        </v>
          </cell>
        </row>
        <row r="5928">
          <cell r="A5928">
            <v>1823000743</v>
          </cell>
          <cell r="B5928" t="str">
            <v>תח' ספריה מוסיקלית</v>
          </cell>
        </row>
        <row r="5929">
          <cell r="A5929">
            <v>1823000745</v>
          </cell>
          <cell r="B5929" t="str">
            <v xml:space="preserve">דמי פריצה - תכולה </v>
          </cell>
        </row>
        <row r="5930">
          <cell r="A5930">
            <v>1823000750</v>
          </cell>
          <cell r="B5930" t="str">
            <v>אחזקת מוסדות</v>
          </cell>
        </row>
        <row r="5931">
          <cell r="A5931">
            <v>1823000751</v>
          </cell>
          <cell r="B5931" t="str">
            <v xml:space="preserve">עבודות קבלניות    </v>
          </cell>
        </row>
        <row r="5932">
          <cell r="A5932">
            <v>1823000752</v>
          </cell>
          <cell r="B5932" t="str">
            <v xml:space="preserve">נקיון בקבלנות     </v>
          </cell>
        </row>
        <row r="5933">
          <cell r="A5933">
            <v>1823000753</v>
          </cell>
          <cell r="B5933" t="str">
            <v xml:space="preserve">עובדים חיצוניים   </v>
          </cell>
        </row>
        <row r="5934">
          <cell r="A5934">
            <v>1823000755</v>
          </cell>
          <cell r="B5934" t="str">
            <v xml:space="preserve">עובדים חיצוניים   </v>
          </cell>
        </row>
        <row r="5935">
          <cell r="A5935">
            <v>1823000756</v>
          </cell>
          <cell r="B5935" t="str">
            <v>שמירה</v>
          </cell>
        </row>
        <row r="5936">
          <cell r="A5936">
            <v>1823000763</v>
          </cell>
          <cell r="B5936" t="str">
            <v xml:space="preserve">ספרניות מוסדות    </v>
          </cell>
        </row>
        <row r="5937">
          <cell r="A5937">
            <v>1823000780</v>
          </cell>
          <cell r="B5937" t="str">
            <v>העונה הישראלית לעיצוב</v>
          </cell>
        </row>
        <row r="5938">
          <cell r="A5938">
            <v>1823000781</v>
          </cell>
          <cell r="B5938" t="str">
            <v>הפעלת רשת הספריות</v>
          </cell>
        </row>
        <row r="5939">
          <cell r="A5939">
            <v>1823000782</v>
          </cell>
          <cell r="B5939" t="str">
            <v>הפעלת המדיטק</v>
          </cell>
        </row>
        <row r="5940">
          <cell r="A5940">
            <v>1823000783</v>
          </cell>
          <cell r="B5940" t="str">
            <v>שבוע דרום קוריאה</v>
          </cell>
        </row>
        <row r="5941">
          <cell r="A5941">
            <v>1823000789</v>
          </cell>
          <cell r="B5941" t="str">
            <v xml:space="preserve">שבוע הספר         </v>
          </cell>
        </row>
        <row r="5942">
          <cell r="A5942">
            <v>1823000794</v>
          </cell>
          <cell r="B5942" t="str">
            <v xml:space="preserve">השתתפות בעזר 094  </v>
          </cell>
        </row>
        <row r="5943">
          <cell r="A5943">
            <v>1823000870</v>
          </cell>
          <cell r="B5943" t="str">
            <v>העונה הישראלית לעיצוב</v>
          </cell>
        </row>
        <row r="5944">
          <cell r="A5944">
            <v>1823000871</v>
          </cell>
          <cell r="B5944" t="str">
            <v>פסטיבל ישראל-מדיטק</v>
          </cell>
        </row>
        <row r="5945">
          <cell r="A5945">
            <v>1823000872</v>
          </cell>
          <cell r="B5945" t="str">
            <v>שבוע העיצוב</v>
          </cell>
        </row>
        <row r="5946">
          <cell r="A5946">
            <v>1823000873</v>
          </cell>
          <cell r="B5946" t="str">
            <v>כנס אופנה</v>
          </cell>
        </row>
        <row r="5947">
          <cell r="A5947">
            <v>1823000874</v>
          </cell>
          <cell r="B5947" t="str">
            <v>שכ"ד - מדיטק</v>
          </cell>
        </row>
        <row r="5948">
          <cell r="A5948">
            <v>1823000875</v>
          </cell>
          <cell r="B5948" t="str">
            <v>הפעלת רשת הספריות</v>
          </cell>
        </row>
        <row r="5949">
          <cell r="A5949">
            <v>1823000876</v>
          </cell>
          <cell r="B5949" t="str">
            <v>הפעלת המדיטק</v>
          </cell>
        </row>
        <row r="5950">
          <cell r="A5950">
            <v>1823000877</v>
          </cell>
          <cell r="B5950" t="str">
            <v>השתתפות בסינימטק</v>
          </cell>
        </row>
        <row r="5951">
          <cell r="A5951">
            <v>1823000878</v>
          </cell>
          <cell r="B5951" t="str">
            <v>כנס עיצוב-מ' פיתוח אזורי</v>
          </cell>
        </row>
        <row r="5952">
          <cell r="A5952">
            <v>1823000879</v>
          </cell>
          <cell r="B5952" t="str">
            <v>ביטוח כנגד הכנסות</v>
          </cell>
          <cell r="C5952">
            <v>20600</v>
          </cell>
        </row>
        <row r="5953">
          <cell r="A5953">
            <v>1823000880</v>
          </cell>
          <cell r="B5953" t="str">
            <v>הפקת מחול</v>
          </cell>
        </row>
        <row r="5954">
          <cell r="A5954">
            <v>1823000881</v>
          </cell>
          <cell r="B5954" t="str">
            <v>נשים בעסקים</v>
          </cell>
        </row>
        <row r="5955">
          <cell r="A5955">
            <v>1823000888</v>
          </cell>
          <cell r="B5955" t="str">
            <v>טקס פרסי קולנוע ו-TV לילדים</v>
          </cell>
        </row>
        <row r="5956">
          <cell r="A5956">
            <v>1823000900</v>
          </cell>
          <cell r="B5956" t="str">
            <v xml:space="preserve">הוצאות חד פעמיות  </v>
          </cell>
        </row>
        <row r="5957">
          <cell r="A5957">
            <v>1823000931</v>
          </cell>
          <cell r="B5957" t="str">
            <v>מדיטק-השלמת שכר ספרניות</v>
          </cell>
        </row>
        <row r="5958">
          <cell r="A5958">
            <v>1823000934</v>
          </cell>
          <cell r="B5958" t="str">
            <v>העברה חד פעמית</v>
          </cell>
        </row>
        <row r="5959">
          <cell r="A5959">
            <v>1823000950</v>
          </cell>
          <cell r="B5959" t="str">
            <v>הלוואה למדיטק</v>
          </cell>
        </row>
        <row r="5960">
          <cell r="A5960">
            <v>1823000960</v>
          </cell>
          <cell r="B5960" t="str">
            <v>הוצאות ח"פ-מדיטק</v>
          </cell>
        </row>
        <row r="5961">
          <cell r="A5961">
            <v>1823000961</v>
          </cell>
          <cell r="B5961" t="str">
            <v>רז' פעולות ורכישות</v>
          </cell>
        </row>
        <row r="5962">
          <cell r="A5962">
            <v>1823000981</v>
          </cell>
          <cell r="B5962" t="str">
            <v>הוצאות שנים קודמות</v>
          </cell>
        </row>
        <row r="5963">
          <cell r="A5963" t="str">
            <v>#VALUE!</v>
          </cell>
          <cell r="B5963" t="str">
            <v xml:space="preserve">ספריות            </v>
          </cell>
        </row>
        <row r="5964">
          <cell r="A5964">
            <v>18250000</v>
          </cell>
          <cell r="B5964" t="str">
            <v xml:space="preserve">מוסיקה ומחול      </v>
          </cell>
        </row>
        <row r="5965">
          <cell r="A5965">
            <v>18255000</v>
          </cell>
          <cell r="B5965" t="str">
            <v xml:space="preserve">להקות  עירוניות   </v>
          </cell>
        </row>
        <row r="5966">
          <cell r="A5966">
            <v>1825500110</v>
          </cell>
          <cell r="B5966" t="str">
            <v>השכר הקובע-תקציבית</v>
          </cell>
        </row>
        <row r="5967">
          <cell r="A5967">
            <v>1825500119</v>
          </cell>
          <cell r="B5967" t="str">
            <v xml:space="preserve">השכר הקובע-צוברת  </v>
          </cell>
        </row>
        <row r="5968">
          <cell r="A5968">
            <v>1825500122</v>
          </cell>
          <cell r="B5968" t="str">
            <v xml:space="preserve">ביגוד             </v>
          </cell>
        </row>
        <row r="5969">
          <cell r="A5969">
            <v>1825500126</v>
          </cell>
          <cell r="B5969" t="str">
            <v xml:space="preserve">דמי הבראה         </v>
          </cell>
        </row>
        <row r="5970">
          <cell r="A5970">
            <v>1825500130</v>
          </cell>
          <cell r="B5970" t="str">
            <v xml:space="preserve">שעות נוספות       </v>
          </cell>
        </row>
        <row r="5971">
          <cell r="A5971">
            <v>1825500140</v>
          </cell>
          <cell r="B5971" t="str">
            <v>השתתפות באחזקת רכב</v>
          </cell>
        </row>
        <row r="5972">
          <cell r="A5972">
            <v>1825500210</v>
          </cell>
          <cell r="B5972" t="str">
            <v xml:space="preserve">השכר הקובע        </v>
          </cell>
        </row>
        <row r="5973">
          <cell r="A5973">
            <v>1825500250</v>
          </cell>
          <cell r="B5973" t="str">
            <v>שכר מושאלים</v>
          </cell>
        </row>
        <row r="5974">
          <cell r="A5974">
            <v>1825500410</v>
          </cell>
          <cell r="B5974" t="str">
            <v xml:space="preserve">השכרות            </v>
          </cell>
        </row>
        <row r="5975">
          <cell r="A5975">
            <v>1825500441</v>
          </cell>
          <cell r="B5975" t="str">
            <v xml:space="preserve">ביטוח             </v>
          </cell>
        </row>
        <row r="5976">
          <cell r="A5976">
            <v>1825500511</v>
          </cell>
          <cell r="B5976" t="str">
            <v xml:space="preserve">אירוח וכיבוד      </v>
          </cell>
        </row>
        <row r="5977">
          <cell r="A5977">
            <v>1825500550</v>
          </cell>
          <cell r="B5977" t="str">
            <v xml:space="preserve">פירסומים          </v>
          </cell>
        </row>
        <row r="5978">
          <cell r="A5978">
            <v>1825500583</v>
          </cell>
          <cell r="B5978" t="str">
            <v>כוריאוג' אקורדיונ'</v>
          </cell>
        </row>
        <row r="5979">
          <cell r="A5979">
            <v>1825500710</v>
          </cell>
          <cell r="B5979" t="str">
            <v xml:space="preserve">הובלות  והסעות    </v>
          </cell>
        </row>
        <row r="5980">
          <cell r="A5980">
            <v>1825500742</v>
          </cell>
          <cell r="B5980" t="str">
            <v xml:space="preserve">כלים וציוד        </v>
          </cell>
        </row>
        <row r="5981">
          <cell r="A5981">
            <v>1825500744</v>
          </cell>
          <cell r="B5981" t="str">
            <v xml:space="preserve">תלבושות           </v>
          </cell>
        </row>
        <row r="5982">
          <cell r="A5982">
            <v>1825500781</v>
          </cell>
          <cell r="B5982" t="str">
            <v>פעולות להקת ורטיגו</v>
          </cell>
        </row>
        <row r="5983">
          <cell r="A5983">
            <v>1825500782</v>
          </cell>
          <cell r="B5983" t="str">
            <v xml:space="preserve">פע' דרך רשת קהילה </v>
          </cell>
        </row>
        <row r="5984">
          <cell r="A5984">
            <v>1825500783</v>
          </cell>
          <cell r="B5984" t="str">
            <v>שכר מנהלת להקות</v>
          </cell>
        </row>
        <row r="5985">
          <cell r="A5985">
            <v>1825500784</v>
          </cell>
          <cell r="B5985" t="str">
            <v>בי"ס למחול</v>
          </cell>
        </row>
        <row r="5986">
          <cell r="A5986">
            <v>1825500785</v>
          </cell>
          <cell r="B5986" t="str">
            <v>להקת "טררם"</v>
          </cell>
        </row>
        <row r="5987">
          <cell r="A5987">
            <v>1825500786</v>
          </cell>
          <cell r="B5987" t="str">
            <v xml:space="preserve">פעולות להקות      </v>
          </cell>
        </row>
        <row r="5988">
          <cell r="A5988">
            <v>1825500787</v>
          </cell>
          <cell r="B5988" t="str">
            <v>להקת פרסקו</v>
          </cell>
        </row>
        <row r="5989">
          <cell r="A5989">
            <v>1825500788</v>
          </cell>
          <cell r="B5989" t="str">
            <v>פעולות ותחזוקה</v>
          </cell>
        </row>
        <row r="5990">
          <cell r="A5990">
            <v>1825500961</v>
          </cell>
          <cell r="B5990" t="str">
            <v>רז' פעולות ורכישות</v>
          </cell>
        </row>
        <row r="5991">
          <cell r="A5991" t="str">
            <v>#VALUE!</v>
          </cell>
          <cell r="B5991" t="str">
            <v xml:space="preserve">להקות  עירוניות   </v>
          </cell>
        </row>
        <row r="5992">
          <cell r="A5992">
            <v>18260000</v>
          </cell>
          <cell r="B5992" t="str">
            <v xml:space="preserve">מוקדי תרבות       </v>
          </cell>
        </row>
        <row r="5993">
          <cell r="A5993">
            <v>18261000</v>
          </cell>
          <cell r="B5993" t="str">
            <v xml:space="preserve">תיאטרון חולון     </v>
          </cell>
        </row>
        <row r="5994">
          <cell r="A5994">
            <v>1826100119</v>
          </cell>
          <cell r="B5994" t="str">
            <v xml:space="preserve">השכר הקובע-צוברת  </v>
          </cell>
        </row>
        <row r="5995">
          <cell r="A5995">
            <v>1826100211</v>
          </cell>
          <cell r="B5995" t="str">
            <v>העסקת עובדי עירייה</v>
          </cell>
        </row>
        <row r="5996">
          <cell r="A5996">
            <v>1826100250</v>
          </cell>
          <cell r="B5996" t="str">
            <v>שכר מושאלים</v>
          </cell>
        </row>
        <row r="5997">
          <cell r="A5997">
            <v>1826100410</v>
          </cell>
          <cell r="B5997" t="str">
            <v>דמי שכירות</v>
          </cell>
        </row>
        <row r="5998">
          <cell r="A5998">
            <v>1826100413</v>
          </cell>
          <cell r="B5998" t="str">
            <v>דמ''ש</v>
          </cell>
        </row>
        <row r="5999">
          <cell r="A5999">
            <v>1826100431</v>
          </cell>
          <cell r="B5999" t="str">
            <v xml:space="preserve">חשמל              </v>
          </cell>
          <cell r="C5999">
            <v>2200</v>
          </cell>
        </row>
        <row r="6000">
          <cell r="A6000">
            <v>1826100432</v>
          </cell>
          <cell r="B6000" t="str">
            <v xml:space="preserve">מים               </v>
          </cell>
        </row>
        <row r="6001">
          <cell r="A6001">
            <v>1826100441</v>
          </cell>
          <cell r="B6001" t="str">
            <v xml:space="preserve">ביטוח             </v>
          </cell>
          <cell r="C6001">
            <v>72200</v>
          </cell>
        </row>
        <row r="6002">
          <cell r="A6002">
            <v>1826100870</v>
          </cell>
          <cell r="B6002" t="str">
            <v xml:space="preserve">השתתפויות         </v>
          </cell>
        </row>
        <row r="6003">
          <cell r="A6003">
            <v>1826100871</v>
          </cell>
          <cell r="B6003" t="str">
            <v>הש'-פעולות מיוחדות</v>
          </cell>
        </row>
        <row r="6004">
          <cell r="A6004">
            <v>1826100872</v>
          </cell>
          <cell r="B6004" t="str">
            <v>ספר - ברטונוב</v>
          </cell>
        </row>
        <row r="6005">
          <cell r="A6005">
            <v>1826100873</v>
          </cell>
          <cell r="B6005" t="str">
            <v>השת'-שכר מנהל אדמ'</v>
          </cell>
        </row>
        <row r="6006">
          <cell r="A6006">
            <v>1826100874</v>
          </cell>
          <cell r="B6006" t="str">
            <v>דמי שכירות</v>
          </cell>
        </row>
        <row r="6007">
          <cell r="A6007">
            <v>1826100875</v>
          </cell>
          <cell r="B6007" t="str">
            <v>פסטיבל צלילי ילדות</v>
          </cell>
        </row>
        <row r="6008">
          <cell r="A6008">
            <v>1826100876</v>
          </cell>
          <cell r="B6008" t="str">
            <v>מרכז לתינוקות</v>
          </cell>
        </row>
        <row r="6009">
          <cell r="A6009">
            <v>1826100877</v>
          </cell>
          <cell r="B6009" t="str">
            <v>מסלול לתיאטרון קהילתי</v>
          </cell>
        </row>
        <row r="6010">
          <cell r="A6010">
            <v>1826100879</v>
          </cell>
          <cell r="B6010" t="str">
            <v>ביטוח-כנגד הכנסות</v>
          </cell>
          <cell r="C6010">
            <v>29400</v>
          </cell>
        </row>
        <row r="6011">
          <cell r="A6011">
            <v>1826100931</v>
          </cell>
          <cell r="B6011" t="str">
            <v xml:space="preserve">הוצאות חד פעמיות  </v>
          </cell>
        </row>
        <row r="6012">
          <cell r="A6012">
            <v>1826100932</v>
          </cell>
          <cell r="B6012" t="str">
            <v>ח"פ - גמ"ח מנהל</v>
          </cell>
        </row>
        <row r="6013">
          <cell r="A6013">
            <v>1826100933</v>
          </cell>
          <cell r="B6013" t="str">
            <v>ח"פ - הסכם מס הכנסה</v>
          </cell>
        </row>
        <row r="6014">
          <cell r="A6014">
            <v>1826100935</v>
          </cell>
          <cell r="B6014" t="str">
            <v>ארועי שנת ה - 60</v>
          </cell>
        </row>
        <row r="6015">
          <cell r="A6015">
            <v>1826100950</v>
          </cell>
          <cell r="B6015" t="str">
            <v>הלוואה לתיאטרון חולון</v>
          </cell>
        </row>
        <row r="6016">
          <cell r="A6016">
            <v>1826100961</v>
          </cell>
          <cell r="B6016" t="str">
            <v>רז' פעולות ורכישות</v>
          </cell>
        </row>
        <row r="6017">
          <cell r="A6017">
            <v>1826100981</v>
          </cell>
          <cell r="B6017" t="str">
            <v>הוצאות שנים קודמות</v>
          </cell>
        </row>
        <row r="6018">
          <cell r="A6018" t="str">
            <v>#VALUE!</v>
          </cell>
          <cell r="B6018" t="str">
            <v xml:space="preserve">תיאטרון חולון     </v>
          </cell>
        </row>
        <row r="6019">
          <cell r="A6019">
            <v>18261100</v>
          </cell>
          <cell r="B6019" t="str">
            <v>הסטודיו למשחק</v>
          </cell>
        </row>
        <row r="6020">
          <cell r="A6020">
            <v>1826110872</v>
          </cell>
          <cell r="B6020" t="str">
            <v>השת' בסטודיו למשחק</v>
          </cell>
        </row>
        <row r="6021">
          <cell r="A6021">
            <v>1826110931</v>
          </cell>
          <cell r="B6021" t="str">
            <v>השתתפות ח"פ בהפקה</v>
          </cell>
        </row>
        <row r="6022">
          <cell r="A6022" t="str">
            <v>#VALUE!</v>
          </cell>
          <cell r="B6022" t="str">
            <v>הסטודיו למשחק</v>
          </cell>
        </row>
        <row r="6023">
          <cell r="A6023">
            <v>18261200</v>
          </cell>
          <cell r="B6023" t="str">
            <v>מוזיאון הקריקטורות</v>
          </cell>
        </row>
        <row r="6024">
          <cell r="A6024">
            <v>1826120250</v>
          </cell>
          <cell r="B6024" t="str">
            <v>שכר מושאלים</v>
          </cell>
        </row>
        <row r="6025">
          <cell r="A6025">
            <v>1826120413</v>
          </cell>
          <cell r="B6025" t="str">
            <v>דמ''ש</v>
          </cell>
        </row>
        <row r="6026">
          <cell r="A6026">
            <v>1826120872</v>
          </cell>
          <cell r="B6026" t="str">
            <v>השתתפות בהפעלה</v>
          </cell>
        </row>
        <row r="6027">
          <cell r="A6027">
            <v>1826120873</v>
          </cell>
          <cell r="B6027" t="str">
            <v>חוב משנה קודמת</v>
          </cell>
        </row>
        <row r="6028">
          <cell r="A6028" t="str">
            <v>#VALUE!</v>
          </cell>
          <cell r="B6028" t="str">
            <v>מוזיאון הקריקטורות</v>
          </cell>
        </row>
        <row r="6029">
          <cell r="A6029">
            <v>18262000</v>
          </cell>
          <cell r="B6029" t="str">
            <v xml:space="preserve">אומנויות ותערוכות  </v>
          </cell>
        </row>
        <row r="6030">
          <cell r="A6030">
            <v>1826200110</v>
          </cell>
          <cell r="B6030" t="str">
            <v>השכר הקובע-תקציבית</v>
          </cell>
        </row>
        <row r="6031">
          <cell r="A6031">
            <v>1826200119</v>
          </cell>
          <cell r="B6031" t="str">
            <v>השכר הקובע צוברת</v>
          </cell>
          <cell r="C6031">
            <v>134500</v>
          </cell>
        </row>
        <row r="6032">
          <cell r="A6032">
            <v>1826200122</v>
          </cell>
          <cell r="B6032" t="str">
            <v xml:space="preserve">ביגוד             </v>
          </cell>
          <cell r="C6032">
            <v>4100</v>
          </cell>
        </row>
        <row r="6033">
          <cell r="A6033">
            <v>1826200126</v>
          </cell>
          <cell r="B6033" t="str">
            <v xml:space="preserve">דמי הבראה         </v>
          </cell>
          <cell r="C6033">
            <v>10000</v>
          </cell>
        </row>
        <row r="6034">
          <cell r="A6034">
            <v>1826200130</v>
          </cell>
          <cell r="B6034" t="str">
            <v xml:space="preserve">שעות נוספות       </v>
          </cell>
        </row>
        <row r="6035">
          <cell r="A6035">
            <v>1826200140</v>
          </cell>
          <cell r="B6035" t="str">
            <v>השתתפות באחזקת רכב</v>
          </cell>
          <cell r="C6035">
            <v>35800</v>
          </cell>
        </row>
        <row r="6036">
          <cell r="A6036">
            <v>1826200210</v>
          </cell>
          <cell r="B6036" t="str">
            <v>שכר ללא תקן</v>
          </cell>
        </row>
        <row r="6037">
          <cell r="A6037">
            <v>1826200420</v>
          </cell>
          <cell r="B6037" t="str">
            <v xml:space="preserve">כיבוי אש          </v>
          </cell>
        </row>
        <row r="6038">
          <cell r="A6038">
            <v>1826200423</v>
          </cell>
          <cell r="B6038" t="str">
            <v xml:space="preserve">תחזוקת מבנה       </v>
          </cell>
        </row>
        <row r="6039">
          <cell r="A6039">
            <v>1826200432</v>
          </cell>
          <cell r="B6039" t="str">
            <v xml:space="preserve">מים               </v>
          </cell>
        </row>
        <row r="6040">
          <cell r="A6040">
            <v>1826200433</v>
          </cell>
          <cell r="B6040" t="str">
            <v xml:space="preserve">חומרי נקיון       </v>
          </cell>
        </row>
        <row r="6041">
          <cell r="A6041">
            <v>1826200437</v>
          </cell>
          <cell r="B6041" t="str">
            <v xml:space="preserve">אחזקת אזעקה       </v>
          </cell>
          <cell r="C6041">
            <v>3800</v>
          </cell>
        </row>
        <row r="6042">
          <cell r="A6042">
            <v>1826200441</v>
          </cell>
          <cell r="B6042" t="str">
            <v>ביטוח</v>
          </cell>
          <cell r="C6042">
            <v>11600</v>
          </cell>
        </row>
        <row r="6043">
          <cell r="A6043">
            <v>1826200450</v>
          </cell>
          <cell r="B6043" t="str">
            <v>אחזקת תמי 4</v>
          </cell>
          <cell r="C6043">
            <v>1000</v>
          </cell>
        </row>
        <row r="6044">
          <cell r="A6044">
            <v>1826200470</v>
          </cell>
          <cell r="B6044" t="str">
            <v xml:space="preserve">אחזקת מכונות משרד </v>
          </cell>
        </row>
        <row r="6045">
          <cell r="A6045">
            <v>1826200471</v>
          </cell>
          <cell r="B6045" t="str">
            <v xml:space="preserve">מכשירי כתיבה      </v>
          </cell>
        </row>
        <row r="6046">
          <cell r="A6046">
            <v>1826200511</v>
          </cell>
          <cell r="B6046" t="str">
            <v xml:space="preserve">אירוח וכיבוד      </v>
          </cell>
        </row>
        <row r="6047">
          <cell r="A6047">
            <v>1826200512</v>
          </cell>
          <cell r="B6047" t="str">
            <v xml:space="preserve">אירוח וכיבוד      </v>
          </cell>
        </row>
        <row r="6048">
          <cell r="A6048">
            <v>1826200522</v>
          </cell>
          <cell r="B6048" t="str">
            <v xml:space="preserve">ספרים ועיתונים    </v>
          </cell>
        </row>
        <row r="6049">
          <cell r="A6049">
            <v>1826200540</v>
          </cell>
          <cell r="B6049" t="str">
            <v xml:space="preserve">הוצאות טלפון      </v>
          </cell>
        </row>
        <row r="6050">
          <cell r="A6050">
            <v>1826200544</v>
          </cell>
          <cell r="B6050" t="str">
            <v xml:space="preserve">הוצאות דאר        </v>
          </cell>
        </row>
        <row r="6051">
          <cell r="A6051">
            <v>1826200550</v>
          </cell>
          <cell r="B6051" t="str">
            <v xml:space="preserve">פירסומים          </v>
          </cell>
          <cell r="C6051">
            <v>162500</v>
          </cell>
        </row>
        <row r="6052">
          <cell r="A6052">
            <v>1826200562</v>
          </cell>
          <cell r="B6052" t="str">
            <v xml:space="preserve">הדפסות            </v>
          </cell>
        </row>
        <row r="6053">
          <cell r="A6053">
            <v>1826200710</v>
          </cell>
          <cell r="B6053" t="str">
            <v xml:space="preserve">הובלות והסעות     </v>
          </cell>
          <cell r="C6053">
            <v>32500</v>
          </cell>
        </row>
        <row r="6054">
          <cell r="A6054">
            <v>1826200751</v>
          </cell>
          <cell r="B6054" t="str">
            <v>אחזקה גלריית החווה</v>
          </cell>
          <cell r="C6054">
            <v>8100</v>
          </cell>
        </row>
        <row r="6055">
          <cell r="A6055">
            <v>1826200752</v>
          </cell>
          <cell r="B6055" t="str">
            <v xml:space="preserve">נקיון בקבלנות     </v>
          </cell>
          <cell r="C6055">
            <v>40100</v>
          </cell>
        </row>
        <row r="6056">
          <cell r="A6056">
            <v>1826200756</v>
          </cell>
          <cell r="B6056" t="str">
            <v>שמירה בקבלנות</v>
          </cell>
          <cell r="C6056">
            <v>150000</v>
          </cell>
        </row>
        <row r="6057">
          <cell r="A6057">
            <v>1826200763</v>
          </cell>
          <cell r="B6057" t="str">
            <v xml:space="preserve">עובדי חברת מוסדות </v>
          </cell>
        </row>
        <row r="6058">
          <cell r="A6058">
            <v>1826200780</v>
          </cell>
          <cell r="B6058" t="str">
            <v>אירוע פתיחת עונה</v>
          </cell>
          <cell r="C6058">
            <v>121900</v>
          </cell>
        </row>
        <row r="6059">
          <cell r="A6059">
            <v>1826200781</v>
          </cell>
          <cell r="B6059" t="str">
            <v xml:space="preserve">טכס יקיר חולון    </v>
          </cell>
          <cell r="C6059">
            <v>83200</v>
          </cell>
        </row>
        <row r="6060">
          <cell r="A6060">
            <v>1826200782</v>
          </cell>
          <cell r="B6060" t="str">
            <v>הפקת סרטים תיעודיים</v>
          </cell>
        </row>
        <row r="6061">
          <cell r="A6061">
            <v>1826200783</v>
          </cell>
          <cell r="B6061" t="str">
            <v xml:space="preserve">תערוכה </v>
          </cell>
        </row>
        <row r="6062">
          <cell r="A6062">
            <v>1826200784</v>
          </cell>
          <cell r="B6062" t="str">
            <v>ספר קומיקס</v>
          </cell>
          <cell r="C6062">
            <v>37400</v>
          </cell>
        </row>
        <row r="6063">
          <cell r="A6063">
            <v>1826200785</v>
          </cell>
          <cell r="B6063" t="str">
            <v>פסטיבל הקולנוע</v>
          </cell>
        </row>
        <row r="6064">
          <cell r="A6064">
            <v>1826200786</v>
          </cell>
          <cell r="B6064" t="str">
            <v>פעולות גלריית המשכן</v>
          </cell>
          <cell r="C6064">
            <v>43800</v>
          </cell>
        </row>
        <row r="6065">
          <cell r="A6065">
            <v>1826200787</v>
          </cell>
          <cell r="B6065" t="str">
            <v>תערוכה מרכזית</v>
          </cell>
          <cell r="C6065">
            <v>8100</v>
          </cell>
        </row>
        <row r="6066">
          <cell r="A6066">
            <v>1826200791</v>
          </cell>
          <cell r="B6066" t="str">
            <v>תערוכת חוצות גן המוזיאון</v>
          </cell>
          <cell r="C6066">
            <v>49600</v>
          </cell>
        </row>
        <row r="6067">
          <cell r="A6067">
            <v>1826200792</v>
          </cell>
          <cell r="B6067" t="str">
            <v>פעולות גלריית חנקין</v>
          </cell>
          <cell r="C6067">
            <v>12200</v>
          </cell>
        </row>
        <row r="6068">
          <cell r="A6068">
            <v>1826200793</v>
          </cell>
          <cell r="B6068" t="str">
            <v>פעולות גלריית התיאטרון</v>
          </cell>
          <cell r="C6068">
            <v>4100</v>
          </cell>
        </row>
        <row r="6069">
          <cell r="A6069">
            <v>1826200796</v>
          </cell>
          <cell r="B6069" t="str">
            <v>פעולות גלריית החווה</v>
          </cell>
          <cell r="C6069">
            <v>48800</v>
          </cell>
        </row>
        <row r="6070">
          <cell r="A6070">
            <v>1826200961</v>
          </cell>
          <cell r="B6070" t="str">
            <v>רז' פעולות ורכישות</v>
          </cell>
        </row>
        <row r="6071">
          <cell r="A6071" t="str">
            <v>#VALUE!</v>
          </cell>
          <cell r="B6071" t="str">
            <v xml:space="preserve">אומנויות ותערוכות  </v>
          </cell>
        </row>
        <row r="6072">
          <cell r="A6072">
            <v>18263000</v>
          </cell>
          <cell r="B6072" t="str">
            <v>מוזיאון הילדים</v>
          </cell>
        </row>
        <row r="6073">
          <cell r="A6073">
            <v>1826300410</v>
          </cell>
          <cell r="B6073" t="str">
            <v>שכר דירה</v>
          </cell>
        </row>
        <row r="6074">
          <cell r="A6074">
            <v>1826300413</v>
          </cell>
          <cell r="B6074" t="str">
            <v>דמ''ש</v>
          </cell>
        </row>
        <row r="6075">
          <cell r="A6075">
            <v>1826300432</v>
          </cell>
          <cell r="B6075" t="str">
            <v xml:space="preserve">מים               </v>
          </cell>
        </row>
        <row r="6076">
          <cell r="A6076">
            <v>1826300437</v>
          </cell>
          <cell r="B6076" t="str">
            <v xml:space="preserve">אחזקת אזעקה       </v>
          </cell>
        </row>
        <row r="6077">
          <cell r="A6077">
            <v>1826300441</v>
          </cell>
          <cell r="B6077" t="str">
            <v xml:space="preserve">ביטוח             </v>
          </cell>
          <cell r="C6077">
            <v>99500</v>
          </cell>
        </row>
        <row r="6078">
          <cell r="A6078">
            <v>1826300870</v>
          </cell>
          <cell r="B6078" t="str">
            <v xml:space="preserve">הקצבה לפעולות     </v>
          </cell>
        </row>
        <row r="6079">
          <cell r="A6079">
            <v>1826300871</v>
          </cell>
          <cell r="B6079" t="str">
            <v>השת' בפסטיבלים</v>
          </cell>
        </row>
        <row r="6080">
          <cell r="A6080">
            <v>1826300872</v>
          </cell>
          <cell r="B6080" t="str">
            <v>בגובה העיניים</v>
          </cell>
        </row>
        <row r="6081">
          <cell r="A6081">
            <v>1826300873</v>
          </cell>
          <cell r="B6081" t="str">
            <v>ארועים - חדש</v>
          </cell>
        </row>
        <row r="6082">
          <cell r="A6082">
            <v>1826300874</v>
          </cell>
          <cell r="B6082" t="str">
            <v>שכר דירה</v>
          </cell>
          <cell r="C6082">
            <v>40000</v>
          </cell>
        </row>
        <row r="6083">
          <cell r="A6083">
            <v>1826300875</v>
          </cell>
          <cell r="B6083" t="str">
            <v>השת'-גייס תרומות 2007</v>
          </cell>
        </row>
        <row r="6084">
          <cell r="A6084">
            <v>1826300876</v>
          </cell>
          <cell r="B6084" t="str">
            <v>השתתפות הזמנה לשקט</v>
          </cell>
        </row>
        <row r="6085">
          <cell r="A6085">
            <v>1826300877</v>
          </cell>
          <cell r="B6085" t="str">
            <v>השת' עד מאה ועשרים</v>
          </cell>
        </row>
        <row r="6086">
          <cell r="A6086">
            <v>1826300878</v>
          </cell>
          <cell r="B6086" t="str">
            <v>ארועי שנת ה - 20</v>
          </cell>
        </row>
        <row r="6087">
          <cell r="A6087">
            <v>1826300879</v>
          </cell>
          <cell r="B6087" t="str">
            <v>ביטוח-כנגד הכנסות</v>
          </cell>
          <cell r="C6087">
            <v>40500</v>
          </cell>
        </row>
        <row r="6088">
          <cell r="A6088">
            <v>1826300931</v>
          </cell>
          <cell r="B6088" t="str">
            <v>אחזקת ינשולים</v>
          </cell>
        </row>
        <row r="6089">
          <cell r="A6089">
            <v>1826300950</v>
          </cell>
          <cell r="B6089" t="str">
            <v>הלוואה למוזיאון הילדים</v>
          </cell>
        </row>
        <row r="6090">
          <cell r="A6090">
            <v>1826300961</v>
          </cell>
          <cell r="B6090" t="str">
            <v>רז' פעולות ורכישות</v>
          </cell>
        </row>
        <row r="6091">
          <cell r="A6091">
            <v>1826300962</v>
          </cell>
          <cell r="B6091" t="str">
            <v>רזרבה לפיתוח</v>
          </cell>
        </row>
        <row r="6092">
          <cell r="A6092">
            <v>1826300981</v>
          </cell>
          <cell r="B6092" t="str">
            <v>הוצאות שנים קודמות</v>
          </cell>
        </row>
        <row r="6093">
          <cell r="A6093" t="str">
            <v>#VALUE!</v>
          </cell>
          <cell r="B6093" t="str">
            <v>מוזיאון הילדים</v>
          </cell>
        </row>
        <row r="6094">
          <cell r="A6094">
            <v>18264000</v>
          </cell>
          <cell r="B6094" t="str">
            <v>מתנ"ס ע"ש שטיינברג</v>
          </cell>
        </row>
        <row r="6095">
          <cell r="A6095">
            <v>1826400211</v>
          </cell>
          <cell r="B6095" t="str">
            <v>העסקת עובדי עירייה</v>
          </cell>
        </row>
        <row r="6096">
          <cell r="A6096">
            <v>1826400413</v>
          </cell>
          <cell r="B6096" t="str">
            <v>דמ''ש</v>
          </cell>
        </row>
        <row r="6097">
          <cell r="A6097">
            <v>1826400431</v>
          </cell>
          <cell r="B6097" t="str">
            <v xml:space="preserve">חשמל              </v>
          </cell>
        </row>
        <row r="6098">
          <cell r="A6098">
            <v>1826400432</v>
          </cell>
          <cell r="B6098" t="str">
            <v xml:space="preserve">מים               </v>
          </cell>
        </row>
        <row r="6099">
          <cell r="A6099">
            <v>1826400441</v>
          </cell>
          <cell r="B6099" t="str">
            <v xml:space="preserve">ביטוח             </v>
          </cell>
          <cell r="C6099">
            <v>33200</v>
          </cell>
        </row>
        <row r="6100">
          <cell r="A6100">
            <v>1826400870</v>
          </cell>
          <cell r="B6100" t="str">
            <v xml:space="preserve">השתתפויות         </v>
          </cell>
        </row>
        <row r="6101">
          <cell r="A6101">
            <v>1826400871</v>
          </cell>
          <cell r="B6101" t="str">
            <v>מופעים לצעירים 21+</v>
          </cell>
        </row>
        <row r="6102">
          <cell r="A6102">
            <v>1826400872</v>
          </cell>
          <cell r="B6102" t="str">
            <v>פרוייקטים מוסיקה</v>
          </cell>
        </row>
        <row r="6103">
          <cell r="A6103">
            <v>1826400873</v>
          </cell>
          <cell r="B6103" t="str">
            <v>תערוכות בובות</v>
          </cell>
        </row>
        <row r="6104">
          <cell r="A6104">
            <v>1826400874</v>
          </cell>
          <cell r="B6104" t="str">
            <v>פסטיבל קוסמים</v>
          </cell>
        </row>
        <row r="6105">
          <cell r="A6105">
            <v>1826400875</v>
          </cell>
          <cell r="B6105" t="str">
            <v>מנהל מוסיקלי</v>
          </cell>
        </row>
        <row r="6106">
          <cell r="A6106">
            <v>1826400876</v>
          </cell>
          <cell r="B6106" t="str">
            <v>מסך הכסף</v>
          </cell>
        </row>
        <row r="6107">
          <cell r="A6107">
            <v>1826400877</v>
          </cell>
          <cell r="B6107" t="str">
            <v xml:space="preserve">חשמל              </v>
          </cell>
        </row>
        <row r="6108">
          <cell r="A6108">
            <v>1826400879</v>
          </cell>
          <cell r="B6108" t="str">
            <v>ביטוח-כנגד הכנסות</v>
          </cell>
          <cell r="C6108">
            <v>13500</v>
          </cell>
        </row>
        <row r="6109">
          <cell r="A6109">
            <v>1826400961</v>
          </cell>
          <cell r="B6109" t="str">
            <v>רז' פעולות ורכישות</v>
          </cell>
        </row>
        <row r="6110">
          <cell r="A6110" t="str">
            <v>#VALUE!</v>
          </cell>
          <cell r="B6110" t="str">
            <v>מתנ"ס ע"ש שטיינברג</v>
          </cell>
        </row>
        <row r="6111">
          <cell r="A6111">
            <v>18265000</v>
          </cell>
          <cell r="B6111" t="str">
            <v xml:space="preserve">המחלקה לאירועים   </v>
          </cell>
        </row>
        <row r="6112">
          <cell r="A6112">
            <v>1826500110</v>
          </cell>
          <cell r="B6112" t="str">
            <v>השכר הקובע-תקציבית</v>
          </cell>
        </row>
        <row r="6113">
          <cell r="A6113">
            <v>1826500119</v>
          </cell>
          <cell r="B6113" t="str">
            <v xml:space="preserve">השכר הקובע-צוברת  </v>
          </cell>
          <cell r="C6113">
            <v>663900</v>
          </cell>
        </row>
        <row r="6114">
          <cell r="A6114">
            <v>1826500122</v>
          </cell>
          <cell r="B6114" t="str">
            <v xml:space="preserve">ביגוד             </v>
          </cell>
          <cell r="C6114">
            <v>5500</v>
          </cell>
        </row>
        <row r="6115">
          <cell r="A6115">
            <v>1826500126</v>
          </cell>
          <cell r="B6115" t="str">
            <v xml:space="preserve">דמי הבראה         </v>
          </cell>
          <cell r="C6115">
            <v>12000</v>
          </cell>
        </row>
        <row r="6116">
          <cell r="A6116">
            <v>1826500130</v>
          </cell>
          <cell r="B6116" t="str">
            <v xml:space="preserve">שעות נוספות       </v>
          </cell>
          <cell r="C6116">
            <v>29400</v>
          </cell>
        </row>
        <row r="6117">
          <cell r="A6117">
            <v>1826500140</v>
          </cell>
          <cell r="B6117" t="str">
            <v>השתתפות באחזקת רכב</v>
          </cell>
          <cell r="C6117">
            <v>45500</v>
          </cell>
        </row>
        <row r="6118">
          <cell r="A6118">
            <v>1826500210</v>
          </cell>
          <cell r="B6118" t="str">
            <v xml:space="preserve">השכר הקובע        </v>
          </cell>
        </row>
        <row r="6119">
          <cell r="A6119">
            <v>1826500263</v>
          </cell>
          <cell r="B6119" t="str">
            <v>עובדי  כ"א</v>
          </cell>
        </row>
        <row r="6120">
          <cell r="A6120">
            <v>1826500350</v>
          </cell>
          <cell r="B6120" t="str">
            <v>ליסינג- 782-26-002</v>
          </cell>
          <cell r="C6120">
            <v>46000</v>
          </cell>
        </row>
        <row r="6121">
          <cell r="A6121">
            <v>1826500351</v>
          </cell>
          <cell r="B6121" t="str">
            <v>הוצאות- 782-26-002</v>
          </cell>
          <cell r="C6121">
            <v>30500</v>
          </cell>
        </row>
        <row r="6122">
          <cell r="A6122">
            <v>1826500423</v>
          </cell>
          <cell r="B6122" t="str">
            <v xml:space="preserve">תחזוקת מבנה       </v>
          </cell>
        </row>
        <row r="6123">
          <cell r="A6123">
            <v>1826500471</v>
          </cell>
          <cell r="B6123" t="str">
            <v xml:space="preserve">מכשירי כתיבה      </v>
          </cell>
          <cell r="C6123">
            <v>2400</v>
          </cell>
        </row>
        <row r="6124">
          <cell r="A6124">
            <v>1826500511</v>
          </cell>
          <cell r="B6124" t="str">
            <v xml:space="preserve">אירוח וכיבוד      </v>
          </cell>
          <cell r="C6124">
            <v>2000</v>
          </cell>
        </row>
        <row r="6125">
          <cell r="A6125">
            <v>1826500550</v>
          </cell>
          <cell r="B6125" t="str">
            <v xml:space="preserve">פירסומים          </v>
          </cell>
        </row>
        <row r="6126">
          <cell r="A6126">
            <v>1826500561</v>
          </cell>
          <cell r="B6126" t="str">
            <v xml:space="preserve">שיכפולים          </v>
          </cell>
        </row>
        <row r="6127">
          <cell r="A6127">
            <v>1826500571</v>
          </cell>
          <cell r="B6127" t="str">
            <v xml:space="preserve">מיכון וענ"א       </v>
          </cell>
        </row>
        <row r="6128">
          <cell r="A6128">
            <v>1826500710</v>
          </cell>
          <cell r="B6128" t="str">
            <v xml:space="preserve">הובלות והסעות     </v>
          </cell>
        </row>
        <row r="6129">
          <cell r="A6129">
            <v>1826500723</v>
          </cell>
          <cell r="B6129" t="str">
            <v>חמרים אביזרי קישוט</v>
          </cell>
        </row>
        <row r="6130">
          <cell r="A6130">
            <v>1826500780</v>
          </cell>
          <cell r="B6130" t="str">
            <v>אירועים מתנ"סים-הכ</v>
          </cell>
        </row>
        <row r="6131">
          <cell r="A6131">
            <v>1826500781</v>
          </cell>
          <cell r="B6131" t="str">
            <v xml:space="preserve">אומנים            </v>
          </cell>
        </row>
        <row r="6132">
          <cell r="A6132">
            <v>1826500782</v>
          </cell>
          <cell r="B6132" t="str">
            <v xml:space="preserve">הפקת ארועים       </v>
          </cell>
          <cell r="C6132">
            <v>5191200</v>
          </cell>
        </row>
        <row r="6133">
          <cell r="A6133">
            <v>1826500783</v>
          </cell>
          <cell r="B6133" t="str">
            <v>תוכנית סל"ע (כנגד הכנסות)</v>
          </cell>
          <cell r="C6133">
            <v>400000</v>
          </cell>
        </row>
        <row r="6134">
          <cell r="A6134">
            <v>1826500784</v>
          </cell>
          <cell r="B6134" t="str">
            <v>פרס קוגל  ואיילון</v>
          </cell>
          <cell r="C6134">
            <v>65000</v>
          </cell>
        </row>
        <row r="6135">
          <cell r="A6135">
            <v>1826500785</v>
          </cell>
          <cell r="B6135" t="str">
            <v>פיסול לעדלאידע</v>
          </cell>
        </row>
        <row r="6136">
          <cell r="A6136">
            <v>1826500788</v>
          </cell>
          <cell r="B6136" t="str">
            <v>פסטיבל שירה בינלאומי</v>
          </cell>
        </row>
        <row r="6137">
          <cell r="A6137">
            <v>1826500794</v>
          </cell>
          <cell r="B6137" t="str">
            <v xml:space="preserve">השתתפות בעזר 094  </v>
          </cell>
        </row>
        <row r="6138">
          <cell r="A6138">
            <v>1826500931</v>
          </cell>
          <cell r="B6138" t="str">
            <v>ארועי שנת ה - 60</v>
          </cell>
        </row>
        <row r="6139">
          <cell r="A6139">
            <v>1826500961</v>
          </cell>
          <cell r="B6139" t="str">
            <v>רז' פעולות ורכישות</v>
          </cell>
        </row>
        <row r="6140">
          <cell r="A6140">
            <v>1826500980</v>
          </cell>
          <cell r="B6140" t="str">
            <v xml:space="preserve">השכרות            </v>
          </cell>
        </row>
        <row r="6141">
          <cell r="A6141" t="str">
            <v>#VALUE!</v>
          </cell>
          <cell r="B6141" t="str">
            <v xml:space="preserve">המחלקה לאירועים   </v>
          </cell>
        </row>
        <row r="6142">
          <cell r="A6142">
            <v>18267000</v>
          </cell>
          <cell r="B6142" t="str">
            <v>מרכז  סירקין</v>
          </cell>
        </row>
        <row r="6143">
          <cell r="A6143">
            <v>1826700780</v>
          </cell>
          <cell r="B6143" t="str">
            <v>הוצאות (כנגד הכנסות)</v>
          </cell>
          <cell r="C6143">
            <v>350000</v>
          </cell>
        </row>
        <row r="6144">
          <cell r="A6144">
            <v>1826700870</v>
          </cell>
          <cell r="B6144" t="str">
            <v>הפעלת סירקין</v>
          </cell>
        </row>
        <row r="6145">
          <cell r="A6145">
            <v>1826700871</v>
          </cell>
          <cell r="B6145" t="str">
            <v xml:space="preserve">פסטיבל בובות      </v>
          </cell>
        </row>
        <row r="6146">
          <cell r="A6146">
            <v>1826700872</v>
          </cell>
          <cell r="B6146" t="str">
            <v>בי"ס לבובות</v>
          </cell>
        </row>
        <row r="6147">
          <cell r="A6147">
            <v>1826700873</v>
          </cell>
          <cell r="B6147" t="str">
            <v>מוזיאון בובות</v>
          </cell>
        </row>
        <row r="6148">
          <cell r="A6148">
            <v>1826700874</v>
          </cell>
          <cell r="B6148" t="str">
            <v>פסטיבל קוסמים</v>
          </cell>
        </row>
        <row r="6149">
          <cell r="A6149">
            <v>1826700875</v>
          </cell>
          <cell r="B6149" t="str">
            <v>קורס אומנות הקרנבל</v>
          </cell>
        </row>
        <row r="6150">
          <cell r="A6150" t="str">
            <v>#VALUE!</v>
          </cell>
          <cell r="B6150" t="str">
            <v>מרכז סירקין</v>
          </cell>
        </row>
        <row r="6151">
          <cell r="A6151">
            <v>18268000</v>
          </cell>
          <cell r="B6151" t="str">
            <v>מוזיאון העיצוב</v>
          </cell>
        </row>
        <row r="6152">
          <cell r="A6152">
            <v>1826800413</v>
          </cell>
          <cell r="B6152" t="str">
            <v>דמ''ש</v>
          </cell>
        </row>
        <row r="6153">
          <cell r="A6153">
            <v>1826800441</v>
          </cell>
          <cell r="B6153" t="str">
            <v>ביטוח</v>
          </cell>
          <cell r="C6153">
            <v>110500</v>
          </cell>
        </row>
        <row r="6154">
          <cell r="A6154">
            <v>1826800870</v>
          </cell>
          <cell r="B6154" t="str">
            <v>הפעלת מוז' העיצוב</v>
          </cell>
        </row>
        <row r="6155">
          <cell r="A6155">
            <v>1826800879</v>
          </cell>
          <cell r="B6155" t="str">
            <v>ביטוח כנגד הכנסות</v>
          </cell>
          <cell r="C6155">
            <v>45000</v>
          </cell>
        </row>
        <row r="6156">
          <cell r="A6156">
            <v>1826800930</v>
          </cell>
          <cell r="B6156" t="str">
            <v>העברה  חד  פעמית</v>
          </cell>
        </row>
        <row r="6157">
          <cell r="A6157" t="str">
            <v>#VALUE!</v>
          </cell>
          <cell r="B6157" t="str">
            <v>מוזיאון העיצוב</v>
          </cell>
        </row>
        <row r="6158">
          <cell r="A6158">
            <v>18280000</v>
          </cell>
          <cell r="B6158" t="str">
            <v>נוער ומרכז' קהילתי</v>
          </cell>
        </row>
        <row r="6159">
          <cell r="A6159">
            <v>18281000</v>
          </cell>
          <cell r="B6159" t="str">
            <v>מחלקת נוער</v>
          </cell>
        </row>
        <row r="6160">
          <cell r="A6160">
            <v>1828100100</v>
          </cell>
          <cell r="B6160" t="str">
            <v>שכר עובדים לפי תקן</v>
          </cell>
        </row>
        <row r="6161">
          <cell r="A6161">
            <v>1828100110</v>
          </cell>
          <cell r="B6161" t="str">
            <v>השכר הקובע-תקציבית</v>
          </cell>
        </row>
        <row r="6162">
          <cell r="A6162">
            <v>1828100118</v>
          </cell>
          <cell r="B6162" t="str">
            <v>מורות הכנה לצה"ל</v>
          </cell>
        </row>
        <row r="6163">
          <cell r="A6163">
            <v>1828100119</v>
          </cell>
          <cell r="B6163" t="str">
            <v xml:space="preserve">השכר הקובע-צוברת  </v>
          </cell>
          <cell r="C6163">
            <v>1882800</v>
          </cell>
        </row>
        <row r="6164">
          <cell r="A6164">
            <v>1828100122</v>
          </cell>
          <cell r="B6164" t="str">
            <v xml:space="preserve">ביגוד             </v>
          </cell>
          <cell r="C6164">
            <v>21000</v>
          </cell>
        </row>
        <row r="6165">
          <cell r="A6165">
            <v>1828100126</v>
          </cell>
          <cell r="B6165" t="str">
            <v xml:space="preserve">דמי הבראה         </v>
          </cell>
          <cell r="C6165">
            <v>54000</v>
          </cell>
        </row>
        <row r="6166">
          <cell r="A6166">
            <v>1828100130</v>
          </cell>
          <cell r="B6166" t="str">
            <v xml:space="preserve">שעות נוספות       </v>
          </cell>
          <cell r="C6166">
            <v>50200</v>
          </cell>
        </row>
        <row r="6167">
          <cell r="A6167">
            <v>1828100140</v>
          </cell>
          <cell r="B6167" t="str">
            <v>השתתפות באחזקת רכב</v>
          </cell>
          <cell r="C6167">
            <v>189000</v>
          </cell>
        </row>
        <row r="6168">
          <cell r="A6168">
            <v>1828100200</v>
          </cell>
          <cell r="B6168" t="str">
            <v>שכר עובדים ללא תקן</v>
          </cell>
        </row>
        <row r="6169">
          <cell r="A6169">
            <v>1828100210</v>
          </cell>
          <cell r="B6169" t="str">
            <v xml:space="preserve">השכר הקובע        </v>
          </cell>
        </row>
        <row r="6170">
          <cell r="A6170">
            <v>1828100220</v>
          </cell>
          <cell r="B6170" t="str">
            <v>מורות חיילות</v>
          </cell>
          <cell r="C6170">
            <v>30000</v>
          </cell>
        </row>
        <row r="6171">
          <cell r="A6171">
            <v>1828100250</v>
          </cell>
          <cell r="B6171" t="str">
            <v>שכר מושאלים</v>
          </cell>
        </row>
        <row r="6172">
          <cell r="A6172">
            <v>1828100253</v>
          </cell>
          <cell r="B6172" t="str">
            <v>אוזן קשבת</v>
          </cell>
        </row>
        <row r="6173">
          <cell r="A6173">
            <v>1828100263</v>
          </cell>
          <cell r="B6173" t="str">
            <v xml:space="preserve">עובדי חברת מוסדות </v>
          </cell>
        </row>
        <row r="6174">
          <cell r="A6174">
            <v>1828100350</v>
          </cell>
          <cell r="B6174" t="str">
            <v>ליסינג- 132-24-402</v>
          </cell>
        </row>
        <row r="6175">
          <cell r="A6175">
            <v>1828100351</v>
          </cell>
          <cell r="B6175" t="str">
            <v>הוצאות- 132-24-402</v>
          </cell>
        </row>
        <row r="6176">
          <cell r="A6176">
            <v>1828100400</v>
          </cell>
          <cell r="B6176" t="str">
            <v>אחזקת בנינים וציוד</v>
          </cell>
        </row>
        <row r="6177">
          <cell r="A6177">
            <v>1828100410</v>
          </cell>
          <cell r="B6177" t="str">
            <v>השתתפות בשכר דירה</v>
          </cell>
          <cell r="C6177">
            <v>288000</v>
          </cell>
        </row>
        <row r="6178">
          <cell r="A6178">
            <v>1828100420</v>
          </cell>
          <cell r="B6178" t="str">
            <v xml:space="preserve">כיבוי אש          </v>
          </cell>
          <cell r="C6178">
            <v>9000</v>
          </cell>
        </row>
        <row r="6179">
          <cell r="A6179">
            <v>1828100423</v>
          </cell>
          <cell r="B6179" t="str">
            <v xml:space="preserve">תחזוקת מבנה       </v>
          </cell>
        </row>
        <row r="6180">
          <cell r="A6180">
            <v>1828100431</v>
          </cell>
          <cell r="B6180" t="str">
            <v xml:space="preserve">חשמל              </v>
          </cell>
          <cell r="C6180">
            <v>56000</v>
          </cell>
        </row>
        <row r="6181">
          <cell r="A6181">
            <v>1828100432</v>
          </cell>
          <cell r="B6181" t="str">
            <v xml:space="preserve">מים               </v>
          </cell>
          <cell r="C6181">
            <v>3000</v>
          </cell>
        </row>
        <row r="6182">
          <cell r="A6182">
            <v>1828100433</v>
          </cell>
          <cell r="B6182" t="str">
            <v xml:space="preserve">חומרי נקיון       </v>
          </cell>
        </row>
        <row r="6183">
          <cell r="A6183">
            <v>1828100434</v>
          </cell>
          <cell r="B6183" t="str">
            <v xml:space="preserve">חיטוי והדברה      </v>
          </cell>
        </row>
        <row r="6184">
          <cell r="A6184">
            <v>1828100437</v>
          </cell>
          <cell r="B6184" t="str">
            <v xml:space="preserve">אחזקת אזעקה       </v>
          </cell>
          <cell r="C6184">
            <v>8600</v>
          </cell>
        </row>
        <row r="6185">
          <cell r="A6185">
            <v>1828100441</v>
          </cell>
          <cell r="B6185" t="str">
            <v xml:space="preserve">ביטוח             </v>
          </cell>
        </row>
        <row r="6186">
          <cell r="A6186">
            <v>1828100450</v>
          </cell>
          <cell r="B6186" t="str">
            <v>אחזקת תמי 4</v>
          </cell>
          <cell r="C6186">
            <v>1000</v>
          </cell>
        </row>
        <row r="6187">
          <cell r="A6187">
            <v>1828100471</v>
          </cell>
          <cell r="B6187" t="str">
            <v xml:space="preserve">מכשירי כתיבה      </v>
          </cell>
          <cell r="C6187">
            <v>1000</v>
          </cell>
        </row>
        <row r="6188">
          <cell r="A6188">
            <v>1828100500</v>
          </cell>
          <cell r="B6188" t="str">
            <v xml:space="preserve">הוצאות מינהליות   </v>
          </cell>
        </row>
        <row r="6189">
          <cell r="A6189">
            <v>1828100511</v>
          </cell>
          <cell r="B6189" t="str">
            <v xml:space="preserve">אירוח וכיבוד      </v>
          </cell>
        </row>
        <row r="6190">
          <cell r="A6190">
            <v>1828100512</v>
          </cell>
          <cell r="B6190" t="str">
            <v xml:space="preserve">נסיעות ואש"ל      </v>
          </cell>
        </row>
        <row r="6191">
          <cell r="A6191">
            <v>1828100522</v>
          </cell>
          <cell r="B6191" t="str">
            <v xml:space="preserve">ספרים ועיתונים    </v>
          </cell>
          <cell r="C6191">
            <v>900</v>
          </cell>
        </row>
        <row r="6192">
          <cell r="A6192">
            <v>1828100530</v>
          </cell>
          <cell r="B6192" t="str">
            <v xml:space="preserve">אופניים לעובדים   </v>
          </cell>
        </row>
        <row r="6193">
          <cell r="A6193">
            <v>1828100540</v>
          </cell>
          <cell r="B6193" t="str">
            <v xml:space="preserve">הוצאות טלפון      </v>
          </cell>
          <cell r="C6193">
            <v>30000</v>
          </cell>
        </row>
        <row r="6194">
          <cell r="A6194">
            <v>1828100544</v>
          </cell>
          <cell r="B6194" t="str">
            <v xml:space="preserve">הוצאות דאר        </v>
          </cell>
        </row>
        <row r="6195">
          <cell r="A6195">
            <v>1828100550</v>
          </cell>
          <cell r="B6195" t="str">
            <v xml:space="preserve">פירסומים          </v>
          </cell>
        </row>
        <row r="6196">
          <cell r="A6196">
            <v>1828100561</v>
          </cell>
          <cell r="B6196" t="str">
            <v xml:space="preserve">שיכפולים          </v>
          </cell>
        </row>
        <row r="6197">
          <cell r="A6197">
            <v>1828100562</v>
          </cell>
          <cell r="B6197" t="str">
            <v xml:space="preserve">הדפסות            </v>
          </cell>
        </row>
        <row r="6198">
          <cell r="A6198">
            <v>1828100571</v>
          </cell>
          <cell r="B6198" t="str">
            <v xml:space="preserve">מיכון וענ"א       </v>
          </cell>
          <cell r="C6198">
            <v>52200</v>
          </cell>
        </row>
        <row r="6199">
          <cell r="A6199">
            <v>1828100700</v>
          </cell>
          <cell r="B6199" t="str">
            <v xml:space="preserve">הוצאות לפעולות    </v>
          </cell>
        </row>
        <row r="6200">
          <cell r="A6200">
            <v>1828100710</v>
          </cell>
          <cell r="B6200" t="str">
            <v>הסעות טיולים חצ"ב</v>
          </cell>
        </row>
        <row r="6201">
          <cell r="A6201">
            <v>1828100711</v>
          </cell>
          <cell r="B6201" t="str">
            <v xml:space="preserve">הסעות מתנדבים     </v>
          </cell>
        </row>
        <row r="6202">
          <cell r="A6202">
            <v>1828100712</v>
          </cell>
          <cell r="B6202" t="str">
            <v>הסעות צרכים מיוחדים</v>
          </cell>
          <cell r="C6202">
            <v>90000</v>
          </cell>
        </row>
        <row r="6203">
          <cell r="A6203">
            <v>1828100721</v>
          </cell>
          <cell r="B6203" t="str">
            <v>חמרים-תחזוקת מבנים</v>
          </cell>
        </row>
        <row r="6204">
          <cell r="A6204">
            <v>1828100722</v>
          </cell>
          <cell r="B6204" t="str">
            <v>חמרים-תחזוקה עצמית</v>
          </cell>
        </row>
        <row r="6205">
          <cell r="A6205">
            <v>1828100723</v>
          </cell>
          <cell r="B6205" t="str">
            <v xml:space="preserve">חומרים לחוגים     </v>
          </cell>
        </row>
        <row r="6206">
          <cell r="A6206">
            <v>1828100742</v>
          </cell>
          <cell r="B6206" t="str">
            <v xml:space="preserve">כלים וציוד        </v>
          </cell>
          <cell r="C6206">
            <v>9500</v>
          </cell>
        </row>
        <row r="6207">
          <cell r="A6207">
            <v>1828100743</v>
          </cell>
          <cell r="B6207" t="str">
            <v>תחז' ציוד אלקטרוני</v>
          </cell>
        </row>
        <row r="6208">
          <cell r="A6208">
            <v>1828100744</v>
          </cell>
          <cell r="B6208" t="str">
            <v xml:space="preserve">תחזוקת מחשבים     </v>
          </cell>
        </row>
        <row r="6209">
          <cell r="A6209">
            <v>1828100745</v>
          </cell>
          <cell r="B6209" t="str">
            <v xml:space="preserve">דמי פריצה - תכולה </v>
          </cell>
        </row>
        <row r="6210">
          <cell r="A6210">
            <v>1828100746</v>
          </cell>
          <cell r="B6210" t="str">
            <v xml:space="preserve">דמי פריצה - מבנה  </v>
          </cell>
        </row>
        <row r="6211">
          <cell r="A6211">
            <v>1828100750</v>
          </cell>
          <cell r="B6211" t="str">
            <v>אחזקת מוסדות</v>
          </cell>
          <cell r="C6211">
            <v>227000</v>
          </cell>
        </row>
        <row r="6212">
          <cell r="A6212">
            <v>1828100751</v>
          </cell>
          <cell r="B6212" t="str">
            <v xml:space="preserve">עבודות קבלניות    </v>
          </cell>
        </row>
        <row r="6213">
          <cell r="A6213">
            <v>1828100752</v>
          </cell>
          <cell r="B6213" t="str">
            <v xml:space="preserve">נקיון מרכז הדרכה  </v>
          </cell>
          <cell r="C6213">
            <v>7100</v>
          </cell>
        </row>
        <row r="6214">
          <cell r="A6214">
            <v>1828100763</v>
          </cell>
          <cell r="B6214" t="str">
            <v xml:space="preserve">עובדי חברת מוסדות </v>
          </cell>
        </row>
        <row r="6215">
          <cell r="A6215">
            <v>1828100780</v>
          </cell>
          <cell r="B6215" t="str">
            <v>מרכז נוער עולה</v>
          </cell>
          <cell r="C6215">
            <v>232000</v>
          </cell>
        </row>
        <row r="6216">
          <cell r="A6216">
            <v>1828100781</v>
          </cell>
          <cell r="B6216" t="str">
            <v>פרוייקטים + קיץ</v>
          </cell>
          <cell r="C6216">
            <v>579300</v>
          </cell>
        </row>
        <row r="6217">
          <cell r="A6217">
            <v>1828100782</v>
          </cell>
          <cell r="B6217" t="str">
            <v>התנדבות בקהילה</v>
          </cell>
        </row>
        <row r="6218">
          <cell r="A6218">
            <v>1828100783</v>
          </cell>
          <cell r="B6218" t="str">
            <v>תנועות נוער-ארועים עירוניים</v>
          </cell>
          <cell r="C6218">
            <v>140700</v>
          </cell>
        </row>
        <row r="6219">
          <cell r="A6219">
            <v>1828100784</v>
          </cell>
          <cell r="B6219" t="str">
            <v>מנהיגות וקשרי חוץ</v>
          </cell>
          <cell r="C6219">
            <v>85100</v>
          </cell>
        </row>
        <row r="6220">
          <cell r="A6220">
            <v>1828100785</v>
          </cell>
          <cell r="B6220" t="str">
            <v>תחום מניעה</v>
          </cell>
          <cell r="C6220">
            <v>70900</v>
          </cell>
        </row>
        <row r="6221">
          <cell r="A6221">
            <v>1828100786</v>
          </cell>
          <cell r="B6221" t="str">
            <v>ארועים</v>
          </cell>
          <cell r="C6221">
            <v>203000</v>
          </cell>
        </row>
        <row r="6222">
          <cell r="A6222">
            <v>1828100787</v>
          </cell>
          <cell r="B6222" t="str">
            <v>קווי לילה לנוער</v>
          </cell>
          <cell r="C6222">
            <v>44600</v>
          </cell>
        </row>
        <row r="6223">
          <cell r="A6223">
            <v>1828100788</v>
          </cell>
          <cell r="B6223" t="str">
            <v>כולנו ביתא ישראל</v>
          </cell>
          <cell r="C6223">
            <v>20250</v>
          </cell>
        </row>
        <row r="6224">
          <cell r="A6224">
            <v>1828100789</v>
          </cell>
          <cell r="B6224" t="str">
            <v>מרכז הדרכה</v>
          </cell>
          <cell r="C6224">
            <v>40000</v>
          </cell>
        </row>
        <row r="6225">
          <cell r="A6225">
            <v>1828100790</v>
          </cell>
          <cell r="B6225" t="str">
            <v xml:space="preserve">פעולות מהכנסות משה"ח    </v>
          </cell>
          <cell r="C6225">
            <v>369000</v>
          </cell>
        </row>
        <row r="6226">
          <cell r="A6226">
            <v>1828100791</v>
          </cell>
          <cell r="B6226" t="str">
            <v>כנפיים של קרמבו</v>
          </cell>
          <cell r="C6226">
            <v>200000</v>
          </cell>
        </row>
        <row r="6227">
          <cell r="A6227">
            <v>1828100792</v>
          </cell>
          <cell r="B6227" t="str">
            <v>יום המעשים הטובים</v>
          </cell>
        </row>
        <row r="6228">
          <cell r="A6228">
            <v>1828100793</v>
          </cell>
          <cell r="B6228" t="str">
            <v>תנועות נוער מחנות קיץ</v>
          </cell>
          <cell r="C6228">
            <v>540000</v>
          </cell>
        </row>
        <row r="6229">
          <cell r="A6229">
            <v>1828100794</v>
          </cell>
          <cell r="B6229" t="str">
            <v xml:space="preserve">השתתפות בעזר 094  </v>
          </cell>
        </row>
        <row r="6230">
          <cell r="A6230">
            <v>1828100800</v>
          </cell>
          <cell r="B6230" t="str">
            <v>השת' תמיכות תרומות</v>
          </cell>
        </row>
        <row r="6231">
          <cell r="A6231">
            <v>1828100810</v>
          </cell>
          <cell r="B6231" t="str">
            <v xml:space="preserve">השתתפות בתנועות הנוער      </v>
          </cell>
          <cell r="C6231">
            <v>510000</v>
          </cell>
        </row>
        <row r="6232">
          <cell r="A6232">
            <v>1828100811</v>
          </cell>
          <cell r="B6232" t="str">
            <v>השתתפות בשכר רכזים</v>
          </cell>
          <cell r="C6232">
            <v>640950</v>
          </cell>
        </row>
        <row r="6233">
          <cell r="A6233">
            <v>1828100812</v>
          </cell>
          <cell r="B6233" t="str">
            <v>מרכז נוער נאות רחל</v>
          </cell>
        </row>
        <row r="6234">
          <cell r="A6234">
            <v>1828100813</v>
          </cell>
          <cell r="B6234" t="str">
            <v>מרכז נוער תל גיבורים</v>
          </cell>
        </row>
        <row r="6235">
          <cell r="A6235">
            <v>1828100814</v>
          </cell>
          <cell r="B6235" t="str">
            <v>מרכז הדרכה ומנהיגות</v>
          </cell>
          <cell r="C6235">
            <v>149050</v>
          </cell>
        </row>
        <row r="6236">
          <cell r="A6236">
            <v>1828100815</v>
          </cell>
          <cell r="B6236" t="str">
            <v>מועדון הגמלאים</v>
          </cell>
        </row>
        <row r="6237">
          <cell r="A6237">
            <v>1828100816</v>
          </cell>
          <cell r="B6237" t="str">
            <v xml:space="preserve">אחזקה למתנ"ס ת"ג  </v>
          </cell>
        </row>
        <row r="6238">
          <cell r="A6238">
            <v>1828100817</v>
          </cell>
          <cell r="B6238" t="str">
            <v>תמיכות באירגוני נוער</v>
          </cell>
          <cell r="C6238">
            <v>180000</v>
          </cell>
        </row>
        <row r="6239">
          <cell r="A6239">
            <v>1828100818</v>
          </cell>
          <cell r="B6239" t="str">
            <v>תמיכה במכינות קד"צ</v>
          </cell>
          <cell r="C6239">
            <v>136800</v>
          </cell>
        </row>
        <row r="6240">
          <cell r="A6240">
            <v>1828100819</v>
          </cell>
          <cell r="B6240" t="str">
            <v>פרוייקט מישמיש</v>
          </cell>
        </row>
        <row r="6241">
          <cell r="A6241">
            <v>1828100820</v>
          </cell>
          <cell r="B6241" t="str">
            <v>פרוייקט צלילי זיכרון</v>
          </cell>
          <cell r="C6241">
            <v>0</v>
          </cell>
        </row>
        <row r="6242">
          <cell r="A6242">
            <v>1828100900</v>
          </cell>
          <cell r="B6242" t="str">
            <v xml:space="preserve">הוצאות חד פעמיות  </v>
          </cell>
        </row>
        <row r="6243">
          <cell r="A6243">
            <v>1828100931</v>
          </cell>
          <cell r="B6243" t="str">
            <v xml:space="preserve">רכישות חד-פעמיות  </v>
          </cell>
        </row>
        <row r="6244">
          <cell r="A6244">
            <v>1828100961</v>
          </cell>
          <cell r="B6244" t="str">
            <v>רז' פעולות ורכישות</v>
          </cell>
        </row>
        <row r="6245">
          <cell r="A6245">
            <v>1828100980</v>
          </cell>
          <cell r="B6245" t="str">
            <v xml:space="preserve">פעולות מרכז שואה  </v>
          </cell>
        </row>
        <row r="6246">
          <cell r="A6246">
            <v>1828100981</v>
          </cell>
          <cell r="B6246" t="str">
            <v>שבוע רוסיה</v>
          </cell>
        </row>
        <row r="6247">
          <cell r="A6247">
            <v>1828100982</v>
          </cell>
          <cell r="B6247" t="str">
            <v>ארועי צעירים</v>
          </cell>
        </row>
        <row r="6248">
          <cell r="A6248">
            <v>1828100983</v>
          </cell>
          <cell r="B6248" t="str">
            <v>השלמה - ניידת</v>
          </cell>
        </row>
        <row r="6249">
          <cell r="A6249">
            <v>1828100984</v>
          </cell>
          <cell r="B6249" t="str">
            <v>תחום צעירים</v>
          </cell>
        </row>
        <row r="6250">
          <cell r="A6250">
            <v>1828100985</v>
          </cell>
          <cell r="B6250" t="str">
            <v>היפ הופ</v>
          </cell>
        </row>
        <row r="6251">
          <cell r="A6251">
            <v>1828100986</v>
          </cell>
          <cell r="B6251" t="str">
            <v xml:space="preserve">חוסמסה,סל"תים+נוער ירוק            </v>
          </cell>
        </row>
        <row r="6252">
          <cell r="A6252">
            <v>1828100987</v>
          </cell>
          <cell r="B6252" t="str">
            <v xml:space="preserve">מרכז ייעוץ לנוער  </v>
          </cell>
          <cell r="C6252">
            <v>415600</v>
          </cell>
        </row>
        <row r="6253">
          <cell r="A6253">
            <v>1828100988</v>
          </cell>
          <cell r="B6253" t="str">
            <v>הכנה לצה"ל</v>
          </cell>
          <cell r="C6253">
            <v>359640</v>
          </cell>
        </row>
        <row r="6254">
          <cell r="A6254">
            <v>1828100989</v>
          </cell>
          <cell r="B6254" t="str">
            <v>שבוע הנוער</v>
          </cell>
        </row>
        <row r="6255">
          <cell r="A6255" t="str">
            <v>#VALUE!</v>
          </cell>
          <cell r="B6255" t="str">
            <v xml:space="preserve">מחלקת נוער        </v>
          </cell>
        </row>
        <row r="6256">
          <cell r="A6256">
            <v>18281200</v>
          </cell>
          <cell r="B6256" t="str">
            <v xml:space="preserve">קידום נוער        </v>
          </cell>
        </row>
        <row r="6257">
          <cell r="A6257">
            <v>1828120110</v>
          </cell>
          <cell r="B6257" t="str">
            <v>השכר הקובע-תקציבית</v>
          </cell>
          <cell r="C6257">
            <v>542000</v>
          </cell>
        </row>
        <row r="6258">
          <cell r="A6258">
            <v>1828120119</v>
          </cell>
          <cell r="B6258" t="str">
            <v xml:space="preserve">השכר הקובע-צוברת  </v>
          </cell>
          <cell r="C6258">
            <v>1831800</v>
          </cell>
        </row>
        <row r="6259">
          <cell r="A6259">
            <v>1828120122</v>
          </cell>
          <cell r="B6259" t="str">
            <v xml:space="preserve">ביגוד             </v>
          </cell>
          <cell r="C6259">
            <v>28500</v>
          </cell>
        </row>
        <row r="6260">
          <cell r="A6260">
            <v>1828120126</v>
          </cell>
          <cell r="B6260" t="str">
            <v xml:space="preserve">דמי הבראה         </v>
          </cell>
          <cell r="C6260">
            <v>70000</v>
          </cell>
        </row>
        <row r="6261">
          <cell r="A6261">
            <v>1828120130</v>
          </cell>
          <cell r="B6261" t="str">
            <v xml:space="preserve">שעות נוספות       </v>
          </cell>
          <cell r="C6261">
            <v>5500</v>
          </cell>
        </row>
        <row r="6262">
          <cell r="A6262">
            <v>1828120140</v>
          </cell>
          <cell r="B6262" t="str">
            <v>השתתפות באחזקת רכב</v>
          </cell>
          <cell r="C6262">
            <v>232000</v>
          </cell>
        </row>
        <row r="6263">
          <cell r="A6263">
            <v>1828120263</v>
          </cell>
          <cell r="B6263" t="str">
            <v xml:space="preserve">עובדי קידום נוער  </v>
          </cell>
        </row>
        <row r="6264">
          <cell r="A6264">
            <v>1828120420</v>
          </cell>
          <cell r="B6264" t="str">
            <v xml:space="preserve">כיבוי אש          </v>
          </cell>
        </row>
        <row r="6265">
          <cell r="A6265">
            <v>1828120432</v>
          </cell>
          <cell r="B6265" t="str">
            <v xml:space="preserve">מים               </v>
          </cell>
        </row>
        <row r="6266">
          <cell r="A6266">
            <v>1828120450</v>
          </cell>
          <cell r="B6266" t="str">
            <v>אחזקת תמי 4</v>
          </cell>
        </row>
        <row r="6267">
          <cell r="A6267">
            <v>1828120540</v>
          </cell>
          <cell r="B6267" t="str">
            <v xml:space="preserve">הוצאות טלפון      </v>
          </cell>
        </row>
        <row r="6268">
          <cell r="A6268">
            <v>1828120571</v>
          </cell>
          <cell r="B6268" t="str">
            <v xml:space="preserve">מיכון וענ"א       </v>
          </cell>
        </row>
        <row r="6269">
          <cell r="A6269">
            <v>1828120745</v>
          </cell>
          <cell r="B6269" t="str">
            <v>דמי פריצה-תכולה</v>
          </cell>
        </row>
        <row r="6270">
          <cell r="A6270">
            <v>1828120750</v>
          </cell>
          <cell r="B6270" t="str">
            <v>אחזקת מוסדות</v>
          </cell>
          <cell r="C6270">
            <v>19000</v>
          </cell>
        </row>
        <row r="6271">
          <cell r="A6271">
            <v>1828120752</v>
          </cell>
          <cell r="B6271" t="str">
            <v xml:space="preserve">נקיון בקבלנות     </v>
          </cell>
          <cell r="C6271">
            <v>55200</v>
          </cell>
        </row>
        <row r="6272">
          <cell r="A6272">
            <v>1828120763</v>
          </cell>
          <cell r="B6272" t="str">
            <v xml:space="preserve">עובדי קידום נוער  </v>
          </cell>
        </row>
        <row r="6273">
          <cell r="A6273">
            <v>1828120780</v>
          </cell>
          <cell r="B6273" t="str">
            <v xml:space="preserve">פעולות קידום נוער </v>
          </cell>
          <cell r="C6273">
            <v>46400</v>
          </cell>
        </row>
        <row r="6274">
          <cell r="A6274">
            <v>1828120781</v>
          </cell>
          <cell r="B6274" t="str">
            <v>צ'קפוינט - תרומה</v>
          </cell>
        </row>
        <row r="6275">
          <cell r="A6275">
            <v>1828120961</v>
          </cell>
          <cell r="B6275" t="str">
            <v>רז' פעולות ורכישות</v>
          </cell>
        </row>
        <row r="6276">
          <cell r="A6276" t="str">
            <v>#VALUE!</v>
          </cell>
          <cell r="B6276" t="str">
            <v xml:space="preserve">קידום נוער        </v>
          </cell>
        </row>
        <row r="6277">
          <cell r="A6277">
            <v>18281300</v>
          </cell>
          <cell r="B6277" t="str">
            <v>אגף  קהילה</v>
          </cell>
        </row>
        <row r="6278">
          <cell r="A6278">
            <v>1828130119</v>
          </cell>
          <cell r="B6278" t="str">
            <v xml:space="preserve">השכר הקובע-צוברת  </v>
          </cell>
          <cell r="C6278">
            <v>3095800</v>
          </cell>
        </row>
        <row r="6279">
          <cell r="A6279">
            <v>1828130122</v>
          </cell>
          <cell r="B6279" t="str">
            <v xml:space="preserve">ביגוד             </v>
          </cell>
          <cell r="C6279">
            <v>29000</v>
          </cell>
        </row>
        <row r="6280">
          <cell r="A6280">
            <v>1828130126</v>
          </cell>
          <cell r="B6280" t="str">
            <v xml:space="preserve">דמי הבראה         </v>
          </cell>
          <cell r="C6280">
            <v>72000</v>
          </cell>
        </row>
        <row r="6281">
          <cell r="A6281">
            <v>1828130130</v>
          </cell>
          <cell r="B6281" t="str">
            <v xml:space="preserve">שעות נוספות       </v>
          </cell>
        </row>
        <row r="6282">
          <cell r="A6282">
            <v>1828130140</v>
          </cell>
          <cell r="B6282" t="str">
            <v>השתתפות באחזקת רכב</v>
          </cell>
          <cell r="C6282">
            <v>350000</v>
          </cell>
        </row>
        <row r="6283">
          <cell r="A6283">
            <v>1828130210</v>
          </cell>
          <cell r="B6283" t="str">
            <v>ארועי שנת ה - 20</v>
          </cell>
        </row>
        <row r="6284">
          <cell r="A6284">
            <v>1828130253</v>
          </cell>
          <cell r="B6284" t="str">
            <v xml:space="preserve">עובדים חיצוניים   </v>
          </cell>
        </row>
        <row r="6285">
          <cell r="A6285">
            <v>1828130350</v>
          </cell>
          <cell r="B6285" t="str">
            <v>ליסינג- 471-67-602</v>
          </cell>
          <cell r="C6285">
            <v>50000</v>
          </cell>
        </row>
        <row r="6286">
          <cell r="A6286">
            <v>1828130351</v>
          </cell>
          <cell r="B6286" t="str">
            <v>הוצאות- 471-67-602</v>
          </cell>
          <cell r="C6286">
            <v>22000</v>
          </cell>
        </row>
        <row r="6287">
          <cell r="A6287">
            <v>1828130410</v>
          </cell>
          <cell r="B6287" t="str">
            <v>שכ"ד הורות ומשפחה</v>
          </cell>
          <cell r="C6287">
            <v>110000</v>
          </cell>
        </row>
        <row r="6288">
          <cell r="A6288">
            <v>1828130431</v>
          </cell>
          <cell r="B6288" t="str">
            <v xml:space="preserve">חשמל              </v>
          </cell>
          <cell r="C6288">
            <v>19800</v>
          </cell>
        </row>
        <row r="6289">
          <cell r="A6289">
            <v>1828130432</v>
          </cell>
          <cell r="B6289" t="str">
            <v xml:space="preserve">מים               </v>
          </cell>
        </row>
        <row r="6290">
          <cell r="A6290">
            <v>1828130433</v>
          </cell>
          <cell r="B6290" t="str">
            <v xml:space="preserve">חומרי נקיון       </v>
          </cell>
          <cell r="C6290">
            <v>5000</v>
          </cell>
        </row>
        <row r="6291">
          <cell r="A6291">
            <v>1828130450</v>
          </cell>
          <cell r="B6291" t="str">
            <v>אחזקת תמי 4</v>
          </cell>
        </row>
        <row r="6292">
          <cell r="A6292">
            <v>1828130470</v>
          </cell>
          <cell r="B6292" t="str">
            <v>מכונות משרד</v>
          </cell>
          <cell r="C6292">
            <v>5400</v>
          </cell>
        </row>
        <row r="6293">
          <cell r="A6293">
            <v>1828130471</v>
          </cell>
          <cell r="B6293" t="str">
            <v xml:space="preserve">מכשירי כתיבה      </v>
          </cell>
          <cell r="C6293">
            <v>6300</v>
          </cell>
        </row>
        <row r="6294">
          <cell r="A6294">
            <v>1828130511</v>
          </cell>
          <cell r="B6294" t="str">
            <v xml:space="preserve">אירוח וכיבוד      </v>
          </cell>
          <cell r="C6294">
            <v>4900</v>
          </cell>
        </row>
        <row r="6295">
          <cell r="A6295">
            <v>1828130540</v>
          </cell>
          <cell r="B6295" t="str">
            <v xml:space="preserve">הוצאות טלפון      </v>
          </cell>
          <cell r="C6295">
            <v>12000</v>
          </cell>
        </row>
        <row r="6296">
          <cell r="A6296">
            <v>1828130544</v>
          </cell>
          <cell r="B6296" t="str">
            <v xml:space="preserve">הוצאות דאר        </v>
          </cell>
          <cell r="C6296">
            <v>900</v>
          </cell>
        </row>
        <row r="6297">
          <cell r="A6297">
            <v>1828130562</v>
          </cell>
          <cell r="B6297" t="str">
            <v xml:space="preserve">הדפסות            </v>
          </cell>
          <cell r="C6297">
            <v>2000</v>
          </cell>
        </row>
        <row r="6298">
          <cell r="A6298">
            <v>1828130580</v>
          </cell>
          <cell r="B6298" t="str">
            <v>יועצים</v>
          </cell>
          <cell r="C6298">
            <v>34200</v>
          </cell>
        </row>
        <row r="6299">
          <cell r="A6299">
            <v>1828130751</v>
          </cell>
          <cell r="B6299" t="str">
            <v xml:space="preserve">עבודות קבלניות    </v>
          </cell>
          <cell r="C6299">
            <v>23900</v>
          </cell>
        </row>
        <row r="6300">
          <cell r="A6300">
            <v>1828130752</v>
          </cell>
          <cell r="B6300" t="str">
            <v xml:space="preserve">נקיון בקבלנות     </v>
          </cell>
          <cell r="C6300">
            <v>160000</v>
          </cell>
        </row>
        <row r="6301">
          <cell r="A6301">
            <v>1828130753</v>
          </cell>
          <cell r="B6301" t="str">
            <v>עובד אחזקה</v>
          </cell>
        </row>
        <row r="6302">
          <cell r="A6302">
            <v>1828130756</v>
          </cell>
          <cell r="B6302" t="str">
            <v>שמירה בקבלנות</v>
          </cell>
        </row>
        <row r="6303">
          <cell r="A6303">
            <v>1828130780</v>
          </cell>
          <cell r="B6303" t="str">
            <v>פעילות צעירים</v>
          </cell>
          <cell r="C6303">
            <v>333000</v>
          </cell>
        </row>
        <row r="6304">
          <cell r="A6304">
            <v>1828130781</v>
          </cell>
          <cell r="B6304" t="str">
            <v>ארועים</v>
          </cell>
          <cell r="C6304">
            <v>171000</v>
          </cell>
        </row>
        <row r="6305">
          <cell r="A6305">
            <v>1828130782</v>
          </cell>
          <cell r="B6305" t="str">
            <v>חוגי הורים</v>
          </cell>
          <cell r="C6305">
            <v>23800</v>
          </cell>
        </row>
        <row r="6306">
          <cell r="A6306">
            <v>1828130783</v>
          </cell>
          <cell r="B6306" t="str">
            <v>אם לאם בקהילה</v>
          </cell>
          <cell r="C6306">
            <v>63200</v>
          </cell>
        </row>
        <row r="6307">
          <cell r="A6307">
            <v>1828130784</v>
          </cell>
          <cell r="B6307" t="str">
            <v>פעילות הורות</v>
          </cell>
          <cell r="C6307">
            <v>457500</v>
          </cell>
        </row>
        <row r="6308">
          <cell r="A6308">
            <v>1828130785</v>
          </cell>
          <cell r="B6308" t="str">
            <v>תחום התנדבות</v>
          </cell>
          <cell r="C6308">
            <v>101200</v>
          </cell>
        </row>
        <row r="6309">
          <cell r="A6309">
            <v>1828130786</v>
          </cell>
          <cell r="B6309" t="str">
            <v>ארוע שנתי למתנדבים</v>
          </cell>
          <cell r="C6309">
            <v>21900</v>
          </cell>
        </row>
        <row r="6310">
          <cell r="A6310">
            <v>1828130787</v>
          </cell>
          <cell r="B6310" t="str">
            <v>פעילות בקהילה</v>
          </cell>
          <cell r="C6310">
            <v>50000</v>
          </cell>
        </row>
        <row r="6311">
          <cell r="A6311">
            <v>1828130788</v>
          </cell>
          <cell r="B6311" t="str">
            <v>מעורבות חברתית פעילות</v>
          </cell>
        </row>
        <row r="6312">
          <cell r="A6312">
            <v>1821830789</v>
          </cell>
          <cell r="B6312" t="str">
            <v>תכנית פאזל</v>
          </cell>
        </row>
        <row r="6313">
          <cell r="A6313">
            <v>1828130792</v>
          </cell>
          <cell r="B6313" t="str">
            <v>יום המעשים הטובים</v>
          </cell>
          <cell r="C6313">
            <v>48800</v>
          </cell>
        </row>
        <row r="6314">
          <cell r="A6314">
            <v>1828130931</v>
          </cell>
          <cell r="B6314" t="str">
            <v xml:space="preserve">רכישות חד-פעמיות  </v>
          </cell>
          <cell r="C6314">
            <v>5400</v>
          </cell>
        </row>
        <row r="6315">
          <cell r="A6315">
            <v>1828130932</v>
          </cell>
          <cell r="B6315" t="str">
            <v>פעילות הצטיידות להט"ב</v>
          </cell>
        </row>
        <row r="6316">
          <cell r="A6316" t="str">
            <v>#VALUE!</v>
          </cell>
          <cell r="B6316" t="str">
            <v>אגף  קהילה</v>
          </cell>
        </row>
        <row r="6317">
          <cell r="A6317">
            <v>18282000</v>
          </cell>
          <cell r="B6317" t="str">
            <v xml:space="preserve">רשת קהילה ופנאי </v>
          </cell>
        </row>
        <row r="6318">
          <cell r="A6318">
            <v>1828200200</v>
          </cell>
          <cell r="B6318" t="str">
            <v>שכר עובדים ללא תקן</v>
          </cell>
        </row>
        <row r="6319">
          <cell r="A6319">
            <v>1828200210</v>
          </cell>
          <cell r="B6319" t="str">
            <v xml:space="preserve">השכר הקובע        </v>
          </cell>
        </row>
        <row r="6320">
          <cell r="A6320">
            <v>1828200250</v>
          </cell>
          <cell r="B6320" t="str">
            <v xml:space="preserve">שכר מושאלים לרשת  </v>
          </cell>
        </row>
        <row r="6321">
          <cell r="A6321">
            <v>1828200400</v>
          </cell>
          <cell r="B6321" t="str">
            <v>אחזקת בנינים וציוד</v>
          </cell>
        </row>
        <row r="6322">
          <cell r="A6322">
            <v>1828200410</v>
          </cell>
          <cell r="B6322" t="str">
            <v>דמי שכירות</v>
          </cell>
          <cell r="C6322">
            <v>723000</v>
          </cell>
        </row>
        <row r="6323">
          <cell r="A6323">
            <v>1828200413</v>
          </cell>
          <cell r="B6323" t="str">
            <v>דמ"ש</v>
          </cell>
        </row>
        <row r="6324">
          <cell r="A6324">
            <v>1828200432</v>
          </cell>
          <cell r="B6324" t="str">
            <v xml:space="preserve">מים               </v>
          </cell>
        </row>
        <row r="6325">
          <cell r="A6325">
            <v>1828200441</v>
          </cell>
          <cell r="B6325" t="str">
            <v xml:space="preserve">ביטוח             </v>
          </cell>
          <cell r="C6325">
            <v>86700</v>
          </cell>
        </row>
        <row r="6326">
          <cell r="A6326">
            <v>1828200780</v>
          </cell>
          <cell r="B6326" t="str">
            <v>פרוייקט למידה ת"ג</v>
          </cell>
          <cell r="C6326">
            <v>48800</v>
          </cell>
        </row>
        <row r="6327">
          <cell r="A6327">
            <v>1828200781</v>
          </cell>
          <cell r="B6327" t="str">
            <v>מגמת עיצוב לבית רותר</v>
          </cell>
        </row>
        <row r="6328">
          <cell r="A6328">
            <v>1828200782</v>
          </cell>
          <cell r="B6328" t="str">
            <v>רכזת ספורט</v>
          </cell>
          <cell r="C6328">
            <v>56900</v>
          </cell>
        </row>
        <row r="6329">
          <cell r="A6329">
            <v>1828200783</v>
          </cell>
          <cell r="B6329" t="str">
            <v>תחום נוער</v>
          </cell>
          <cell r="C6329">
            <v>1582700</v>
          </cell>
        </row>
        <row r="6330">
          <cell r="A6330">
            <v>1828200784</v>
          </cell>
          <cell r="B6330" t="str">
            <v>פרויקטים + קיץ</v>
          </cell>
        </row>
        <row r="6331">
          <cell r="A6331">
            <v>1828200785</v>
          </cell>
          <cell r="B6331" t="str">
            <v xml:space="preserve">תנועות נוער       </v>
          </cell>
        </row>
        <row r="6332">
          <cell r="A6332">
            <v>1828200786</v>
          </cell>
          <cell r="B6332" t="str">
            <v>היפ הופ</v>
          </cell>
          <cell r="C6332">
            <v>114000</v>
          </cell>
        </row>
        <row r="6333">
          <cell r="A6333">
            <v>1828200787</v>
          </cell>
          <cell r="B6333" t="str">
            <v>מנהיגות וקשרי חוץ</v>
          </cell>
          <cell r="C6333">
            <v>180500</v>
          </cell>
        </row>
        <row r="6334">
          <cell r="A6334">
            <v>1828200788</v>
          </cell>
          <cell r="B6334" t="str">
            <v>אומנויות לחימה קליין</v>
          </cell>
          <cell r="C6334">
            <v>140000</v>
          </cell>
        </row>
        <row r="6335">
          <cell r="A6335">
            <v>1828200789</v>
          </cell>
          <cell r="B6335" t="str">
            <v>תחום מניעה</v>
          </cell>
          <cell r="C6335">
            <v>39900</v>
          </cell>
        </row>
        <row r="6336">
          <cell r="A6336">
            <v>1828200800</v>
          </cell>
          <cell r="B6336" t="str">
            <v>השת' תמיכות תרומות</v>
          </cell>
        </row>
        <row r="6337">
          <cell r="A6337">
            <v>1828200810</v>
          </cell>
          <cell r="B6337" t="str">
            <v xml:space="preserve">השתתפות ברשת קו"פ </v>
          </cell>
          <cell r="C6337">
            <v>3045200</v>
          </cell>
        </row>
        <row r="6338">
          <cell r="A6338">
            <v>1828200811</v>
          </cell>
          <cell r="B6338" t="str">
            <v>תרבות תורנית-מקהלות</v>
          </cell>
          <cell r="C6338">
            <v>451300</v>
          </cell>
        </row>
        <row r="6339">
          <cell r="A6339">
            <v>1828200812</v>
          </cell>
          <cell r="B6339" t="str">
            <v>למידה לזרוס</v>
          </cell>
          <cell r="C6339">
            <v>71500</v>
          </cell>
        </row>
        <row r="6340">
          <cell r="A6340">
            <v>1828200813</v>
          </cell>
          <cell r="B6340" t="str">
            <v xml:space="preserve">השתתפות בקייטנות  </v>
          </cell>
          <cell r="C6340">
            <v>59200</v>
          </cell>
        </row>
        <row r="6341">
          <cell r="A6341">
            <v>1828200814</v>
          </cell>
          <cell r="B6341" t="str">
            <v>קורס אומנות הקרנבל</v>
          </cell>
          <cell r="C6341">
            <v>116100</v>
          </cell>
        </row>
        <row r="6342">
          <cell r="A6342">
            <v>1828200815</v>
          </cell>
          <cell r="B6342" t="str">
            <v>שברולט,שטרודל,אריות</v>
          </cell>
          <cell r="C6342">
            <v>1504900</v>
          </cell>
        </row>
        <row r="6343">
          <cell r="A6343">
            <v>1828200816</v>
          </cell>
          <cell r="B6343" t="str">
            <v>רכזת מורשת</v>
          </cell>
          <cell r="C6343">
            <v>92100</v>
          </cell>
        </row>
        <row r="6344">
          <cell r="A6344">
            <v>1828200817</v>
          </cell>
          <cell r="B6344" t="str">
            <v xml:space="preserve">מועדון נכים-לזרוס </v>
          </cell>
          <cell r="C6344">
            <v>16300</v>
          </cell>
        </row>
        <row r="6345">
          <cell r="A6345">
            <v>1828200818</v>
          </cell>
          <cell r="B6345" t="str">
            <v>חוסמסה-רכז+ארכיבאי</v>
          </cell>
          <cell r="C6345">
            <v>170200</v>
          </cell>
        </row>
        <row r="6346">
          <cell r="A6346">
            <v>1828200819</v>
          </cell>
          <cell r="B6346" t="str">
            <v>ספר חולון</v>
          </cell>
        </row>
        <row r="6347">
          <cell r="A6347">
            <v>1828200820</v>
          </cell>
          <cell r="B6347" t="str">
            <v>המוזיאון העירוני</v>
          </cell>
          <cell r="C6347">
            <v>221700</v>
          </cell>
        </row>
        <row r="6348">
          <cell r="A6348">
            <v>1828200821</v>
          </cell>
          <cell r="B6348" t="str">
            <v>מועדון עולי בוכרה</v>
          </cell>
          <cell r="C6348">
            <v>24400</v>
          </cell>
        </row>
        <row r="6349">
          <cell r="A6349">
            <v>1828200822</v>
          </cell>
          <cell r="B6349" t="str">
            <v>מרכז  פסגות</v>
          </cell>
          <cell r="C6349">
            <v>692000</v>
          </cell>
        </row>
        <row r="6350">
          <cell r="A6350">
            <v>1828200823</v>
          </cell>
          <cell r="B6350" t="str">
            <v>מרכז מורשת</v>
          </cell>
          <cell r="C6350">
            <v>97500</v>
          </cell>
        </row>
        <row r="6351">
          <cell r="A6351">
            <v>1828200824</v>
          </cell>
          <cell r="B6351" t="str">
            <v>גוונים ניצנים</v>
          </cell>
          <cell r="C6351">
            <v>243700</v>
          </cell>
        </row>
        <row r="6352">
          <cell r="A6352">
            <v>1828200825</v>
          </cell>
          <cell r="B6352" t="str">
            <v>מתנ"ס חדש - ת"ג</v>
          </cell>
          <cell r="C6352">
            <v>360000</v>
          </cell>
        </row>
        <row r="6353">
          <cell r="A6353">
            <v>1828200826</v>
          </cell>
          <cell r="B6353" t="str">
            <v>הסעות טיולים חצ"ב</v>
          </cell>
          <cell r="C6353">
            <v>51700</v>
          </cell>
        </row>
        <row r="6354">
          <cell r="A6354">
            <v>1828200827</v>
          </cell>
          <cell r="B6354" t="str">
            <v>רכזים ומדריכים</v>
          </cell>
          <cell r="C6354">
            <v>417800</v>
          </cell>
        </row>
        <row r="6355">
          <cell r="A6355">
            <v>1828200832</v>
          </cell>
          <cell r="B6355" t="str">
            <v xml:space="preserve">מים               </v>
          </cell>
          <cell r="C6355">
            <v>162500</v>
          </cell>
        </row>
        <row r="6356">
          <cell r="A6356">
            <v>1828200874</v>
          </cell>
          <cell r="B6356" t="str">
            <v>דמי שכירות</v>
          </cell>
          <cell r="C6356">
            <v>212900</v>
          </cell>
        </row>
        <row r="6357">
          <cell r="A6357">
            <v>1828200879</v>
          </cell>
          <cell r="B6357" t="str">
            <v>ביטוח-כנגד הכנסות</v>
          </cell>
          <cell r="C6357">
            <v>35300</v>
          </cell>
        </row>
        <row r="6358">
          <cell r="A6358">
            <v>1828200930</v>
          </cell>
          <cell r="B6358" t="str">
            <v>השת' אולם ספורט דביר</v>
          </cell>
          <cell r="C6358">
            <v>119300</v>
          </cell>
        </row>
        <row r="6359">
          <cell r="A6359">
            <v>1828200980</v>
          </cell>
          <cell r="B6359" t="str">
            <v>הוצאות שנים קודמות</v>
          </cell>
        </row>
        <row r="6360">
          <cell r="A6360">
            <v>1828200981</v>
          </cell>
          <cell r="B6360" t="str">
            <v>התנדבות בקהילה</v>
          </cell>
          <cell r="C6360">
            <v>187700</v>
          </cell>
        </row>
        <row r="6361">
          <cell r="A6361">
            <v>1828200982</v>
          </cell>
          <cell r="B6361" t="str">
            <v>נוע"ם ח'</v>
          </cell>
          <cell r="C6361">
            <v>228000</v>
          </cell>
        </row>
        <row r="6362">
          <cell r="A6362">
            <v>1828200983</v>
          </cell>
          <cell r="B6362" t="str">
            <v>מרכז הדרכה - הכשרות</v>
          </cell>
        </row>
        <row r="6363">
          <cell r="A6363">
            <v>1828200984</v>
          </cell>
          <cell r="B6363" t="str">
            <v>סיבסוד קייטנות בפריפריה</v>
          </cell>
        </row>
        <row r="6364">
          <cell r="A6364">
            <v>1828200991</v>
          </cell>
          <cell r="B6364" t="str">
            <v>מפעל הפיס-נוער בסיכון</v>
          </cell>
        </row>
        <row r="6365">
          <cell r="A6365" t="str">
            <v>#VALUE!</v>
          </cell>
          <cell r="B6365" t="str">
            <v xml:space="preserve">רשת קהילה ופנאי </v>
          </cell>
        </row>
        <row r="6366">
          <cell r="A6366">
            <v>18282100</v>
          </cell>
          <cell r="B6366" t="str">
            <v xml:space="preserve">בי"ס קהילתיים     </v>
          </cell>
        </row>
        <row r="6367">
          <cell r="A6367">
            <v>1828210752</v>
          </cell>
          <cell r="B6367" t="str">
            <v xml:space="preserve">נקיון בקבלנות     </v>
          </cell>
        </row>
        <row r="6368">
          <cell r="A6368">
            <v>1828210780</v>
          </cell>
          <cell r="B6368" t="str">
            <v>הקצבה לבן - גוריון</v>
          </cell>
        </row>
        <row r="6369">
          <cell r="A6369">
            <v>1828210781</v>
          </cell>
          <cell r="B6369" t="str">
            <v xml:space="preserve">הקצבה לרביבים     </v>
          </cell>
        </row>
        <row r="6370">
          <cell r="A6370">
            <v>1828210961</v>
          </cell>
          <cell r="B6370" t="str">
            <v>רז' פעולות ורכישות</v>
          </cell>
        </row>
        <row r="6371">
          <cell r="A6371" t="str">
            <v>#VALUE!</v>
          </cell>
          <cell r="B6371" t="str">
            <v xml:space="preserve">בי"ס קהילתיים     </v>
          </cell>
        </row>
        <row r="6372">
          <cell r="A6372">
            <v>18282400</v>
          </cell>
          <cell r="B6372" t="str">
            <v xml:space="preserve">המרכז הבין תחומי  </v>
          </cell>
        </row>
        <row r="6373">
          <cell r="A6373">
            <v>1828240110</v>
          </cell>
          <cell r="B6373" t="str">
            <v>השכר הקובע-תקציבית</v>
          </cell>
        </row>
        <row r="6374">
          <cell r="A6374">
            <v>1828240119</v>
          </cell>
          <cell r="B6374" t="str">
            <v xml:space="preserve">השכר הקובע-צוברת  </v>
          </cell>
        </row>
        <row r="6375">
          <cell r="A6375">
            <v>1828240122</v>
          </cell>
          <cell r="B6375" t="str">
            <v xml:space="preserve">ביגוד             </v>
          </cell>
        </row>
        <row r="6376">
          <cell r="A6376">
            <v>1828240126</v>
          </cell>
          <cell r="B6376" t="str">
            <v xml:space="preserve">דמי הבראה         </v>
          </cell>
        </row>
        <row r="6377">
          <cell r="A6377">
            <v>1828240130</v>
          </cell>
          <cell r="B6377" t="str">
            <v xml:space="preserve">שעות נוספות       </v>
          </cell>
        </row>
        <row r="6378">
          <cell r="A6378">
            <v>1828240140</v>
          </cell>
          <cell r="B6378" t="str">
            <v>השתתפות באחזקת רכב</v>
          </cell>
        </row>
        <row r="6379">
          <cell r="A6379">
            <v>1828240210</v>
          </cell>
          <cell r="B6379" t="str">
            <v xml:space="preserve">השכר הקובע        </v>
          </cell>
        </row>
        <row r="6380">
          <cell r="A6380">
            <v>1828240219</v>
          </cell>
          <cell r="B6380" t="str">
            <v xml:space="preserve">שכר קייטנת קיץ    </v>
          </cell>
        </row>
        <row r="6381">
          <cell r="A6381">
            <v>1828240250</v>
          </cell>
          <cell r="B6381" t="str">
            <v>שכר מושאלים</v>
          </cell>
        </row>
        <row r="6382">
          <cell r="A6382">
            <v>1828240263</v>
          </cell>
          <cell r="B6382" t="str">
            <v xml:space="preserve">עובדי חברת מוסדות </v>
          </cell>
        </row>
        <row r="6383">
          <cell r="A6383">
            <v>1828240410</v>
          </cell>
          <cell r="B6383" t="str">
            <v xml:space="preserve">השתתפות בועד בית  </v>
          </cell>
        </row>
        <row r="6384">
          <cell r="A6384">
            <v>1828240413</v>
          </cell>
          <cell r="B6384" t="str">
            <v>דמ"ש</v>
          </cell>
        </row>
        <row r="6385">
          <cell r="A6385">
            <v>1828240420</v>
          </cell>
          <cell r="B6385" t="str">
            <v xml:space="preserve">כיבוי אש          </v>
          </cell>
        </row>
        <row r="6386">
          <cell r="A6386">
            <v>1828240423</v>
          </cell>
          <cell r="B6386" t="str">
            <v xml:space="preserve">תחזוקת מבנה       </v>
          </cell>
        </row>
        <row r="6387">
          <cell r="A6387">
            <v>1828240431</v>
          </cell>
          <cell r="B6387" t="str">
            <v xml:space="preserve">חשמל              </v>
          </cell>
        </row>
        <row r="6388">
          <cell r="A6388">
            <v>1828240432</v>
          </cell>
          <cell r="B6388" t="str">
            <v xml:space="preserve">מים               </v>
          </cell>
        </row>
        <row r="6389">
          <cell r="A6389">
            <v>1828240433</v>
          </cell>
          <cell r="B6389" t="str">
            <v xml:space="preserve">חומרי נקיון       </v>
          </cell>
        </row>
        <row r="6390">
          <cell r="A6390">
            <v>1828240434</v>
          </cell>
          <cell r="B6390" t="str">
            <v xml:space="preserve">חיטוי והדברה      </v>
          </cell>
        </row>
        <row r="6391">
          <cell r="A6391">
            <v>1828240437</v>
          </cell>
          <cell r="B6391" t="str">
            <v xml:space="preserve">אחזקת אזעקה       </v>
          </cell>
        </row>
        <row r="6392">
          <cell r="A6392">
            <v>1828240441</v>
          </cell>
          <cell r="B6392" t="str">
            <v xml:space="preserve">ביטוח             </v>
          </cell>
        </row>
        <row r="6393">
          <cell r="A6393">
            <v>1828240450</v>
          </cell>
          <cell r="B6393" t="str">
            <v xml:space="preserve">ריהוט ואחזקתו     </v>
          </cell>
        </row>
        <row r="6394">
          <cell r="A6394">
            <v>1828240471</v>
          </cell>
          <cell r="B6394" t="str">
            <v xml:space="preserve">מכשירי כתיבה      </v>
          </cell>
        </row>
        <row r="6395">
          <cell r="A6395">
            <v>1828240511</v>
          </cell>
          <cell r="B6395" t="str">
            <v xml:space="preserve">אירוח וכיבוד      </v>
          </cell>
        </row>
        <row r="6396">
          <cell r="A6396">
            <v>1828240512</v>
          </cell>
          <cell r="B6396" t="str">
            <v xml:space="preserve">נסיעות ואש"ל      </v>
          </cell>
        </row>
        <row r="6397">
          <cell r="A6397">
            <v>1828240522</v>
          </cell>
          <cell r="B6397" t="str">
            <v xml:space="preserve">ספרים             </v>
          </cell>
        </row>
        <row r="6398">
          <cell r="A6398">
            <v>1828240540</v>
          </cell>
          <cell r="B6398" t="str">
            <v xml:space="preserve">הוצאות טלפון      </v>
          </cell>
        </row>
        <row r="6399">
          <cell r="A6399">
            <v>1828240544</v>
          </cell>
          <cell r="B6399" t="str">
            <v xml:space="preserve">הוצאות דאר        </v>
          </cell>
        </row>
        <row r="6400">
          <cell r="A6400">
            <v>1828240550</v>
          </cell>
          <cell r="B6400" t="str">
            <v xml:space="preserve">פירסומים          </v>
          </cell>
        </row>
        <row r="6401">
          <cell r="A6401">
            <v>1828240561</v>
          </cell>
          <cell r="B6401" t="str">
            <v xml:space="preserve">שיכפולים          </v>
          </cell>
        </row>
        <row r="6402">
          <cell r="A6402">
            <v>1828240562</v>
          </cell>
          <cell r="B6402" t="str">
            <v xml:space="preserve">הדפסות            </v>
          </cell>
        </row>
        <row r="6403">
          <cell r="A6403">
            <v>1828240710</v>
          </cell>
          <cell r="B6403" t="str">
            <v xml:space="preserve">הובלות  והסעות    </v>
          </cell>
        </row>
        <row r="6404">
          <cell r="A6404">
            <v>1828240721</v>
          </cell>
          <cell r="B6404" t="str">
            <v>חמרים-תחזוקת מבנים</v>
          </cell>
        </row>
        <row r="6405">
          <cell r="A6405">
            <v>1828240722</v>
          </cell>
          <cell r="B6405" t="str">
            <v>חמרים-תחזוקה עצמית</v>
          </cell>
        </row>
        <row r="6406">
          <cell r="A6406">
            <v>1828240723</v>
          </cell>
          <cell r="B6406" t="str">
            <v xml:space="preserve">חומרים לחוגים     </v>
          </cell>
        </row>
        <row r="6407">
          <cell r="A6407">
            <v>1828240724</v>
          </cell>
          <cell r="B6407" t="str">
            <v xml:space="preserve">תיקים             </v>
          </cell>
        </row>
        <row r="6408">
          <cell r="A6408">
            <v>1828240742</v>
          </cell>
          <cell r="B6408" t="str">
            <v xml:space="preserve">כלים וציוד        </v>
          </cell>
        </row>
        <row r="6409">
          <cell r="A6409">
            <v>1828240743</v>
          </cell>
          <cell r="B6409" t="str">
            <v xml:space="preserve">תחזוקת ציוד       </v>
          </cell>
        </row>
        <row r="6410">
          <cell r="A6410">
            <v>1828240745</v>
          </cell>
          <cell r="B6410" t="str">
            <v xml:space="preserve">דמי פריצה - תכולה </v>
          </cell>
        </row>
        <row r="6411">
          <cell r="A6411">
            <v>1828240746</v>
          </cell>
          <cell r="B6411" t="str">
            <v xml:space="preserve">דמי פריצה - מבנה  </v>
          </cell>
        </row>
        <row r="6412">
          <cell r="A6412">
            <v>1828240751</v>
          </cell>
          <cell r="B6412" t="str">
            <v xml:space="preserve">עבודות קבלניות    </v>
          </cell>
        </row>
        <row r="6413">
          <cell r="A6413">
            <v>1828240752</v>
          </cell>
          <cell r="B6413" t="str">
            <v xml:space="preserve">נקיון בקבלנות     </v>
          </cell>
        </row>
        <row r="6414">
          <cell r="A6414">
            <v>1828240753</v>
          </cell>
          <cell r="B6414" t="str">
            <v xml:space="preserve">ע"ח חוות אומנויות </v>
          </cell>
        </row>
        <row r="6415">
          <cell r="A6415">
            <v>1828240757</v>
          </cell>
          <cell r="B6415" t="str">
            <v xml:space="preserve">חוגים בקבלנות     </v>
          </cell>
        </row>
        <row r="6416">
          <cell r="A6416">
            <v>1828240763</v>
          </cell>
          <cell r="B6416" t="str">
            <v xml:space="preserve">עובדי חברת מוסדות </v>
          </cell>
        </row>
        <row r="6417">
          <cell r="A6417">
            <v>1828240780</v>
          </cell>
          <cell r="B6417" t="str">
            <v>ירחון אינטרנט</v>
          </cell>
        </row>
        <row r="6418">
          <cell r="A6418">
            <v>1828240781</v>
          </cell>
          <cell r="B6418" t="str">
            <v xml:space="preserve">ארועים            </v>
          </cell>
        </row>
        <row r="6419">
          <cell r="A6419">
            <v>1828240782</v>
          </cell>
          <cell r="B6419" t="str">
            <v xml:space="preserve">חווידע            </v>
          </cell>
        </row>
        <row r="6420">
          <cell r="A6420">
            <v>1828240783</v>
          </cell>
          <cell r="B6420" t="str">
            <v xml:space="preserve">פע' חוות אומנויות </v>
          </cell>
        </row>
        <row r="6421">
          <cell r="A6421">
            <v>1828240784</v>
          </cell>
          <cell r="B6421" t="str">
            <v xml:space="preserve">מרכז וידאו ארט    </v>
          </cell>
        </row>
        <row r="6422">
          <cell r="A6422">
            <v>1828240785</v>
          </cell>
          <cell r="B6422" t="str">
            <v xml:space="preserve">הסעות ( מהכנסות ) </v>
          </cell>
        </row>
        <row r="6423">
          <cell r="A6423">
            <v>1828240789</v>
          </cell>
          <cell r="B6423" t="str">
            <v xml:space="preserve">קייטנת קיץ-פעולות </v>
          </cell>
        </row>
        <row r="6424">
          <cell r="A6424">
            <v>1828240794</v>
          </cell>
          <cell r="B6424" t="str">
            <v xml:space="preserve">השתתפות בעזר 094  </v>
          </cell>
        </row>
        <row r="6425">
          <cell r="A6425">
            <v>1828240870</v>
          </cell>
          <cell r="B6425" t="str">
            <v>וידאו ארט</v>
          </cell>
        </row>
        <row r="6426">
          <cell r="A6426">
            <v>1828240871</v>
          </cell>
          <cell r="B6426" t="str">
            <v xml:space="preserve">מרכז לוידאו ארט    </v>
          </cell>
        </row>
        <row r="6427">
          <cell r="A6427">
            <v>1828240872</v>
          </cell>
          <cell r="B6427" t="str">
            <v>המרכז לאומנות דיגיטלית</v>
          </cell>
        </row>
        <row r="6428">
          <cell r="A6428">
            <v>1828240873</v>
          </cell>
          <cell r="B6428" t="str">
            <v>ג'סי כהן</v>
          </cell>
        </row>
        <row r="6429">
          <cell r="A6429">
            <v>1828240874</v>
          </cell>
          <cell r="B6429" t="str">
            <v>אמנים יוצרים בקהילה</v>
          </cell>
        </row>
        <row r="6430">
          <cell r="A6430">
            <v>1828240879</v>
          </cell>
          <cell r="B6430" t="str">
            <v>ביטוח-כנגד הכנסות</v>
          </cell>
          <cell r="C6430">
            <v>4400</v>
          </cell>
        </row>
        <row r="6431">
          <cell r="A6431">
            <v>1828240931</v>
          </cell>
          <cell r="B6431" t="str">
            <v xml:space="preserve">רכישות חד-פעמיות  </v>
          </cell>
        </row>
        <row r="6432">
          <cell r="A6432">
            <v>1828240961</v>
          </cell>
          <cell r="B6432" t="str">
            <v>רז' פעולות ורכישות</v>
          </cell>
        </row>
        <row r="6433">
          <cell r="A6433" t="str">
            <v>#VALUE!</v>
          </cell>
          <cell r="B6433" t="str">
            <v xml:space="preserve">המרכז הבין תחומי  </v>
          </cell>
        </row>
        <row r="6434">
          <cell r="A6434">
            <v>18290000</v>
          </cell>
          <cell r="B6434" t="str">
            <v xml:space="preserve">ספורט             </v>
          </cell>
        </row>
        <row r="6435">
          <cell r="A6435">
            <v>18291000</v>
          </cell>
          <cell r="B6435" t="str">
            <v xml:space="preserve">מינהל הספורט      </v>
          </cell>
        </row>
        <row r="6436">
          <cell r="A6436">
            <v>1829100100</v>
          </cell>
          <cell r="B6436" t="str">
            <v>שכר עובדים לפי תקן</v>
          </cell>
        </row>
        <row r="6437">
          <cell r="A6437">
            <v>1829100110</v>
          </cell>
          <cell r="B6437" t="str">
            <v>השכר הקובע-תקציבית</v>
          </cell>
        </row>
        <row r="6438">
          <cell r="A6438">
            <v>1829100119</v>
          </cell>
          <cell r="B6438" t="str">
            <v xml:space="preserve">השכר הקובע-צוברת  </v>
          </cell>
        </row>
        <row r="6439">
          <cell r="A6439">
            <v>1829100122</v>
          </cell>
          <cell r="B6439" t="str">
            <v xml:space="preserve">ביגוד             </v>
          </cell>
        </row>
        <row r="6440">
          <cell r="A6440">
            <v>1829100126</v>
          </cell>
          <cell r="B6440" t="str">
            <v xml:space="preserve">דמי הבראה         </v>
          </cell>
        </row>
        <row r="6441">
          <cell r="A6441">
            <v>1829100130</v>
          </cell>
          <cell r="B6441" t="str">
            <v xml:space="preserve">שעות נוספות       </v>
          </cell>
        </row>
        <row r="6442">
          <cell r="A6442">
            <v>1829100140</v>
          </cell>
          <cell r="B6442" t="str">
            <v>השתתפות באחזקת רכב</v>
          </cell>
        </row>
        <row r="6443">
          <cell r="A6443">
            <v>1829100200</v>
          </cell>
          <cell r="B6443" t="str">
            <v>שכר עובדים ללא תקן</v>
          </cell>
        </row>
        <row r="6444">
          <cell r="A6444">
            <v>1829100210</v>
          </cell>
          <cell r="B6444" t="str">
            <v xml:space="preserve">השכר הקובע        </v>
          </cell>
        </row>
        <row r="6445">
          <cell r="A6445">
            <v>1829100216</v>
          </cell>
          <cell r="B6445" t="str">
            <v>שכר חוגי ספורט ע"י</v>
          </cell>
        </row>
        <row r="6446">
          <cell r="A6446">
            <v>1829100217</v>
          </cell>
          <cell r="B6446" t="str">
            <v xml:space="preserve">מועדון בית ספרי   </v>
          </cell>
        </row>
        <row r="6447">
          <cell r="A6447">
            <v>1829100218</v>
          </cell>
          <cell r="B6447" t="str">
            <v xml:space="preserve">ספורט - בתי נוער  </v>
          </cell>
        </row>
        <row r="6448">
          <cell r="A6448">
            <v>1829100250</v>
          </cell>
          <cell r="B6448" t="str">
            <v>שכר מושאלים</v>
          </cell>
        </row>
        <row r="6449">
          <cell r="A6449">
            <v>1829100400</v>
          </cell>
          <cell r="B6449" t="str">
            <v>אחזקת בנינים וציוד</v>
          </cell>
        </row>
        <row r="6450">
          <cell r="A6450">
            <v>1829100413</v>
          </cell>
          <cell r="B6450" t="str">
            <v>דמ"ש</v>
          </cell>
        </row>
        <row r="6451">
          <cell r="A6451">
            <v>1829100441</v>
          </cell>
          <cell r="B6451" t="str">
            <v xml:space="preserve">ביטוח מחלקת הספורט       </v>
          </cell>
          <cell r="C6451">
            <v>43900</v>
          </cell>
        </row>
        <row r="6452">
          <cell r="A6452">
            <v>1829100471</v>
          </cell>
          <cell r="B6452" t="str">
            <v xml:space="preserve">מכשירי כתיבה      </v>
          </cell>
        </row>
        <row r="6453">
          <cell r="A6453">
            <v>1829100500</v>
          </cell>
          <cell r="B6453" t="str">
            <v xml:space="preserve">הוצאות מינהליות   </v>
          </cell>
        </row>
        <row r="6454">
          <cell r="A6454">
            <v>1829100540</v>
          </cell>
          <cell r="B6454" t="str">
            <v xml:space="preserve">הוצאות טלפון      </v>
          </cell>
        </row>
        <row r="6455">
          <cell r="A6455">
            <v>1829100544</v>
          </cell>
          <cell r="B6455" t="str">
            <v xml:space="preserve">הוצאות דאר        </v>
          </cell>
        </row>
        <row r="6456">
          <cell r="A6456">
            <v>1829100550</v>
          </cell>
          <cell r="B6456" t="str">
            <v xml:space="preserve">פירסומים          </v>
          </cell>
        </row>
        <row r="6457">
          <cell r="A6457">
            <v>1829100551</v>
          </cell>
          <cell r="B6457" t="str">
            <v xml:space="preserve">מודעות והדבקתן    </v>
          </cell>
        </row>
        <row r="6458">
          <cell r="A6458">
            <v>1829100561</v>
          </cell>
          <cell r="B6458" t="str">
            <v xml:space="preserve">שיכפולים          </v>
          </cell>
        </row>
        <row r="6459">
          <cell r="A6459">
            <v>1829100562</v>
          </cell>
          <cell r="B6459" t="str">
            <v xml:space="preserve">הדפסות            </v>
          </cell>
        </row>
        <row r="6460">
          <cell r="A6460">
            <v>1829100571</v>
          </cell>
          <cell r="B6460" t="str">
            <v xml:space="preserve">מיכון וענ"א       </v>
          </cell>
        </row>
        <row r="6461">
          <cell r="A6461">
            <v>1829100700</v>
          </cell>
          <cell r="B6461" t="str">
            <v xml:space="preserve">הוצאות לפעולות    </v>
          </cell>
        </row>
        <row r="6462">
          <cell r="A6462">
            <v>1829100710</v>
          </cell>
          <cell r="B6462" t="str">
            <v xml:space="preserve">הובלות  והסעות    </v>
          </cell>
        </row>
        <row r="6463">
          <cell r="A6463">
            <v>1829100727</v>
          </cell>
          <cell r="B6463" t="str">
            <v xml:space="preserve">חול לבורות קפיצה  </v>
          </cell>
        </row>
        <row r="6464">
          <cell r="A6464">
            <v>1829100742</v>
          </cell>
          <cell r="B6464" t="str">
            <v xml:space="preserve">כלים וציוד        </v>
          </cell>
        </row>
        <row r="6465">
          <cell r="A6465">
            <v>1829100743</v>
          </cell>
          <cell r="B6465" t="str">
            <v>ח'-תח' מתקני ספורט</v>
          </cell>
        </row>
        <row r="6466">
          <cell r="A6466">
            <v>1829100744</v>
          </cell>
          <cell r="B6466" t="str">
            <v xml:space="preserve">תעודות ומדליות    </v>
          </cell>
        </row>
        <row r="6467">
          <cell r="A6467">
            <v>1829100763</v>
          </cell>
          <cell r="B6467" t="str">
            <v xml:space="preserve">עובדי חברת מוסדות </v>
          </cell>
        </row>
        <row r="6468">
          <cell r="A6468">
            <v>1829100781</v>
          </cell>
          <cell r="B6468" t="str">
            <v>מפעלי ספורט</v>
          </cell>
        </row>
        <row r="6469">
          <cell r="A6469">
            <v>1829100794</v>
          </cell>
          <cell r="B6469" t="str">
            <v xml:space="preserve">השתתפות בעזר 094  </v>
          </cell>
        </row>
        <row r="6470">
          <cell r="A6470">
            <v>1829100810</v>
          </cell>
          <cell r="B6470" t="str">
            <v>מועדון ספורט בי"ס</v>
          </cell>
          <cell r="C6470">
            <v>261000</v>
          </cell>
        </row>
        <row r="6471">
          <cell r="A6471">
            <v>1829100811</v>
          </cell>
          <cell r="B6471" t="str">
            <v>אליפות אומנותית</v>
          </cell>
        </row>
        <row r="6472">
          <cell r="A6472">
            <v>1829100812</v>
          </cell>
          <cell r="B6472" t="str">
            <v>אליפות בינ"ל</v>
          </cell>
          <cell r="C6472">
            <v>243700</v>
          </cell>
        </row>
        <row r="6473">
          <cell r="A6473">
            <v>1829100813</v>
          </cell>
          <cell r="B6473" t="str">
            <v>תיפעול המחלקה</v>
          </cell>
          <cell r="C6473">
            <v>596200</v>
          </cell>
        </row>
        <row r="6474">
          <cell r="A6474">
            <v>1829100814</v>
          </cell>
          <cell r="B6474" t="str">
            <v>השת' אולם ספורט שמיר</v>
          </cell>
          <cell r="C6474">
            <v>86400</v>
          </cell>
        </row>
        <row r="6475">
          <cell r="A6475">
            <v>1829100815</v>
          </cell>
          <cell r="B6475" t="str">
            <v>פרחי ספורט</v>
          </cell>
        </row>
        <row r="6476">
          <cell r="A6476">
            <v>1829100816</v>
          </cell>
          <cell r="B6476" t="str">
            <v>אליפות אירופה באקרובטיקה</v>
          </cell>
        </row>
        <row r="6477">
          <cell r="A6477">
            <v>1829100817</v>
          </cell>
          <cell r="B6477" t="str">
            <v>השת' אולם ספורט שרון</v>
          </cell>
          <cell r="C6477">
            <v>143300</v>
          </cell>
        </row>
        <row r="6478">
          <cell r="A6478">
            <v>1829100818</v>
          </cell>
          <cell r="B6478" t="str">
            <v>הפעלת סקייטפארק</v>
          </cell>
          <cell r="C6478">
            <v>285900</v>
          </cell>
        </row>
        <row r="6479">
          <cell r="A6479">
            <v>1829100819</v>
          </cell>
          <cell r="B6479" t="str">
            <v>השתתפות בנופשונית</v>
          </cell>
          <cell r="C6479">
            <v>855000</v>
          </cell>
        </row>
        <row r="6480">
          <cell r="A6480">
            <v>1829100820</v>
          </cell>
          <cell r="B6480" t="str">
            <v>מרכזי מצוינות</v>
          </cell>
          <cell r="C6480">
            <v>188100</v>
          </cell>
        </row>
        <row r="6481">
          <cell r="A6481">
            <v>1829100821</v>
          </cell>
          <cell r="B6481" t="str">
            <v>השתתפות היכל הספורט</v>
          </cell>
          <cell r="C6481">
            <v>4300000</v>
          </cell>
        </row>
        <row r="6482">
          <cell r="A6482">
            <v>1829100822</v>
          </cell>
          <cell r="B6482" t="str">
            <v>ליגת הכוכבים</v>
          </cell>
          <cell r="C6482">
            <v>134000</v>
          </cell>
        </row>
        <row r="6483">
          <cell r="A6483">
            <v>1829100824</v>
          </cell>
          <cell r="B6483" t="str">
            <v xml:space="preserve">השתתפות אולם מכבי </v>
          </cell>
        </row>
        <row r="6484">
          <cell r="A6484">
            <v>1829100870</v>
          </cell>
          <cell r="B6484" t="str">
            <v>חוגי ספורט בי"ס</v>
          </cell>
        </row>
        <row r="6485">
          <cell r="A6485">
            <v>1829100871</v>
          </cell>
          <cell r="B6485" t="str">
            <v>תחזוקת מגרש אורט</v>
          </cell>
          <cell r="C6485">
            <v>100000</v>
          </cell>
        </row>
        <row r="6486">
          <cell r="A6486">
            <v>1829100872</v>
          </cell>
          <cell r="B6486" t="str">
            <v>מרכז טניס עירוני</v>
          </cell>
          <cell r="C6486">
            <v>150000</v>
          </cell>
        </row>
        <row r="6487">
          <cell r="A6487">
            <v>1829100873</v>
          </cell>
          <cell r="B6487" t="str">
            <v>פרוייקטים</v>
          </cell>
          <cell r="C6487">
            <v>322900</v>
          </cell>
        </row>
        <row r="6488">
          <cell r="A6488">
            <v>1829100874</v>
          </cell>
          <cell r="B6488" t="str">
            <v>תיגבור חט"ב ק"ש (מאגוד')</v>
          </cell>
          <cell r="C6488">
            <v>43700</v>
          </cell>
        </row>
        <row r="6489">
          <cell r="A6489">
            <v>1829100875</v>
          </cell>
          <cell r="B6489" t="str">
            <v>נבחרת כדורשת למכביה</v>
          </cell>
        </row>
        <row r="6490">
          <cell r="A6490">
            <v>1829100876</v>
          </cell>
          <cell r="B6490" t="str">
            <v>מרוץ חולון</v>
          </cell>
        </row>
        <row r="6491">
          <cell r="A6491">
            <v>1829100877</v>
          </cell>
          <cell r="B6491" t="str">
            <v>מרוצי ילדים עממיים</v>
          </cell>
        </row>
        <row r="6492">
          <cell r="A6492">
            <v>1829100878</v>
          </cell>
          <cell r="B6492" t="str">
            <v>חוגי שחייה</v>
          </cell>
          <cell r="C6492">
            <v>200000</v>
          </cell>
        </row>
        <row r="6493">
          <cell r="A6493">
            <v>1829100879</v>
          </cell>
          <cell r="B6493" t="str">
            <v>ביטוח - כנגד הכנסות</v>
          </cell>
          <cell r="C6493">
            <v>43900</v>
          </cell>
        </row>
        <row r="6494">
          <cell r="A6494">
            <v>1829100900</v>
          </cell>
          <cell r="B6494" t="str">
            <v xml:space="preserve">הוצאות חד פעמיות  </v>
          </cell>
        </row>
        <row r="6495">
          <cell r="A6495">
            <v>1829100930</v>
          </cell>
          <cell r="B6495" t="str">
            <v>חוגי ספורט בי"ס</v>
          </cell>
        </row>
        <row r="6496">
          <cell r="A6496">
            <v>1829100920</v>
          </cell>
          <cell r="B6496" t="str">
            <v>פעולות כנגד הכנסות</v>
          </cell>
          <cell r="C6496">
            <v>300700</v>
          </cell>
        </row>
        <row r="6497">
          <cell r="A6497">
            <v>1829100921</v>
          </cell>
          <cell r="B6497" t="str">
            <v>מתחם הפועל</v>
          </cell>
          <cell r="C6497">
            <v>630000</v>
          </cell>
        </row>
        <row r="6498">
          <cell r="A6498">
            <v>1829100931</v>
          </cell>
          <cell r="B6498" t="str">
            <v>אגודות השג (הכנס')</v>
          </cell>
        </row>
        <row r="6499">
          <cell r="A6499">
            <v>1829100932</v>
          </cell>
          <cell r="B6499" t="str">
            <v>מרכז מצוינות</v>
          </cell>
        </row>
        <row r="6500">
          <cell r="A6500">
            <v>1829100933</v>
          </cell>
          <cell r="B6500" t="str">
            <v>פרוייקטים</v>
          </cell>
        </row>
        <row r="6501">
          <cell r="A6501">
            <v>1829100934</v>
          </cell>
          <cell r="B6501" t="str">
            <v>תיגבור חט"ב ק"ש (מאגוד')</v>
          </cell>
        </row>
        <row r="6502">
          <cell r="A6502">
            <v>1829100950</v>
          </cell>
          <cell r="B6502" t="str">
            <v>הלוואה לחברה לבילוי ובידור</v>
          </cell>
        </row>
        <row r="6503">
          <cell r="A6503">
            <v>1829100961</v>
          </cell>
          <cell r="B6503" t="str">
            <v>רז' פעולות ורכישות</v>
          </cell>
        </row>
        <row r="6504">
          <cell r="A6504">
            <v>1829100980</v>
          </cell>
          <cell r="B6504" t="str">
            <v xml:space="preserve">תכנית אב לספורט   </v>
          </cell>
        </row>
        <row r="6505">
          <cell r="A6505">
            <v>1829100982</v>
          </cell>
          <cell r="B6505" t="str">
            <v>מועדון לספורט עממי</v>
          </cell>
        </row>
        <row r="6506">
          <cell r="A6506" t="str">
            <v>#VALUE!</v>
          </cell>
          <cell r="B6506" t="str">
            <v xml:space="preserve">מינהל הספורט      </v>
          </cell>
        </row>
        <row r="6507">
          <cell r="A6507">
            <v>18292000</v>
          </cell>
          <cell r="B6507" t="str">
            <v xml:space="preserve">מתקני ספורט       </v>
          </cell>
        </row>
        <row r="6508">
          <cell r="A6508">
            <v>1829200100</v>
          </cell>
          <cell r="B6508" t="str">
            <v>שכר עובדים לפי תקן</v>
          </cell>
        </row>
        <row r="6509">
          <cell r="A6509">
            <v>1829200110</v>
          </cell>
          <cell r="B6509" t="str">
            <v>השכר הקובע-תקציבית</v>
          </cell>
        </row>
        <row r="6510">
          <cell r="A6510">
            <v>1829200119</v>
          </cell>
          <cell r="B6510" t="str">
            <v xml:space="preserve">השכר הקובע-צוברת  </v>
          </cell>
        </row>
        <row r="6511">
          <cell r="A6511">
            <v>1829200122</v>
          </cell>
          <cell r="B6511" t="str">
            <v xml:space="preserve">ביגוד             </v>
          </cell>
        </row>
        <row r="6512">
          <cell r="A6512">
            <v>1829200126</v>
          </cell>
          <cell r="B6512" t="str">
            <v xml:space="preserve">דמי הבראה         </v>
          </cell>
        </row>
        <row r="6513">
          <cell r="A6513">
            <v>1829200130</v>
          </cell>
          <cell r="B6513" t="str">
            <v xml:space="preserve">שעות נוספות       </v>
          </cell>
        </row>
        <row r="6514">
          <cell r="A6514">
            <v>1829200140</v>
          </cell>
          <cell r="B6514" t="str">
            <v>השתתפות באחזקת רכב</v>
          </cell>
        </row>
        <row r="6515">
          <cell r="A6515">
            <v>1829200200</v>
          </cell>
          <cell r="B6515" t="str">
            <v>שכר עובדים ללא תקן</v>
          </cell>
        </row>
        <row r="6516">
          <cell r="A6516">
            <v>1829200210</v>
          </cell>
          <cell r="B6516" t="str">
            <v xml:space="preserve">השכר הקובע        </v>
          </cell>
        </row>
        <row r="6517">
          <cell r="A6517">
            <v>1829200217</v>
          </cell>
          <cell r="B6517" t="str">
            <v xml:space="preserve">מרכז אתלטיקה      </v>
          </cell>
        </row>
        <row r="6518">
          <cell r="A6518">
            <v>1829200250</v>
          </cell>
          <cell r="B6518" t="str">
            <v>שכר מושאלים</v>
          </cell>
        </row>
        <row r="6519">
          <cell r="A6519">
            <v>1829200400</v>
          </cell>
          <cell r="B6519" t="str">
            <v>אחזקת בנינים וציוד</v>
          </cell>
        </row>
        <row r="6520">
          <cell r="A6520">
            <v>1829200420</v>
          </cell>
          <cell r="B6520" t="str">
            <v xml:space="preserve">כיבוי אש          </v>
          </cell>
        </row>
        <row r="6521">
          <cell r="A6521">
            <v>1829200423</v>
          </cell>
          <cell r="B6521" t="str">
            <v xml:space="preserve">תחזוקת מבנה       </v>
          </cell>
        </row>
        <row r="6522">
          <cell r="A6522">
            <v>1829200430</v>
          </cell>
          <cell r="B6522" t="str">
            <v xml:space="preserve">גז                </v>
          </cell>
        </row>
        <row r="6523">
          <cell r="A6523">
            <v>1829200431</v>
          </cell>
          <cell r="B6523" t="str">
            <v xml:space="preserve">חשמל              </v>
          </cell>
        </row>
        <row r="6524">
          <cell r="A6524">
            <v>1829200432</v>
          </cell>
          <cell r="B6524" t="str">
            <v xml:space="preserve">מים               </v>
          </cell>
        </row>
        <row r="6525">
          <cell r="A6525">
            <v>1829200433</v>
          </cell>
          <cell r="B6525" t="str">
            <v xml:space="preserve">חומרי נקיון       </v>
          </cell>
        </row>
        <row r="6526">
          <cell r="A6526">
            <v>1829200437</v>
          </cell>
          <cell r="B6526" t="str">
            <v xml:space="preserve">אחזקת אזעקה       </v>
          </cell>
        </row>
        <row r="6527">
          <cell r="A6527">
            <v>1829200441</v>
          </cell>
          <cell r="B6527" t="str">
            <v xml:space="preserve">ביטוח             </v>
          </cell>
        </row>
        <row r="6528">
          <cell r="A6528">
            <v>1829200471</v>
          </cell>
          <cell r="B6528" t="str">
            <v xml:space="preserve">מכשירי כתיבה      </v>
          </cell>
        </row>
        <row r="6529">
          <cell r="A6529">
            <v>1829200500</v>
          </cell>
          <cell r="B6529" t="str">
            <v xml:space="preserve">הוצאות מינהליות   </v>
          </cell>
        </row>
        <row r="6530">
          <cell r="A6530">
            <v>1829200511</v>
          </cell>
          <cell r="B6530" t="str">
            <v xml:space="preserve">אירוח וכיבוד      </v>
          </cell>
        </row>
        <row r="6531">
          <cell r="A6531">
            <v>1829200512</v>
          </cell>
          <cell r="B6531" t="str">
            <v xml:space="preserve">נסיעות ואש"ל      </v>
          </cell>
        </row>
        <row r="6532">
          <cell r="A6532">
            <v>1829200540</v>
          </cell>
          <cell r="B6532" t="str">
            <v xml:space="preserve">הוצאות טלפון      </v>
          </cell>
        </row>
        <row r="6533">
          <cell r="A6533">
            <v>1829200544</v>
          </cell>
          <cell r="B6533" t="str">
            <v xml:space="preserve">הוצאות דאר        </v>
          </cell>
        </row>
        <row r="6534">
          <cell r="A6534">
            <v>1829200550</v>
          </cell>
          <cell r="B6534" t="str">
            <v xml:space="preserve">פירסומים          </v>
          </cell>
        </row>
        <row r="6535">
          <cell r="A6535">
            <v>1829200551</v>
          </cell>
          <cell r="B6535" t="str">
            <v xml:space="preserve">מודעות והדבקתן    </v>
          </cell>
        </row>
        <row r="6536">
          <cell r="A6536">
            <v>1829200561</v>
          </cell>
          <cell r="B6536" t="str">
            <v xml:space="preserve">שיכפולים          </v>
          </cell>
        </row>
        <row r="6537">
          <cell r="A6537">
            <v>1829200596</v>
          </cell>
          <cell r="B6537" t="str">
            <v xml:space="preserve">השתתפות בעזר 096  </v>
          </cell>
        </row>
        <row r="6538">
          <cell r="A6538">
            <v>1829200700</v>
          </cell>
          <cell r="B6538" t="str">
            <v xml:space="preserve">הוצאות לפעולות    </v>
          </cell>
        </row>
        <row r="6539">
          <cell r="A6539">
            <v>1829200710</v>
          </cell>
          <cell r="B6539" t="str">
            <v xml:space="preserve">שעות טרקטור       </v>
          </cell>
        </row>
        <row r="6540">
          <cell r="A6540">
            <v>1829200721</v>
          </cell>
          <cell r="B6540" t="str">
            <v>חמרים-תחזוקת מבנים</v>
          </cell>
        </row>
        <row r="6541">
          <cell r="A6541">
            <v>1829200722</v>
          </cell>
          <cell r="B6541" t="str">
            <v>חמרים-תחזוקה עצמית</v>
          </cell>
        </row>
        <row r="6542">
          <cell r="A6542">
            <v>1829200723</v>
          </cell>
          <cell r="B6542" t="str">
            <v>זבלים+דשנים+השקייה</v>
          </cell>
        </row>
        <row r="6543">
          <cell r="A6543">
            <v>1829200724</v>
          </cell>
          <cell r="B6543" t="str">
            <v xml:space="preserve">חלקי חילוף ואחזקה </v>
          </cell>
        </row>
        <row r="6544">
          <cell r="A6544">
            <v>1829200742</v>
          </cell>
          <cell r="B6544" t="str">
            <v xml:space="preserve">כלים וציוד        </v>
          </cell>
        </row>
        <row r="6545">
          <cell r="A6545">
            <v>1829200745</v>
          </cell>
          <cell r="B6545" t="str">
            <v xml:space="preserve">דמי פריצה - תכולה </v>
          </cell>
        </row>
        <row r="6546">
          <cell r="A6546">
            <v>1829200751</v>
          </cell>
          <cell r="B6546" t="str">
            <v xml:space="preserve">עבודות קבלניות    </v>
          </cell>
        </row>
        <row r="6547">
          <cell r="A6547">
            <v>1829200752</v>
          </cell>
          <cell r="B6547" t="str">
            <v xml:space="preserve">נקיון בקבלנות     </v>
          </cell>
        </row>
        <row r="6548">
          <cell r="A6548">
            <v>1829200753</v>
          </cell>
          <cell r="B6548" t="str">
            <v xml:space="preserve">עובדים חיצוניים   </v>
          </cell>
        </row>
        <row r="6549">
          <cell r="A6549">
            <v>1829200754</v>
          </cell>
          <cell r="B6549" t="str">
            <v xml:space="preserve">שיפוץ איצטדיונים  </v>
          </cell>
        </row>
        <row r="6550">
          <cell r="A6550">
            <v>1829200756</v>
          </cell>
          <cell r="B6550" t="str">
            <v>שמירה בקרית הספורט</v>
          </cell>
        </row>
        <row r="6551">
          <cell r="A6551">
            <v>1829200757</v>
          </cell>
          <cell r="B6551" t="str">
            <v>אחז' מגרשים בקבלנו</v>
          </cell>
        </row>
        <row r="6552">
          <cell r="A6552">
            <v>1829200763</v>
          </cell>
          <cell r="B6552" t="str">
            <v xml:space="preserve">עב' חברת מוסדות   </v>
          </cell>
        </row>
        <row r="6553">
          <cell r="A6553">
            <v>1829200794</v>
          </cell>
          <cell r="B6553" t="str">
            <v xml:space="preserve">השתתפות בעזר 094  </v>
          </cell>
        </row>
        <row r="6554">
          <cell r="A6554">
            <v>1829200810</v>
          </cell>
          <cell r="B6554" t="str">
            <v>השתתפות בתק' הפעלה</v>
          </cell>
          <cell r="C6554">
            <v>1012900</v>
          </cell>
        </row>
        <row r="6555">
          <cell r="A6555">
            <v>1829200879</v>
          </cell>
          <cell r="B6555" t="str">
            <v>ביטוח-כנגד הכנסות</v>
          </cell>
        </row>
        <row r="6556">
          <cell r="A6556">
            <v>1829200900</v>
          </cell>
          <cell r="B6556" t="str">
            <v xml:space="preserve">הוצאות חד פעמיות  </v>
          </cell>
        </row>
        <row r="6557">
          <cell r="A6557">
            <v>1829200931</v>
          </cell>
          <cell r="B6557" t="str">
            <v>ציוד חד-פעמי(הכנ')</v>
          </cell>
        </row>
        <row r="6558">
          <cell r="A6558">
            <v>1829200932</v>
          </cell>
          <cell r="B6558" t="str">
            <v>מרכז אתלטיקה (הכ')</v>
          </cell>
        </row>
        <row r="6559">
          <cell r="A6559">
            <v>1829200961</v>
          </cell>
          <cell r="B6559" t="str">
            <v>רז' פעולות ורכישות</v>
          </cell>
        </row>
        <row r="6560">
          <cell r="A6560" t="str">
            <v>#VALUE!</v>
          </cell>
          <cell r="B6560" t="str">
            <v xml:space="preserve">מתקני ספורט       </v>
          </cell>
        </row>
        <row r="6561">
          <cell r="A6561">
            <v>18294000</v>
          </cell>
          <cell r="B6561" t="str">
            <v xml:space="preserve">הבריכה הלימודית   </v>
          </cell>
        </row>
        <row r="6562">
          <cell r="A6562">
            <v>1829400410</v>
          </cell>
          <cell r="B6562" t="str">
            <v xml:space="preserve">דמי זכיון         </v>
          </cell>
        </row>
        <row r="6563">
          <cell r="A6563">
            <v>1829400800</v>
          </cell>
          <cell r="B6563" t="str">
            <v>השת' תמיכות תרומות</v>
          </cell>
        </row>
        <row r="6564">
          <cell r="A6564">
            <v>1829400810</v>
          </cell>
          <cell r="B6564" t="str">
            <v>השתתפות בחוגי שחיה</v>
          </cell>
        </row>
        <row r="6565">
          <cell r="A6565" t="str">
            <v>#VALUE!</v>
          </cell>
          <cell r="B6565" t="str">
            <v xml:space="preserve">הבריכה הלימודית   </v>
          </cell>
        </row>
        <row r="6566">
          <cell r="A6566">
            <v>18295000</v>
          </cell>
          <cell r="B6566" t="str">
            <v xml:space="preserve">מרכז פיס - ברקת   </v>
          </cell>
        </row>
        <row r="6567">
          <cell r="A6567">
            <v>1829500100</v>
          </cell>
          <cell r="B6567" t="str">
            <v>שכר עובדים לפי תקן</v>
          </cell>
        </row>
        <row r="6568">
          <cell r="A6568">
            <v>1829500110</v>
          </cell>
          <cell r="B6568" t="str">
            <v>השכר הקובע-תקציבית</v>
          </cell>
        </row>
        <row r="6569">
          <cell r="A6569">
            <v>1829500119</v>
          </cell>
          <cell r="B6569" t="str">
            <v xml:space="preserve">השכר הקובע-צוברת  </v>
          </cell>
        </row>
        <row r="6570">
          <cell r="A6570">
            <v>1829500122</v>
          </cell>
          <cell r="B6570" t="str">
            <v xml:space="preserve">ביגוד             </v>
          </cell>
        </row>
        <row r="6571">
          <cell r="A6571">
            <v>1829500126</v>
          </cell>
          <cell r="B6571" t="str">
            <v xml:space="preserve">דמי הבראה         </v>
          </cell>
        </row>
        <row r="6572">
          <cell r="A6572">
            <v>1829500130</v>
          </cell>
          <cell r="B6572" t="str">
            <v xml:space="preserve">שעות נוספות       </v>
          </cell>
        </row>
        <row r="6573">
          <cell r="A6573">
            <v>1829500140</v>
          </cell>
          <cell r="B6573" t="str">
            <v>השתתפות באחזקת רכב</v>
          </cell>
        </row>
        <row r="6574">
          <cell r="A6574">
            <v>1829500200</v>
          </cell>
          <cell r="B6574" t="str">
            <v>שכר עובדים ללא תקן</v>
          </cell>
        </row>
        <row r="6575">
          <cell r="A6575">
            <v>1829500210</v>
          </cell>
          <cell r="B6575" t="str">
            <v xml:space="preserve">השכר הקובע        </v>
          </cell>
        </row>
        <row r="6576">
          <cell r="A6576">
            <v>1829500216</v>
          </cell>
          <cell r="B6576" t="str">
            <v xml:space="preserve">שכר מועדוני ספורט </v>
          </cell>
        </row>
        <row r="6577">
          <cell r="A6577">
            <v>1829500219</v>
          </cell>
          <cell r="B6577" t="str">
            <v xml:space="preserve">שכר קייטנת קיץ    </v>
          </cell>
        </row>
        <row r="6578">
          <cell r="A6578">
            <v>1829500400</v>
          </cell>
          <cell r="B6578" t="str">
            <v>אחזקת בנינים וציוד</v>
          </cell>
        </row>
        <row r="6579">
          <cell r="A6579">
            <v>1829500420</v>
          </cell>
          <cell r="B6579" t="str">
            <v xml:space="preserve">כיבוי אש          </v>
          </cell>
        </row>
        <row r="6580">
          <cell r="A6580">
            <v>1829500423</v>
          </cell>
          <cell r="B6580" t="str">
            <v xml:space="preserve">תחזוקת מבנה       </v>
          </cell>
        </row>
        <row r="6581">
          <cell r="A6581">
            <v>1829500431</v>
          </cell>
          <cell r="B6581" t="str">
            <v xml:space="preserve">חשמל              </v>
          </cell>
        </row>
        <row r="6582">
          <cell r="A6582">
            <v>1829500432</v>
          </cell>
          <cell r="B6582" t="str">
            <v xml:space="preserve">מים               </v>
          </cell>
        </row>
        <row r="6583">
          <cell r="A6583">
            <v>1829500433</v>
          </cell>
          <cell r="B6583" t="str">
            <v xml:space="preserve">חומרי נקיון       </v>
          </cell>
        </row>
        <row r="6584">
          <cell r="A6584">
            <v>1829500436</v>
          </cell>
          <cell r="B6584" t="str">
            <v xml:space="preserve">אחזקת מזגנים      </v>
          </cell>
        </row>
        <row r="6585">
          <cell r="A6585">
            <v>1829500437</v>
          </cell>
          <cell r="B6585" t="str">
            <v xml:space="preserve">אחזקת אזעקה       </v>
          </cell>
        </row>
        <row r="6586">
          <cell r="A6586">
            <v>1829500441</v>
          </cell>
          <cell r="B6586" t="str">
            <v xml:space="preserve">ביטוח             </v>
          </cell>
        </row>
        <row r="6587">
          <cell r="A6587">
            <v>1829500450</v>
          </cell>
          <cell r="B6587" t="str">
            <v xml:space="preserve">ריהוט ואחזקתו     </v>
          </cell>
        </row>
        <row r="6588">
          <cell r="A6588">
            <v>1829500471</v>
          </cell>
          <cell r="B6588" t="str">
            <v xml:space="preserve">מכשירי כתיבה      </v>
          </cell>
        </row>
        <row r="6589">
          <cell r="A6589">
            <v>1829500500</v>
          </cell>
          <cell r="B6589" t="str">
            <v xml:space="preserve">הוצאות מינהליות   </v>
          </cell>
        </row>
        <row r="6590">
          <cell r="A6590">
            <v>1829500511</v>
          </cell>
          <cell r="B6590" t="str">
            <v xml:space="preserve">אירוח וכיבוד      </v>
          </cell>
        </row>
        <row r="6591">
          <cell r="A6591">
            <v>1829500540</v>
          </cell>
          <cell r="B6591" t="str">
            <v xml:space="preserve">הוצאות טלפון      </v>
          </cell>
        </row>
        <row r="6592">
          <cell r="A6592">
            <v>1829500544</v>
          </cell>
          <cell r="B6592" t="str">
            <v xml:space="preserve">הוצאות דאר        </v>
          </cell>
        </row>
        <row r="6593">
          <cell r="A6593">
            <v>1829500550</v>
          </cell>
          <cell r="B6593" t="str">
            <v xml:space="preserve">פירסומים          </v>
          </cell>
        </row>
        <row r="6594">
          <cell r="A6594">
            <v>1829500551</v>
          </cell>
          <cell r="B6594" t="str">
            <v xml:space="preserve">מודעות והדבקתן    </v>
          </cell>
        </row>
        <row r="6595">
          <cell r="A6595">
            <v>1829500561</v>
          </cell>
          <cell r="B6595" t="str">
            <v xml:space="preserve">שיכפולים          </v>
          </cell>
        </row>
        <row r="6596">
          <cell r="A6596">
            <v>1829500562</v>
          </cell>
          <cell r="B6596" t="str">
            <v xml:space="preserve">הדפסות            </v>
          </cell>
        </row>
        <row r="6597">
          <cell r="A6597">
            <v>1829500700</v>
          </cell>
          <cell r="B6597" t="str">
            <v xml:space="preserve">הוצאות לפעולות    </v>
          </cell>
        </row>
        <row r="6598">
          <cell r="A6598">
            <v>1829500710</v>
          </cell>
          <cell r="B6598" t="str">
            <v xml:space="preserve">הובלות והסעות     </v>
          </cell>
        </row>
        <row r="6599">
          <cell r="A6599">
            <v>1829500721</v>
          </cell>
          <cell r="B6599" t="str">
            <v>חמרים-תחזוקת מבנים</v>
          </cell>
        </row>
        <row r="6600">
          <cell r="A6600">
            <v>1829500722</v>
          </cell>
          <cell r="B6600" t="str">
            <v>חמרים-תחזוקה עצמית</v>
          </cell>
        </row>
        <row r="6601">
          <cell r="A6601">
            <v>1829500723</v>
          </cell>
          <cell r="B6601" t="str">
            <v xml:space="preserve">חומרים לחוגים     </v>
          </cell>
        </row>
        <row r="6602">
          <cell r="A6602">
            <v>1829500724</v>
          </cell>
          <cell r="B6602" t="str">
            <v xml:space="preserve">מועדונית          </v>
          </cell>
        </row>
        <row r="6603">
          <cell r="A6603">
            <v>1829500725</v>
          </cell>
          <cell r="B6603" t="str">
            <v xml:space="preserve">מזון למועדונית    </v>
          </cell>
        </row>
        <row r="6604">
          <cell r="A6604">
            <v>1829500742</v>
          </cell>
          <cell r="B6604" t="str">
            <v xml:space="preserve">כלים וציוד        </v>
          </cell>
        </row>
        <row r="6605">
          <cell r="A6605">
            <v>1829500743</v>
          </cell>
          <cell r="B6605" t="str">
            <v xml:space="preserve">תחזוקת ציוד       </v>
          </cell>
        </row>
        <row r="6606">
          <cell r="A6606">
            <v>1829500744</v>
          </cell>
          <cell r="B6606" t="str">
            <v xml:space="preserve">תלבושות וגביע     </v>
          </cell>
        </row>
        <row r="6607">
          <cell r="A6607">
            <v>1829500745</v>
          </cell>
          <cell r="B6607" t="str">
            <v xml:space="preserve">דמי פריצה - תכולה </v>
          </cell>
        </row>
        <row r="6608">
          <cell r="A6608">
            <v>1829500751</v>
          </cell>
          <cell r="B6608" t="str">
            <v xml:space="preserve">עבודות קבלניות    </v>
          </cell>
        </row>
        <row r="6609">
          <cell r="A6609">
            <v>1829500752</v>
          </cell>
          <cell r="B6609" t="str">
            <v xml:space="preserve">נקיון בקבלנות     </v>
          </cell>
        </row>
        <row r="6610">
          <cell r="A6610">
            <v>1829500757</v>
          </cell>
          <cell r="B6610" t="str">
            <v xml:space="preserve">חוגים בקבלנות     </v>
          </cell>
        </row>
        <row r="6611">
          <cell r="A6611">
            <v>1829500758</v>
          </cell>
          <cell r="B6611" t="str">
            <v xml:space="preserve">הפעלת המרכז       </v>
          </cell>
        </row>
        <row r="6612">
          <cell r="A6612">
            <v>1829500763</v>
          </cell>
          <cell r="B6612" t="str">
            <v xml:space="preserve">עובדי חברת מוסדות </v>
          </cell>
        </row>
        <row r="6613">
          <cell r="A6613">
            <v>1829500780</v>
          </cell>
          <cell r="B6613" t="str">
            <v xml:space="preserve">שכר מרקידים       </v>
          </cell>
        </row>
        <row r="6614">
          <cell r="A6614">
            <v>1829500781</v>
          </cell>
          <cell r="B6614" t="str">
            <v xml:space="preserve">ארועים (מהכנסות)  </v>
          </cell>
        </row>
        <row r="6615">
          <cell r="A6615">
            <v>1829500783</v>
          </cell>
          <cell r="B6615" t="str">
            <v xml:space="preserve">פעולות כנ"פ       </v>
          </cell>
        </row>
        <row r="6616">
          <cell r="A6616">
            <v>1829500784</v>
          </cell>
          <cell r="B6616" t="str">
            <v>פע' חצ"ב (מהכנסות)</v>
          </cell>
        </row>
        <row r="6617">
          <cell r="A6617">
            <v>1829500786</v>
          </cell>
          <cell r="B6617" t="str">
            <v xml:space="preserve">פע' מועדוני ספורט </v>
          </cell>
        </row>
        <row r="6618">
          <cell r="A6618">
            <v>1829500787</v>
          </cell>
          <cell r="B6618" t="str">
            <v xml:space="preserve">פעולות פסח        </v>
          </cell>
        </row>
        <row r="6619">
          <cell r="A6619">
            <v>1829500789</v>
          </cell>
          <cell r="B6619" t="str">
            <v xml:space="preserve">קייטנת קיץ-פעולות </v>
          </cell>
        </row>
        <row r="6620">
          <cell r="A6620">
            <v>1829500794</v>
          </cell>
          <cell r="B6620" t="str">
            <v xml:space="preserve">השתתפות בעזר 094  </v>
          </cell>
        </row>
        <row r="6621">
          <cell r="A6621">
            <v>1829500810</v>
          </cell>
          <cell r="B6621" t="str">
            <v>השתת' בתקציב הפעלה</v>
          </cell>
          <cell r="C6621">
            <v>104800</v>
          </cell>
        </row>
        <row r="6622">
          <cell r="A6622">
            <v>1829500879</v>
          </cell>
          <cell r="B6622" t="str">
            <v>ביטוח-כנגד הכנסות</v>
          </cell>
        </row>
        <row r="6623">
          <cell r="A6623">
            <v>1829500900</v>
          </cell>
          <cell r="B6623" t="str">
            <v xml:space="preserve">הוצאות חד פעמיות  </v>
          </cell>
        </row>
        <row r="6624">
          <cell r="A6624">
            <v>1829500931</v>
          </cell>
          <cell r="B6624" t="str">
            <v xml:space="preserve">רכישות חד-פעמיות  </v>
          </cell>
        </row>
        <row r="6625">
          <cell r="A6625">
            <v>1829500961</v>
          </cell>
          <cell r="B6625" t="str">
            <v>רז' פעולות ורכישות</v>
          </cell>
        </row>
        <row r="6626">
          <cell r="A6626" t="str">
            <v>#VALUE!</v>
          </cell>
          <cell r="B6626" t="str">
            <v xml:space="preserve">מרכז פיס - ברקת   </v>
          </cell>
        </row>
        <row r="6627">
          <cell r="A6627">
            <v>18296000</v>
          </cell>
          <cell r="B6627" t="str">
            <v xml:space="preserve">מרכז פיס קרית שרת </v>
          </cell>
        </row>
        <row r="6628">
          <cell r="A6628">
            <v>1829600100</v>
          </cell>
          <cell r="B6628" t="str">
            <v>שכר עובדים לפי תקן</v>
          </cell>
        </row>
        <row r="6629">
          <cell r="A6629">
            <v>1829600110</v>
          </cell>
          <cell r="B6629" t="str">
            <v>השכר הקובע-תקציבית</v>
          </cell>
        </row>
        <row r="6630">
          <cell r="A6630">
            <v>1829600119</v>
          </cell>
          <cell r="B6630" t="str">
            <v xml:space="preserve">השכר הקובע-צוברת  </v>
          </cell>
        </row>
        <row r="6631">
          <cell r="A6631">
            <v>1829600122</v>
          </cell>
          <cell r="B6631" t="str">
            <v xml:space="preserve">ביגוד             </v>
          </cell>
        </row>
        <row r="6632">
          <cell r="A6632">
            <v>1829600126</v>
          </cell>
          <cell r="B6632" t="str">
            <v xml:space="preserve">דמי הבראה         </v>
          </cell>
        </row>
        <row r="6633">
          <cell r="A6633">
            <v>1829600130</v>
          </cell>
          <cell r="B6633" t="str">
            <v xml:space="preserve">שעות נוספות       </v>
          </cell>
        </row>
        <row r="6634">
          <cell r="A6634">
            <v>1829600140</v>
          </cell>
          <cell r="B6634" t="str">
            <v>השתתפות באחזקת רכב</v>
          </cell>
        </row>
        <row r="6635">
          <cell r="A6635">
            <v>1829600210</v>
          </cell>
          <cell r="B6635" t="str">
            <v xml:space="preserve">השכר הקובע        </v>
          </cell>
        </row>
        <row r="6636">
          <cell r="A6636">
            <v>1829600216</v>
          </cell>
          <cell r="B6636" t="str">
            <v xml:space="preserve">שכר מועדוני ספורט </v>
          </cell>
        </row>
        <row r="6637">
          <cell r="A6637">
            <v>1829600219</v>
          </cell>
          <cell r="B6637" t="str">
            <v xml:space="preserve">שכר קייטנת קיץ    </v>
          </cell>
        </row>
        <row r="6638">
          <cell r="A6638">
            <v>1829600250</v>
          </cell>
          <cell r="B6638" t="str">
            <v>שכר מושאלים</v>
          </cell>
        </row>
        <row r="6639">
          <cell r="A6639">
            <v>1829600420</v>
          </cell>
          <cell r="B6639" t="str">
            <v xml:space="preserve">כיבוי אש          </v>
          </cell>
        </row>
        <row r="6640">
          <cell r="A6640">
            <v>1829600423</v>
          </cell>
          <cell r="B6640" t="str">
            <v xml:space="preserve">תחזוקת מבנה       </v>
          </cell>
        </row>
        <row r="6641">
          <cell r="A6641">
            <v>1829600431</v>
          </cell>
          <cell r="B6641" t="str">
            <v xml:space="preserve">חשמל              </v>
          </cell>
        </row>
        <row r="6642">
          <cell r="A6642">
            <v>1829600432</v>
          </cell>
          <cell r="B6642" t="str">
            <v xml:space="preserve">מים               </v>
          </cell>
        </row>
        <row r="6643">
          <cell r="A6643">
            <v>1829600433</v>
          </cell>
          <cell r="B6643" t="str">
            <v xml:space="preserve">חומרי נקיון       </v>
          </cell>
        </row>
        <row r="6644">
          <cell r="A6644">
            <v>1829600434</v>
          </cell>
          <cell r="B6644" t="str">
            <v xml:space="preserve">חיטוי והדברה      </v>
          </cell>
        </row>
        <row r="6645">
          <cell r="A6645">
            <v>1829600437</v>
          </cell>
          <cell r="B6645" t="str">
            <v xml:space="preserve">אחזקת אזעקה       </v>
          </cell>
        </row>
        <row r="6646">
          <cell r="A6646">
            <v>1829600441</v>
          </cell>
          <cell r="B6646" t="str">
            <v xml:space="preserve">ביטוח             </v>
          </cell>
        </row>
        <row r="6647">
          <cell r="A6647">
            <v>1829600450</v>
          </cell>
          <cell r="B6647" t="str">
            <v xml:space="preserve">ריהוט ואחזקתו     </v>
          </cell>
        </row>
        <row r="6648">
          <cell r="A6648">
            <v>1829600471</v>
          </cell>
          <cell r="B6648" t="str">
            <v xml:space="preserve">מכשירי כתיבה      </v>
          </cell>
        </row>
        <row r="6649">
          <cell r="A6649">
            <v>1829600511</v>
          </cell>
          <cell r="B6649" t="str">
            <v xml:space="preserve">אירוח וכיבוד      </v>
          </cell>
        </row>
        <row r="6650">
          <cell r="A6650">
            <v>1829600512</v>
          </cell>
          <cell r="B6650" t="str">
            <v xml:space="preserve">נסיעות ואש"ל      </v>
          </cell>
        </row>
        <row r="6651">
          <cell r="A6651">
            <v>1829600540</v>
          </cell>
          <cell r="B6651" t="str">
            <v xml:space="preserve">הוצאות טלפון      </v>
          </cell>
        </row>
        <row r="6652">
          <cell r="A6652">
            <v>1829600544</v>
          </cell>
          <cell r="B6652" t="str">
            <v xml:space="preserve">הוצאות דאר        </v>
          </cell>
        </row>
        <row r="6653">
          <cell r="A6653">
            <v>1829600550</v>
          </cell>
          <cell r="B6653" t="str">
            <v xml:space="preserve">פירסומים          </v>
          </cell>
        </row>
        <row r="6654">
          <cell r="A6654">
            <v>1829600551</v>
          </cell>
          <cell r="B6654" t="str">
            <v xml:space="preserve">מודעות והדבקתן    </v>
          </cell>
        </row>
        <row r="6655">
          <cell r="A6655">
            <v>1829600561</v>
          </cell>
          <cell r="B6655" t="str">
            <v xml:space="preserve">שיכפולים          </v>
          </cell>
        </row>
        <row r="6656">
          <cell r="A6656">
            <v>1829600562</v>
          </cell>
          <cell r="B6656" t="str">
            <v xml:space="preserve">הדפסות            </v>
          </cell>
        </row>
        <row r="6657">
          <cell r="A6657">
            <v>1829600710</v>
          </cell>
          <cell r="B6657" t="str">
            <v xml:space="preserve">הובלות והסעות     </v>
          </cell>
        </row>
        <row r="6658">
          <cell r="A6658">
            <v>1829600721</v>
          </cell>
          <cell r="B6658" t="str">
            <v>חמרים-תחזוקת מבנים</v>
          </cell>
        </row>
        <row r="6659">
          <cell r="A6659">
            <v>1829600722</v>
          </cell>
          <cell r="B6659" t="str">
            <v>חמרים-תחזוקה עצמית</v>
          </cell>
        </row>
        <row r="6660">
          <cell r="A6660">
            <v>1829600742</v>
          </cell>
          <cell r="B6660" t="str">
            <v xml:space="preserve">כלים וציוד        </v>
          </cell>
        </row>
        <row r="6661">
          <cell r="A6661">
            <v>1829600743</v>
          </cell>
          <cell r="B6661" t="str">
            <v xml:space="preserve">תחזוקת ציוד       </v>
          </cell>
        </row>
        <row r="6662">
          <cell r="A6662">
            <v>1829600744</v>
          </cell>
          <cell r="B6662" t="str">
            <v xml:space="preserve">ציוד ספורט        </v>
          </cell>
        </row>
        <row r="6663">
          <cell r="A6663">
            <v>1829600745</v>
          </cell>
          <cell r="B6663" t="str">
            <v xml:space="preserve">דמי פריצה - תכולה </v>
          </cell>
        </row>
        <row r="6664">
          <cell r="A6664">
            <v>1829600746</v>
          </cell>
          <cell r="B6664" t="str">
            <v xml:space="preserve">דמי פריצה - מבנה  </v>
          </cell>
        </row>
        <row r="6665">
          <cell r="A6665">
            <v>1829600751</v>
          </cell>
          <cell r="B6665" t="str">
            <v xml:space="preserve">עבודות קבלניות    </v>
          </cell>
        </row>
        <row r="6666">
          <cell r="A6666">
            <v>1829600752</v>
          </cell>
          <cell r="B6666" t="str">
            <v xml:space="preserve">נקיון בקבלנות     </v>
          </cell>
        </row>
        <row r="6667">
          <cell r="A6667">
            <v>1829600753</v>
          </cell>
          <cell r="B6667" t="str">
            <v xml:space="preserve">עובד חברה         </v>
          </cell>
        </row>
        <row r="6668">
          <cell r="A6668">
            <v>1829600757</v>
          </cell>
          <cell r="B6668" t="str">
            <v xml:space="preserve">חוגים בקבלנות     </v>
          </cell>
        </row>
        <row r="6669">
          <cell r="A6669">
            <v>1829600758</v>
          </cell>
          <cell r="B6669" t="str">
            <v xml:space="preserve">הפעלת המרכז       </v>
          </cell>
        </row>
        <row r="6670">
          <cell r="A6670">
            <v>1829600759</v>
          </cell>
          <cell r="B6670" t="str">
            <v xml:space="preserve">פעולות יחודיות    </v>
          </cell>
        </row>
        <row r="6671">
          <cell r="A6671">
            <v>1829600763</v>
          </cell>
          <cell r="B6671" t="str">
            <v xml:space="preserve">עובדי חברת מוסדות </v>
          </cell>
        </row>
        <row r="6672">
          <cell r="A6672">
            <v>1829600780</v>
          </cell>
          <cell r="B6672" t="str">
            <v xml:space="preserve">הרקדות (מהכנסות)  </v>
          </cell>
        </row>
        <row r="6673">
          <cell r="A6673">
            <v>1829600782</v>
          </cell>
          <cell r="B6673" t="str">
            <v xml:space="preserve">הוצאות (מהכנסות)  </v>
          </cell>
        </row>
        <row r="6674">
          <cell r="A6674">
            <v>1829600783</v>
          </cell>
          <cell r="B6674" t="str">
            <v xml:space="preserve">פעולות מחנה קייץ  </v>
          </cell>
        </row>
        <row r="6675">
          <cell r="A6675">
            <v>1829600786</v>
          </cell>
          <cell r="B6675" t="str">
            <v xml:space="preserve">פע' מועדוני ספורט </v>
          </cell>
        </row>
        <row r="6676">
          <cell r="A6676">
            <v>1829600789</v>
          </cell>
          <cell r="B6676" t="str">
            <v xml:space="preserve">קייטנת קיץ-פעולות </v>
          </cell>
        </row>
        <row r="6677">
          <cell r="A6677">
            <v>1829600794</v>
          </cell>
          <cell r="B6677" t="str">
            <v xml:space="preserve">השתתפות בעזר 094  </v>
          </cell>
        </row>
        <row r="6678">
          <cell r="A6678">
            <v>1829600810</v>
          </cell>
          <cell r="B6678" t="str">
            <v>השתתפות בתק' הפעלה</v>
          </cell>
          <cell r="C6678">
            <v>144800</v>
          </cell>
        </row>
        <row r="6679">
          <cell r="A6679">
            <v>1829600821</v>
          </cell>
          <cell r="B6679" t="str">
            <v>הפעלת אולם בגין</v>
          </cell>
          <cell r="C6679">
            <v>86000</v>
          </cell>
        </row>
        <row r="6680">
          <cell r="A6680">
            <v>1829600879</v>
          </cell>
          <cell r="B6680" t="str">
            <v>ביטוח-כנגד הכנסות</v>
          </cell>
        </row>
        <row r="6681">
          <cell r="A6681">
            <v>1829600930</v>
          </cell>
          <cell r="B6681" t="str">
            <v xml:space="preserve">ציוד לכבוי אש     </v>
          </cell>
        </row>
        <row r="6682">
          <cell r="A6682">
            <v>1829600931</v>
          </cell>
          <cell r="B6682" t="str">
            <v xml:space="preserve">רכישות חד פעמיות  </v>
          </cell>
        </row>
        <row r="6683">
          <cell r="A6683">
            <v>1829600961</v>
          </cell>
          <cell r="B6683" t="str">
            <v>רז' פעולות ורכישות</v>
          </cell>
        </row>
        <row r="6684">
          <cell r="A6684" t="str">
            <v>#VALUE!</v>
          </cell>
          <cell r="B6684" t="str">
            <v xml:space="preserve">מרכז פיס קרית שרת </v>
          </cell>
        </row>
        <row r="6685">
          <cell r="A6685">
            <v>18297000</v>
          </cell>
          <cell r="B6685" t="str">
            <v xml:space="preserve">מרכז ספורט טיפולי </v>
          </cell>
        </row>
        <row r="6686">
          <cell r="A6686">
            <v>1829700110</v>
          </cell>
          <cell r="B6686" t="str">
            <v>השכר הקובע-תקציבית</v>
          </cell>
        </row>
        <row r="6687">
          <cell r="A6687">
            <v>1829700119</v>
          </cell>
          <cell r="B6687" t="str">
            <v xml:space="preserve">השכר הקובע-צוברת  </v>
          </cell>
        </row>
        <row r="6688">
          <cell r="A6688">
            <v>1829700122</v>
          </cell>
          <cell r="B6688" t="str">
            <v xml:space="preserve">ביגוד             </v>
          </cell>
        </row>
        <row r="6689">
          <cell r="A6689">
            <v>1829700126</v>
          </cell>
          <cell r="B6689" t="str">
            <v xml:space="preserve">דמי הבראה         </v>
          </cell>
        </row>
        <row r="6690">
          <cell r="A6690">
            <v>1829700130</v>
          </cell>
          <cell r="B6690" t="str">
            <v xml:space="preserve">שעות נוספות       </v>
          </cell>
        </row>
        <row r="6691">
          <cell r="A6691">
            <v>1829700140</v>
          </cell>
          <cell r="B6691" t="str">
            <v>השתתפות באחזקת רכב</v>
          </cell>
        </row>
        <row r="6692">
          <cell r="A6692">
            <v>1829700200</v>
          </cell>
          <cell r="B6692" t="str">
            <v>שכר עובדים ללא תקן</v>
          </cell>
        </row>
        <row r="6693">
          <cell r="A6693">
            <v>1829700210</v>
          </cell>
          <cell r="B6693" t="str">
            <v xml:space="preserve">השכר הקובע        </v>
          </cell>
        </row>
        <row r="6694">
          <cell r="A6694">
            <v>1829700250</v>
          </cell>
          <cell r="B6694" t="str">
            <v>שכר מושאלים</v>
          </cell>
        </row>
        <row r="6695">
          <cell r="A6695">
            <v>1829700400</v>
          </cell>
          <cell r="B6695" t="str">
            <v>אחזקת בנינים וציוד</v>
          </cell>
        </row>
        <row r="6696">
          <cell r="A6696">
            <v>1829700420</v>
          </cell>
          <cell r="B6696" t="str">
            <v xml:space="preserve">כיבוי אש          </v>
          </cell>
        </row>
        <row r="6697">
          <cell r="A6697">
            <v>1829700423</v>
          </cell>
          <cell r="B6697" t="str">
            <v xml:space="preserve">תחזוקת מבנה       </v>
          </cell>
        </row>
        <row r="6698">
          <cell r="A6698">
            <v>1829700431</v>
          </cell>
          <cell r="B6698" t="str">
            <v xml:space="preserve">חשמל              </v>
          </cell>
        </row>
        <row r="6699">
          <cell r="A6699">
            <v>1829700432</v>
          </cell>
          <cell r="B6699" t="str">
            <v xml:space="preserve">מים               </v>
          </cell>
        </row>
        <row r="6700">
          <cell r="A6700">
            <v>1829700433</v>
          </cell>
          <cell r="B6700" t="str">
            <v xml:space="preserve">חומרי נקיון       </v>
          </cell>
        </row>
        <row r="6701">
          <cell r="A6701">
            <v>1829700436</v>
          </cell>
          <cell r="B6701" t="str">
            <v xml:space="preserve">אחזקת מזגנים      </v>
          </cell>
        </row>
        <row r="6702">
          <cell r="A6702">
            <v>1829700437</v>
          </cell>
          <cell r="B6702" t="str">
            <v xml:space="preserve">אחזקת אזעקה       </v>
          </cell>
        </row>
        <row r="6703">
          <cell r="A6703">
            <v>1829700441</v>
          </cell>
          <cell r="B6703" t="str">
            <v xml:space="preserve">ביטוח             </v>
          </cell>
        </row>
        <row r="6704">
          <cell r="A6704">
            <v>1829700450</v>
          </cell>
          <cell r="B6704" t="str">
            <v xml:space="preserve">ריהוט ואחזקתו     </v>
          </cell>
        </row>
        <row r="6705">
          <cell r="A6705">
            <v>1829700471</v>
          </cell>
          <cell r="B6705" t="str">
            <v xml:space="preserve">מכשירי כתיבה      </v>
          </cell>
        </row>
        <row r="6706">
          <cell r="A6706">
            <v>1829700511</v>
          </cell>
          <cell r="B6706" t="str">
            <v xml:space="preserve">אירוח וכיבוד      </v>
          </cell>
        </row>
        <row r="6707">
          <cell r="A6707">
            <v>1829700521</v>
          </cell>
          <cell r="B6707" t="str">
            <v xml:space="preserve">השתלמויות         </v>
          </cell>
        </row>
        <row r="6708">
          <cell r="A6708">
            <v>1829700522</v>
          </cell>
          <cell r="B6708" t="str">
            <v xml:space="preserve">ספרים             </v>
          </cell>
        </row>
        <row r="6709">
          <cell r="A6709">
            <v>1829700540</v>
          </cell>
          <cell r="B6709" t="str">
            <v xml:space="preserve">הוצאות טלפון      </v>
          </cell>
        </row>
        <row r="6710">
          <cell r="A6710">
            <v>1829700544</v>
          </cell>
          <cell r="B6710" t="str">
            <v xml:space="preserve">הוצאות דאר        </v>
          </cell>
        </row>
        <row r="6711">
          <cell r="A6711">
            <v>1829700561</v>
          </cell>
          <cell r="B6711" t="str">
            <v xml:space="preserve">שיכפולים          </v>
          </cell>
        </row>
        <row r="6712">
          <cell r="A6712">
            <v>1829700562</v>
          </cell>
          <cell r="B6712" t="str">
            <v xml:space="preserve">הדפסות            </v>
          </cell>
        </row>
        <row r="6713">
          <cell r="A6713">
            <v>1829700583</v>
          </cell>
          <cell r="B6713" t="str">
            <v xml:space="preserve">רופא              </v>
          </cell>
        </row>
        <row r="6714">
          <cell r="A6714">
            <v>1829700700</v>
          </cell>
          <cell r="B6714" t="str">
            <v xml:space="preserve">הוצאות לפעולות    </v>
          </cell>
        </row>
        <row r="6715">
          <cell r="A6715">
            <v>1829700710</v>
          </cell>
          <cell r="B6715" t="str">
            <v xml:space="preserve">הובלות והסעות     </v>
          </cell>
        </row>
        <row r="6716">
          <cell r="A6716">
            <v>1829700721</v>
          </cell>
          <cell r="B6716" t="str">
            <v>חמרים-תחזוקת מבנים</v>
          </cell>
        </row>
        <row r="6717">
          <cell r="A6717">
            <v>1829700722</v>
          </cell>
          <cell r="B6717" t="str">
            <v>חמרים-תחזוקה עצמית</v>
          </cell>
        </row>
        <row r="6718">
          <cell r="A6718">
            <v>1829700742</v>
          </cell>
          <cell r="B6718" t="str">
            <v xml:space="preserve">כלים וציוד        </v>
          </cell>
        </row>
        <row r="6719">
          <cell r="A6719">
            <v>1829700745</v>
          </cell>
          <cell r="B6719" t="str">
            <v xml:space="preserve">דמי פריצה - תכולה </v>
          </cell>
        </row>
        <row r="6720">
          <cell r="A6720">
            <v>1829700751</v>
          </cell>
          <cell r="B6720" t="str">
            <v xml:space="preserve">עבודות קבלניות    </v>
          </cell>
        </row>
        <row r="6721">
          <cell r="A6721">
            <v>1829700752</v>
          </cell>
          <cell r="B6721" t="str">
            <v xml:space="preserve">נקיון בקבלנות     </v>
          </cell>
        </row>
        <row r="6722">
          <cell r="A6722">
            <v>1829700757</v>
          </cell>
          <cell r="B6722" t="str">
            <v xml:space="preserve">חוגים בקבלנות     </v>
          </cell>
        </row>
        <row r="6723">
          <cell r="A6723">
            <v>1829700758</v>
          </cell>
          <cell r="B6723" t="str">
            <v xml:space="preserve">הפעלת המרכז       </v>
          </cell>
        </row>
        <row r="6724">
          <cell r="A6724">
            <v>1829700763</v>
          </cell>
          <cell r="B6724" t="str">
            <v xml:space="preserve">עובדי חברת מוסדות </v>
          </cell>
        </row>
        <row r="6725">
          <cell r="A6725">
            <v>1829700780</v>
          </cell>
          <cell r="B6725" t="str">
            <v xml:space="preserve">ארועים            </v>
          </cell>
        </row>
        <row r="6726">
          <cell r="A6726">
            <v>1829700794</v>
          </cell>
          <cell r="B6726" t="str">
            <v xml:space="preserve">השתתפות בעזר 094  </v>
          </cell>
        </row>
        <row r="6727">
          <cell r="A6727">
            <v>1829700810</v>
          </cell>
          <cell r="B6727" t="str">
            <v xml:space="preserve">הפעלת המרכז       </v>
          </cell>
          <cell r="C6727">
            <v>663100</v>
          </cell>
        </row>
        <row r="6728">
          <cell r="A6728">
            <v>1829700811</v>
          </cell>
          <cell r="B6728" t="str">
            <v>איבחון - ספורט טיפולי</v>
          </cell>
          <cell r="C6728">
            <v>259900</v>
          </cell>
        </row>
        <row r="6729">
          <cell r="A6729">
            <v>1829700879</v>
          </cell>
          <cell r="B6729" t="str">
            <v>ביטוח-כנגד הכנסות</v>
          </cell>
        </row>
        <row r="6730">
          <cell r="A6730">
            <v>1829700931</v>
          </cell>
          <cell r="B6730" t="str">
            <v>מרכז איבחון</v>
          </cell>
        </row>
        <row r="6731">
          <cell r="A6731">
            <v>1829700961</v>
          </cell>
          <cell r="B6731" t="str">
            <v>רז' פעולות ורכישות</v>
          </cell>
        </row>
        <row r="6732">
          <cell r="A6732" t="str">
            <v>#VALUE!</v>
          </cell>
          <cell r="B6732" t="str">
            <v xml:space="preserve">מרכז ספורט טיפולי </v>
          </cell>
        </row>
        <row r="6733">
          <cell r="A6733">
            <v>18298000</v>
          </cell>
          <cell r="B6733" t="str">
            <v xml:space="preserve">מרכז ספורט קציר   </v>
          </cell>
        </row>
        <row r="6734">
          <cell r="A6734">
            <v>1829800110</v>
          </cell>
          <cell r="B6734" t="str">
            <v>השכר הקובע-תקציבית</v>
          </cell>
        </row>
        <row r="6735">
          <cell r="A6735">
            <v>1829800119</v>
          </cell>
          <cell r="B6735" t="str">
            <v xml:space="preserve">השכר הקובע-צוברת  </v>
          </cell>
        </row>
        <row r="6736">
          <cell r="A6736">
            <v>1829800122</v>
          </cell>
          <cell r="B6736" t="str">
            <v xml:space="preserve">ביגוד             </v>
          </cell>
        </row>
        <row r="6737">
          <cell r="A6737">
            <v>1829800126</v>
          </cell>
          <cell r="B6737" t="str">
            <v xml:space="preserve">דמי הבראה         </v>
          </cell>
        </row>
        <row r="6738">
          <cell r="A6738">
            <v>1829800130</v>
          </cell>
          <cell r="B6738" t="str">
            <v xml:space="preserve">שעות נוספות       </v>
          </cell>
        </row>
        <row r="6739">
          <cell r="A6739">
            <v>1829800140</v>
          </cell>
          <cell r="B6739" t="str">
            <v>השתתפות באחזקת רכב</v>
          </cell>
        </row>
        <row r="6740">
          <cell r="A6740">
            <v>1829800210</v>
          </cell>
          <cell r="B6740" t="str">
            <v xml:space="preserve">השכר הקובע        </v>
          </cell>
        </row>
        <row r="6741">
          <cell r="A6741">
            <v>1829800216</v>
          </cell>
          <cell r="B6741" t="str">
            <v xml:space="preserve">שכר מועדוני ספורט </v>
          </cell>
        </row>
        <row r="6742">
          <cell r="A6742">
            <v>1829800420</v>
          </cell>
          <cell r="B6742" t="str">
            <v xml:space="preserve">כיבוי אש          </v>
          </cell>
        </row>
        <row r="6743">
          <cell r="A6743">
            <v>1829800431</v>
          </cell>
          <cell r="B6743" t="str">
            <v xml:space="preserve">חשמל              </v>
          </cell>
        </row>
        <row r="6744">
          <cell r="A6744">
            <v>1829800432</v>
          </cell>
          <cell r="B6744" t="str">
            <v xml:space="preserve">מים               </v>
          </cell>
        </row>
        <row r="6745">
          <cell r="A6745">
            <v>1829800433</v>
          </cell>
          <cell r="B6745" t="str">
            <v xml:space="preserve">חומרי נקיון       </v>
          </cell>
        </row>
        <row r="6746">
          <cell r="A6746">
            <v>1829800436</v>
          </cell>
          <cell r="B6746" t="str">
            <v xml:space="preserve">אחזקת מזגנים      </v>
          </cell>
        </row>
        <row r="6747">
          <cell r="A6747">
            <v>1829800437</v>
          </cell>
          <cell r="B6747" t="str">
            <v xml:space="preserve">אחזקת אזעקה       </v>
          </cell>
        </row>
        <row r="6748">
          <cell r="A6748">
            <v>1829800441</v>
          </cell>
          <cell r="B6748" t="str">
            <v xml:space="preserve">ביטוח             </v>
          </cell>
        </row>
        <row r="6749">
          <cell r="A6749">
            <v>1829800450</v>
          </cell>
          <cell r="B6749" t="str">
            <v xml:space="preserve">ריהוט ואחזקתו     </v>
          </cell>
        </row>
        <row r="6750">
          <cell r="A6750">
            <v>1829800471</v>
          </cell>
          <cell r="B6750" t="str">
            <v xml:space="preserve">מכשירי כתיבה      </v>
          </cell>
        </row>
        <row r="6751">
          <cell r="A6751">
            <v>1829800511</v>
          </cell>
          <cell r="B6751" t="str">
            <v xml:space="preserve">אירוח וכיבוד      </v>
          </cell>
        </row>
        <row r="6752">
          <cell r="A6752">
            <v>1829800540</v>
          </cell>
          <cell r="B6752" t="str">
            <v xml:space="preserve">הוצאות טלפון      </v>
          </cell>
        </row>
        <row r="6753">
          <cell r="A6753">
            <v>1829800544</v>
          </cell>
          <cell r="B6753" t="str">
            <v xml:space="preserve">הוצאות דאר        </v>
          </cell>
        </row>
        <row r="6754">
          <cell r="A6754">
            <v>1829800562</v>
          </cell>
          <cell r="B6754" t="str">
            <v xml:space="preserve">הדפסות            </v>
          </cell>
        </row>
        <row r="6755">
          <cell r="A6755">
            <v>1829800710</v>
          </cell>
          <cell r="B6755" t="str">
            <v xml:space="preserve">הובלות והסעות     </v>
          </cell>
        </row>
        <row r="6756">
          <cell r="A6756">
            <v>1829800721</v>
          </cell>
          <cell r="B6756" t="str">
            <v>חמרים-תחזוקת מבנים</v>
          </cell>
        </row>
        <row r="6757">
          <cell r="A6757">
            <v>1829800722</v>
          </cell>
          <cell r="B6757" t="str">
            <v>חמרים-תחזוקה עצמית</v>
          </cell>
        </row>
        <row r="6758">
          <cell r="A6758">
            <v>1829800723</v>
          </cell>
          <cell r="B6758" t="str">
            <v xml:space="preserve">חומרים לחוגים     </v>
          </cell>
        </row>
        <row r="6759">
          <cell r="A6759">
            <v>1829800742</v>
          </cell>
          <cell r="B6759" t="str">
            <v xml:space="preserve">כלים וציוד        </v>
          </cell>
        </row>
        <row r="6760">
          <cell r="A6760">
            <v>1829800745</v>
          </cell>
          <cell r="B6760" t="str">
            <v xml:space="preserve">דמי פריצה - תכולה </v>
          </cell>
        </row>
        <row r="6761">
          <cell r="A6761">
            <v>1829800751</v>
          </cell>
          <cell r="B6761" t="str">
            <v xml:space="preserve">עבודות קבלניות    </v>
          </cell>
        </row>
        <row r="6762">
          <cell r="A6762">
            <v>1829800752</v>
          </cell>
          <cell r="B6762" t="str">
            <v xml:space="preserve">נקיון בקבלנות     </v>
          </cell>
        </row>
        <row r="6763">
          <cell r="A6763">
            <v>1829800753</v>
          </cell>
          <cell r="B6763" t="str">
            <v xml:space="preserve">עובדי חב' כ"א     </v>
          </cell>
        </row>
        <row r="6764">
          <cell r="A6764">
            <v>1829800757</v>
          </cell>
          <cell r="B6764" t="str">
            <v xml:space="preserve">חוגים בקבלנות     </v>
          </cell>
        </row>
        <row r="6765">
          <cell r="A6765">
            <v>1829800758</v>
          </cell>
          <cell r="B6765" t="str">
            <v xml:space="preserve">הפעלת המרכז       </v>
          </cell>
        </row>
        <row r="6766">
          <cell r="A6766">
            <v>1829800763</v>
          </cell>
          <cell r="B6766" t="str">
            <v xml:space="preserve">עובדי חברת מוסדות </v>
          </cell>
        </row>
        <row r="6767">
          <cell r="A6767">
            <v>1829800780</v>
          </cell>
          <cell r="B6767" t="str">
            <v xml:space="preserve">שכר מרקידים       </v>
          </cell>
        </row>
        <row r="6768">
          <cell r="A6768">
            <v>1829800781</v>
          </cell>
          <cell r="B6768" t="str">
            <v xml:space="preserve">ארועים            </v>
          </cell>
        </row>
        <row r="6769">
          <cell r="A6769">
            <v>1829800786</v>
          </cell>
          <cell r="B6769" t="str">
            <v xml:space="preserve">פע' מועדוני ספורט </v>
          </cell>
        </row>
        <row r="6770">
          <cell r="A6770">
            <v>1829800789</v>
          </cell>
          <cell r="B6770" t="str">
            <v xml:space="preserve">קייטנת קיץ        </v>
          </cell>
        </row>
        <row r="6771">
          <cell r="A6771">
            <v>1829800810</v>
          </cell>
          <cell r="B6771" t="str">
            <v>השתתפות בתק' הפעלה</v>
          </cell>
          <cell r="C6771">
            <v>145000</v>
          </cell>
        </row>
        <row r="6772">
          <cell r="A6772">
            <v>1829800879</v>
          </cell>
          <cell r="B6772" t="str">
            <v>ביטוח-כנגד הכנסות</v>
          </cell>
        </row>
        <row r="6773">
          <cell r="A6773">
            <v>1829800961</v>
          </cell>
          <cell r="B6773" t="str">
            <v>רז' פעולות ורכישות</v>
          </cell>
        </row>
        <row r="6774">
          <cell r="A6774" t="str">
            <v>#VALUE!</v>
          </cell>
          <cell r="B6774" t="str">
            <v xml:space="preserve">מרכז ספורט קציר   </v>
          </cell>
        </row>
        <row r="6775">
          <cell r="A6775">
            <v>18299000</v>
          </cell>
          <cell r="B6775" t="str">
            <v>תמיכות לאגודות ספורט</v>
          </cell>
        </row>
        <row r="6776">
          <cell r="A6776">
            <v>1829900431</v>
          </cell>
          <cell r="B6776" t="str">
            <v>חשמל-לזרוס</v>
          </cell>
        </row>
        <row r="6777">
          <cell r="A6777">
            <v>1829900580</v>
          </cell>
          <cell r="B6777" t="str">
            <v xml:space="preserve">בקרה תקציבית      </v>
          </cell>
          <cell r="C6777">
            <v>91600</v>
          </cell>
        </row>
        <row r="6778">
          <cell r="A6778">
            <v>1829900690</v>
          </cell>
          <cell r="B6778" t="str">
            <v>פרעון הלוואות</v>
          </cell>
        </row>
        <row r="6779">
          <cell r="A6779">
            <v>1829900800</v>
          </cell>
          <cell r="B6779" t="str">
            <v>השת' תמיכות תרומות</v>
          </cell>
        </row>
        <row r="6780">
          <cell r="A6780">
            <v>1829900810</v>
          </cell>
          <cell r="B6780" t="str">
            <v>פרוייקטים</v>
          </cell>
        </row>
        <row r="6781">
          <cell r="A6781">
            <v>1829900811</v>
          </cell>
          <cell r="B6781" t="str">
            <v>מרכזי מצוינות</v>
          </cell>
        </row>
        <row r="6782">
          <cell r="A6782">
            <v>1829900820</v>
          </cell>
          <cell r="B6782" t="str">
            <v>קמפוס קציר כ"י נוער</v>
          </cell>
        </row>
        <row r="6783">
          <cell r="A6783">
            <v>1829900821</v>
          </cell>
          <cell r="B6783" t="str">
            <v>עמותת ספורט בגין חולון</v>
          </cell>
        </row>
        <row r="6784">
          <cell r="A6784">
            <v>1829900822</v>
          </cell>
          <cell r="B6784" t="str">
            <v>תמיכות ספורט</v>
          </cell>
          <cell r="C6784">
            <v>6480000</v>
          </cell>
        </row>
        <row r="6785">
          <cell r="A6785">
            <v>1829900823</v>
          </cell>
          <cell r="B6785" t="str">
            <v>השגיות</v>
          </cell>
          <cell r="C6785">
            <v>1920000</v>
          </cell>
        </row>
        <row r="6786">
          <cell r="A6786">
            <v>1829900824</v>
          </cell>
          <cell r="B6786" t="str">
            <v xml:space="preserve">דמי שימוש         </v>
          </cell>
        </row>
        <row r="6787">
          <cell r="A6787">
            <v>1829900825</v>
          </cell>
          <cell r="B6787" t="str">
            <v xml:space="preserve">יתרות משנה קודמת  </v>
          </cell>
        </row>
        <row r="6788">
          <cell r="A6788">
            <v>1829900826</v>
          </cell>
          <cell r="B6788" t="str">
            <v>כוכב עולה נוער</v>
          </cell>
        </row>
        <row r="6789">
          <cell r="A6789">
            <v>1829900827</v>
          </cell>
          <cell r="B6789" t="str">
            <v>צפרירים  נוער</v>
          </cell>
        </row>
        <row r="6790">
          <cell r="A6790">
            <v>1829900828</v>
          </cell>
          <cell r="B6790" t="str">
            <v>ראונד איגרוף</v>
          </cell>
        </row>
        <row r="6791">
          <cell r="A6791">
            <v>1829900880</v>
          </cell>
          <cell r="B6791" t="str">
            <v xml:space="preserve">צפרירים           </v>
          </cell>
        </row>
        <row r="6792">
          <cell r="A6792">
            <v>1829900881</v>
          </cell>
          <cell r="B6792" t="str">
            <v>פיסגה - אומנויות לחימה</v>
          </cell>
        </row>
        <row r="6793">
          <cell r="A6793">
            <v>1829900882</v>
          </cell>
          <cell r="B6793" t="str">
            <v>כדוריד חולון בוגרים</v>
          </cell>
        </row>
        <row r="6794">
          <cell r="A6794">
            <v>1829900883</v>
          </cell>
          <cell r="B6794" t="str">
            <v xml:space="preserve">אליצור כדורסל     </v>
          </cell>
        </row>
        <row r="6795">
          <cell r="A6795">
            <v>1829900884</v>
          </cell>
          <cell r="B6795" t="str">
            <v>סלעים איתנים-כדורסל בוגרים</v>
          </cell>
        </row>
        <row r="6796">
          <cell r="A6796">
            <v>1829900885</v>
          </cell>
          <cell r="B6796" t="str">
            <v>מועדון הנוער בכדורגל</v>
          </cell>
        </row>
        <row r="6797">
          <cell r="A6797">
            <v>1829900886</v>
          </cell>
          <cell r="B6797" t="str">
            <v>מכבי הת' אומנותית</v>
          </cell>
        </row>
        <row r="6798">
          <cell r="A6798">
            <v>1829900887</v>
          </cell>
          <cell r="B6798" t="str">
            <v>כוכב עולה-כדורסל בוגרים</v>
          </cell>
        </row>
        <row r="6799">
          <cell r="A6799">
            <v>1829900888</v>
          </cell>
          <cell r="B6799" t="str">
            <v xml:space="preserve">מכבי חולון-כדורגל </v>
          </cell>
        </row>
        <row r="6800">
          <cell r="A6800">
            <v>1829900889</v>
          </cell>
          <cell r="B6800" t="str">
            <v>כדוריד חולון נוער</v>
          </cell>
        </row>
        <row r="6801">
          <cell r="A6801">
            <v>1829900890</v>
          </cell>
          <cell r="B6801" t="str">
            <v>אליצור-נער כוכבי על</v>
          </cell>
        </row>
        <row r="6802">
          <cell r="A6802">
            <v>1829900891</v>
          </cell>
          <cell r="B6802" t="str">
            <v xml:space="preserve">הפועל חולון-ענפים </v>
          </cell>
        </row>
        <row r="6803">
          <cell r="A6803">
            <v>1829900892</v>
          </cell>
          <cell r="B6803" t="str">
            <v>א.ס.מור-עמותה לנוער בכדורגל</v>
          </cell>
        </row>
        <row r="6804">
          <cell r="A6804">
            <v>1829900893</v>
          </cell>
          <cell r="B6804" t="str">
            <v>אייס חולון ע"ר</v>
          </cell>
        </row>
        <row r="6805">
          <cell r="A6805">
            <v>1829900894</v>
          </cell>
          <cell r="B6805" t="str">
            <v>באול 300 חולון</v>
          </cell>
        </row>
        <row r="6806">
          <cell r="A6806">
            <v>1829900895</v>
          </cell>
          <cell r="B6806" t="str">
            <v>עמותת הוקי חולון</v>
          </cell>
        </row>
        <row r="6807">
          <cell r="A6807">
            <v>1829900896</v>
          </cell>
          <cell r="B6807" t="str">
            <v>ירמיהו-עמותה לקידום כדורגל</v>
          </cell>
        </row>
        <row r="6808">
          <cell r="A6808">
            <v>1829900897</v>
          </cell>
          <cell r="B6808" t="str">
            <v xml:space="preserve">עמותת גלגיליות   </v>
          </cell>
        </row>
        <row r="6809">
          <cell r="A6809">
            <v>1829900898</v>
          </cell>
          <cell r="B6809" t="str">
            <v xml:space="preserve">עוצמה (ארזים) כדורגל      </v>
          </cell>
        </row>
        <row r="6810">
          <cell r="A6810">
            <v>1829900899</v>
          </cell>
          <cell r="B6810" t="str">
            <v>א.ס.מור-מועדון נווה</v>
          </cell>
        </row>
        <row r="6811">
          <cell r="A6811">
            <v>1829900931</v>
          </cell>
          <cell r="B6811" t="str">
            <v xml:space="preserve">צפרירים-מענק+שכ"ד </v>
          </cell>
        </row>
        <row r="6812">
          <cell r="A6812">
            <v>1829900961</v>
          </cell>
          <cell r="B6812" t="str">
            <v>רז' פעולות ורכישות</v>
          </cell>
        </row>
        <row r="6813">
          <cell r="A6813" t="str">
            <v>#VALUE!</v>
          </cell>
          <cell r="B6813" t="str">
            <v>תמיכות לאגודות ספורט</v>
          </cell>
        </row>
        <row r="6814">
          <cell r="A6814">
            <v>18300000</v>
          </cell>
          <cell r="B6814" t="str">
            <v xml:space="preserve">בריאות            </v>
          </cell>
        </row>
        <row r="6815">
          <cell r="A6815">
            <v>18324000</v>
          </cell>
          <cell r="B6815" t="str">
            <v xml:space="preserve">תחנות לאם ולילד   </v>
          </cell>
        </row>
        <row r="6816">
          <cell r="A6816">
            <v>1832400100</v>
          </cell>
          <cell r="B6816" t="str">
            <v>שכר עובדים לפי תקן</v>
          </cell>
        </row>
        <row r="6817">
          <cell r="A6817">
            <v>1832400110</v>
          </cell>
          <cell r="B6817" t="str">
            <v>השכר הקובע-תקציבית</v>
          </cell>
        </row>
        <row r="6818">
          <cell r="A6818">
            <v>1832400122</v>
          </cell>
          <cell r="B6818" t="str">
            <v xml:space="preserve">ביגוד             </v>
          </cell>
        </row>
        <row r="6819">
          <cell r="A6819">
            <v>1832400126</v>
          </cell>
          <cell r="B6819" t="str">
            <v xml:space="preserve">דמי הבראה         </v>
          </cell>
        </row>
        <row r="6820">
          <cell r="A6820">
            <v>1832400400</v>
          </cell>
          <cell r="B6820" t="str">
            <v>אחזקת בנינים וציוד</v>
          </cell>
        </row>
        <row r="6821">
          <cell r="A6821">
            <v>1832400412</v>
          </cell>
          <cell r="B6821" t="str">
            <v xml:space="preserve">ארנונה            </v>
          </cell>
        </row>
        <row r="6822">
          <cell r="A6822">
            <v>1832400420</v>
          </cell>
          <cell r="B6822" t="str">
            <v xml:space="preserve">כיבוי אש          </v>
          </cell>
        </row>
        <row r="6823">
          <cell r="A6823">
            <v>1832400423</v>
          </cell>
          <cell r="B6823" t="str">
            <v xml:space="preserve">תחזוקת מבנה       </v>
          </cell>
        </row>
        <row r="6824">
          <cell r="A6824">
            <v>1832400431</v>
          </cell>
          <cell r="B6824" t="str">
            <v xml:space="preserve">חשמל              </v>
          </cell>
          <cell r="C6824">
            <v>115500</v>
          </cell>
        </row>
        <row r="6825">
          <cell r="A6825">
            <v>1832400432</v>
          </cell>
          <cell r="B6825" t="str">
            <v xml:space="preserve">מים               </v>
          </cell>
        </row>
        <row r="6826">
          <cell r="A6826">
            <v>1832400433</v>
          </cell>
          <cell r="B6826" t="str">
            <v xml:space="preserve">חומרי נקיון       </v>
          </cell>
        </row>
        <row r="6827">
          <cell r="A6827">
            <v>1832400436</v>
          </cell>
          <cell r="B6827" t="str">
            <v xml:space="preserve">אחזקת מזגנים      </v>
          </cell>
        </row>
        <row r="6828">
          <cell r="A6828">
            <v>1832400437</v>
          </cell>
          <cell r="B6828" t="str">
            <v xml:space="preserve">אחזקת אזעקה       </v>
          </cell>
          <cell r="C6828">
            <v>2500</v>
          </cell>
        </row>
        <row r="6829">
          <cell r="A6829">
            <v>1832400441</v>
          </cell>
          <cell r="B6829" t="str">
            <v xml:space="preserve">ביטוח             </v>
          </cell>
        </row>
        <row r="6830">
          <cell r="A6830">
            <v>1832400470</v>
          </cell>
          <cell r="B6830" t="str">
            <v xml:space="preserve">אחזקת מכונות משרד </v>
          </cell>
        </row>
        <row r="6831">
          <cell r="A6831">
            <v>1832400540</v>
          </cell>
          <cell r="B6831" t="str">
            <v xml:space="preserve">הוצאות טלפון      </v>
          </cell>
        </row>
        <row r="6832">
          <cell r="A6832">
            <v>1832400550</v>
          </cell>
          <cell r="B6832" t="str">
            <v xml:space="preserve">פירסומים          </v>
          </cell>
        </row>
        <row r="6833">
          <cell r="A6833">
            <v>1832400561</v>
          </cell>
          <cell r="B6833" t="str">
            <v xml:space="preserve">שיכפולים          </v>
          </cell>
        </row>
        <row r="6834">
          <cell r="A6834">
            <v>1832400562</v>
          </cell>
          <cell r="B6834" t="str">
            <v xml:space="preserve">הדפסות            </v>
          </cell>
        </row>
        <row r="6835">
          <cell r="A6835">
            <v>1832400700</v>
          </cell>
          <cell r="B6835" t="str">
            <v xml:space="preserve">הוצאות לפעולות    </v>
          </cell>
        </row>
        <row r="6836">
          <cell r="A6836">
            <v>1832400710</v>
          </cell>
          <cell r="B6836" t="str">
            <v xml:space="preserve">הובלות            </v>
          </cell>
        </row>
        <row r="6837">
          <cell r="A6837">
            <v>1832400721</v>
          </cell>
          <cell r="B6837" t="str">
            <v>חמרים-תחזוקת מבנים</v>
          </cell>
          <cell r="C6837">
            <v>3600</v>
          </cell>
        </row>
        <row r="6838">
          <cell r="A6838">
            <v>1832400742</v>
          </cell>
          <cell r="B6838" t="str">
            <v xml:space="preserve">כלים וציוד        </v>
          </cell>
        </row>
        <row r="6839">
          <cell r="A6839">
            <v>1832400745</v>
          </cell>
          <cell r="B6839" t="str">
            <v xml:space="preserve">דמי פריצה - תכולה </v>
          </cell>
        </row>
        <row r="6840">
          <cell r="A6840">
            <v>1832400746</v>
          </cell>
          <cell r="B6840" t="str">
            <v xml:space="preserve">דמי פריצה - מבנה  </v>
          </cell>
        </row>
        <row r="6841">
          <cell r="A6841">
            <v>1832400751</v>
          </cell>
          <cell r="B6841" t="str">
            <v xml:space="preserve">עבודות קבלניות    </v>
          </cell>
          <cell r="C6841">
            <v>46000</v>
          </cell>
        </row>
        <row r="6842">
          <cell r="A6842">
            <v>1832400752</v>
          </cell>
          <cell r="B6842" t="str">
            <v xml:space="preserve">נקיון בקבלנות     </v>
          </cell>
          <cell r="C6842">
            <v>160000</v>
          </cell>
        </row>
        <row r="6843">
          <cell r="A6843">
            <v>1832400758</v>
          </cell>
          <cell r="B6843" t="str">
            <v xml:space="preserve">גינון טיפות חלב   </v>
          </cell>
        </row>
        <row r="6844">
          <cell r="A6844">
            <v>1832400789</v>
          </cell>
          <cell r="B6844" t="str">
            <v xml:space="preserve">כביסה             </v>
          </cell>
        </row>
        <row r="6845">
          <cell r="A6845">
            <v>1832400794</v>
          </cell>
          <cell r="B6845" t="str">
            <v xml:space="preserve">השתתפות בעזר 094  </v>
          </cell>
        </row>
        <row r="6846">
          <cell r="A6846">
            <v>1832400800</v>
          </cell>
          <cell r="B6846" t="str">
            <v>השת' תמיכות תרומות</v>
          </cell>
        </row>
        <row r="6847">
          <cell r="A6847">
            <v>1832400810</v>
          </cell>
          <cell r="B6847" t="str">
            <v xml:space="preserve">תשלום למשרד הבר   </v>
          </cell>
        </row>
        <row r="6848">
          <cell r="A6848">
            <v>1832400932</v>
          </cell>
          <cell r="B6848" t="str">
            <v xml:space="preserve">רכישות חד פעמיות  </v>
          </cell>
        </row>
        <row r="6849">
          <cell r="A6849">
            <v>1832400961</v>
          </cell>
          <cell r="B6849" t="str">
            <v>רז' פעולות ורכישות</v>
          </cell>
        </row>
        <row r="6850">
          <cell r="A6850" t="str">
            <v>#VALUE!</v>
          </cell>
          <cell r="B6850" t="str">
            <v xml:space="preserve">תחנות לאם ולילד   </v>
          </cell>
        </row>
        <row r="6851">
          <cell r="A6851">
            <v>18350000</v>
          </cell>
          <cell r="B6851" t="str">
            <v>מוסד' בריאות אחרים</v>
          </cell>
        </row>
        <row r="6852">
          <cell r="A6852">
            <v>18351000</v>
          </cell>
          <cell r="B6852" t="str">
            <v>איבחון ושיקום הילד</v>
          </cell>
        </row>
        <row r="6853">
          <cell r="A6853">
            <v>1835100100</v>
          </cell>
          <cell r="B6853" t="str">
            <v>שכר עובדים לפי תקן</v>
          </cell>
        </row>
        <row r="6854">
          <cell r="A6854">
            <v>1835100110</v>
          </cell>
          <cell r="B6854" t="str">
            <v>השכר הקובע-תקציבית</v>
          </cell>
        </row>
        <row r="6855">
          <cell r="A6855">
            <v>1835100122</v>
          </cell>
          <cell r="B6855" t="str">
            <v xml:space="preserve">ביגוד             </v>
          </cell>
        </row>
        <row r="6856">
          <cell r="A6856">
            <v>1835100126</v>
          </cell>
          <cell r="B6856" t="str">
            <v xml:space="preserve">דמי הבראה         </v>
          </cell>
        </row>
        <row r="6857">
          <cell r="A6857">
            <v>1835100140</v>
          </cell>
          <cell r="B6857" t="str">
            <v>השתתפות באחזקת רכב</v>
          </cell>
        </row>
        <row r="6858">
          <cell r="A6858">
            <v>1835100400</v>
          </cell>
          <cell r="B6858" t="str">
            <v>אחזקת בנינים וציוד</v>
          </cell>
        </row>
        <row r="6859">
          <cell r="A6859">
            <v>1835100412</v>
          </cell>
          <cell r="B6859" t="str">
            <v xml:space="preserve">ארנונה            </v>
          </cell>
        </row>
        <row r="6860">
          <cell r="A6860">
            <v>1835100423</v>
          </cell>
          <cell r="B6860" t="str">
            <v xml:space="preserve">תחזוקת מבנה       </v>
          </cell>
        </row>
        <row r="6861">
          <cell r="A6861">
            <v>1835100431</v>
          </cell>
          <cell r="B6861" t="str">
            <v xml:space="preserve">חשמל              </v>
          </cell>
        </row>
        <row r="6862">
          <cell r="A6862">
            <v>1835100432</v>
          </cell>
          <cell r="B6862" t="str">
            <v xml:space="preserve">מים               </v>
          </cell>
        </row>
        <row r="6863">
          <cell r="A6863">
            <v>1835100433</v>
          </cell>
          <cell r="B6863" t="str">
            <v xml:space="preserve">חומרי נקיון       </v>
          </cell>
        </row>
        <row r="6864">
          <cell r="A6864">
            <v>1835100441</v>
          </cell>
          <cell r="B6864" t="str">
            <v xml:space="preserve">ביטוח             </v>
          </cell>
        </row>
        <row r="6865">
          <cell r="A6865">
            <v>1835100450</v>
          </cell>
          <cell r="B6865" t="str">
            <v xml:space="preserve">ריהוט ואחזקתו     </v>
          </cell>
        </row>
        <row r="6866">
          <cell r="A6866">
            <v>1835100470</v>
          </cell>
          <cell r="B6866" t="str">
            <v xml:space="preserve">אחזקת מכונות משרד </v>
          </cell>
        </row>
        <row r="6867">
          <cell r="A6867">
            <v>1835100471</v>
          </cell>
          <cell r="B6867" t="str">
            <v xml:space="preserve">מכשירי כתיבה      </v>
          </cell>
        </row>
        <row r="6868">
          <cell r="A6868">
            <v>1835100476</v>
          </cell>
          <cell r="B6868" t="str">
            <v xml:space="preserve">אחזקת מזגנים      </v>
          </cell>
        </row>
        <row r="6869">
          <cell r="A6869">
            <v>1835100500</v>
          </cell>
          <cell r="B6869" t="str">
            <v xml:space="preserve">הוצאות מינהליות   </v>
          </cell>
        </row>
        <row r="6870">
          <cell r="A6870">
            <v>1835100511</v>
          </cell>
          <cell r="B6870" t="str">
            <v xml:space="preserve">אירוח וכיבוד      </v>
          </cell>
        </row>
        <row r="6871">
          <cell r="A6871">
            <v>1835100512</v>
          </cell>
          <cell r="B6871" t="str">
            <v xml:space="preserve">נסיעות ואש"ל      </v>
          </cell>
        </row>
        <row r="6872">
          <cell r="A6872">
            <v>1835100521</v>
          </cell>
          <cell r="B6872" t="str">
            <v xml:space="preserve">השתלמויות והרצאות </v>
          </cell>
        </row>
        <row r="6873">
          <cell r="A6873">
            <v>1835100522</v>
          </cell>
          <cell r="B6873" t="str">
            <v xml:space="preserve">ספרים             </v>
          </cell>
        </row>
        <row r="6874">
          <cell r="A6874">
            <v>1835100540</v>
          </cell>
          <cell r="B6874" t="str">
            <v xml:space="preserve">הוצאות טלפון      </v>
          </cell>
        </row>
        <row r="6875">
          <cell r="A6875">
            <v>1835100544</v>
          </cell>
          <cell r="B6875" t="str">
            <v xml:space="preserve">הוצאות דאר        </v>
          </cell>
        </row>
        <row r="6876">
          <cell r="A6876">
            <v>1835100561</v>
          </cell>
          <cell r="B6876" t="str">
            <v xml:space="preserve">שיכפולים          </v>
          </cell>
        </row>
        <row r="6877">
          <cell r="A6877">
            <v>1835100571</v>
          </cell>
          <cell r="B6877" t="str">
            <v xml:space="preserve">מיכון וענ"א       </v>
          </cell>
        </row>
        <row r="6878">
          <cell r="A6878">
            <v>1835100721</v>
          </cell>
          <cell r="B6878" t="str">
            <v>חמרים-תחזוקת מבנים</v>
          </cell>
        </row>
        <row r="6879">
          <cell r="A6879">
            <v>1835100722</v>
          </cell>
          <cell r="B6879" t="str">
            <v>חמרים-תחזוקה עצמית</v>
          </cell>
        </row>
        <row r="6880">
          <cell r="A6880">
            <v>1835100723</v>
          </cell>
          <cell r="B6880" t="str">
            <v xml:space="preserve">חומרים לילדים     </v>
          </cell>
        </row>
        <row r="6881">
          <cell r="A6881">
            <v>1835100745</v>
          </cell>
          <cell r="B6881" t="str">
            <v xml:space="preserve">דמי פריצה - תכולה </v>
          </cell>
        </row>
        <row r="6882">
          <cell r="A6882">
            <v>1835100751</v>
          </cell>
          <cell r="B6882" t="str">
            <v xml:space="preserve">עבודות קבלניות    </v>
          </cell>
        </row>
        <row r="6883">
          <cell r="A6883">
            <v>1835100752</v>
          </cell>
          <cell r="B6883" t="str">
            <v xml:space="preserve">נקיון בקבלנות     </v>
          </cell>
        </row>
        <row r="6884">
          <cell r="A6884">
            <v>1835100753</v>
          </cell>
          <cell r="B6884" t="str">
            <v xml:space="preserve">עובדת חיצונית     </v>
          </cell>
        </row>
        <row r="6885">
          <cell r="A6885">
            <v>1835100758</v>
          </cell>
          <cell r="B6885" t="str">
            <v xml:space="preserve">גינון במרכז       </v>
          </cell>
        </row>
        <row r="6886">
          <cell r="A6886">
            <v>1835100789</v>
          </cell>
          <cell r="B6886" t="str">
            <v xml:space="preserve">כביסה             </v>
          </cell>
        </row>
        <row r="6887">
          <cell r="A6887">
            <v>1835100794</v>
          </cell>
          <cell r="B6887" t="str">
            <v xml:space="preserve">השתתפות בעזר 094  </v>
          </cell>
        </row>
        <row r="6888">
          <cell r="A6888">
            <v>1835100810</v>
          </cell>
          <cell r="B6888" t="str">
            <v>השתתפות בשכר פקידה</v>
          </cell>
        </row>
        <row r="6889">
          <cell r="A6889">
            <v>1835100900</v>
          </cell>
          <cell r="B6889" t="str">
            <v xml:space="preserve">הוצאות חד פעמיות  </v>
          </cell>
        </row>
        <row r="6890">
          <cell r="A6890">
            <v>1835100980</v>
          </cell>
          <cell r="B6890" t="str">
            <v xml:space="preserve">בדיקת ראדון-בטל"א </v>
          </cell>
        </row>
        <row r="6891">
          <cell r="A6891" t="str">
            <v>#VALUE!</v>
          </cell>
          <cell r="B6891" t="str">
            <v>איבחון ושיקום הילד</v>
          </cell>
        </row>
        <row r="6892">
          <cell r="A6892">
            <v>18352000</v>
          </cell>
          <cell r="B6892" t="str">
            <v>התחנה לבריאות הנפש</v>
          </cell>
        </row>
        <row r="6893">
          <cell r="A6893">
            <v>1835200100</v>
          </cell>
          <cell r="B6893" t="str">
            <v>שכר עובדים לפי תקן</v>
          </cell>
        </row>
        <row r="6894">
          <cell r="A6894">
            <v>1835200110</v>
          </cell>
          <cell r="B6894" t="str">
            <v>השכר הקובע-תקציבית</v>
          </cell>
        </row>
        <row r="6895">
          <cell r="A6895">
            <v>1835200122</v>
          </cell>
          <cell r="B6895" t="str">
            <v xml:space="preserve">ביגוד             </v>
          </cell>
        </row>
        <row r="6896">
          <cell r="A6896">
            <v>1835200126</v>
          </cell>
          <cell r="B6896" t="str">
            <v xml:space="preserve">דמי הבראה         </v>
          </cell>
        </row>
        <row r="6897">
          <cell r="A6897">
            <v>1835200140</v>
          </cell>
          <cell r="B6897" t="str">
            <v>השתתפות באחזקת רכב</v>
          </cell>
        </row>
        <row r="6898">
          <cell r="A6898">
            <v>1835200200</v>
          </cell>
          <cell r="B6898" t="str">
            <v>שכר עובדים ללא תקן</v>
          </cell>
        </row>
        <row r="6899">
          <cell r="A6899">
            <v>1835200210</v>
          </cell>
          <cell r="B6899" t="str">
            <v xml:space="preserve">השכר הקובע        </v>
          </cell>
        </row>
        <row r="6900">
          <cell r="A6900">
            <v>1835200400</v>
          </cell>
          <cell r="B6900" t="str">
            <v>אחזקת בנינים וציוד</v>
          </cell>
        </row>
        <row r="6901">
          <cell r="A6901">
            <v>1835200412</v>
          </cell>
          <cell r="B6901" t="str">
            <v xml:space="preserve">ארנונה            </v>
          </cell>
        </row>
        <row r="6902">
          <cell r="A6902">
            <v>1835200423</v>
          </cell>
          <cell r="B6902" t="str">
            <v xml:space="preserve">תחזוקת מבנה       </v>
          </cell>
        </row>
        <row r="6903">
          <cell r="A6903">
            <v>1835200431</v>
          </cell>
          <cell r="B6903" t="str">
            <v xml:space="preserve">חשמל              </v>
          </cell>
        </row>
        <row r="6904">
          <cell r="A6904">
            <v>1835200432</v>
          </cell>
          <cell r="B6904" t="str">
            <v xml:space="preserve">מים               </v>
          </cell>
        </row>
        <row r="6905">
          <cell r="A6905">
            <v>1835200433</v>
          </cell>
          <cell r="B6905" t="str">
            <v xml:space="preserve">חומרי נקיון       </v>
          </cell>
        </row>
        <row r="6906">
          <cell r="A6906">
            <v>1835200436</v>
          </cell>
          <cell r="B6906" t="str">
            <v xml:space="preserve">אחזקת מזגנים      </v>
          </cell>
        </row>
        <row r="6907">
          <cell r="A6907">
            <v>1835200441</v>
          </cell>
          <cell r="B6907" t="str">
            <v xml:space="preserve">ביטוח             </v>
          </cell>
        </row>
        <row r="6908">
          <cell r="A6908">
            <v>1835200450</v>
          </cell>
          <cell r="B6908" t="str">
            <v xml:space="preserve">ריהוט ואחזקתו     </v>
          </cell>
        </row>
        <row r="6909">
          <cell r="A6909">
            <v>1835200470</v>
          </cell>
          <cell r="B6909" t="str">
            <v xml:space="preserve">אחזקת מכונות משרד </v>
          </cell>
        </row>
        <row r="6910">
          <cell r="A6910">
            <v>1835200471</v>
          </cell>
          <cell r="B6910" t="str">
            <v xml:space="preserve">מכשירי כתיבה      </v>
          </cell>
        </row>
        <row r="6911">
          <cell r="A6911">
            <v>1835200500</v>
          </cell>
          <cell r="B6911" t="str">
            <v xml:space="preserve">הוצאות מינהליות   </v>
          </cell>
        </row>
        <row r="6912">
          <cell r="A6912">
            <v>1835200511</v>
          </cell>
          <cell r="B6912" t="str">
            <v xml:space="preserve">אירוח וכיבוד      </v>
          </cell>
        </row>
        <row r="6913">
          <cell r="A6913">
            <v>1835200540</v>
          </cell>
          <cell r="B6913" t="str">
            <v xml:space="preserve">הוצאות טלפון      </v>
          </cell>
        </row>
        <row r="6914">
          <cell r="A6914">
            <v>1835200544</v>
          </cell>
          <cell r="B6914" t="str">
            <v xml:space="preserve">הוצאות דאר        </v>
          </cell>
        </row>
        <row r="6915">
          <cell r="A6915">
            <v>1835200561</v>
          </cell>
          <cell r="B6915" t="str">
            <v xml:space="preserve">שיכפולים          </v>
          </cell>
        </row>
        <row r="6916">
          <cell r="A6916">
            <v>1835200571</v>
          </cell>
          <cell r="B6916" t="str">
            <v xml:space="preserve">מיכון וענ"א       </v>
          </cell>
        </row>
        <row r="6917">
          <cell r="A6917">
            <v>1835200700</v>
          </cell>
          <cell r="B6917" t="str">
            <v xml:space="preserve">הוצאות לפעולות    </v>
          </cell>
        </row>
        <row r="6918">
          <cell r="A6918">
            <v>1835200721</v>
          </cell>
          <cell r="B6918" t="str">
            <v>חמרים-תחזוקת מבנים</v>
          </cell>
        </row>
        <row r="6919">
          <cell r="A6919">
            <v>1835200722</v>
          </cell>
          <cell r="B6919" t="str">
            <v>חמרים-תחזוקה עצמית</v>
          </cell>
        </row>
        <row r="6920">
          <cell r="A6920">
            <v>1835200742</v>
          </cell>
          <cell r="B6920" t="str">
            <v xml:space="preserve">ציוד טיפולי       </v>
          </cell>
        </row>
        <row r="6921">
          <cell r="A6921">
            <v>1835200745</v>
          </cell>
          <cell r="B6921" t="str">
            <v xml:space="preserve">דמי פריצה - תכולה </v>
          </cell>
        </row>
        <row r="6922">
          <cell r="A6922">
            <v>1835200751</v>
          </cell>
          <cell r="B6922" t="str">
            <v xml:space="preserve">עבודות קבלניות    </v>
          </cell>
        </row>
        <row r="6923">
          <cell r="A6923">
            <v>1835200752</v>
          </cell>
          <cell r="B6923" t="str">
            <v xml:space="preserve">נקיון בקבלנות     </v>
          </cell>
        </row>
        <row r="6924">
          <cell r="A6924">
            <v>1835200758</v>
          </cell>
          <cell r="B6924" t="str">
            <v xml:space="preserve">גינון התחנה       </v>
          </cell>
        </row>
        <row r="6925">
          <cell r="A6925">
            <v>1835200763</v>
          </cell>
          <cell r="B6925" t="str">
            <v xml:space="preserve">עובדי חברת מוסדות </v>
          </cell>
        </row>
        <row r="6926">
          <cell r="A6926">
            <v>1835200789</v>
          </cell>
          <cell r="B6926" t="str">
            <v xml:space="preserve">כביסה             </v>
          </cell>
        </row>
        <row r="6927">
          <cell r="A6927">
            <v>1835200794</v>
          </cell>
          <cell r="B6927" t="str">
            <v xml:space="preserve">השתתפות בעזר 094  </v>
          </cell>
        </row>
        <row r="6928">
          <cell r="A6928">
            <v>1835200810</v>
          </cell>
          <cell r="B6928" t="str">
            <v>השתתפות בשכר פקידה</v>
          </cell>
        </row>
        <row r="6929">
          <cell r="A6929">
            <v>1835200811</v>
          </cell>
          <cell r="B6929" t="str">
            <v xml:space="preserve">השתתפות במרפאה    </v>
          </cell>
        </row>
        <row r="6930">
          <cell r="A6930">
            <v>1835200900</v>
          </cell>
          <cell r="B6930" t="str">
            <v xml:space="preserve">הוצאות חד פעמיות  </v>
          </cell>
        </row>
        <row r="6931">
          <cell r="A6931">
            <v>1835200931</v>
          </cell>
          <cell r="B6931" t="str">
            <v xml:space="preserve">רכישות            </v>
          </cell>
        </row>
        <row r="6932">
          <cell r="A6932" t="str">
            <v>#VALUE!</v>
          </cell>
          <cell r="B6932" t="str">
            <v>התחנה לבריאות הנפש</v>
          </cell>
        </row>
        <row r="6933">
          <cell r="A6933">
            <v>18360000</v>
          </cell>
          <cell r="B6933" t="str">
            <v xml:space="preserve">מגן דוד אדום      </v>
          </cell>
        </row>
        <row r="6934">
          <cell r="A6934">
            <v>18361000</v>
          </cell>
          <cell r="B6934" t="str">
            <v xml:space="preserve">מגן דוד אדום      </v>
          </cell>
        </row>
        <row r="6935">
          <cell r="A6935">
            <v>1836100441</v>
          </cell>
          <cell r="B6935" t="str">
            <v>בטוח תאונות אישיות</v>
          </cell>
        </row>
        <row r="6936">
          <cell r="A6936">
            <v>1836100753</v>
          </cell>
          <cell r="B6936" t="str">
            <v xml:space="preserve">עובדים חיצוניים   </v>
          </cell>
        </row>
        <row r="6937">
          <cell r="A6937">
            <v>1836100800</v>
          </cell>
          <cell r="B6937" t="str">
            <v>השת' תמיכות תרומות</v>
          </cell>
        </row>
        <row r="6938">
          <cell r="A6938">
            <v>1836100811</v>
          </cell>
          <cell r="B6938" t="str">
            <v xml:space="preserve">השת'-בתורנות לילה </v>
          </cell>
        </row>
        <row r="6939">
          <cell r="A6939">
            <v>1836100812</v>
          </cell>
          <cell r="B6939" t="str">
            <v xml:space="preserve">ניידת נט"נ        </v>
          </cell>
        </row>
        <row r="6940">
          <cell r="A6940">
            <v>1836100961</v>
          </cell>
          <cell r="B6940" t="str">
            <v>רז' פעולות ורכישות</v>
          </cell>
        </row>
        <row r="6941">
          <cell r="A6941" t="str">
            <v>#VALUE!</v>
          </cell>
          <cell r="B6941" t="str">
            <v xml:space="preserve">מגן דוד אדום      </v>
          </cell>
        </row>
        <row r="6942">
          <cell r="A6942">
            <v>18400000</v>
          </cell>
          <cell r="B6942" t="str">
            <v xml:space="preserve">רווחה             </v>
          </cell>
        </row>
        <row r="6943">
          <cell r="A6943">
            <v>18410000</v>
          </cell>
          <cell r="B6943" t="str">
            <v xml:space="preserve">מינהל הרווחה      </v>
          </cell>
        </row>
        <row r="6944">
          <cell r="A6944">
            <v>1841000100</v>
          </cell>
          <cell r="B6944" t="str">
            <v>שכר עובדים לפי תקן</v>
          </cell>
        </row>
        <row r="6945">
          <cell r="A6945">
            <v>1841000110</v>
          </cell>
          <cell r="B6945" t="str">
            <v>השכר הקובע-תקציבית</v>
          </cell>
          <cell r="C6945">
            <v>317700</v>
          </cell>
        </row>
        <row r="6946">
          <cell r="A6946">
            <v>1841000119</v>
          </cell>
          <cell r="B6946" t="str">
            <v xml:space="preserve">השכר הקובע-צוברת  </v>
          </cell>
          <cell r="C6946">
            <v>6647500</v>
          </cell>
        </row>
        <row r="6947">
          <cell r="A6947">
            <v>1841000122</v>
          </cell>
          <cell r="B6947" t="str">
            <v xml:space="preserve">ביגוד             </v>
          </cell>
          <cell r="C6947">
            <v>68000</v>
          </cell>
        </row>
        <row r="6948">
          <cell r="A6948">
            <v>1841000126</v>
          </cell>
          <cell r="B6948" t="str">
            <v xml:space="preserve">דמי הבראה         </v>
          </cell>
          <cell r="C6948">
            <v>162000</v>
          </cell>
        </row>
        <row r="6949">
          <cell r="A6949">
            <v>1841000130</v>
          </cell>
          <cell r="B6949" t="str">
            <v xml:space="preserve">שעות נוספות       </v>
          </cell>
          <cell r="C6949">
            <v>55000</v>
          </cell>
        </row>
        <row r="6950">
          <cell r="A6950">
            <v>1841000140</v>
          </cell>
          <cell r="B6950" t="str">
            <v>השתתפות באחזקת רכב</v>
          </cell>
          <cell r="C6950">
            <v>422000</v>
          </cell>
        </row>
        <row r="6951">
          <cell r="A6951">
            <v>1841000200</v>
          </cell>
          <cell r="B6951" t="str">
            <v>שכר עובדים ללא תקן</v>
          </cell>
        </row>
        <row r="6952">
          <cell r="A6952">
            <v>1841000210</v>
          </cell>
          <cell r="B6952" t="str">
            <v xml:space="preserve">השכר הקובע        </v>
          </cell>
        </row>
        <row r="6953">
          <cell r="A6953">
            <v>1841000253</v>
          </cell>
          <cell r="B6953" t="str">
            <v xml:space="preserve">עובד חיצוני       </v>
          </cell>
        </row>
        <row r="6954">
          <cell r="A6954">
            <v>1841000350</v>
          </cell>
          <cell r="B6954" t="str">
            <v>ליסינג - 516-13-301</v>
          </cell>
        </row>
        <row r="6955">
          <cell r="A6955">
            <v>1841000351</v>
          </cell>
          <cell r="B6955" t="str">
            <v>הוצאות - 516-13-301</v>
          </cell>
        </row>
        <row r="6956">
          <cell r="A6956">
            <v>1841000400</v>
          </cell>
          <cell r="B6956" t="str">
            <v>אחזקת בנינים וציוד</v>
          </cell>
        </row>
        <row r="6957">
          <cell r="A6957">
            <v>1841000410</v>
          </cell>
          <cell r="B6957" t="str">
            <v>שכירות רווחה</v>
          </cell>
          <cell r="C6957">
            <v>1068100</v>
          </cell>
        </row>
        <row r="6958">
          <cell r="A6958">
            <v>1841000420</v>
          </cell>
          <cell r="B6958" t="str">
            <v xml:space="preserve">כיבוי אש          </v>
          </cell>
          <cell r="C6958">
            <v>2000</v>
          </cell>
        </row>
        <row r="6959">
          <cell r="A6959">
            <v>1841000423</v>
          </cell>
          <cell r="B6959" t="str">
            <v xml:space="preserve">תחזוקת מבנה       </v>
          </cell>
          <cell r="C6959">
            <v>4900</v>
          </cell>
        </row>
        <row r="6960">
          <cell r="A6960">
            <v>1841000431</v>
          </cell>
          <cell r="B6960" t="str">
            <v xml:space="preserve">חשמל              </v>
          </cell>
          <cell r="C6960">
            <v>445000</v>
          </cell>
        </row>
        <row r="6961">
          <cell r="A6961">
            <v>1841000432</v>
          </cell>
          <cell r="B6961" t="str">
            <v xml:space="preserve">מים               </v>
          </cell>
          <cell r="C6961">
            <v>22000</v>
          </cell>
        </row>
        <row r="6962">
          <cell r="A6962">
            <v>1841000437</v>
          </cell>
          <cell r="B6962" t="str">
            <v xml:space="preserve">אחזקת אזעקה       </v>
          </cell>
          <cell r="C6962">
            <v>5000</v>
          </cell>
        </row>
        <row r="6963">
          <cell r="A6963">
            <v>1841000438</v>
          </cell>
          <cell r="B6963" t="str">
            <v>לחצני מצוקה ניידים</v>
          </cell>
          <cell r="C6963">
            <v>11000</v>
          </cell>
        </row>
        <row r="6964">
          <cell r="A6964">
            <v>1841000450</v>
          </cell>
          <cell r="B6964" t="str">
            <v>אחזקת תמי 4</v>
          </cell>
          <cell r="C6964">
            <v>6800</v>
          </cell>
        </row>
        <row r="6965">
          <cell r="A6965">
            <v>1841000451</v>
          </cell>
          <cell r="B6965" t="str">
            <v>אחזקת דפיברילטור</v>
          </cell>
          <cell r="C6965">
            <v>3000</v>
          </cell>
        </row>
        <row r="6966">
          <cell r="A6966">
            <v>1841000470</v>
          </cell>
          <cell r="B6966" t="str">
            <v xml:space="preserve">אחזקת מכונות משרד </v>
          </cell>
          <cell r="C6966">
            <v>5800</v>
          </cell>
        </row>
        <row r="6967">
          <cell r="A6967">
            <v>1841000471</v>
          </cell>
          <cell r="B6967" t="str">
            <v xml:space="preserve">מכשירי כתיבה      </v>
          </cell>
          <cell r="C6967">
            <v>85500</v>
          </cell>
        </row>
        <row r="6968">
          <cell r="A6968">
            <v>1841000474</v>
          </cell>
          <cell r="B6968" t="str">
            <v xml:space="preserve">אחזקת מעלית       </v>
          </cell>
          <cell r="C6968">
            <v>20700</v>
          </cell>
        </row>
        <row r="6969">
          <cell r="A6969">
            <v>1841000492</v>
          </cell>
          <cell r="B6969" t="str">
            <v xml:space="preserve">השתתפות בעזר 092  </v>
          </cell>
        </row>
        <row r="6970">
          <cell r="A6970">
            <v>1841000500</v>
          </cell>
          <cell r="B6970" t="str">
            <v xml:space="preserve">הוצאות מינהליות   </v>
          </cell>
        </row>
        <row r="6971">
          <cell r="A6971">
            <v>1841000511</v>
          </cell>
          <cell r="B6971" t="str">
            <v xml:space="preserve">אירוח וכיבוד      </v>
          </cell>
          <cell r="C6971">
            <v>10000</v>
          </cell>
        </row>
        <row r="6972">
          <cell r="A6972">
            <v>1841000512</v>
          </cell>
          <cell r="B6972" t="str">
            <v xml:space="preserve">נסיעות ואש"ל      </v>
          </cell>
          <cell r="C6972">
            <v>4400</v>
          </cell>
        </row>
        <row r="6973">
          <cell r="A6973">
            <v>1841000521</v>
          </cell>
          <cell r="B6973" t="str">
            <v xml:space="preserve">השתלמות קבוצתית   </v>
          </cell>
        </row>
        <row r="6974">
          <cell r="A6974">
            <v>1841000522</v>
          </cell>
          <cell r="B6974" t="str">
            <v xml:space="preserve">ספרים ועיתונים    </v>
          </cell>
          <cell r="C6974">
            <v>2600</v>
          </cell>
        </row>
        <row r="6975">
          <cell r="A6975">
            <v>1841000524</v>
          </cell>
          <cell r="B6975" t="str">
            <v xml:space="preserve">השתלמות מרוכזת    </v>
          </cell>
        </row>
        <row r="6976">
          <cell r="A6976">
            <v>1841000540</v>
          </cell>
          <cell r="B6976" t="str">
            <v xml:space="preserve">הוצאות טלפון      </v>
          </cell>
        </row>
        <row r="6977">
          <cell r="A6977">
            <v>1841000544</v>
          </cell>
          <cell r="B6977" t="str">
            <v xml:space="preserve">הוצאות דאר        </v>
          </cell>
          <cell r="C6977">
            <v>26600</v>
          </cell>
        </row>
        <row r="6978">
          <cell r="A6978">
            <v>1841000550</v>
          </cell>
          <cell r="B6978" t="str">
            <v xml:space="preserve">פירסומים          </v>
          </cell>
          <cell r="C6978">
            <v>8100</v>
          </cell>
        </row>
        <row r="6979">
          <cell r="A6979">
            <v>1841000561</v>
          </cell>
          <cell r="B6979" t="str">
            <v xml:space="preserve">שיכפולים          </v>
          </cell>
        </row>
        <row r="6980">
          <cell r="A6980">
            <v>1841000562</v>
          </cell>
          <cell r="B6980" t="str">
            <v xml:space="preserve">הדפסות            </v>
          </cell>
          <cell r="C6980">
            <v>5100</v>
          </cell>
        </row>
        <row r="6981">
          <cell r="A6981">
            <v>1841000570</v>
          </cell>
          <cell r="B6981" t="str">
            <v xml:space="preserve">תשלום לאוטומציה   </v>
          </cell>
        </row>
        <row r="6982">
          <cell r="A6982">
            <v>1841000571</v>
          </cell>
          <cell r="B6982" t="str">
            <v xml:space="preserve">מיכון וענ"א       </v>
          </cell>
        </row>
        <row r="6983">
          <cell r="A6983">
            <v>1841000572</v>
          </cell>
          <cell r="B6983" t="str">
            <v>מיחשוב אי . פי . אר</v>
          </cell>
          <cell r="C6983">
            <v>292700</v>
          </cell>
        </row>
        <row r="6984">
          <cell r="A6984">
            <v>1841000580</v>
          </cell>
          <cell r="B6984" t="str">
            <v xml:space="preserve">יעוץ משפטי        </v>
          </cell>
          <cell r="C6984">
            <v>800</v>
          </cell>
        </row>
        <row r="6985">
          <cell r="A6985">
            <v>1841000700</v>
          </cell>
          <cell r="B6985" t="str">
            <v xml:space="preserve">הוצאות לפעולות    </v>
          </cell>
        </row>
        <row r="6986">
          <cell r="A6986">
            <v>1841000721</v>
          </cell>
          <cell r="B6986" t="str">
            <v>חמרים-תחזוקת מבנים</v>
          </cell>
          <cell r="C6986">
            <v>6300</v>
          </cell>
        </row>
        <row r="6987">
          <cell r="A6987">
            <v>1841000745</v>
          </cell>
          <cell r="B6987" t="str">
            <v xml:space="preserve">דמי פריצה - תכולה </v>
          </cell>
        </row>
        <row r="6988">
          <cell r="A6988">
            <v>1841000746</v>
          </cell>
          <cell r="B6988" t="str">
            <v xml:space="preserve">דמי פריצה - מבנה  </v>
          </cell>
        </row>
        <row r="6989">
          <cell r="A6989">
            <v>1841000750</v>
          </cell>
          <cell r="B6989" t="str">
            <v>אחזקת מוסדות</v>
          </cell>
          <cell r="C6989">
            <v>450000</v>
          </cell>
        </row>
        <row r="6990">
          <cell r="A6990">
            <v>1841000751</v>
          </cell>
          <cell r="B6990" t="str">
            <v xml:space="preserve">עבודות קבלניות    </v>
          </cell>
          <cell r="C6990">
            <v>126000</v>
          </cell>
        </row>
        <row r="6991">
          <cell r="A6991">
            <v>1841000752</v>
          </cell>
          <cell r="B6991" t="str">
            <v xml:space="preserve">נקיון בקבלנות     </v>
          </cell>
          <cell r="C6991">
            <v>584000</v>
          </cell>
        </row>
        <row r="6992">
          <cell r="A6992">
            <v>1841000753</v>
          </cell>
          <cell r="B6992" t="str">
            <v xml:space="preserve">עובד חיצוני       </v>
          </cell>
        </row>
        <row r="6993">
          <cell r="A6993">
            <v>1841000754</v>
          </cell>
          <cell r="B6993" t="str">
            <v>לא פעיל</v>
          </cell>
        </row>
        <row r="6994">
          <cell r="A6994">
            <v>1841000756</v>
          </cell>
          <cell r="B6994" t="str">
            <v xml:space="preserve">שמירה             </v>
          </cell>
          <cell r="C6994">
            <v>800000</v>
          </cell>
        </row>
        <row r="6995">
          <cell r="A6995">
            <v>1841000758</v>
          </cell>
          <cell r="B6995" t="str">
            <v>גינון מוסדות רווחה</v>
          </cell>
        </row>
        <row r="6996">
          <cell r="A6996">
            <v>1841000780</v>
          </cell>
          <cell r="B6996" t="str">
            <v xml:space="preserve">ארועים            </v>
          </cell>
          <cell r="C6996">
            <v>85300</v>
          </cell>
        </row>
        <row r="6997">
          <cell r="A6997">
            <v>1841000781</v>
          </cell>
          <cell r="B6997" t="str">
            <v>פעולות סמנכ"ל</v>
          </cell>
          <cell r="C6997">
            <v>40000</v>
          </cell>
        </row>
        <row r="6998">
          <cell r="A6998">
            <v>1841000782</v>
          </cell>
          <cell r="B6998" t="str">
            <v>ארוע מועדוני קשישים</v>
          </cell>
          <cell r="C6998">
            <v>83800</v>
          </cell>
        </row>
        <row r="6999">
          <cell r="A6999">
            <v>1841000783</v>
          </cell>
          <cell r="B6999" t="str">
            <v>עיתון "כיוון חדש"</v>
          </cell>
          <cell r="C6999">
            <v>57000</v>
          </cell>
        </row>
        <row r="7000">
          <cell r="A7000">
            <v>1841000784</v>
          </cell>
          <cell r="B7000" t="str">
            <v xml:space="preserve">הרצאות            </v>
          </cell>
          <cell r="C7000">
            <v>1600</v>
          </cell>
        </row>
        <row r="7001">
          <cell r="A7001">
            <v>1841000785</v>
          </cell>
          <cell r="B7001" t="str">
            <v xml:space="preserve">הוצאות אירגוניות  </v>
          </cell>
          <cell r="C7001">
            <v>4500</v>
          </cell>
        </row>
        <row r="7002">
          <cell r="A7002">
            <v>1841000786</v>
          </cell>
          <cell r="B7002" t="str">
            <v>קופה קטנה מטופלים</v>
          </cell>
          <cell r="C7002">
            <v>5000</v>
          </cell>
        </row>
        <row r="7003">
          <cell r="A7003">
            <v>1841000794</v>
          </cell>
          <cell r="B7003" t="str">
            <v xml:space="preserve">השתתפות בעזר 094  </v>
          </cell>
        </row>
        <row r="7004">
          <cell r="A7004">
            <v>1841000800</v>
          </cell>
          <cell r="B7004" t="str">
            <v>השת' תמיכות תרומות</v>
          </cell>
        </row>
        <row r="7005">
          <cell r="A7005">
            <v>1841000815</v>
          </cell>
          <cell r="B7005" t="str">
            <v>מאבטחים - רווחה</v>
          </cell>
          <cell r="C7005">
            <v>486000</v>
          </cell>
        </row>
        <row r="7006">
          <cell r="A7006">
            <v>1841000817</v>
          </cell>
          <cell r="B7006" t="str">
            <v>הערכות לחירום</v>
          </cell>
          <cell r="C7006">
            <v>76000</v>
          </cell>
        </row>
        <row r="7007">
          <cell r="A7007">
            <v>1841000931</v>
          </cell>
          <cell r="B7007" t="str">
            <v xml:space="preserve">רכישות חד פעמיות  </v>
          </cell>
          <cell r="C7007">
            <v>38500</v>
          </cell>
        </row>
        <row r="7008">
          <cell r="A7008">
            <v>1841000932</v>
          </cell>
          <cell r="B7008" t="str">
            <v>הצטיידות מועדונית</v>
          </cell>
        </row>
        <row r="7009">
          <cell r="A7009">
            <v>1841000933</v>
          </cell>
          <cell r="B7009" t="str">
            <v>תכנית תמ"ר</v>
          </cell>
        </row>
        <row r="7010">
          <cell r="A7010">
            <v>1841000960</v>
          </cell>
          <cell r="B7010" t="str">
            <v xml:space="preserve">רזרבה משנה קודמת  </v>
          </cell>
        </row>
        <row r="7011">
          <cell r="A7011">
            <v>1841000961</v>
          </cell>
          <cell r="B7011" t="str">
            <v>רז' פעולות ורכישות</v>
          </cell>
          <cell r="C7011">
            <v>19500</v>
          </cell>
        </row>
        <row r="7012">
          <cell r="A7012">
            <v>1841000980</v>
          </cell>
          <cell r="B7012" t="str">
            <v>חליפת מיגון</v>
          </cell>
          <cell r="C7012">
            <v>80000</v>
          </cell>
        </row>
        <row r="7013">
          <cell r="A7013" t="str">
            <v>#VALUE!</v>
          </cell>
          <cell r="B7013" t="str">
            <v xml:space="preserve">מינהל הרווחה      </v>
          </cell>
        </row>
        <row r="7014">
          <cell r="A7014">
            <v>18420000</v>
          </cell>
          <cell r="B7014" t="str">
            <v>רווחת הפרט והמשפחה</v>
          </cell>
        </row>
        <row r="7015">
          <cell r="A7015">
            <v>18425000</v>
          </cell>
          <cell r="B7015" t="str">
            <v xml:space="preserve">טיפול במשפחה      </v>
          </cell>
        </row>
        <row r="7016">
          <cell r="A7016">
            <v>1842500100</v>
          </cell>
          <cell r="B7016" t="str">
            <v>שכר עובדים לפי תקן</v>
          </cell>
        </row>
        <row r="7017">
          <cell r="A7017">
            <v>1842500110</v>
          </cell>
          <cell r="B7017" t="str">
            <v>השכר הקובע-תקציבית</v>
          </cell>
          <cell r="C7017">
            <v>4110800</v>
          </cell>
        </row>
        <row r="7018">
          <cell r="A7018">
            <v>1842500119</v>
          </cell>
          <cell r="B7018" t="str">
            <v xml:space="preserve">השכר הקובע-צוברת  </v>
          </cell>
          <cell r="C7018">
            <v>26837000</v>
          </cell>
        </row>
        <row r="7019">
          <cell r="A7019">
            <v>1842500122</v>
          </cell>
          <cell r="B7019" t="str">
            <v xml:space="preserve">ביגוד             </v>
          </cell>
          <cell r="C7019">
            <v>233800</v>
          </cell>
        </row>
        <row r="7020">
          <cell r="A7020">
            <v>1842500126</v>
          </cell>
          <cell r="B7020" t="str">
            <v xml:space="preserve">דמי הבראה         </v>
          </cell>
          <cell r="C7020">
            <v>610000</v>
          </cell>
        </row>
        <row r="7021">
          <cell r="A7021">
            <v>1842500130</v>
          </cell>
          <cell r="B7021" t="str">
            <v xml:space="preserve">שעות נוספות       </v>
          </cell>
          <cell r="C7021">
            <v>1251200</v>
          </cell>
        </row>
        <row r="7022">
          <cell r="A7022">
            <v>1842500140</v>
          </cell>
          <cell r="B7022" t="str">
            <v>השתתפות באחזקת רכב</v>
          </cell>
          <cell r="C7022">
            <v>2397300</v>
          </cell>
        </row>
        <row r="7023">
          <cell r="A7023">
            <v>1842500253</v>
          </cell>
          <cell r="B7023" t="str">
            <v xml:space="preserve">עובדים חיצוניים   </v>
          </cell>
        </row>
        <row r="7024">
          <cell r="A7024">
            <v>1842500263</v>
          </cell>
          <cell r="B7024" t="str">
            <v>מ"מ עו"ס</v>
          </cell>
        </row>
        <row r="7025">
          <cell r="A7025">
            <v>1842500400</v>
          </cell>
          <cell r="B7025" t="str">
            <v>אחזקת בנינים וציוד</v>
          </cell>
        </row>
        <row r="7026">
          <cell r="A7026">
            <v>1842500512</v>
          </cell>
          <cell r="B7026" t="str">
            <v>הסעות למטופלים</v>
          </cell>
          <cell r="C7026">
            <v>95000</v>
          </cell>
        </row>
        <row r="7027">
          <cell r="A7027">
            <v>1842500571</v>
          </cell>
          <cell r="B7027" t="str">
            <v xml:space="preserve">מיכון וענ"א       </v>
          </cell>
          <cell r="C7027">
            <v>1167500</v>
          </cell>
        </row>
        <row r="7028">
          <cell r="A7028">
            <v>1842500753</v>
          </cell>
          <cell r="B7028" t="str">
            <v xml:space="preserve">עובדים חיצוניים   </v>
          </cell>
        </row>
        <row r="7029">
          <cell r="A7029">
            <v>1842500725</v>
          </cell>
          <cell r="B7029" t="str">
            <v>מזון למטופלים</v>
          </cell>
        </row>
        <row r="7030">
          <cell r="A7030">
            <v>1842500781</v>
          </cell>
          <cell r="B7030" t="str">
            <v>פעילות במרכז למשפחה</v>
          </cell>
          <cell r="C7030">
            <v>80000</v>
          </cell>
        </row>
        <row r="7031">
          <cell r="A7031">
            <v>1842500782</v>
          </cell>
          <cell r="B7031" t="str">
            <v>תאום הורי</v>
          </cell>
        </row>
        <row r="7032">
          <cell r="A7032">
            <v>1842500783</v>
          </cell>
          <cell r="B7032" t="str">
            <v>פע'-טיפול באלימות</v>
          </cell>
          <cell r="C7032">
            <v>17000</v>
          </cell>
        </row>
        <row r="7033">
          <cell r="A7033">
            <v>1842500784</v>
          </cell>
          <cell r="B7033" t="str">
            <v xml:space="preserve">פנוי בתים         </v>
          </cell>
          <cell r="C7033">
            <v>2000</v>
          </cell>
        </row>
        <row r="7034">
          <cell r="A7034">
            <v>1842500785</v>
          </cell>
          <cell r="B7034" t="str">
            <v>קס"ם חברתי</v>
          </cell>
        </row>
        <row r="7035">
          <cell r="A7035">
            <v>1842500786</v>
          </cell>
          <cell r="B7035" t="str">
            <v>מטופלי  גרושין</v>
          </cell>
          <cell r="C7035">
            <v>260000</v>
          </cell>
        </row>
        <row r="7036">
          <cell r="A7036">
            <v>1842500787</v>
          </cell>
          <cell r="B7036" t="str">
            <v>מרפאת שיניים קהילתית</v>
          </cell>
          <cell r="C7036">
            <v>60000</v>
          </cell>
        </row>
        <row r="7037">
          <cell r="A7037">
            <v>1842500800</v>
          </cell>
          <cell r="B7037" t="str">
            <v>השת' תמיכות תרומות</v>
          </cell>
        </row>
        <row r="7038">
          <cell r="A7038">
            <v>1842500811</v>
          </cell>
          <cell r="B7038" t="str">
            <v>משפ'במצוקהד1025410</v>
          </cell>
          <cell r="C7038">
            <v>592600</v>
          </cell>
        </row>
        <row r="7039">
          <cell r="A7039">
            <v>1842500812</v>
          </cell>
          <cell r="B7039" t="str">
            <v>עולים-מצוקה1073180</v>
          </cell>
          <cell r="C7039">
            <v>60000</v>
          </cell>
        </row>
        <row r="7040">
          <cell r="A7040">
            <v>1842500813</v>
          </cell>
          <cell r="B7040" t="str">
            <v>פגיעות מיניות</v>
          </cell>
          <cell r="C7040">
            <v>311500</v>
          </cell>
        </row>
        <row r="7041">
          <cell r="A7041">
            <v>1842500814</v>
          </cell>
          <cell r="B7041" t="str">
            <v>תכנית קהילה למשפחות</v>
          </cell>
          <cell r="C7041">
            <v>257100</v>
          </cell>
        </row>
        <row r="7042">
          <cell r="A7042">
            <v>1842500815</v>
          </cell>
          <cell r="B7042" t="str">
            <v>תרגום שפה-פגישות חוק נוער</v>
          </cell>
          <cell r="C7042">
            <v>50000</v>
          </cell>
        </row>
        <row r="7043">
          <cell r="A7043">
            <v>1842500816</v>
          </cell>
          <cell r="B7043" t="str">
            <v>חומש אתיופים-פעולות</v>
          </cell>
          <cell r="C7043">
            <v>184000</v>
          </cell>
        </row>
        <row r="7044">
          <cell r="A7044">
            <v>1842500817</v>
          </cell>
          <cell r="B7044" t="str">
            <v>טיפול בשורדות ז'</v>
          </cell>
          <cell r="C7044">
            <v>140000</v>
          </cell>
        </row>
        <row r="7045">
          <cell r="A7045">
            <v>1842500818</v>
          </cell>
          <cell r="B7045" t="str">
            <v xml:space="preserve">מקלט לנשים מוכות  </v>
          </cell>
          <cell r="C7045">
            <v>1000000</v>
          </cell>
        </row>
        <row r="7046">
          <cell r="A7046">
            <v>1842500819</v>
          </cell>
          <cell r="B7046" t="str">
            <v>טיפול באובדן ושכול</v>
          </cell>
          <cell r="C7046">
            <v>71000</v>
          </cell>
        </row>
        <row r="7047">
          <cell r="A7047">
            <v>1842500841</v>
          </cell>
          <cell r="B7047" t="str">
            <v>שירותים בקהילה</v>
          </cell>
          <cell r="C7047">
            <v>578700</v>
          </cell>
        </row>
        <row r="7048">
          <cell r="A7048">
            <v>1842500842</v>
          </cell>
          <cell r="B7048" t="str">
            <v>ביטחון תזונתי</v>
          </cell>
          <cell r="C7048">
            <v>465200</v>
          </cell>
        </row>
        <row r="7049">
          <cell r="A7049">
            <v>1842500843</v>
          </cell>
          <cell r="B7049" t="str">
            <v xml:space="preserve">בית הויס          </v>
          </cell>
        </row>
        <row r="7050">
          <cell r="A7050">
            <v>1842500844</v>
          </cell>
          <cell r="B7050" t="str">
            <v xml:space="preserve">דרי רחוב 1025510  </v>
          </cell>
          <cell r="C7050">
            <v>500000</v>
          </cell>
        </row>
        <row r="7051">
          <cell r="A7051">
            <v>1842500845</v>
          </cell>
          <cell r="B7051" t="str">
            <v>סיוע למשפחות + ילדים</v>
          </cell>
        </row>
        <row r="7052">
          <cell r="A7052">
            <v>1842500961</v>
          </cell>
          <cell r="B7052" t="str">
            <v>רז' פעולות ורכישות</v>
          </cell>
        </row>
        <row r="7053">
          <cell r="A7053" t="str">
            <v>#VALUE!</v>
          </cell>
          <cell r="B7053" t="str">
            <v xml:space="preserve">טיפול במשפחה      </v>
          </cell>
        </row>
        <row r="7054">
          <cell r="A7054">
            <v>18426000</v>
          </cell>
          <cell r="B7054" t="str">
            <v xml:space="preserve">המרכז למשפחה      </v>
          </cell>
        </row>
        <row r="7055">
          <cell r="A7055">
            <v>1842600100</v>
          </cell>
          <cell r="B7055" t="str">
            <v>שכר עובדים לפי תקן</v>
          </cell>
        </row>
        <row r="7056">
          <cell r="A7056">
            <v>1842600110</v>
          </cell>
          <cell r="B7056" t="str">
            <v>השכר הקובע-תקציבית</v>
          </cell>
        </row>
        <row r="7057">
          <cell r="A7057">
            <v>1842600119</v>
          </cell>
          <cell r="B7057" t="str">
            <v xml:space="preserve">השכר הקובע-צוברת  </v>
          </cell>
        </row>
        <row r="7058">
          <cell r="A7058">
            <v>1842600122</v>
          </cell>
          <cell r="B7058" t="str">
            <v xml:space="preserve">ביגוד             </v>
          </cell>
        </row>
        <row r="7059">
          <cell r="A7059">
            <v>1842600126</v>
          </cell>
          <cell r="B7059" t="str">
            <v xml:space="preserve">דמי הבראה         </v>
          </cell>
        </row>
        <row r="7060">
          <cell r="A7060">
            <v>1842600130</v>
          </cell>
          <cell r="B7060" t="str">
            <v xml:space="preserve">שעות נוספות       </v>
          </cell>
        </row>
        <row r="7061">
          <cell r="A7061">
            <v>1842600140</v>
          </cell>
          <cell r="B7061" t="str">
            <v>השתתפות באחזקת רכב</v>
          </cell>
        </row>
        <row r="7062">
          <cell r="A7062">
            <v>1842600253</v>
          </cell>
          <cell r="B7062" t="str">
            <v xml:space="preserve">עובדים חיצוניים   </v>
          </cell>
        </row>
        <row r="7063">
          <cell r="A7063">
            <v>1842600400</v>
          </cell>
          <cell r="B7063" t="str">
            <v>אחזקת בנינים וציוד</v>
          </cell>
        </row>
        <row r="7064">
          <cell r="A7064">
            <v>1842600423</v>
          </cell>
          <cell r="B7064" t="str">
            <v xml:space="preserve">תחזוקת מבנה       </v>
          </cell>
        </row>
        <row r="7065">
          <cell r="A7065">
            <v>1842600431</v>
          </cell>
          <cell r="B7065" t="str">
            <v xml:space="preserve">חשמל              </v>
          </cell>
        </row>
        <row r="7066">
          <cell r="A7066">
            <v>1842600433</v>
          </cell>
          <cell r="B7066" t="str">
            <v xml:space="preserve">חומרי נקיון       </v>
          </cell>
        </row>
        <row r="7067">
          <cell r="A7067">
            <v>1842600437</v>
          </cell>
          <cell r="B7067" t="str">
            <v xml:space="preserve">אחזקת אזעקה       </v>
          </cell>
        </row>
        <row r="7068">
          <cell r="A7068">
            <v>1842600450</v>
          </cell>
          <cell r="B7068" t="str">
            <v xml:space="preserve">ריהוט ואחזקתו     </v>
          </cell>
        </row>
        <row r="7069">
          <cell r="A7069">
            <v>1842600470</v>
          </cell>
          <cell r="B7069" t="str">
            <v xml:space="preserve">אחזקת מכונות משרד </v>
          </cell>
        </row>
        <row r="7070">
          <cell r="A7070">
            <v>1842600471</v>
          </cell>
          <cell r="B7070" t="str">
            <v xml:space="preserve">מכשירי כתיבה      </v>
          </cell>
        </row>
        <row r="7071">
          <cell r="A7071">
            <v>1842600500</v>
          </cell>
          <cell r="B7071" t="str">
            <v xml:space="preserve">הוצאות מינהליות   </v>
          </cell>
        </row>
        <row r="7072">
          <cell r="A7072">
            <v>1842600511</v>
          </cell>
          <cell r="B7072" t="str">
            <v xml:space="preserve">אירוח וכיבוד      </v>
          </cell>
        </row>
        <row r="7073">
          <cell r="A7073">
            <v>1842600521</v>
          </cell>
          <cell r="B7073" t="str">
            <v xml:space="preserve">הרצאות            </v>
          </cell>
        </row>
        <row r="7074">
          <cell r="A7074">
            <v>1842600540</v>
          </cell>
          <cell r="B7074" t="str">
            <v xml:space="preserve">הוצאות טלפון      </v>
          </cell>
        </row>
        <row r="7075">
          <cell r="A7075">
            <v>1842600544</v>
          </cell>
          <cell r="B7075" t="str">
            <v xml:space="preserve">הוצאות דאר        </v>
          </cell>
        </row>
        <row r="7076">
          <cell r="A7076">
            <v>1842600561</v>
          </cell>
          <cell r="B7076" t="str">
            <v xml:space="preserve">שיכפולים          </v>
          </cell>
        </row>
        <row r="7077">
          <cell r="A7077">
            <v>1842600700</v>
          </cell>
          <cell r="B7077" t="str">
            <v xml:space="preserve">הוצאות לפעולות    </v>
          </cell>
        </row>
        <row r="7078">
          <cell r="A7078">
            <v>1842600721</v>
          </cell>
          <cell r="B7078" t="str">
            <v>חמרים-תחזוקת מבנים</v>
          </cell>
        </row>
        <row r="7079">
          <cell r="A7079">
            <v>1842600745</v>
          </cell>
          <cell r="B7079" t="str">
            <v xml:space="preserve">דמי פריצה - תכולה </v>
          </cell>
        </row>
        <row r="7080">
          <cell r="A7080">
            <v>1842600751</v>
          </cell>
          <cell r="B7080" t="str">
            <v xml:space="preserve">עבודות קבלניות    </v>
          </cell>
        </row>
        <row r="7081">
          <cell r="A7081">
            <v>1842600752</v>
          </cell>
          <cell r="B7081" t="str">
            <v xml:space="preserve">נקיון בקבלנות     </v>
          </cell>
        </row>
        <row r="7082">
          <cell r="A7082">
            <v>1842600753</v>
          </cell>
          <cell r="B7082" t="str">
            <v xml:space="preserve">עובדים חיצוניים   </v>
          </cell>
        </row>
        <row r="7083">
          <cell r="A7083">
            <v>1842600811</v>
          </cell>
          <cell r="B7083" t="str">
            <v>מר' אלימות 1026090</v>
          </cell>
        </row>
        <row r="7084">
          <cell r="A7084">
            <v>1842600812</v>
          </cell>
          <cell r="B7084" t="str">
            <v xml:space="preserve">מקלט לנשים מוכות  </v>
          </cell>
        </row>
        <row r="7085">
          <cell r="A7085">
            <v>1842600930</v>
          </cell>
          <cell r="B7085" t="str">
            <v xml:space="preserve">רכישות            </v>
          </cell>
        </row>
        <row r="7086">
          <cell r="A7086">
            <v>1842600961</v>
          </cell>
          <cell r="B7086" t="str">
            <v>רז' פעולות ורכישות</v>
          </cell>
        </row>
        <row r="7087">
          <cell r="A7087" t="str">
            <v>#VALUE!</v>
          </cell>
          <cell r="B7087" t="str">
            <v xml:space="preserve">המרכז למשפחה      </v>
          </cell>
        </row>
        <row r="7088">
          <cell r="A7088">
            <v>18430000</v>
          </cell>
          <cell r="B7088" t="str">
            <v>שרותים לילד ולנוער</v>
          </cell>
        </row>
        <row r="7089">
          <cell r="A7089">
            <v>18438000</v>
          </cell>
          <cell r="B7089" t="str">
            <v xml:space="preserve">טיפול בילד ובנוער </v>
          </cell>
        </row>
        <row r="7090">
          <cell r="A7090">
            <v>1843800100</v>
          </cell>
          <cell r="B7090" t="str">
            <v>שכר עובדים לפי תקן</v>
          </cell>
        </row>
        <row r="7091">
          <cell r="A7091">
            <v>1843800110</v>
          </cell>
          <cell r="B7091" t="str">
            <v>השכר הקובע-תקציבית</v>
          </cell>
        </row>
        <row r="7092">
          <cell r="A7092">
            <v>1843800122</v>
          </cell>
          <cell r="B7092" t="str">
            <v xml:space="preserve">ביגוד             </v>
          </cell>
        </row>
        <row r="7093">
          <cell r="A7093">
            <v>1843800126</v>
          </cell>
          <cell r="B7093" t="str">
            <v xml:space="preserve">דמי הבראה         </v>
          </cell>
        </row>
        <row r="7094">
          <cell r="A7094">
            <v>1843800130</v>
          </cell>
          <cell r="B7094" t="str">
            <v xml:space="preserve">שעות נוספות       </v>
          </cell>
        </row>
        <row r="7095">
          <cell r="A7095">
            <v>1843800140</v>
          </cell>
          <cell r="B7095" t="str">
            <v>השתתפות באחזקת רכב</v>
          </cell>
        </row>
        <row r="7096">
          <cell r="A7096">
            <v>1843800400</v>
          </cell>
          <cell r="B7096" t="str">
            <v>אחזקת בנינים וציוד</v>
          </cell>
        </row>
        <row r="7097">
          <cell r="A7097">
            <v>1843800420</v>
          </cell>
          <cell r="B7097" t="str">
            <v xml:space="preserve">כיבוי אש          </v>
          </cell>
          <cell r="C7097">
            <v>10000</v>
          </cell>
        </row>
        <row r="7098">
          <cell r="A7098">
            <v>1843800421</v>
          </cell>
          <cell r="B7098" t="str">
            <v>שכ"ד חכ"ם</v>
          </cell>
        </row>
        <row r="7099">
          <cell r="A7099">
            <v>1843800431</v>
          </cell>
          <cell r="B7099" t="str">
            <v xml:space="preserve">חשמל              </v>
          </cell>
          <cell r="C7099">
            <v>58900</v>
          </cell>
        </row>
        <row r="7100">
          <cell r="A7100">
            <v>1843800432</v>
          </cell>
          <cell r="B7100" t="str">
            <v xml:space="preserve">מים               </v>
          </cell>
        </row>
        <row r="7101">
          <cell r="A7101">
            <v>1843800437</v>
          </cell>
          <cell r="B7101" t="str">
            <v xml:space="preserve">אחזקת אזעקה       </v>
          </cell>
          <cell r="C7101">
            <v>8600</v>
          </cell>
        </row>
        <row r="7102">
          <cell r="A7102">
            <v>1843800540</v>
          </cell>
          <cell r="B7102" t="str">
            <v xml:space="preserve">הוצאות טלפון      </v>
          </cell>
        </row>
        <row r="7103">
          <cell r="A7103">
            <v>1843800723</v>
          </cell>
          <cell r="B7103" t="str">
            <v>חומרים לילד ולנוער</v>
          </cell>
        </row>
        <row r="7104">
          <cell r="A7104">
            <v>1843800745</v>
          </cell>
          <cell r="B7104" t="str">
            <v xml:space="preserve">דמי פריצה - תכולה </v>
          </cell>
        </row>
        <row r="7105">
          <cell r="A7105">
            <v>1843800750</v>
          </cell>
          <cell r="B7105" t="str">
            <v xml:space="preserve">תחזוקת מועדוניות       </v>
          </cell>
          <cell r="C7105">
            <v>187700</v>
          </cell>
        </row>
        <row r="7106">
          <cell r="A7106">
            <v>1843800752</v>
          </cell>
          <cell r="B7106" t="str">
            <v>נקיון מרכז אורים</v>
          </cell>
          <cell r="C7106">
            <v>20000</v>
          </cell>
        </row>
        <row r="7107">
          <cell r="A7107">
            <v>1843800754</v>
          </cell>
          <cell r="B7107" t="str">
            <v>שיפוץ מרכז חכ"ם</v>
          </cell>
        </row>
        <row r="7108">
          <cell r="A7108">
            <v>1843800781</v>
          </cell>
          <cell r="B7108" t="str">
            <v xml:space="preserve">איבחון חיצוני     </v>
          </cell>
          <cell r="C7108">
            <v>7300</v>
          </cell>
        </row>
        <row r="7109">
          <cell r="A7109">
            <v>1843800800</v>
          </cell>
          <cell r="B7109" t="str">
            <v>השת' תמיכות תרומות</v>
          </cell>
        </row>
        <row r="7110">
          <cell r="A7110">
            <v>1843800811</v>
          </cell>
          <cell r="B7110" t="str">
            <v>ילד פנימ גז1038413</v>
          </cell>
          <cell r="C7110">
            <v>18795000</v>
          </cell>
        </row>
        <row r="7111">
          <cell r="A7111">
            <v>1843800812</v>
          </cell>
          <cell r="B7111" t="str">
            <v>ילד' פנימי' 038411</v>
          </cell>
          <cell r="C7111">
            <v>600000</v>
          </cell>
        </row>
        <row r="7112">
          <cell r="A7112">
            <v>1843800813</v>
          </cell>
          <cell r="B7112" t="str">
            <v>מעונות יום 0422143</v>
          </cell>
        </row>
        <row r="7113">
          <cell r="A7113">
            <v>1843800815</v>
          </cell>
          <cell r="B7113" t="str">
            <v>ילד במעונות0442140</v>
          </cell>
          <cell r="C7113">
            <v>6454800</v>
          </cell>
        </row>
        <row r="7114">
          <cell r="A7114">
            <v>1843800817</v>
          </cell>
          <cell r="B7114" t="str">
            <v>טיפול בילד בקהילה</v>
          </cell>
          <cell r="C7114">
            <v>3887200</v>
          </cell>
        </row>
        <row r="7115">
          <cell r="A7115">
            <v>1843800818</v>
          </cell>
          <cell r="B7115" t="str">
            <v>מפתן ממשלתי</v>
          </cell>
        </row>
        <row r="7116">
          <cell r="A7116">
            <v>1843800819</v>
          </cell>
          <cell r="B7116" t="str">
            <v>מפתן מקומי 1134410</v>
          </cell>
          <cell r="C7116">
            <v>280000</v>
          </cell>
        </row>
        <row r="7117">
          <cell r="A7117">
            <v>1843800820</v>
          </cell>
          <cell r="B7117" t="str">
            <v>נוער חרדי</v>
          </cell>
          <cell r="C7117">
            <v>626700</v>
          </cell>
        </row>
        <row r="7118">
          <cell r="A7118">
            <v>1843800841</v>
          </cell>
          <cell r="B7118" t="str">
            <v>תכנית לילדים בסיכון</v>
          </cell>
          <cell r="C7118">
            <v>5932000</v>
          </cell>
        </row>
        <row r="7119">
          <cell r="A7119">
            <v>1843800842</v>
          </cell>
          <cell r="B7119" t="str">
            <v>מרכז חכ"ם</v>
          </cell>
          <cell r="C7119">
            <v>900000</v>
          </cell>
        </row>
        <row r="7120">
          <cell r="A7120">
            <v>1843800843</v>
          </cell>
          <cell r="B7120" t="str">
            <v>מרכז אורים-עירייה</v>
          </cell>
        </row>
        <row r="7121">
          <cell r="A7121">
            <v>1843800846</v>
          </cell>
          <cell r="B7121" t="str">
            <v>מועד' משותפות</v>
          </cell>
          <cell r="C7121">
            <v>1300000</v>
          </cell>
        </row>
        <row r="7122">
          <cell r="A7122">
            <v>1843800880</v>
          </cell>
          <cell r="B7122" t="str">
            <v>חסות ארצי  1166030</v>
          </cell>
        </row>
        <row r="7123">
          <cell r="A7123">
            <v>1843800881</v>
          </cell>
          <cell r="B7123" t="str">
            <v>שכר משפחת' 0422140</v>
          </cell>
        </row>
        <row r="7124">
          <cell r="A7124">
            <v>1843800882</v>
          </cell>
          <cell r="B7124" t="str">
            <v>ילדים סיכון1039480</v>
          </cell>
        </row>
        <row r="7125">
          <cell r="A7125">
            <v>1843800883</v>
          </cell>
          <cell r="B7125" t="str">
            <v>ילד במצוקה 1073160</v>
          </cell>
          <cell r="C7125">
            <v>0</v>
          </cell>
        </row>
        <row r="7126">
          <cell r="A7126">
            <v>1843800885</v>
          </cell>
          <cell r="B7126" t="str">
            <v>הפנים לקהי' 1038417</v>
          </cell>
          <cell r="C7126">
            <v>2015300</v>
          </cell>
        </row>
        <row r="7127">
          <cell r="A7127">
            <v>1843800886</v>
          </cell>
          <cell r="B7127" t="str">
            <v>ט'משפ'אומנה1038051</v>
          </cell>
          <cell r="C7127">
            <v>1764000</v>
          </cell>
        </row>
        <row r="7128">
          <cell r="A7128">
            <v>1843800887</v>
          </cell>
          <cell r="B7128" t="str">
            <v>מרכז אורים</v>
          </cell>
        </row>
        <row r="7129">
          <cell r="A7129">
            <v>1843800888</v>
          </cell>
          <cell r="B7129" t="str">
            <v>טיפול בפגיעות מיניות</v>
          </cell>
          <cell r="C7129">
            <v>880000</v>
          </cell>
        </row>
        <row r="7130">
          <cell r="A7130">
            <v>1843800891</v>
          </cell>
          <cell r="B7130" t="str">
            <v>עמותת עליון</v>
          </cell>
        </row>
        <row r="7131">
          <cell r="A7131">
            <v>1843800892</v>
          </cell>
          <cell r="B7131" t="str">
            <v>הזנה לנחשונים ובתי דרור</v>
          </cell>
          <cell r="C7131">
            <v>95000</v>
          </cell>
        </row>
        <row r="7132">
          <cell r="A7132">
            <v>1843800893</v>
          </cell>
          <cell r="B7132" t="str">
            <v>מרכז אורים</v>
          </cell>
          <cell r="C7132">
            <v>4700</v>
          </cell>
        </row>
        <row r="7133">
          <cell r="A7133">
            <v>1843800961</v>
          </cell>
          <cell r="B7133" t="str">
            <v>רז' פעולות ורכישות</v>
          </cell>
        </row>
        <row r="7134">
          <cell r="A7134">
            <v>1843800980</v>
          </cell>
          <cell r="B7134" t="str">
            <v>פרוייקט "אח בוגר"</v>
          </cell>
          <cell r="C7134">
            <v>30000</v>
          </cell>
        </row>
        <row r="7135">
          <cell r="A7135">
            <v>1843800981</v>
          </cell>
          <cell r="B7135" t="str">
            <v>מועדונית חוסן</v>
          </cell>
          <cell r="C7135">
            <v>100000</v>
          </cell>
        </row>
        <row r="7136">
          <cell r="A7136">
            <v>1843800982</v>
          </cell>
          <cell r="B7136" t="str">
            <v>מרכז להתפתחות הילד</v>
          </cell>
          <cell r="C7136">
            <v>412000</v>
          </cell>
        </row>
        <row r="7137">
          <cell r="A7137">
            <v>1843800983</v>
          </cell>
          <cell r="B7137" t="str">
            <v>מועדונית מקווה ישראל</v>
          </cell>
          <cell r="C7137">
            <v>176000</v>
          </cell>
        </row>
        <row r="7138">
          <cell r="A7138">
            <v>1843800984</v>
          </cell>
          <cell r="B7138" t="str">
            <v>צהרוני רשת</v>
          </cell>
          <cell r="C7138">
            <v>105700</v>
          </cell>
        </row>
        <row r="7139">
          <cell r="A7139">
            <v>1843800985</v>
          </cell>
          <cell r="B7139" t="str">
            <v>העשרה שפתית</v>
          </cell>
          <cell r="C7139">
            <v>119000</v>
          </cell>
        </row>
        <row r="7140">
          <cell r="A7140">
            <v>1843800986</v>
          </cell>
          <cell r="B7140" t="str">
            <v xml:space="preserve">עמותת חמניות </v>
          </cell>
          <cell r="C7140">
            <v>70000</v>
          </cell>
        </row>
        <row r="7141">
          <cell r="A7141">
            <v>1843800987</v>
          </cell>
          <cell r="B7141" t="str">
            <v>מועדוניות במתנסים</v>
          </cell>
          <cell r="C7141">
            <v>80000</v>
          </cell>
        </row>
        <row r="7142">
          <cell r="A7142">
            <v>1843800988</v>
          </cell>
          <cell r="B7142" t="str">
            <v>תוכניות טיפול בעולים</v>
          </cell>
          <cell r="C7142">
            <v>236000</v>
          </cell>
        </row>
        <row r="7143">
          <cell r="A7143" t="str">
            <v>#VALUE!</v>
          </cell>
          <cell r="B7143" t="str">
            <v xml:space="preserve">טיפול בילד ובנוער </v>
          </cell>
        </row>
        <row r="7144">
          <cell r="A7144">
            <v>18440000</v>
          </cell>
          <cell r="B7144" t="str">
            <v xml:space="preserve">שרותים לקשיש      </v>
          </cell>
        </row>
        <row r="7145">
          <cell r="A7145">
            <v>18443000</v>
          </cell>
          <cell r="B7145" t="str">
            <v xml:space="preserve">שרות לקשישים      </v>
          </cell>
        </row>
        <row r="7146">
          <cell r="A7146">
            <v>1844300100</v>
          </cell>
          <cell r="B7146" t="str">
            <v>שכר עובדים לפי תקן</v>
          </cell>
        </row>
        <row r="7147">
          <cell r="A7147">
            <v>1844300110</v>
          </cell>
          <cell r="B7147" t="str">
            <v>השכר הקובע-תקציבית</v>
          </cell>
        </row>
        <row r="7148">
          <cell r="A7148">
            <v>1844300122</v>
          </cell>
          <cell r="B7148" t="str">
            <v xml:space="preserve">ביגוד             </v>
          </cell>
        </row>
        <row r="7149">
          <cell r="A7149">
            <v>1844300126</v>
          </cell>
          <cell r="B7149" t="str">
            <v xml:space="preserve">דמי הבראה         </v>
          </cell>
        </row>
        <row r="7150">
          <cell r="A7150">
            <v>1844300130</v>
          </cell>
          <cell r="B7150" t="str">
            <v xml:space="preserve">שעות נוספות       </v>
          </cell>
        </row>
        <row r="7151">
          <cell r="A7151">
            <v>1844300140</v>
          </cell>
          <cell r="B7151" t="str">
            <v>השתתפות באחזקת רכב</v>
          </cell>
        </row>
        <row r="7152">
          <cell r="A7152">
            <v>1844300216</v>
          </cell>
          <cell r="B7152" t="str">
            <v>פרוייקט קשישים ק"ש</v>
          </cell>
        </row>
        <row r="7153">
          <cell r="A7153">
            <v>1844300217</v>
          </cell>
          <cell r="B7153" t="str">
            <v xml:space="preserve">פרוייקט קוגל      </v>
          </cell>
        </row>
        <row r="7154">
          <cell r="A7154">
            <v>1844300253</v>
          </cell>
          <cell r="B7154" t="str">
            <v>עובדי חברה</v>
          </cell>
        </row>
        <row r="7155">
          <cell r="A7155">
            <v>1844300400</v>
          </cell>
          <cell r="B7155" t="str">
            <v>אחזקת בנינים וציוד</v>
          </cell>
        </row>
        <row r="7156">
          <cell r="A7156">
            <v>1844300511</v>
          </cell>
          <cell r="B7156" t="str">
            <v xml:space="preserve">אירוח וכיבוד      </v>
          </cell>
          <cell r="C7156">
            <v>2400</v>
          </cell>
        </row>
        <row r="7157">
          <cell r="A7157">
            <v>1844300763</v>
          </cell>
          <cell r="B7157" t="str">
            <v xml:space="preserve">עובדי חברת מוסדות </v>
          </cell>
        </row>
        <row r="7158">
          <cell r="A7158">
            <v>1844300800</v>
          </cell>
          <cell r="B7158" t="str">
            <v>השת' תמיכות תרומות</v>
          </cell>
        </row>
        <row r="7159">
          <cell r="A7159">
            <v>1844300810</v>
          </cell>
          <cell r="B7159" t="str">
            <v>עמותה לקשיש לעולים</v>
          </cell>
        </row>
        <row r="7160">
          <cell r="A7160">
            <v>1844300811</v>
          </cell>
          <cell r="B7160" t="str">
            <v>עמ'מרפאת שינים 25%</v>
          </cell>
        </row>
        <row r="7161">
          <cell r="A7161">
            <v>1844300812</v>
          </cell>
          <cell r="B7161" t="str">
            <v xml:space="preserve">החזר שכר לעמותה   </v>
          </cell>
        </row>
        <row r="7162">
          <cell r="A7162">
            <v>1844300813</v>
          </cell>
          <cell r="B7162" t="str">
            <v xml:space="preserve">טיפול שיניים      </v>
          </cell>
        </row>
        <row r="7163">
          <cell r="A7163">
            <v>1844300814</v>
          </cell>
          <cell r="B7163" t="str">
            <v>מועדונים משודרגים</v>
          </cell>
        </row>
        <row r="7164">
          <cell r="A7164">
            <v>1844300815</v>
          </cell>
          <cell r="B7164" t="str">
            <v>סיוע לאזרחים ותיקים</v>
          </cell>
          <cell r="C7164">
            <v>300000</v>
          </cell>
        </row>
        <row r="7165">
          <cell r="A7165">
            <v>1844300817</v>
          </cell>
          <cell r="B7165" t="str">
            <v>אח במעונות 1042410</v>
          </cell>
          <cell r="C7165">
            <v>9500000</v>
          </cell>
        </row>
        <row r="7166">
          <cell r="A7166">
            <v>1844300818</v>
          </cell>
          <cell r="B7166" t="str">
            <v>הזדקנות מיטבית בקהילה</v>
          </cell>
          <cell r="C7166">
            <v>1800000</v>
          </cell>
        </row>
        <row r="7167">
          <cell r="A7167">
            <v>1844300819</v>
          </cell>
          <cell r="B7167" t="str">
            <v>טפול בזקנים1043600</v>
          </cell>
        </row>
        <row r="7168">
          <cell r="A7168">
            <v>1844300820</v>
          </cell>
          <cell r="B7168" t="str">
            <v xml:space="preserve">שכונה תומכת       </v>
          </cell>
        </row>
        <row r="7169">
          <cell r="A7169">
            <v>1844300840</v>
          </cell>
          <cell r="B7169" t="str">
            <v>שרותים לניצולי שואה</v>
          </cell>
          <cell r="C7169">
            <v>1173000</v>
          </cell>
        </row>
        <row r="7170">
          <cell r="A7170">
            <v>1844300845</v>
          </cell>
          <cell r="B7170" t="str">
            <v>מניעת התעללות בזקן</v>
          </cell>
        </row>
        <row r="7171">
          <cell r="A7171">
            <v>1844300891</v>
          </cell>
          <cell r="B7171" t="str">
            <v>פרויקט שכונה תומכת</v>
          </cell>
          <cell r="C7171">
            <v>45000</v>
          </cell>
        </row>
        <row r="7172">
          <cell r="A7172">
            <v>1844300931</v>
          </cell>
          <cell r="B7172" t="str">
            <v>פרויקט שכונה תומכת</v>
          </cell>
        </row>
        <row r="7173">
          <cell r="A7173">
            <v>1844300961</v>
          </cell>
          <cell r="B7173" t="str">
            <v>רז' פעולות ורכישות</v>
          </cell>
        </row>
        <row r="7174">
          <cell r="A7174">
            <v>1844300980</v>
          </cell>
          <cell r="B7174" t="str">
            <v>תכנית אב לאזרחים ותיקים</v>
          </cell>
          <cell r="C7174">
            <v>795200</v>
          </cell>
        </row>
        <row r="7175">
          <cell r="A7175">
            <v>1844300981</v>
          </cell>
          <cell r="B7175" t="str">
            <v>muni 100</v>
          </cell>
        </row>
        <row r="7176">
          <cell r="A7176">
            <v>1844300982</v>
          </cell>
          <cell r="B7176" t="str">
            <v>עמותת עמדא</v>
          </cell>
        </row>
        <row r="7177">
          <cell r="A7177">
            <v>1844300983</v>
          </cell>
          <cell r="B7177" t="str">
            <v>קול קורא תכנית ש' חברתי</v>
          </cell>
        </row>
        <row r="7178">
          <cell r="A7178" t="str">
            <v>#VALUE!</v>
          </cell>
          <cell r="B7178" t="str">
            <v xml:space="preserve">שרות לקשישים      </v>
          </cell>
        </row>
        <row r="7179">
          <cell r="A7179">
            <v>18445000</v>
          </cell>
          <cell r="B7179" t="str">
            <v>תעס'+מרכז יום קשיש</v>
          </cell>
        </row>
        <row r="7180">
          <cell r="A7180">
            <v>1844500100</v>
          </cell>
          <cell r="B7180" t="str">
            <v>שכר עובדים לפי תקן</v>
          </cell>
        </row>
        <row r="7181">
          <cell r="A7181">
            <v>1844500110</v>
          </cell>
          <cell r="B7181" t="str">
            <v>השכר הקובע-תקציבית</v>
          </cell>
        </row>
        <row r="7182">
          <cell r="A7182">
            <v>1844500119</v>
          </cell>
          <cell r="B7182" t="str">
            <v xml:space="preserve">השכר הקובע-צוברת  </v>
          </cell>
        </row>
        <row r="7183">
          <cell r="A7183">
            <v>1844500122</v>
          </cell>
          <cell r="B7183" t="str">
            <v xml:space="preserve">ביגוד             </v>
          </cell>
        </row>
        <row r="7184">
          <cell r="A7184">
            <v>1844500126</v>
          </cell>
          <cell r="B7184" t="str">
            <v xml:space="preserve">דמי הבראה         </v>
          </cell>
        </row>
        <row r="7185">
          <cell r="A7185">
            <v>1844500130</v>
          </cell>
          <cell r="B7185" t="str">
            <v xml:space="preserve">שעות נוספות       </v>
          </cell>
        </row>
        <row r="7186">
          <cell r="A7186">
            <v>1844500200</v>
          </cell>
          <cell r="B7186" t="str">
            <v>שכר עובדים ללא תקן</v>
          </cell>
        </row>
        <row r="7187">
          <cell r="A7187">
            <v>1844500210</v>
          </cell>
          <cell r="B7187" t="str">
            <v xml:space="preserve">השכר הקובע        </v>
          </cell>
        </row>
        <row r="7188">
          <cell r="A7188">
            <v>1844500263</v>
          </cell>
          <cell r="B7188" t="str">
            <v xml:space="preserve">רכזות חב' מוסדות  </v>
          </cell>
        </row>
        <row r="7189">
          <cell r="A7189">
            <v>1844500264</v>
          </cell>
          <cell r="B7189" t="str">
            <v>הדרכת חוגים מוסדות</v>
          </cell>
        </row>
        <row r="7190">
          <cell r="A7190">
            <v>1844500400</v>
          </cell>
          <cell r="B7190" t="str">
            <v>אחזקת בנינים וציוד</v>
          </cell>
        </row>
        <row r="7191">
          <cell r="A7191">
            <v>1844500410</v>
          </cell>
          <cell r="B7191" t="str">
            <v xml:space="preserve">השתתפות בועד בית  </v>
          </cell>
        </row>
        <row r="7192">
          <cell r="A7192">
            <v>1844500423</v>
          </cell>
          <cell r="B7192" t="str">
            <v xml:space="preserve">תחזוקת מבנה       </v>
          </cell>
        </row>
        <row r="7193">
          <cell r="A7193">
            <v>1844500431</v>
          </cell>
          <cell r="B7193" t="str">
            <v xml:space="preserve">חשמל              </v>
          </cell>
        </row>
        <row r="7194">
          <cell r="A7194">
            <v>1844500432</v>
          </cell>
          <cell r="B7194" t="str">
            <v xml:space="preserve">מים               </v>
          </cell>
        </row>
        <row r="7195">
          <cell r="A7195">
            <v>1844500433</v>
          </cell>
          <cell r="B7195" t="str">
            <v xml:space="preserve">חומרי נקיון       </v>
          </cell>
        </row>
        <row r="7196">
          <cell r="A7196">
            <v>1844500434</v>
          </cell>
          <cell r="B7196" t="str">
            <v xml:space="preserve">חיטוי והדברה      </v>
          </cell>
        </row>
        <row r="7197">
          <cell r="A7197">
            <v>1844500437</v>
          </cell>
          <cell r="B7197" t="str">
            <v xml:space="preserve">אחזקת אזעקה       </v>
          </cell>
        </row>
        <row r="7198">
          <cell r="A7198">
            <v>1844500471</v>
          </cell>
          <cell r="B7198" t="str">
            <v xml:space="preserve">מכשירי כתיבה      </v>
          </cell>
        </row>
        <row r="7199">
          <cell r="A7199">
            <v>1844500500</v>
          </cell>
          <cell r="B7199" t="str">
            <v xml:space="preserve">הוצאות מינהליות   </v>
          </cell>
        </row>
        <row r="7200">
          <cell r="A7200">
            <v>1844500511</v>
          </cell>
          <cell r="B7200" t="str">
            <v xml:space="preserve">אירוח וכיבוד      </v>
          </cell>
        </row>
        <row r="7201">
          <cell r="A7201">
            <v>1844500522</v>
          </cell>
          <cell r="B7201" t="str">
            <v xml:space="preserve">ספרים ועיתונים    </v>
          </cell>
        </row>
        <row r="7202">
          <cell r="A7202">
            <v>1844500540</v>
          </cell>
          <cell r="B7202" t="str">
            <v xml:space="preserve">הוצאות טלפון      </v>
          </cell>
        </row>
        <row r="7203">
          <cell r="A7203">
            <v>1844500544</v>
          </cell>
          <cell r="B7203" t="str">
            <v xml:space="preserve">הוצאות דאר        </v>
          </cell>
        </row>
        <row r="7204">
          <cell r="A7204">
            <v>1844500561</v>
          </cell>
          <cell r="B7204" t="str">
            <v xml:space="preserve">שיכפולים          </v>
          </cell>
        </row>
        <row r="7205">
          <cell r="A7205">
            <v>1844500700</v>
          </cell>
          <cell r="B7205" t="str">
            <v xml:space="preserve">הוצאות לפעולות    </v>
          </cell>
        </row>
        <row r="7206">
          <cell r="A7206">
            <v>1844500710</v>
          </cell>
          <cell r="B7206" t="str">
            <v xml:space="preserve">הובלות והסעות     </v>
          </cell>
        </row>
        <row r="7207">
          <cell r="A7207">
            <v>1844500721</v>
          </cell>
          <cell r="B7207" t="str">
            <v>חמרים-תחזוקת מבנים</v>
          </cell>
        </row>
        <row r="7208">
          <cell r="A7208">
            <v>1844500723</v>
          </cell>
          <cell r="B7208" t="str">
            <v xml:space="preserve">חומרים למועדונים  </v>
          </cell>
        </row>
        <row r="7209">
          <cell r="A7209">
            <v>1844500742</v>
          </cell>
          <cell r="B7209" t="str">
            <v xml:space="preserve">כלים וציוד        </v>
          </cell>
        </row>
        <row r="7210">
          <cell r="A7210">
            <v>1844500745</v>
          </cell>
          <cell r="B7210" t="str">
            <v xml:space="preserve">דמי פריצה - תכולה </v>
          </cell>
        </row>
        <row r="7211">
          <cell r="A7211">
            <v>1844500751</v>
          </cell>
          <cell r="B7211" t="str">
            <v xml:space="preserve">עבודות קבלניות    </v>
          </cell>
        </row>
        <row r="7212">
          <cell r="A7212">
            <v>1844500752</v>
          </cell>
          <cell r="B7212" t="str">
            <v xml:space="preserve">נקיון בקבלנות     </v>
          </cell>
        </row>
        <row r="7213">
          <cell r="A7213">
            <v>1844500753</v>
          </cell>
          <cell r="B7213" t="str">
            <v xml:space="preserve">עובד חיצוני       </v>
          </cell>
        </row>
        <row r="7214">
          <cell r="A7214">
            <v>1844500763</v>
          </cell>
          <cell r="B7214" t="str">
            <v xml:space="preserve">רכזות חב' מוסדות  </v>
          </cell>
        </row>
        <row r="7215">
          <cell r="A7215">
            <v>1844500764</v>
          </cell>
          <cell r="B7215" t="str">
            <v>הדרכת חוגים מוסדות</v>
          </cell>
        </row>
        <row r="7216">
          <cell r="A7216">
            <v>1844500781</v>
          </cell>
          <cell r="B7216" t="str">
            <v>הפעלת מוע' קשישים</v>
          </cell>
          <cell r="C7216">
            <v>1293500</v>
          </cell>
        </row>
        <row r="7217">
          <cell r="A7217">
            <v>1844500782</v>
          </cell>
          <cell r="B7217" t="str">
            <v>רכזת מועדונים</v>
          </cell>
          <cell r="C7217">
            <v>63000</v>
          </cell>
        </row>
        <row r="7218">
          <cell r="A7218">
            <v>1844500931</v>
          </cell>
          <cell r="B7218" t="str">
            <v>גינון מועד' קשישים</v>
          </cell>
        </row>
        <row r="7219">
          <cell r="A7219">
            <v>1844500932</v>
          </cell>
          <cell r="B7219" t="str">
            <v xml:space="preserve">רכישות            </v>
          </cell>
        </row>
        <row r="7220">
          <cell r="A7220">
            <v>1844500960</v>
          </cell>
          <cell r="B7220" t="str">
            <v xml:space="preserve">מועדוני עולים     </v>
          </cell>
        </row>
        <row r="7221">
          <cell r="A7221">
            <v>1844500961</v>
          </cell>
          <cell r="B7221" t="str">
            <v>רז' פעולות ורכישות</v>
          </cell>
        </row>
        <row r="7222">
          <cell r="A7222" t="str">
            <v>#VALUE!</v>
          </cell>
          <cell r="B7222" t="str">
            <v>תעס'+מרכז יום קשיש</v>
          </cell>
        </row>
        <row r="7223">
          <cell r="A7223">
            <v>18453000</v>
          </cell>
          <cell r="B7223" t="str">
            <v xml:space="preserve">שרות למוגבלים שכה"ת-קהילתי </v>
          </cell>
        </row>
        <row r="7224">
          <cell r="A7224">
            <v>1845300710</v>
          </cell>
          <cell r="B7224" t="str">
            <v xml:space="preserve">שכר מטפלת         </v>
          </cell>
        </row>
        <row r="7225">
          <cell r="A7225">
            <v>1845300753</v>
          </cell>
          <cell r="B7225" t="str">
            <v xml:space="preserve">מ"מ עוז           </v>
          </cell>
        </row>
        <row r="7226">
          <cell r="A7226">
            <v>1845300800</v>
          </cell>
          <cell r="B7226" t="str">
            <v>השת' תמיכות תרומות</v>
          </cell>
        </row>
        <row r="7227">
          <cell r="A7227">
            <v>1845300811</v>
          </cell>
          <cell r="B7227" t="str">
            <v>מעונות יום 0855410</v>
          </cell>
          <cell r="C7227">
            <v>100000</v>
          </cell>
        </row>
        <row r="7228">
          <cell r="A7228">
            <v>1845300812</v>
          </cell>
          <cell r="B7228" t="str">
            <v>מע יום טפול0855420</v>
          </cell>
          <cell r="C7228">
            <v>6611200</v>
          </cell>
        </row>
        <row r="7229">
          <cell r="A7229">
            <v>1845300813</v>
          </cell>
          <cell r="B7229" t="str">
            <v xml:space="preserve">שר תומכים 0855430 </v>
          </cell>
        </row>
        <row r="7230">
          <cell r="A7230">
            <v>1845300814</v>
          </cell>
          <cell r="B7230" t="str">
            <v>סידור במוסד0856410</v>
          </cell>
          <cell r="C7230">
            <v>48400000</v>
          </cell>
        </row>
        <row r="7231">
          <cell r="A7231">
            <v>1845300815</v>
          </cell>
          <cell r="B7231" t="str">
            <v>מוסדות ממשל0872900</v>
          </cell>
          <cell r="C7231">
            <v>8166700</v>
          </cell>
        </row>
        <row r="7232">
          <cell r="A7232">
            <v>1845300816</v>
          </cell>
          <cell r="B7232" t="str">
            <v>הסעות למוגבלים שכה"ת</v>
          </cell>
          <cell r="C7232">
            <v>1761700</v>
          </cell>
        </row>
        <row r="7233">
          <cell r="A7233">
            <v>1845300817</v>
          </cell>
          <cell r="B7233" t="str">
            <v>סביבה תומכת לבוגרים</v>
          </cell>
          <cell r="C7233">
            <v>33100</v>
          </cell>
        </row>
        <row r="7234">
          <cell r="A7234">
            <v>1845300841</v>
          </cell>
          <cell r="B7234" t="str">
            <v xml:space="preserve">הקצבה-מועדון אחי"ם      </v>
          </cell>
        </row>
        <row r="7235">
          <cell r="A7235">
            <v>1845300844</v>
          </cell>
          <cell r="B7235" t="str">
            <v xml:space="preserve">פרוייקט ניסויי    </v>
          </cell>
        </row>
        <row r="7236">
          <cell r="A7236">
            <v>1845300891</v>
          </cell>
          <cell r="B7236" t="str">
            <v>הקצבה לאחי"ם</v>
          </cell>
          <cell r="C7236">
            <v>2700</v>
          </cell>
        </row>
        <row r="7237">
          <cell r="A7237">
            <v>1845300892</v>
          </cell>
          <cell r="B7237" t="str">
            <v xml:space="preserve">נופשון            </v>
          </cell>
          <cell r="C7237">
            <v>1000</v>
          </cell>
        </row>
        <row r="7238">
          <cell r="A7238">
            <v>1845300932</v>
          </cell>
          <cell r="B7238" t="str">
            <v>קרן שלם</v>
          </cell>
        </row>
        <row r="7239">
          <cell r="A7239">
            <v>1845300933</v>
          </cell>
          <cell r="B7239" t="str">
            <v>"אחים"-קרן שלם</v>
          </cell>
        </row>
        <row r="7240">
          <cell r="A7240">
            <v>1845300961</v>
          </cell>
          <cell r="B7240" t="str">
            <v>רז' פעולות ורכישות</v>
          </cell>
        </row>
        <row r="7241">
          <cell r="A7241" t="str">
            <v>#VALUE!</v>
          </cell>
          <cell r="B7241" t="str">
            <v xml:space="preserve">ש.למוגבלים שכה"ת-קהילתי </v>
          </cell>
        </row>
        <row r="7242">
          <cell r="A7242">
            <v>18454000</v>
          </cell>
          <cell r="B7242" t="str">
            <v>מרכז קש"ת</v>
          </cell>
        </row>
        <row r="7243">
          <cell r="A7243">
            <v>1845400100</v>
          </cell>
          <cell r="B7243" t="str">
            <v>שכר עובדים לפי תקן</v>
          </cell>
        </row>
        <row r="7244">
          <cell r="A7244">
            <v>1845400110</v>
          </cell>
          <cell r="B7244" t="str">
            <v>השכר הקובע-תקציבית</v>
          </cell>
        </row>
        <row r="7245">
          <cell r="A7245">
            <v>1845400119</v>
          </cell>
          <cell r="B7245" t="str">
            <v xml:space="preserve">השכר הקובע-צוברת  </v>
          </cell>
        </row>
        <row r="7246">
          <cell r="A7246">
            <v>1845400122</v>
          </cell>
          <cell r="B7246" t="str">
            <v xml:space="preserve">ביגוד             </v>
          </cell>
        </row>
        <row r="7247">
          <cell r="A7247">
            <v>1845400126</v>
          </cell>
          <cell r="B7247" t="str">
            <v xml:space="preserve">דמי הבראה         </v>
          </cell>
        </row>
        <row r="7248">
          <cell r="A7248">
            <v>1845400130</v>
          </cell>
          <cell r="B7248" t="str">
            <v xml:space="preserve">שעות נוספות       </v>
          </cell>
        </row>
        <row r="7249">
          <cell r="A7249">
            <v>1845400140</v>
          </cell>
          <cell r="B7249" t="str">
            <v>השתתפות באחזקת רכב</v>
          </cell>
        </row>
        <row r="7250">
          <cell r="A7250">
            <v>1845400210</v>
          </cell>
          <cell r="B7250" t="str">
            <v xml:space="preserve">השכר הקובע        </v>
          </cell>
        </row>
        <row r="7251">
          <cell r="A7251">
            <v>1845400253</v>
          </cell>
          <cell r="B7251" t="str">
            <v xml:space="preserve">עובד חברה + מ"מ   </v>
          </cell>
        </row>
        <row r="7252">
          <cell r="A7252">
            <v>1845400400</v>
          </cell>
          <cell r="B7252" t="str">
            <v>אחזקת בנינים וציוד</v>
          </cell>
        </row>
        <row r="7253">
          <cell r="A7253">
            <v>1845400410</v>
          </cell>
          <cell r="B7253" t="str">
            <v>דמי שכירות</v>
          </cell>
        </row>
        <row r="7254">
          <cell r="A7254">
            <v>1845400420</v>
          </cell>
          <cell r="B7254" t="str">
            <v>כבוי אש</v>
          </cell>
        </row>
        <row r="7255">
          <cell r="A7255">
            <v>1845400423</v>
          </cell>
          <cell r="B7255" t="str">
            <v xml:space="preserve">תחזוקת מבנה       </v>
          </cell>
        </row>
        <row r="7256">
          <cell r="A7256">
            <v>1845400430</v>
          </cell>
          <cell r="B7256" t="str">
            <v xml:space="preserve">גז                </v>
          </cell>
        </row>
        <row r="7257">
          <cell r="A7257">
            <v>1845400431</v>
          </cell>
          <cell r="B7257" t="str">
            <v xml:space="preserve">חשמל              </v>
          </cell>
        </row>
        <row r="7258">
          <cell r="A7258">
            <v>1845400432</v>
          </cell>
          <cell r="B7258" t="str">
            <v xml:space="preserve">מים               </v>
          </cell>
        </row>
        <row r="7259">
          <cell r="A7259">
            <v>1845400433</v>
          </cell>
          <cell r="B7259" t="str">
            <v xml:space="preserve">חומרי נקיון       </v>
          </cell>
        </row>
        <row r="7260">
          <cell r="A7260">
            <v>1845400437</v>
          </cell>
          <cell r="B7260" t="str">
            <v xml:space="preserve">אחזקת אזעקה       </v>
          </cell>
        </row>
        <row r="7261">
          <cell r="A7261">
            <v>1845400441</v>
          </cell>
          <cell r="B7261" t="str">
            <v xml:space="preserve">ביטוח             </v>
          </cell>
        </row>
        <row r="7262">
          <cell r="A7262">
            <v>1845400470</v>
          </cell>
          <cell r="B7262" t="str">
            <v xml:space="preserve">אחזקת מכונות משרד </v>
          </cell>
        </row>
        <row r="7263">
          <cell r="A7263">
            <v>1845400471</v>
          </cell>
          <cell r="B7263" t="str">
            <v xml:space="preserve">מכשירי כתיבה      </v>
          </cell>
        </row>
        <row r="7264">
          <cell r="A7264">
            <v>1845400474</v>
          </cell>
          <cell r="B7264" t="str">
            <v xml:space="preserve">אחזקת מעלית       </v>
          </cell>
        </row>
        <row r="7265">
          <cell r="A7265">
            <v>1845400512</v>
          </cell>
          <cell r="B7265" t="str">
            <v xml:space="preserve">נסיעות ואש"ל      </v>
          </cell>
        </row>
        <row r="7266">
          <cell r="A7266">
            <v>1845400540</v>
          </cell>
          <cell r="B7266" t="str">
            <v xml:space="preserve">הוצאות טלפון      </v>
          </cell>
        </row>
        <row r="7267">
          <cell r="A7267">
            <v>1845400544</v>
          </cell>
          <cell r="B7267" t="str">
            <v xml:space="preserve">הוצאות דאר        </v>
          </cell>
        </row>
        <row r="7268">
          <cell r="A7268">
            <v>1845400700</v>
          </cell>
          <cell r="B7268" t="str">
            <v xml:space="preserve">הוצאות לפעולות    </v>
          </cell>
        </row>
        <row r="7269">
          <cell r="A7269">
            <v>1845400710</v>
          </cell>
          <cell r="B7269" t="str">
            <v xml:space="preserve">הסעות מע"ש        </v>
          </cell>
        </row>
        <row r="7270">
          <cell r="A7270">
            <v>1845400721</v>
          </cell>
          <cell r="B7270" t="str">
            <v>חמרים-תחזוקת מבנים</v>
          </cell>
        </row>
        <row r="7271">
          <cell r="A7271">
            <v>1845400722</v>
          </cell>
          <cell r="B7271" t="str">
            <v>חמרים-תחזוקה עצמית</v>
          </cell>
        </row>
        <row r="7272">
          <cell r="A7272">
            <v>1845400742</v>
          </cell>
          <cell r="B7272" t="str">
            <v xml:space="preserve">כלים וציוד        </v>
          </cell>
        </row>
        <row r="7273">
          <cell r="A7273">
            <v>1845400745</v>
          </cell>
          <cell r="B7273" t="str">
            <v xml:space="preserve">דמי פריצה - תכולה </v>
          </cell>
        </row>
        <row r="7274">
          <cell r="A7274">
            <v>1845400746</v>
          </cell>
          <cell r="B7274" t="str">
            <v xml:space="preserve">דמי פריצה - מבנה  </v>
          </cell>
        </row>
        <row r="7275">
          <cell r="A7275">
            <v>1845400750</v>
          </cell>
          <cell r="B7275" t="str">
            <v>אחזקת מוסדות</v>
          </cell>
        </row>
        <row r="7276">
          <cell r="A7276">
            <v>1845400751</v>
          </cell>
          <cell r="B7276" t="str">
            <v xml:space="preserve">עבודות קבלניות    </v>
          </cell>
        </row>
        <row r="7277">
          <cell r="A7277">
            <v>1845400752</v>
          </cell>
          <cell r="B7277" t="str">
            <v xml:space="preserve">נקיון בקבלנות     </v>
          </cell>
        </row>
        <row r="7278">
          <cell r="A7278">
            <v>1845400753</v>
          </cell>
          <cell r="B7278" t="str">
            <v xml:space="preserve">עובד חברה + מ"מ   </v>
          </cell>
        </row>
        <row r="7279">
          <cell r="A7279">
            <v>1845400756</v>
          </cell>
          <cell r="B7279" t="str">
            <v xml:space="preserve">שמירה במע"ש       </v>
          </cell>
        </row>
        <row r="7280">
          <cell r="A7280">
            <v>1845400759</v>
          </cell>
          <cell r="B7280" t="str">
            <v>מלווים בהסעים</v>
          </cell>
          <cell r="C7280">
            <v>45000</v>
          </cell>
        </row>
        <row r="7281">
          <cell r="A7281">
            <v>1845400782</v>
          </cell>
          <cell r="B7281" t="str">
            <v xml:space="preserve">טיולים וארועים    </v>
          </cell>
        </row>
        <row r="7282">
          <cell r="A7282">
            <v>1845400811</v>
          </cell>
          <cell r="B7282" t="str">
            <v xml:space="preserve">ארוחות לחניכים    </v>
          </cell>
        </row>
        <row r="7283">
          <cell r="A7283">
            <v>1845400812</v>
          </cell>
          <cell r="B7283" t="str">
            <v xml:space="preserve">מוסדות חוץ0855470 </v>
          </cell>
          <cell r="C7283">
            <v>2185000</v>
          </cell>
        </row>
        <row r="7284">
          <cell r="A7284">
            <v>1845400841</v>
          </cell>
          <cell r="B7284" t="str">
            <v xml:space="preserve">בטל"א לחניכים     </v>
          </cell>
        </row>
        <row r="7285">
          <cell r="A7285">
            <v>1845400842</v>
          </cell>
          <cell r="B7285" t="str">
            <v>תשלום לחניכים(הכנ)</v>
          </cell>
        </row>
        <row r="7286">
          <cell r="A7286">
            <v>1845400843</v>
          </cell>
          <cell r="B7286" t="str">
            <v xml:space="preserve">רווחת החניך       </v>
          </cell>
        </row>
        <row r="7287">
          <cell r="A7287">
            <v>1845400844</v>
          </cell>
          <cell r="B7287" t="str">
            <v>מע"ש - אלווין</v>
          </cell>
        </row>
        <row r="7288">
          <cell r="A7288">
            <v>1845400891</v>
          </cell>
          <cell r="B7288" t="str">
            <v xml:space="preserve">בטל"א לחניכים     </v>
          </cell>
        </row>
        <row r="7289">
          <cell r="A7289">
            <v>1845400892</v>
          </cell>
          <cell r="B7289" t="str">
            <v>תשלום לחניכים(הכנ)</v>
          </cell>
        </row>
        <row r="7290">
          <cell r="A7290">
            <v>1845400893</v>
          </cell>
          <cell r="B7290" t="str">
            <v xml:space="preserve">רווחת החניך       </v>
          </cell>
        </row>
        <row r="7291">
          <cell r="A7291">
            <v>1845400931</v>
          </cell>
          <cell r="B7291" t="str">
            <v xml:space="preserve">רכישות חד-פעמיות  </v>
          </cell>
        </row>
        <row r="7292">
          <cell r="A7292">
            <v>1845400932</v>
          </cell>
          <cell r="B7292" t="str">
            <v>הצטיידות מהכנסות</v>
          </cell>
        </row>
        <row r="7293">
          <cell r="A7293">
            <v>1845400961</v>
          </cell>
          <cell r="B7293" t="str">
            <v>רז' פעולות ורכישות</v>
          </cell>
        </row>
        <row r="7294">
          <cell r="A7294" t="str">
            <v>#VALUE!</v>
          </cell>
          <cell r="B7294" t="str">
            <v>מרכז קש"ת</v>
          </cell>
        </row>
        <row r="7295">
          <cell r="A7295">
            <v>18460000</v>
          </cell>
          <cell r="B7295" t="str">
            <v xml:space="preserve">שירותי שיקום      </v>
          </cell>
        </row>
        <row r="7296">
          <cell r="A7296">
            <v>18462000</v>
          </cell>
          <cell r="B7296" t="str">
            <v xml:space="preserve">שיקום העיוור      </v>
          </cell>
        </row>
        <row r="7297">
          <cell r="A7297">
            <v>1846200710</v>
          </cell>
          <cell r="B7297" t="str">
            <v>הסעות למועדון לכבדי ראייה</v>
          </cell>
          <cell r="C7297">
            <v>44600</v>
          </cell>
        </row>
        <row r="7298">
          <cell r="A7298">
            <v>1846200800</v>
          </cell>
          <cell r="B7298" t="str">
            <v>השת' תמיכות תרומות</v>
          </cell>
        </row>
        <row r="7299">
          <cell r="A7299">
            <v>1846200811</v>
          </cell>
          <cell r="B7299" t="str">
            <v>מ.שיקום לעו0662080</v>
          </cell>
        </row>
        <row r="7300">
          <cell r="A7300">
            <v>1846200812</v>
          </cell>
          <cell r="B7300" t="str">
            <v>מועדון חברתי לבוגרים</v>
          </cell>
          <cell r="C7300">
            <v>700000</v>
          </cell>
        </row>
        <row r="7301">
          <cell r="A7301">
            <v>1846200813</v>
          </cell>
          <cell r="B7301" t="str">
            <v>הכש.מקצוע  0662150</v>
          </cell>
        </row>
        <row r="7302">
          <cell r="A7302">
            <v>1846200814</v>
          </cell>
          <cell r="B7302" t="str">
            <v>דמי לווי   0662300</v>
          </cell>
        </row>
        <row r="7303">
          <cell r="A7303">
            <v>1846200815</v>
          </cell>
          <cell r="B7303" t="str">
            <v>ילדים במוס 0662410</v>
          </cell>
          <cell r="C7303">
            <v>633000</v>
          </cell>
        </row>
        <row r="7304">
          <cell r="A7304">
            <v>1846200816</v>
          </cell>
          <cell r="B7304" t="str">
            <v>הדרכת עוור 0662430</v>
          </cell>
          <cell r="C7304">
            <v>280000</v>
          </cell>
        </row>
        <row r="7305">
          <cell r="A7305">
            <v>1846200841</v>
          </cell>
          <cell r="B7305" t="str">
            <v>מ' עיוורים 0662510</v>
          </cell>
        </row>
        <row r="7306">
          <cell r="A7306">
            <v>1846200842</v>
          </cell>
          <cell r="B7306" t="str">
            <v>אגודה למען העיוור</v>
          </cell>
        </row>
        <row r="7307">
          <cell r="A7307">
            <v>1846200892</v>
          </cell>
          <cell r="B7307" t="str">
            <v>אגודה למען העיוור</v>
          </cell>
        </row>
        <row r="7308">
          <cell r="A7308">
            <v>1846200961</v>
          </cell>
          <cell r="B7308" t="str">
            <v>רז' פעולות ורכישות</v>
          </cell>
        </row>
        <row r="7309">
          <cell r="A7309" t="str">
            <v>#VALUE!</v>
          </cell>
          <cell r="B7309" t="str">
            <v xml:space="preserve">שיקום העיוור      </v>
          </cell>
        </row>
        <row r="7310">
          <cell r="A7310">
            <v>18465000</v>
          </cell>
          <cell r="B7310" t="str">
            <v xml:space="preserve">שיקום נכים        </v>
          </cell>
        </row>
        <row r="7311">
          <cell r="A7311">
            <v>1846500431</v>
          </cell>
          <cell r="B7311" t="str">
            <v xml:space="preserve">חשמל              </v>
          </cell>
        </row>
        <row r="7312">
          <cell r="A7312">
            <v>1846500781</v>
          </cell>
          <cell r="B7312" t="str">
            <v xml:space="preserve">שקום מיוחד מקומי  </v>
          </cell>
          <cell r="C7312">
            <v>30000</v>
          </cell>
        </row>
        <row r="7313">
          <cell r="A7313">
            <v>1846500782</v>
          </cell>
          <cell r="B7313" t="str">
            <v>תרגום לשפת החרשים</v>
          </cell>
          <cell r="C7313">
            <v>17000</v>
          </cell>
        </row>
        <row r="7314">
          <cell r="A7314">
            <v>1846500800</v>
          </cell>
          <cell r="B7314" t="str">
            <v>השת' תמיכות תרומות</v>
          </cell>
        </row>
        <row r="7315">
          <cell r="A7315">
            <v>1846500811</v>
          </cell>
          <cell r="B7315" t="str">
            <v>מרכזי איבחון ושיקום</v>
          </cell>
          <cell r="C7315">
            <v>320000</v>
          </cell>
        </row>
        <row r="7316">
          <cell r="A7316">
            <v>1846500812</v>
          </cell>
          <cell r="B7316" t="str">
            <v>הסעות נכים 0622100</v>
          </cell>
          <cell r="C7316">
            <v>50000</v>
          </cell>
        </row>
        <row r="7317">
          <cell r="A7317">
            <v>1846500813</v>
          </cell>
          <cell r="B7317" t="str">
            <v>שיקום מוגבלויות</v>
          </cell>
          <cell r="C7317">
            <v>700000</v>
          </cell>
        </row>
        <row r="7318">
          <cell r="A7318">
            <v>1846500814</v>
          </cell>
          <cell r="B7318" t="str">
            <v>מרכז למשפחה</v>
          </cell>
          <cell r="C7318">
            <v>111900</v>
          </cell>
        </row>
        <row r="7319">
          <cell r="A7319">
            <v>1846500815</v>
          </cell>
          <cell r="B7319" t="str">
            <v>נכים בפנימ 0621040</v>
          </cell>
          <cell r="C7319">
            <v>17318400</v>
          </cell>
        </row>
        <row r="7320">
          <cell r="A7320">
            <v>1846500816</v>
          </cell>
          <cell r="B7320" t="str">
            <v>נכה באומנה 0621050</v>
          </cell>
          <cell r="C7320">
            <v>540000</v>
          </cell>
        </row>
        <row r="7321">
          <cell r="A7321">
            <v>1846500817</v>
          </cell>
          <cell r="B7321" t="str">
            <v>נכים קשים בקהילה</v>
          </cell>
          <cell r="C7321">
            <v>220000</v>
          </cell>
        </row>
        <row r="7322">
          <cell r="A7322">
            <v>1846500818</v>
          </cell>
          <cell r="B7322" t="str">
            <v>תעסוקה מוגנת למוגבל</v>
          </cell>
          <cell r="C7322">
            <v>1528000</v>
          </cell>
        </row>
        <row r="7323">
          <cell r="A7323">
            <v>1846500819</v>
          </cell>
          <cell r="B7323" t="str">
            <v>מרכז נוער לשיקום</v>
          </cell>
          <cell r="C7323">
            <v>475000</v>
          </cell>
        </row>
        <row r="7324">
          <cell r="A7324">
            <v>1846500841</v>
          </cell>
          <cell r="B7324" t="str">
            <v>קהילה תומכת</v>
          </cell>
          <cell r="C7324">
            <v>320000</v>
          </cell>
        </row>
        <row r="7325">
          <cell r="A7325">
            <v>1846500842</v>
          </cell>
          <cell r="B7325" t="str">
            <v>מרכז יום לנפגעי ראש</v>
          </cell>
          <cell r="C7325">
            <v>1400000</v>
          </cell>
        </row>
        <row r="7326">
          <cell r="A7326">
            <v>1846500843</v>
          </cell>
          <cell r="B7326" t="str">
            <v>נופשונים מש"ה ושיקום</v>
          </cell>
          <cell r="C7326">
            <v>260000</v>
          </cell>
        </row>
        <row r="7327">
          <cell r="A7327">
            <v>1846500844</v>
          </cell>
          <cell r="B7327" t="str">
            <v>הסעות למעונות יום</v>
          </cell>
          <cell r="C7327">
            <v>2792000</v>
          </cell>
        </row>
        <row r="7328">
          <cell r="A7328">
            <v>1846500845</v>
          </cell>
          <cell r="B7328" t="str">
            <v>מלווים למעונות יום</v>
          </cell>
          <cell r="C7328">
            <v>2700000</v>
          </cell>
        </row>
        <row r="7329">
          <cell r="A7329">
            <v>1846500846</v>
          </cell>
          <cell r="B7329" t="str">
            <v>מועדונית חינוך מיוחד</v>
          </cell>
        </row>
        <row r="7330">
          <cell r="A7330">
            <v>1846500847</v>
          </cell>
          <cell r="B7330" t="str">
            <v>תכניות תעסוקה</v>
          </cell>
          <cell r="C7330">
            <v>600000</v>
          </cell>
        </row>
        <row r="7331">
          <cell r="A7331">
            <v>1846500880</v>
          </cell>
          <cell r="B7331" t="str">
            <v>של'ילד חריג0855650</v>
          </cell>
          <cell r="C7331">
            <v>480000</v>
          </cell>
        </row>
        <row r="7332">
          <cell r="A7332">
            <v>1846500881</v>
          </cell>
          <cell r="B7332" t="str">
            <v>מע' ממש'שיק0682950</v>
          </cell>
          <cell r="C7332">
            <v>551600</v>
          </cell>
        </row>
        <row r="7333">
          <cell r="A7333">
            <v>1846500882</v>
          </cell>
          <cell r="B7333" t="str">
            <v>הסעות לאוטיסטים</v>
          </cell>
          <cell r="C7333">
            <v>300000</v>
          </cell>
        </row>
        <row r="7334">
          <cell r="A7334">
            <v>1846500883</v>
          </cell>
          <cell r="B7334" t="str">
            <v>מועדונית שיקום</v>
          </cell>
        </row>
        <row r="7335">
          <cell r="A7335">
            <v>1846500884</v>
          </cell>
          <cell r="B7335" t="str">
            <v>אוטיסטים</v>
          </cell>
          <cell r="C7335">
            <v>25700000</v>
          </cell>
        </row>
        <row r="7336">
          <cell r="A7336">
            <v>1846500885</v>
          </cell>
          <cell r="B7336" t="str">
            <v>פעולות קיץ לאוטיסטים</v>
          </cell>
          <cell r="C7336">
            <v>156000</v>
          </cell>
        </row>
        <row r="7337">
          <cell r="A7337">
            <v>1846500886</v>
          </cell>
          <cell r="B7337" t="str">
            <v xml:space="preserve">מועדון הדרים      </v>
          </cell>
        </row>
        <row r="7338">
          <cell r="A7338">
            <v>1846500887</v>
          </cell>
          <cell r="B7338" t="str">
            <v>מ.יום שיקומי622110</v>
          </cell>
          <cell r="C7338">
            <v>8200000</v>
          </cell>
        </row>
        <row r="7339">
          <cell r="A7339">
            <v>1846500888</v>
          </cell>
          <cell r="B7339" t="str">
            <v>מעטפת מגורים בקהילה</v>
          </cell>
          <cell r="C7339">
            <v>34400</v>
          </cell>
        </row>
        <row r="7340">
          <cell r="A7340">
            <v>1846500891</v>
          </cell>
          <cell r="B7340" t="str">
            <v>מועדוניות רשת</v>
          </cell>
          <cell r="C7340">
            <v>80900</v>
          </cell>
        </row>
        <row r="7341">
          <cell r="A7341">
            <v>1846500895</v>
          </cell>
          <cell r="B7341" t="str">
            <v xml:space="preserve">השתתפות באיל"ן    </v>
          </cell>
        </row>
        <row r="7342">
          <cell r="A7342">
            <v>1846500961</v>
          </cell>
          <cell r="B7342" t="str">
            <v>רז' פעולות ורכישות</v>
          </cell>
        </row>
        <row r="7343">
          <cell r="A7343" t="str">
            <v>#VALUE!</v>
          </cell>
          <cell r="B7343" t="str">
            <v xml:space="preserve">שיקום נכים        </v>
          </cell>
        </row>
        <row r="7344">
          <cell r="A7344">
            <v>18470000</v>
          </cell>
          <cell r="B7344" t="str">
            <v xml:space="preserve">שרותי תקון        </v>
          </cell>
        </row>
        <row r="7345">
          <cell r="A7345">
            <v>18471000</v>
          </cell>
          <cell r="B7345" t="str">
            <v xml:space="preserve">נוער מצוקה        </v>
          </cell>
        </row>
        <row r="7346">
          <cell r="A7346">
            <v>1847100400</v>
          </cell>
          <cell r="B7346" t="str">
            <v>אחזקת בנינים וציוד</v>
          </cell>
        </row>
        <row r="7347">
          <cell r="A7347">
            <v>1847100431</v>
          </cell>
          <cell r="B7347" t="str">
            <v xml:space="preserve">חשמל              </v>
          </cell>
          <cell r="C7347">
            <v>8300</v>
          </cell>
        </row>
        <row r="7348">
          <cell r="A7348">
            <v>1847100437</v>
          </cell>
          <cell r="B7348" t="str">
            <v xml:space="preserve">אחזקת אזעקה       </v>
          </cell>
          <cell r="C7348">
            <v>1300</v>
          </cell>
        </row>
        <row r="7349">
          <cell r="A7349">
            <v>1847100540</v>
          </cell>
          <cell r="B7349" t="str">
            <v xml:space="preserve">הוצאות טלפון      </v>
          </cell>
        </row>
        <row r="7350">
          <cell r="A7350">
            <v>1847100544</v>
          </cell>
          <cell r="B7350" t="str">
            <v xml:space="preserve">הוצאות דאר        </v>
          </cell>
        </row>
        <row r="7351">
          <cell r="A7351">
            <v>1847100700</v>
          </cell>
          <cell r="B7351" t="str">
            <v xml:space="preserve">הוצאות לפעולות    </v>
          </cell>
        </row>
        <row r="7352">
          <cell r="A7352">
            <v>1847100752</v>
          </cell>
          <cell r="B7352" t="str">
            <v>נקיון מועדון נערות</v>
          </cell>
          <cell r="C7352">
            <v>72000</v>
          </cell>
        </row>
        <row r="7353">
          <cell r="A7353">
            <v>1847100782</v>
          </cell>
          <cell r="B7353" t="str">
            <v>פעילות מועד' נערות</v>
          </cell>
          <cell r="C7353">
            <v>7000</v>
          </cell>
        </row>
        <row r="7354">
          <cell r="A7354">
            <v>1847100800</v>
          </cell>
          <cell r="B7354" t="str">
            <v>השת' תמיכות תרומות</v>
          </cell>
        </row>
        <row r="7355">
          <cell r="A7355">
            <v>1847100811</v>
          </cell>
          <cell r="B7355" t="str">
            <v>מט"ל</v>
          </cell>
        </row>
        <row r="7356">
          <cell r="A7356">
            <v>1847100812</v>
          </cell>
          <cell r="B7356" t="str">
            <v>בתים חמים לנערות</v>
          </cell>
        </row>
        <row r="7357">
          <cell r="A7357">
            <v>1847100813</v>
          </cell>
          <cell r="B7357" t="str">
            <v>מעונות חסות 166030</v>
          </cell>
          <cell r="C7357">
            <v>1942000</v>
          </cell>
        </row>
        <row r="7358">
          <cell r="A7358">
            <v>1847100814</v>
          </cell>
          <cell r="B7358" t="str">
            <v>נוצץ שירותים בקהילה</v>
          </cell>
          <cell r="C7358">
            <v>1783000</v>
          </cell>
        </row>
        <row r="7359">
          <cell r="A7359">
            <v>1847100815</v>
          </cell>
          <cell r="B7359" t="str">
            <v>תכנית צל"ש</v>
          </cell>
        </row>
        <row r="7360">
          <cell r="A7360">
            <v>1847100816</v>
          </cell>
          <cell r="B7360" t="str">
            <v>נוער וצעירים 1164023</v>
          </cell>
        </row>
        <row r="7361">
          <cell r="A7361">
            <v>1847100817</v>
          </cell>
          <cell r="B7361" t="str">
            <v>תכנית מית"ר</v>
          </cell>
          <cell r="C7361">
            <v>600000</v>
          </cell>
        </row>
        <row r="7362">
          <cell r="A7362">
            <v>1847100818</v>
          </cell>
          <cell r="B7362" t="str">
            <v>חוץ ביתי נוצץ</v>
          </cell>
          <cell r="C7362">
            <v>250000</v>
          </cell>
        </row>
        <row r="7363">
          <cell r="A7363">
            <v>1847100841</v>
          </cell>
          <cell r="B7363" t="str">
            <v>תכנית "אפיקים"</v>
          </cell>
        </row>
        <row r="7364">
          <cell r="A7364">
            <v>1847100842</v>
          </cell>
          <cell r="B7364" t="str">
            <v>תכנית "יתד"</v>
          </cell>
          <cell r="C7364">
            <v>560000</v>
          </cell>
        </row>
        <row r="7365">
          <cell r="A7365">
            <v>1847100843</v>
          </cell>
          <cell r="B7365" t="str">
            <v>צעירים חוץ ביתי</v>
          </cell>
          <cell r="C7365">
            <v>400000</v>
          </cell>
        </row>
        <row r="7366">
          <cell r="A7366">
            <v>1847100891</v>
          </cell>
          <cell r="B7366" t="str">
            <v xml:space="preserve">מרכז ליעוץ מיני   </v>
          </cell>
          <cell r="C7366">
            <v>24000</v>
          </cell>
        </row>
        <row r="7367">
          <cell r="A7367">
            <v>1847100892</v>
          </cell>
          <cell r="B7367" t="str">
            <v>פרוייקט גחליליות</v>
          </cell>
          <cell r="C7367">
            <v>65000</v>
          </cell>
        </row>
        <row r="7368">
          <cell r="A7368">
            <v>1847100961</v>
          </cell>
          <cell r="B7368" t="str">
            <v>רז' פעולות ורכישות</v>
          </cell>
        </row>
        <row r="7369">
          <cell r="A7369" t="str">
            <v>#VALUE!</v>
          </cell>
          <cell r="B7369" t="str">
            <v xml:space="preserve">נוער מצוקה        </v>
          </cell>
        </row>
        <row r="7370">
          <cell r="A7370">
            <v>18473000</v>
          </cell>
          <cell r="B7370" t="str">
            <v xml:space="preserve">סמים              </v>
          </cell>
        </row>
        <row r="7371">
          <cell r="A7371">
            <v>1847300110</v>
          </cell>
          <cell r="B7371" t="str">
            <v>השכר הקובע-תקציבית</v>
          </cell>
        </row>
        <row r="7372">
          <cell r="A7372">
            <v>1847300122</v>
          </cell>
          <cell r="B7372" t="str">
            <v xml:space="preserve">ביגוד             </v>
          </cell>
        </row>
        <row r="7373">
          <cell r="A7373">
            <v>1847300126</v>
          </cell>
          <cell r="B7373" t="str">
            <v xml:space="preserve">דמי הבראה         </v>
          </cell>
        </row>
        <row r="7374">
          <cell r="A7374">
            <v>1847300130</v>
          </cell>
          <cell r="B7374" t="str">
            <v xml:space="preserve">שעות נוספות       </v>
          </cell>
        </row>
        <row r="7375">
          <cell r="A7375">
            <v>1847300140</v>
          </cell>
          <cell r="B7375" t="str">
            <v>השתתפות באחזקת רכב</v>
          </cell>
        </row>
        <row r="7376">
          <cell r="A7376">
            <v>1847300431</v>
          </cell>
          <cell r="B7376" t="str">
            <v xml:space="preserve">חשמל              </v>
          </cell>
        </row>
        <row r="7377">
          <cell r="A7377">
            <v>1847300540</v>
          </cell>
          <cell r="B7377" t="str">
            <v xml:space="preserve">הוצאות טלפון      </v>
          </cell>
        </row>
        <row r="7378">
          <cell r="A7378">
            <v>1847300544</v>
          </cell>
          <cell r="B7378" t="str">
            <v xml:space="preserve">הוצאות דאר        </v>
          </cell>
        </row>
        <row r="7379">
          <cell r="A7379">
            <v>1847300723</v>
          </cell>
          <cell r="B7379" t="str">
            <v xml:space="preserve">חומרים            </v>
          </cell>
        </row>
        <row r="7380">
          <cell r="A7380">
            <v>1847300751</v>
          </cell>
          <cell r="B7380" t="str">
            <v xml:space="preserve">עבודות קבלניות    </v>
          </cell>
        </row>
        <row r="7381">
          <cell r="A7381">
            <v>1847300752</v>
          </cell>
          <cell r="B7381" t="str">
            <v xml:space="preserve">נקיון בקבלנות     </v>
          </cell>
          <cell r="C7381">
            <v>32000</v>
          </cell>
        </row>
        <row r="7382">
          <cell r="A7382">
            <v>1847300753</v>
          </cell>
          <cell r="B7382" t="str">
            <v xml:space="preserve">עובד חיצוני       </v>
          </cell>
        </row>
        <row r="7383">
          <cell r="A7383">
            <v>1847300781</v>
          </cell>
          <cell r="B7383" t="str">
            <v xml:space="preserve">צרכים מיוחדים     </v>
          </cell>
          <cell r="C7383">
            <v>110000</v>
          </cell>
        </row>
        <row r="7384">
          <cell r="A7384">
            <v>1847300782</v>
          </cell>
          <cell r="B7384" t="str">
            <v>טיפול במשפחות מכורים</v>
          </cell>
          <cell r="C7384">
            <v>30000</v>
          </cell>
        </row>
        <row r="7385">
          <cell r="A7385">
            <v>1847300811</v>
          </cell>
          <cell r="B7385" t="str">
            <v>בדיקות שתן 1125070</v>
          </cell>
        </row>
        <row r="7386">
          <cell r="A7386">
            <v>1847300812</v>
          </cell>
          <cell r="B7386" t="str">
            <v xml:space="preserve">מרכז יום 1225061  </v>
          </cell>
        </row>
        <row r="7387">
          <cell r="A7387">
            <v>1847300813</v>
          </cell>
          <cell r="B7387" t="str">
            <v>טיפול בהתמכרויות</v>
          </cell>
          <cell r="C7387">
            <v>480000</v>
          </cell>
        </row>
        <row r="7388">
          <cell r="A7388">
            <v>1847300815</v>
          </cell>
          <cell r="B7388" t="str">
            <v>גמילת נוער</v>
          </cell>
        </row>
        <row r="7389">
          <cell r="A7389">
            <v>1847300816</v>
          </cell>
          <cell r="B7389" t="str">
            <v>פרוייקטים לנגמלים</v>
          </cell>
        </row>
        <row r="7390">
          <cell r="A7390">
            <v>1847300841</v>
          </cell>
          <cell r="B7390" t="str">
            <v>טיפול בעולים נפגעי סמים</v>
          </cell>
        </row>
        <row r="7391">
          <cell r="A7391">
            <v>1847300891</v>
          </cell>
          <cell r="B7391" t="str">
            <v>מניעת שימוש בסמים ואלכוהול</v>
          </cell>
          <cell r="C7391">
            <v>50000</v>
          </cell>
        </row>
        <row r="7392">
          <cell r="A7392">
            <v>1847300961</v>
          </cell>
          <cell r="B7392" t="str">
            <v>רז' פעולות ורכישות</v>
          </cell>
        </row>
        <row r="7393">
          <cell r="A7393" t="str">
            <v>#VALUE!</v>
          </cell>
          <cell r="B7393" t="str">
            <v xml:space="preserve">סמים              </v>
          </cell>
        </row>
        <row r="7394">
          <cell r="A7394">
            <v>18480000</v>
          </cell>
          <cell r="B7394" t="str">
            <v xml:space="preserve">עבודה קהילתית     </v>
          </cell>
        </row>
        <row r="7395">
          <cell r="A7395">
            <v>18481000</v>
          </cell>
          <cell r="B7395" t="str">
            <v xml:space="preserve">עבודה קהילתית     </v>
          </cell>
        </row>
        <row r="7396">
          <cell r="A7396">
            <v>1848100400</v>
          </cell>
          <cell r="B7396" t="str">
            <v>אחזקת בנינים וציוד</v>
          </cell>
        </row>
        <row r="7397">
          <cell r="A7397">
            <v>1848100410</v>
          </cell>
          <cell r="B7397" t="str">
            <v xml:space="preserve">שכר דירה          </v>
          </cell>
        </row>
        <row r="7398">
          <cell r="A7398">
            <v>1848100423</v>
          </cell>
          <cell r="B7398" t="str">
            <v xml:space="preserve">תחזוקת מבנה       </v>
          </cell>
        </row>
        <row r="7399">
          <cell r="A7399">
            <v>1848100431</v>
          </cell>
          <cell r="B7399" t="str">
            <v xml:space="preserve">חשמל              </v>
          </cell>
          <cell r="C7399">
            <v>3300</v>
          </cell>
        </row>
        <row r="7400">
          <cell r="A7400">
            <v>1848100437</v>
          </cell>
          <cell r="B7400" t="str">
            <v xml:space="preserve">אחזקת אזעקה       </v>
          </cell>
          <cell r="C7400">
            <v>2500</v>
          </cell>
        </row>
        <row r="7401">
          <cell r="A7401">
            <v>1848100500</v>
          </cell>
          <cell r="B7401" t="str">
            <v xml:space="preserve">הוצאות מינהליות   </v>
          </cell>
        </row>
        <row r="7402">
          <cell r="A7402">
            <v>1848100511</v>
          </cell>
          <cell r="B7402" t="str">
            <v xml:space="preserve">אירוח וכיבוד      </v>
          </cell>
          <cell r="C7402">
            <v>4200</v>
          </cell>
        </row>
        <row r="7403">
          <cell r="A7403">
            <v>1848100540</v>
          </cell>
          <cell r="B7403" t="str">
            <v xml:space="preserve">הוצאות טלפון      </v>
          </cell>
        </row>
        <row r="7404">
          <cell r="A7404">
            <v>1848100544</v>
          </cell>
          <cell r="B7404" t="str">
            <v xml:space="preserve">הוצאות דאר        </v>
          </cell>
        </row>
        <row r="7405">
          <cell r="A7405">
            <v>1848100561</v>
          </cell>
          <cell r="B7405" t="str">
            <v xml:space="preserve">שיכפולים          </v>
          </cell>
        </row>
        <row r="7406">
          <cell r="A7406">
            <v>1848100700</v>
          </cell>
          <cell r="B7406" t="str">
            <v xml:space="preserve">הוצאות לפעולות    </v>
          </cell>
        </row>
        <row r="7407">
          <cell r="A7407">
            <v>1848100742</v>
          </cell>
          <cell r="B7407" t="str">
            <v xml:space="preserve">כלים וציוד        </v>
          </cell>
        </row>
        <row r="7408">
          <cell r="A7408">
            <v>1848100745</v>
          </cell>
          <cell r="B7408" t="str">
            <v xml:space="preserve">דמי פריצה - תכולה </v>
          </cell>
        </row>
        <row r="7409">
          <cell r="A7409">
            <v>1848100751</v>
          </cell>
          <cell r="B7409" t="str">
            <v xml:space="preserve">עבודות קבלניות    </v>
          </cell>
        </row>
        <row r="7410">
          <cell r="A7410">
            <v>1848100752</v>
          </cell>
          <cell r="B7410" t="str">
            <v xml:space="preserve">נקיון בקבלנות     </v>
          </cell>
          <cell r="C7410">
            <v>15000</v>
          </cell>
        </row>
        <row r="7411">
          <cell r="A7411">
            <v>1848100753</v>
          </cell>
          <cell r="B7411" t="str">
            <v xml:space="preserve">קידום נוער        </v>
          </cell>
        </row>
        <row r="7412">
          <cell r="A7412">
            <v>1848100781</v>
          </cell>
          <cell r="B7412" t="str">
            <v>פע' משפ' חד-הוריות</v>
          </cell>
          <cell r="C7412">
            <v>7000</v>
          </cell>
        </row>
        <row r="7413">
          <cell r="A7413">
            <v>1848100782</v>
          </cell>
          <cell r="B7413" t="str">
            <v>טקס מגן רה"ע-מתנדב</v>
          </cell>
        </row>
        <row r="7414">
          <cell r="A7414">
            <v>1848100783</v>
          </cell>
          <cell r="B7414" t="str">
            <v>ארוע שנתי למתנדבים</v>
          </cell>
        </row>
        <row r="7415">
          <cell r="A7415">
            <v>1848100784</v>
          </cell>
          <cell r="B7415" t="str">
            <v>פע' בקהילה+התנדבות</v>
          </cell>
          <cell r="C7415">
            <v>16000</v>
          </cell>
        </row>
        <row r="7416">
          <cell r="A7416">
            <v>1848100785</v>
          </cell>
          <cell r="B7416" t="str">
            <v>מוטב יחדיו</v>
          </cell>
        </row>
        <row r="7417">
          <cell r="A7417">
            <v>1848100786</v>
          </cell>
          <cell r="B7417" t="str">
            <v>פעילות לקהילה האתיופית</v>
          </cell>
        </row>
        <row r="7418">
          <cell r="A7418">
            <v>1848100787</v>
          </cell>
          <cell r="B7418" t="str">
            <v>מרכז גישור</v>
          </cell>
          <cell r="C7418">
            <v>89000</v>
          </cell>
        </row>
        <row r="7419">
          <cell r="A7419">
            <v>1848100800</v>
          </cell>
          <cell r="B7419" t="str">
            <v>השת' תמיכות תרומות</v>
          </cell>
        </row>
        <row r="7420">
          <cell r="A7420">
            <v>1848100811</v>
          </cell>
          <cell r="B7420" t="str">
            <v>פע'התנדבות 1094031</v>
          </cell>
          <cell r="C7420">
            <v>50000</v>
          </cell>
        </row>
        <row r="7421">
          <cell r="A7421">
            <v>1848100812</v>
          </cell>
          <cell r="B7421" t="str">
            <v>פרוייקט עוצמה</v>
          </cell>
          <cell r="C7421">
            <v>255000</v>
          </cell>
        </row>
        <row r="7422">
          <cell r="A7422">
            <v>1848100813</v>
          </cell>
          <cell r="B7422" t="str">
            <v>אחזקת מרכז'קהילתים</v>
          </cell>
          <cell r="C7422">
            <v>19000</v>
          </cell>
        </row>
        <row r="7423">
          <cell r="A7423">
            <v>1848100814</v>
          </cell>
          <cell r="B7423" t="str">
            <v>סל תכניות התנדבות</v>
          </cell>
        </row>
        <row r="7424">
          <cell r="A7424">
            <v>1848100815</v>
          </cell>
          <cell r="B7424" t="str">
            <v xml:space="preserve">טיפול נשים בקהילה </v>
          </cell>
        </row>
        <row r="7425">
          <cell r="A7425">
            <v>1848100816</v>
          </cell>
          <cell r="B7425" t="str">
            <v>לשכת ייעוץ לאזרח</v>
          </cell>
          <cell r="C7425">
            <v>5500</v>
          </cell>
        </row>
        <row r="7426">
          <cell r="A7426">
            <v>1848100817</v>
          </cell>
          <cell r="B7426" t="str">
            <v>פ.קהילתי גאוגרפי</v>
          </cell>
        </row>
        <row r="7427">
          <cell r="A7427">
            <v>1848100841</v>
          </cell>
          <cell r="B7427" t="str">
            <v>מוטב יחדיו</v>
          </cell>
        </row>
        <row r="7428">
          <cell r="A7428">
            <v>1848100842</v>
          </cell>
          <cell r="B7428" t="str">
            <v xml:space="preserve">מוקד חברתי קהילתי </v>
          </cell>
        </row>
        <row r="7429">
          <cell r="A7429">
            <v>1848100843</v>
          </cell>
          <cell r="B7429" t="str">
            <v>פע' בקהילה+התנדבות</v>
          </cell>
        </row>
        <row r="7430">
          <cell r="A7430">
            <v>1848100844</v>
          </cell>
          <cell r="B7430" t="str">
            <v xml:space="preserve">בית מתנדב         </v>
          </cell>
        </row>
        <row r="7431">
          <cell r="A7431">
            <v>1848100845</v>
          </cell>
          <cell r="B7431" t="str">
            <v>טקס מגן רה"ע-מתנדב</v>
          </cell>
        </row>
        <row r="7432">
          <cell r="A7432">
            <v>1848100846</v>
          </cell>
          <cell r="B7432" t="str">
            <v>ארוע שנתי למתנדבים</v>
          </cell>
        </row>
        <row r="7433">
          <cell r="A7433">
            <v>1848100847</v>
          </cell>
          <cell r="B7433" t="str">
            <v xml:space="preserve">מועדון עולי סוריה </v>
          </cell>
        </row>
        <row r="7434">
          <cell r="A7434">
            <v>1848100850</v>
          </cell>
          <cell r="B7434" t="str">
            <v>שירות לאומי</v>
          </cell>
        </row>
        <row r="7435">
          <cell r="A7435">
            <v>1848100931</v>
          </cell>
          <cell r="B7435" t="str">
            <v xml:space="preserve">רכישות חד-פעמיות  </v>
          </cell>
          <cell r="C7435">
            <v>13500</v>
          </cell>
        </row>
        <row r="7436">
          <cell r="A7436">
            <v>1848100961</v>
          </cell>
          <cell r="B7436" t="str">
            <v>רז' פעולות ורכישות</v>
          </cell>
        </row>
        <row r="7437">
          <cell r="A7437" t="str">
            <v>#VALUE!</v>
          </cell>
          <cell r="B7437" t="str">
            <v xml:space="preserve">עבודה קהילתית     </v>
          </cell>
        </row>
        <row r="7438">
          <cell r="A7438">
            <v>18500000</v>
          </cell>
          <cell r="B7438" t="str">
            <v xml:space="preserve">דת                </v>
          </cell>
        </row>
        <row r="7439">
          <cell r="A7439">
            <v>18510000</v>
          </cell>
          <cell r="B7439" t="str">
            <v xml:space="preserve">המועצה הדתית      </v>
          </cell>
        </row>
        <row r="7440">
          <cell r="A7440">
            <v>1851000412</v>
          </cell>
          <cell r="B7440" t="str">
            <v xml:space="preserve">ארנונה-מועצה דתית </v>
          </cell>
        </row>
        <row r="7441">
          <cell r="A7441">
            <v>1851000432</v>
          </cell>
          <cell r="B7441" t="str">
            <v xml:space="preserve">מים-המועצה הדתית  </v>
          </cell>
        </row>
        <row r="7442">
          <cell r="A7442">
            <v>1851000691</v>
          </cell>
          <cell r="B7442" t="str">
            <v xml:space="preserve">החזר מלוות        </v>
          </cell>
        </row>
        <row r="7443">
          <cell r="A7443">
            <v>1851000800</v>
          </cell>
          <cell r="B7443" t="str">
            <v>השת' תמיכות תרומות</v>
          </cell>
        </row>
        <row r="7444">
          <cell r="A7444">
            <v>1851000811</v>
          </cell>
          <cell r="B7444" t="str">
            <v>השתת'בתקציב המועצה</v>
          </cell>
        </row>
        <row r="7445">
          <cell r="A7445">
            <v>1851000812</v>
          </cell>
          <cell r="B7445" t="str">
            <v>השתתפויות חד-פעמיות</v>
          </cell>
        </row>
        <row r="7446">
          <cell r="A7446">
            <v>1851000813</v>
          </cell>
          <cell r="B7446" t="str">
            <v xml:space="preserve">ארנונה-מועצה דתית </v>
          </cell>
        </row>
        <row r="7447">
          <cell r="A7447">
            <v>1851000814</v>
          </cell>
          <cell r="B7447" t="str">
            <v xml:space="preserve">מים - מועצה דתית               </v>
          </cell>
        </row>
        <row r="7448">
          <cell r="A7448">
            <v>1851000961</v>
          </cell>
          <cell r="B7448" t="str">
            <v>רז' פעולות ורכישות</v>
          </cell>
        </row>
        <row r="7449">
          <cell r="A7449">
            <v>1851000981</v>
          </cell>
          <cell r="B7449" t="str">
            <v>הוצ' שנים קודמות</v>
          </cell>
        </row>
        <row r="7450">
          <cell r="A7450" t="str">
            <v>#VALUE!</v>
          </cell>
          <cell r="B7450" t="str">
            <v xml:space="preserve">המועצה הדתית      </v>
          </cell>
        </row>
        <row r="7451">
          <cell r="A7451">
            <v>18590000</v>
          </cell>
          <cell r="B7451" t="str">
            <v xml:space="preserve">העדה השומרונית    </v>
          </cell>
        </row>
        <row r="7452">
          <cell r="A7452">
            <v>1859000800</v>
          </cell>
          <cell r="B7452" t="str">
            <v>השת' תמיכות תרומות</v>
          </cell>
        </row>
        <row r="7453">
          <cell r="A7453">
            <v>1859000810</v>
          </cell>
          <cell r="B7453" t="str">
            <v>השת'-עדה השומרונית</v>
          </cell>
        </row>
        <row r="7454">
          <cell r="A7454">
            <v>1859000811</v>
          </cell>
          <cell r="B7454" t="str">
            <v>א.ב. חדשות השומרונים</v>
          </cell>
        </row>
        <row r="7455">
          <cell r="A7455">
            <v>1859000961</v>
          </cell>
          <cell r="B7455" t="str">
            <v>רז' פעולות ורכישות</v>
          </cell>
        </row>
        <row r="7456">
          <cell r="A7456" t="str">
            <v>#VALUE!</v>
          </cell>
          <cell r="B7456" t="str">
            <v xml:space="preserve">העדה השומרונית    </v>
          </cell>
        </row>
        <row r="7457">
          <cell r="A7457">
            <v>18600000</v>
          </cell>
          <cell r="B7457" t="str">
            <v xml:space="preserve">קליטת עליה        </v>
          </cell>
        </row>
        <row r="7458">
          <cell r="A7458">
            <v>18680000</v>
          </cell>
          <cell r="B7458" t="str">
            <v>מחלקת קליטה ועליה</v>
          </cell>
        </row>
        <row r="7459">
          <cell r="A7459">
            <v>1868000110</v>
          </cell>
          <cell r="B7459" t="str">
            <v>השכר הקובע-תקציבית</v>
          </cell>
        </row>
        <row r="7460">
          <cell r="A7460">
            <v>1868000119</v>
          </cell>
          <cell r="B7460" t="str">
            <v xml:space="preserve">השכר הקובע-צוברת  </v>
          </cell>
          <cell r="C7460">
            <v>1469600</v>
          </cell>
        </row>
        <row r="7461">
          <cell r="A7461">
            <v>1868000122</v>
          </cell>
          <cell r="B7461" t="str">
            <v xml:space="preserve">ביגוד             </v>
          </cell>
        </row>
        <row r="7462">
          <cell r="A7462">
            <v>1868000126</v>
          </cell>
          <cell r="B7462" t="str">
            <v xml:space="preserve">דמי הבראה         </v>
          </cell>
          <cell r="C7462">
            <v>33000</v>
          </cell>
        </row>
        <row r="7463">
          <cell r="A7463">
            <v>1868000130</v>
          </cell>
          <cell r="B7463" t="str">
            <v xml:space="preserve">שעות נוספות       </v>
          </cell>
        </row>
        <row r="7464">
          <cell r="A7464">
            <v>1868000140</v>
          </cell>
          <cell r="B7464" t="str">
            <v>השתתפות באחזקת רכב</v>
          </cell>
          <cell r="C7464">
            <v>60000</v>
          </cell>
        </row>
        <row r="7465">
          <cell r="A7465">
            <v>1868000253</v>
          </cell>
          <cell r="B7465" t="str">
            <v xml:space="preserve">עובדים חיצוניים   </v>
          </cell>
        </row>
        <row r="7466">
          <cell r="A7466">
            <v>1868000263</v>
          </cell>
          <cell r="B7466" t="str">
            <v xml:space="preserve">עובדי חברת מוסדות </v>
          </cell>
        </row>
        <row r="7467">
          <cell r="A7467">
            <v>1868000410</v>
          </cell>
          <cell r="B7467" t="str">
            <v xml:space="preserve">שכירת חדרים       </v>
          </cell>
        </row>
        <row r="7468">
          <cell r="A7468">
            <v>1868000423</v>
          </cell>
          <cell r="B7468" t="str">
            <v xml:space="preserve">תחזוקת מבנה       </v>
          </cell>
        </row>
        <row r="7469">
          <cell r="A7469">
            <v>1868000431</v>
          </cell>
          <cell r="B7469" t="str">
            <v xml:space="preserve">חשמל              </v>
          </cell>
          <cell r="C7469">
            <v>47000</v>
          </cell>
        </row>
        <row r="7470">
          <cell r="A7470">
            <v>1868000432</v>
          </cell>
          <cell r="B7470" t="str">
            <v xml:space="preserve">מים               </v>
          </cell>
          <cell r="C7470">
            <v>15000</v>
          </cell>
        </row>
        <row r="7471">
          <cell r="A7471">
            <v>1868000433</v>
          </cell>
          <cell r="B7471" t="str">
            <v xml:space="preserve">חומרי נקיון       </v>
          </cell>
          <cell r="C7471">
            <v>800</v>
          </cell>
        </row>
        <row r="7472">
          <cell r="A7472">
            <v>1868000437</v>
          </cell>
          <cell r="B7472" t="str">
            <v xml:space="preserve">אחזקת אזעקה       </v>
          </cell>
          <cell r="C7472">
            <v>3700</v>
          </cell>
        </row>
        <row r="7473">
          <cell r="A7473">
            <v>1868000471</v>
          </cell>
          <cell r="B7473" t="str">
            <v xml:space="preserve">מכשירי כתיבה      </v>
          </cell>
          <cell r="C7473">
            <v>900</v>
          </cell>
        </row>
        <row r="7474">
          <cell r="A7474">
            <v>1868000511</v>
          </cell>
          <cell r="B7474" t="str">
            <v xml:space="preserve">אירוח וכיבוד      </v>
          </cell>
        </row>
        <row r="7475">
          <cell r="A7475">
            <v>1868000522</v>
          </cell>
          <cell r="B7475" t="str">
            <v xml:space="preserve">ספרים             </v>
          </cell>
        </row>
        <row r="7476">
          <cell r="A7476">
            <v>1868000540</v>
          </cell>
          <cell r="B7476" t="str">
            <v xml:space="preserve">הוצאות טלפון      </v>
          </cell>
        </row>
        <row r="7477">
          <cell r="A7477">
            <v>1868000544</v>
          </cell>
          <cell r="B7477" t="str">
            <v xml:space="preserve">הוצאות דאר        </v>
          </cell>
        </row>
        <row r="7478">
          <cell r="A7478">
            <v>1868000561</v>
          </cell>
          <cell r="B7478" t="str">
            <v xml:space="preserve">שיכפולים          </v>
          </cell>
        </row>
        <row r="7479">
          <cell r="A7479">
            <v>1868000721</v>
          </cell>
          <cell r="B7479" t="str">
            <v>חמרים-תחזוקת מבנים</v>
          </cell>
        </row>
        <row r="7480">
          <cell r="A7480">
            <v>1868000722</v>
          </cell>
          <cell r="B7480" t="str">
            <v>חמרים-תחזוקה עצמית</v>
          </cell>
        </row>
        <row r="7481">
          <cell r="A7481">
            <v>1868000743</v>
          </cell>
          <cell r="B7481" t="str">
            <v xml:space="preserve">תחזוקת ציוד       </v>
          </cell>
        </row>
        <row r="7482">
          <cell r="A7482">
            <v>1868000751</v>
          </cell>
          <cell r="B7482" t="str">
            <v xml:space="preserve">עבודות קבלניות    </v>
          </cell>
        </row>
        <row r="7483">
          <cell r="A7483">
            <v>1868000752</v>
          </cell>
          <cell r="B7483" t="str">
            <v xml:space="preserve">נקיון בקבלנות     </v>
          </cell>
          <cell r="C7483">
            <v>68000</v>
          </cell>
        </row>
        <row r="7484">
          <cell r="A7484">
            <v>1868000753</v>
          </cell>
          <cell r="B7484" t="str">
            <v xml:space="preserve">עובדים חיצוניים   </v>
          </cell>
        </row>
        <row r="7485">
          <cell r="A7485">
            <v>1868000756</v>
          </cell>
          <cell r="B7485" t="str">
            <v>שמירה</v>
          </cell>
          <cell r="C7485">
            <v>155000</v>
          </cell>
        </row>
        <row r="7486">
          <cell r="A7486">
            <v>1868000763</v>
          </cell>
          <cell r="B7486" t="str">
            <v xml:space="preserve">עובדי חברת מוסדות </v>
          </cell>
        </row>
        <row r="7487">
          <cell r="A7487">
            <v>1868000781</v>
          </cell>
          <cell r="B7487" t="str">
            <v>קייטנות עולים,וטרנים,פרוייקטים</v>
          </cell>
          <cell r="C7487">
            <v>112100</v>
          </cell>
        </row>
        <row r="7488">
          <cell r="A7488">
            <v>1868000782</v>
          </cell>
          <cell r="B7488" t="str">
            <v>פסטיבל ( כנגד הכנסות )</v>
          </cell>
        </row>
        <row r="7489">
          <cell r="A7489">
            <v>1868000784</v>
          </cell>
          <cell r="B7489" t="str">
            <v>פעולות שונות</v>
          </cell>
          <cell r="C7489">
            <v>178700</v>
          </cell>
        </row>
        <row r="7490">
          <cell r="A7490">
            <v>1868000794</v>
          </cell>
          <cell r="B7490" t="str">
            <v xml:space="preserve">השתתפות בעזר 094  </v>
          </cell>
        </row>
        <row r="7491">
          <cell r="A7491">
            <v>1868000810</v>
          </cell>
          <cell r="B7491" t="str">
            <v>משרד הקליטה - מהכנסה</v>
          </cell>
          <cell r="C7491">
            <v>755700</v>
          </cell>
        </row>
        <row r="7492">
          <cell r="A7492">
            <v>1868000930</v>
          </cell>
          <cell r="B7492" t="str">
            <v>שילוב יוצאי אתיופיה וונדמה</v>
          </cell>
          <cell r="C7492">
            <v>150000</v>
          </cell>
        </row>
        <row r="7493">
          <cell r="A7493">
            <v>1868000931</v>
          </cell>
          <cell r="B7493" t="str">
            <v xml:space="preserve">ציוד חד - פעמי    </v>
          </cell>
        </row>
        <row r="7494">
          <cell r="A7494">
            <v>1868000932</v>
          </cell>
          <cell r="B7494" t="str">
            <v xml:space="preserve">רכישות (מהכנסות)  </v>
          </cell>
        </row>
        <row r="7495">
          <cell r="A7495">
            <v>1868000961</v>
          </cell>
          <cell r="B7495" t="str">
            <v>רז' פעולות ורכישות</v>
          </cell>
        </row>
        <row r="7496">
          <cell r="A7496">
            <v>1868000981</v>
          </cell>
          <cell r="B7496" t="str">
            <v>הוצאות משנים קודמות</v>
          </cell>
          <cell r="C7496">
            <v>5000</v>
          </cell>
        </row>
        <row r="7497">
          <cell r="A7497" t="str">
            <v>#VALUE!</v>
          </cell>
          <cell r="B7497" t="str">
            <v>מחלקת קליטה ועליה</v>
          </cell>
        </row>
        <row r="7498">
          <cell r="A7498">
            <v>18690000</v>
          </cell>
          <cell r="B7498" t="str">
            <v>שרותים לקליטת עליה</v>
          </cell>
        </row>
        <row r="7499">
          <cell r="A7499">
            <v>1869000110</v>
          </cell>
          <cell r="B7499" t="str">
            <v>השכר הקובע-תקציבית</v>
          </cell>
        </row>
        <row r="7500">
          <cell r="A7500">
            <v>1869000119</v>
          </cell>
          <cell r="B7500" t="str">
            <v xml:space="preserve">השכר הקובע-צוברת  </v>
          </cell>
        </row>
        <row r="7501">
          <cell r="A7501">
            <v>1869000122</v>
          </cell>
          <cell r="B7501" t="str">
            <v xml:space="preserve">ביגוד             </v>
          </cell>
        </row>
        <row r="7502">
          <cell r="A7502">
            <v>1869000126</v>
          </cell>
          <cell r="B7502" t="str">
            <v xml:space="preserve">דמי הבראה         </v>
          </cell>
        </row>
        <row r="7503">
          <cell r="A7503">
            <v>1869000130</v>
          </cell>
          <cell r="B7503" t="str">
            <v xml:space="preserve">שעות נוספות       </v>
          </cell>
        </row>
        <row r="7504">
          <cell r="A7504">
            <v>1869000140</v>
          </cell>
          <cell r="B7504" t="str">
            <v>השתתפות באחזקת רכב</v>
          </cell>
        </row>
        <row r="7505">
          <cell r="A7505">
            <v>1869000219</v>
          </cell>
          <cell r="B7505" t="str">
            <v xml:space="preserve">שכר קייטנת קיץ    </v>
          </cell>
        </row>
        <row r="7506">
          <cell r="A7506">
            <v>1869000253</v>
          </cell>
          <cell r="B7506" t="str">
            <v xml:space="preserve">עובדים חיצוניים   </v>
          </cell>
        </row>
        <row r="7507">
          <cell r="A7507">
            <v>1869000264</v>
          </cell>
          <cell r="B7507" t="str">
            <v>עובדי הוראה (מהכנסות)</v>
          </cell>
        </row>
        <row r="7508">
          <cell r="A7508">
            <v>1869000420</v>
          </cell>
          <cell r="B7508" t="str">
            <v xml:space="preserve">כיבוי אש          </v>
          </cell>
        </row>
        <row r="7509">
          <cell r="A7509">
            <v>1869000431</v>
          </cell>
          <cell r="B7509" t="str">
            <v xml:space="preserve">חשמל              </v>
          </cell>
        </row>
        <row r="7510">
          <cell r="A7510">
            <v>1869000437</v>
          </cell>
          <cell r="B7510" t="str">
            <v xml:space="preserve">אחזקת אזעקה       </v>
          </cell>
        </row>
        <row r="7511">
          <cell r="A7511">
            <v>1869000441</v>
          </cell>
          <cell r="B7511" t="str">
            <v xml:space="preserve">ביטוח             </v>
          </cell>
        </row>
        <row r="7512">
          <cell r="A7512">
            <v>1869000471</v>
          </cell>
          <cell r="B7512" t="str">
            <v xml:space="preserve">מכשירי כתיבה      </v>
          </cell>
        </row>
        <row r="7513">
          <cell r="A7513">
            <v>1869000511</v>
          </cell>
          <cell r="B7513" t="str">
            <v xml:space="preserve">כיבוד למתנדבים    </v>
          </cell>
        </row>
        <row r="7514">
          <cell r="A7514">
            <v>1869000512</v>
          </cell>
          <cell r="B7514" t="str">
            <v xml:space="preserve">נסיעות ואש"ל      </v>
          </cell>
        </row>
        <row r="7515">
          <cell r="A7515">
            <v>1869000522</v>
          </cell>
          <cell r="B7515" t="str">
            <v xml:space="preserve">ספרים ועיתונים    </v>
          </cell>
        </row>
        <row r="7516">
          <cell r="A7516">
            <v>1869000540</v>
          </cell>
          <cell r="B7516" t="str">
            <v xml:space="preserve">הוצאות טלפון      </v>
          </cell>
        </row>
        <row r="7517">
          <cell r="A7517">
            <v>1869000544</v>
          </cell>
          <cell r="B7517" t="str">
            <v xml:space="preserve">הוצאות דאר        </v>
          </cell>
        </row>
        <row r="7518">
          <cell r="A7518">
            <v>1869000550</v>
          </cell>
          <cell r="B7518" t="str">
            <v xml:space="preserve">פירסומים          </v>
          </cell>
        </row>
        <row r="7519">
          <cell r="A7519">
            <v>1869000561</v>
          </cell>
          <cell r="B7519" t="str">
            <v xml:space="preserve">שיכפולים          </v>
          </cell>
        </row>
        <row r="7520">
          <cell r="A7520">
            <v>1869000562</v>
          </cell>
          <cell r="B7520" t="str">
            <v xml:space="preserve">הדפסות            </v>
          </cell>
        </row>
        <row r="7521">
          <cell r="A7521">
            <v>1869000571</v>
          </cell>
          <cell r="B7521" t="str">
            <v xml:space="preserve">מיכון וענ"א       </v>
          </cell>
        </row>
        <row r="7522">
          <cell r="A7522">
            <v>1869000710</v>
          </cell>
          <cell r="B7522" t="str">
            <v xml:space="preserve">הובלות והסעות     </v>
          </cell>
        </row>
        <row r="7523">
          <cell r="A7523">
            <v>1869000742</v>
          </cell>
          <cell r="B7523" t="str">
            <v xml:space="preserve">ציוד              </v>
          </cell>
        </row>
        <row r="7524">
          <cell r="A7524">
            <v>1869000745</v>
          </cell>
          <cell r="B7524" t="str">
            <v xml:space="preserve">דמי פריצה - תכולה </v>
          </cell>
        </row>
        <row r="7525">
          <cell r="A7525">
            <v>1869000753</v>
          </cell>
          <cell r="B7525" t="str">
            <v xml:space="preserve">עובדים חיצוניים   </v>
          </cell>
        </row>
        <row r="7526">
          <cell r="A7526">
            <v>1869000756</v>
          </cell>
          <cell r="B7526" t="str">
            <v>שמירה בקבלנות</v>
          </cell>
        </row>
        <row r="7527">
          <cell r="A7527">
            <v>1869000780</v>
          </cell>
          <cell r="B7527" t="str">
            <v xml:space="preserve">ארועים            </v>
          </cell>
        </row>
        <row r="7528">
          <cell r="A7528">
            <v>1869000781</v>
          </cell>
          <cell r="B7528" t="str">
            <v>קייטנות עולים,וטרנים,פרוייקטים</v>
          </cell>
        </row>
        <row r="7529">
          <cell r="A7529">
            <v>1869000782</v>
          </cell>
          <cell r="B7529" t="str">
            <v>משרד הקליטה-מהכנסה</v>
          </cell>
        </row>
        <row r="7530">
          <cell r="A7530">
            <v>1869000794</v>
          </cell>
          <cell r="B7530" t="str">
            <v xml:space="preserve">השתתפות בעזר 094  </v>
          </cell>
        </row>
        <row r="7531">
          <cell r="A7531">
            <v>1869000810</v>
          </cell>
          <cell r="B7531" t="str">
            <v xml:space="preserve">קמחא דפסחא        </v>
          </cell>
        </row>
        <row r="7532">
          <cell r="A7532">
            <v>1869000811</v>
          </cell>
          <cell r="B7532" t="str">
            <v>רכזת קליטה</v>
          </cell>
        </row>
        <row r="7533">
          <cell r="A7533">
            <v>1869000812</v>
          </cell>
          <cell r="B7533" t="str">
            <v>השתתפות בקליטת עליה</v>
          </cell>
        </row>
        <row r="7534">
          <cell r="A7534">
            <v>1869000961</v>
          </cell>
          <cell r="B7534" t="str">
            <v>רז' פעולות ורכישות</v>
          </cell>
        </row>
        <row r="7535">
          <cell r="A7535">
            <v>1869000980</v>
          </cell>
          <cell r="B7535" t="str">
            <v xml:space="preserve">קליטת יהדות סוריה </v>
          </cell>
        </row>
        <row r="7536">
          <cell r="A7536" t="str">
            <v>#VALUE!</v>
          </cell>
          <cell r="B7536" t="str">
            <v>שרותים לקליטת עליה</v>
          </cell>
        </row>
        <row r="7537">
          <cell r="A7537">
            <v>18700000</v>
          </cell>
          <cell r="B7537" t="str">
            <v xml:space="preserve">איכות הסביבה      </v>
          </cell>
        </row>
        <row r="7538">
          <cell r="A7538">
            <v>18790000</v>
          </cell>
          <cell r="B7538" t="str">
            <v>מערך איכות הסביבה</v>
          </cell>
        </row>
        <row r="7539">
          <cell r="A7539">
            <v>1879000110</v>
          </cell>
          <cell r="B7539" t="str">
            <v>השכר הקובע-תקציבית</v>
          </cell>
          <cell r="C7539">
            <v>143900</v>
          </cell>
        </row>
        <row r="7540">
          <cell r="A7540">
            <v>1879000119</v>
          </cell>
          <cell r="B7540" t="str">
            <v xml:space="preserve">השכר הקובע-צוברת  </v>
          </cell>
          <cell r="C7540">
            <v>1156700</v>
          </cell>
        </row>
        <row r="7541">
          <cell r="A7541">
            <v>1879000122</v>
          </cell>
          <cell r="B7541" t="str">
            <v xml:space="preserve">ביגוד             </v>
          </cell>
          <cell r="C7541">
            <v>21000</v>
          </cell>
        </row>
        <row r="7542">
          <cell r="A7542">
            <v>1879000126</v>
          </cell>
          <cell r="B7542" t="str">
            <v xml:space="preserve">דמי הבראה         </v>
          </cell>
          <cell r="C7542">
            <v>32000</v>
          </cell>
        </row>
        <row r="7543">
          <cell r="A7543">
            <v>1879000130</v>
          </cell>
          <cell r="B7543" t="str">
            <v xml:space="preserve">שעות נוספות       </v>
          </cell>
        </row>
        <row r="7544">
          <cell r="A7544">
            <v>1879000140</v>
          </cell>
          <cell r="B7544" t="str">
            <v>השתתפות באחזקת רכב</v>
          </cell>
          <cell r="C7544">
            <v>191900</v>
          </cell>
        </row>
        <row r="7545">
          <cell r="A7545">
            <v>1879000253</v>
          </cell>
          <cell r="B7545" t="str">
            <v xml:space="preserve">עובדים חיצוניים   </v>
          </cell>
        </row>
        <row r="7546">
          <cell r="A7546">
            <v>1879000420</v>
          </cell>
          <cell r="B7546" t="str">
            <v xml:space="preserve">כיבוי אש          </v>
          </cell>
        </row>
        <row r="7547">
          <cell r="A7547">
            <v>1879000433</v>
          </cell>
          <cell r="B7547" t="str">
            <v xml:space="preserve">חומרי נקיון       </v>
          </cell>
          <cell r="C7547">
            <v>2300</v>
          </cell>
        </row>
        <row r="7548">
          <cell r="A7548">
            <v>1879000437</v>
          </cell>
          <cell r="B7548" t="str">
            <v xml:space="preserve">אחזקת אזעקה       </v>
          </cell>
        </row>
        <row r="7549">
          <cell r="A7549">
            <v>1879000441</v>
          </cell>
          <cell r="B7549" t="str">
            <v xml:space="preserve">ביטוח             </v>
          </cell>
        </row>
        <row r="7550">
          <cell r="A7550">
            <v>1879000450</v>
          </cell>
          <cell r="B7550" t="str">
            <v>אחזקת תמי 4</v>
          </cell>
          <cell r="C7550">
            <v>500</v>
          </cell>
        </row>
        <row r="7551">
          <cell r="A7551">
            <v>1879000470</v>
          </cell>
          <cell r="B7551" t="str">
            <v xml:space="preserve">אחזקת מכונות משרד </v>
          </cell>
          <cell r="C7551">
            <v>1100</v>
          </cell>
        </row>
        <row r="7552">
          <cell r="A7552">
            <v>1879000471</v>
          </cell>
          <cell r="B7552" t="str">
            <v xml:space="preserve">מכשירי כתיבה      </v>
          </cell>
          <cell r="C7552">
            <v>12200</v>
          </cell>
        </row>
        <row r="7553">
          <cell r="A7553">
            <v>1879000492</v>
          </cell>
          <cell r="B7553" t="str">
            <v xml:space="preserve">השתתפות בעזר 092  </v>
          </cell>
        </row>
        <row r="7554">
          <cell r="A7554">
            <v>1879000511</v>
          </cell>
          <cell r="B7554" t="str">
            <v xml:space="preserve">אירוח וכיבוד      </v>
          </cell>
          <cell r="C7554">
            <v>5900</v>
          </cell>
        </row>
        <row r="7555">
          <cell r="A7555">
            <v>1879000522</v>
          </cell>
          <cell r="B7555" t="str">
            <v xml:space="preserve">ספרים ועיתונים    </v>
          </cell>
          <cell r="C7555">
            <v>1200</v>
          </cell>
        </row>
        <row r="7556">
          <cell r="A7556">
            <v>1879000540</v>
          </cell>
          <cell r="B7556" t="str">
            <v xml:space="preserve">הוצאות טלפון      </v>
          </cell>
        </row>
        <row r="7557">
          <cell r="A7557">
            <v>1879000544</v>
          </cell>
          <cell r="B7557" t="str">
            <v xml:space="preserve">הוצאות דאר        </v>
          </cell>
          <cell r="C7557">
            <v>500</v>
          </cell>
        </row>
        <row r="7558">
          <cell r="A7558">
            <v>1879000550</v>
          </cell>
          <cell r="B7558" t="str">
            <v xml:space="preserve">פירסומים          </v>
          </cell>
          <cell r="C7558">
            <v>2500</v>
          </cell>
        </row>
        <row r="7559">
          <cell r="A7559">
            <v>1879000561</v>
          </cell>
          <cell r="B7559" t="str">
            <v xml:space="preserve">שיכפולים          </v>
          </cell>
          <cell r="C7559">
            <v>1200</v>
          </cell>
        </row>
        <row r="7560">
          <cell r="A7560">
            <v>1879000562</v>
          </cell>
          <cell r="B7560" t="str">
            <v xml:space="preserve">הדפסות            </v>
          </cell>
          <cell r="C7560">
            <v>2400</v>
          </cell>
        </row>
        <row r="7561">
          <cell r="A7561">
            <v>1879000571</v>
          </cell>
          <cell r="B7561" t="str">
            <v xml:space="preserve">מיכון וענ"א       </v>
          </cell>
        </row>
        <row r="7562">
          <cell r="A7562">
            <v>1879000580</v>
          </cell>
          <cell r="B7562" t="str">
            <v>הפעלת גינות קהילתיות</v>
          </cell>
          <cell r="C7562">
            <v>60000</v>
          </cell>
        </row>
        <row r="7563">
          <cell r="A7563">
            <v>1879000710</v>
          </cell>
          <cell r="B7563" t="str">
            <v xml:space="preserve">הובלות והסעות     </v>
          </cell>
          <cell r="C7563">
            <v>8600</v>
          </cell>
        </row>
        <row r="7564">
          <cell r="A7564">
            <v>1879000722</v>
          </cell>
          <cell r="B7564" t="str">
            <v>חמרים-תחזוקה עצמית</v>
          </cell>
        </row>
        <row r="7565">
          <cell r="A7565">
            <v>1879000743</v>
          </cell>
          <cell r="B7565" t="str">
            <v xml:space="preserve">אחזקת ציוד        </v>
          </cell>
          <cell r="C7565">
            <v>8600</v>
          </cell>
        </row>
        <row r="7566">
          <cell r="A7566">
            <v>1879000752</v>
          </cell>
          <cell r="B7566" t="str">
            <v xml:space="preserve">נקיון בקבלנות     </v>
          </cell>
          <cell r="C7566">
            <v>18100</v>
          </cell>
        </row>
        <row r="7567">
          <cell r="A7567">
            <v>1879000753</v>
          </cell>
          <cell r="B7567" t="str">
            <v xml:space="preserve">עובדים חיצוניים   </v>
          </cell>
        </row>
        <row r="7568">
          <cell r="A7568">
            <v>1879000754</v>
          </cell>
          <cell r="B7568" t="str">
            <v>גנן קהילתי</v>
          </cell>
          <cell r="C7568">
            <v>80000</v>
          </cell>
        </row>
        <row r="7569">
          <cell r="A7569">
            <v>1879000757</v>
          </cell>
          <cell r="B7569" t="str">
            <v>טיפול בזיהום אויר</v>
          </cell>
          <cell r="C7569">
            <v>12400</v>
          </cell>
        </row>
        <row r="7570">
          <cell r="A7570">
            <v>1879000764</v>
          </cell>
          <cell r="B7570" t="str">
            <v xml:space="preserve">עובדי חברת מוסדות </v>
          </cell>
        </row>
        <row r="7571">
          <cell r="A7571">
            <v>1879000780</v>
          </cell>
          <cell r="B7571" t="str">
            <v xml:space="preserve">ארועים            </v>
          </cell>
        </row>
        <row r="7572">
          <cell r="A7572">
            <v>1879000781</v>
          </cell>
          <cell r="B7572" t="str">
            <v>קיימות</v>
          </cell>
          <cell r="C7572">
            <v>40000</v>
          </cell>
        </row>
        <row r="7573">
          <cell r="A7573">
            <v>1879000794</v>
          </cell>
          <cell r="B7573" t="str">
            <v xml:space="preserve">השתתפות בעזר 094  </v>
          </cell>
        </row>
        <row r="7574">
          <cell r="A7574">
            <v>1879000931</v>
          </cell>
          <cell r="B7574" t="str">
            <v xml:space="preserve">רכישות חד פעמיות  </v>
          </cell>
          <cell r="C7574">
            <v>7300</v>
          </cell>
        </row>
        <row r="7575">
          <cell r="A7575">
            <v>1879000961</v>
          </cell>
          <cell r="B7575" t="str">
            <v>רז' פעולות ורכישות</v>
          </cell>
        </row>
        <row r="7576">
          <cell r="A7576" t="str">
            <v>#VALUE!</v>
          </cell>
          <cell r="B7576" t="str">
            <v>מערך איכות הסביבה</v>
          </cell>
        </row>
        <row r="7577">
          <cell r="A7577">
            <v>19000000</v>
          </cell>
          <cell r="B7577" t="str">
            <v xml:space="preserve">מפעלים ותשלומים   </v>
          </cell>
        </row>
        <row r="7578">
          <cell r="A7578">
            <v>19100000</v>
          </cell>
          <cell r="B7578" t="str">
            <v xml:space="preserve">מים               </v>
          </cell>
        </row>
        <row r="7579">
          <cell r="A7579">
            <v>19120000</v>
          </cell>
          <cell r="B7579" t="str">
            <v xml:space="preserve">גביה              </v>
          </cell>
        </row>
        <row r="7580">
          <cell r="A7580">
            <v>1912000100</v>
          </cell>
          <cell r="B7580" t="str">
            <v>שכר עובדים לפי תקן</v>
          </cell>
        </row>
        <row r="7581">
          <cell r="A7581">
            <v>1912000110</v>
          </cell>
          <cell r="B7581" t="str">
            <v>השכר הקובע-תקציבית</v>
          </cell>
        </row>
        <row r="7582">
          <cell r="A7582">
            <v>1912000119</v>
          </cell>
          <cell r="B7582" t="str">
            <v xml:space="preserve">השכר הקובע-צוברת  </v>
          </cell>
        </row>
        <row r="7583">
          <cell r="A7583">
            <v>1912000122</v>
          </cell>
          <cell r="B7583" t="str">
            <v xml:space="preserve">ביגוד             </v>
          </cell>
        </row>
        <row r="7584">
          <cell r="A7584">
            <v>1912000126</v>
          </cell>
          <cell r="B7584" t="str">
            <v xml:space="preserve">דמי הבראה         </v>
          </cell>
        </row>
        <row r="7585">
          <cell r="A7585">
            <v>1912000130</v>
          </cell>
          <cell r="B7585" t="str">
            <v xml:space="preserve">שעות נוספות       </v>
          </cell>
        </row>
        <row r="7586">
          <cell r="A7586">
            <v>1912000140</v>
          </cell>
          <cell r="B7586" t="str">
            <v>השתתפות באחזקת רכב</v>
          </cell>
        </row>
        <row r="7587">
          <cell r="A7587">
            <v>1912000250</v>
          </cell>
          <cell r="B7587" t="str">
            <v>עובדים תיצוניים</v>
          </cell>
        </row>
        <row r="7588">
          <cell r="A7588">
            <v>1912000253</v>
          </cell>
          <cell r="B7588" t="str">
            <v xml:space="preserve">עובד חיצוני       </v>
          </cell>
        </row>
        <row r="7589">
          <cell r="A7589">
            <v>1912000400</v>
          </cell>
          <cell r="B7589" t="str">
            <v>אחזקת בנינים וציוד</v>
          </cell>
        </row>
        <row r="7590">
          <cell r="A7590">
            <v>1912000471</v>
          </cell>
          <cell r="B7590" t="str">
            <v xml:space="preserve">מכשירי כתיבה      </v>
          </cell>
        </row>
        <row r="7591">
          <cell r="A7591">
            <v>1912000492</v>
          </cell>
          <cell r="B7591" t="str">
            <v xml:space="preserve">השתתפות בעזר 092  </v>
          </cell>
        </row>
        <row r="7592">
          <cell r="A7592">
            <v>1912000500</v>
          </cell>
          <cell r="B7592" t="str">
            <v xml:space="preserve">הוצאות מינהליות   </v>
          </cell>
        </row>
        <row r="7593">
          <cell r="A7593">
            <v>1912000541</v>
          </cell>
          <cell r="B7593" t="str">
            <v xml:space="preserve">משלוחים           </v>
          </cell>
        </row>
        <row r="7594">
          <cell r="A7594">
            <v>1912000544</v>
          </cell>
          <cell r="B7594" t="str">
            <v xml:space="preserve">הוצאות דאר        </v>
          </cell>
        </row>
        <row r="7595">
          <cell r="A7595">
            <v>1912000561</v>
          </cell>
          <cell r="B7595" t="str">
            <v xml:space="preserve">שיכפולים          </v>
          </cell>
        </row>
        <row r="7596">
          <cell r="A7596">
            <v>1912000562</v>
          </cell>
          <cell r="B7596" t="str">
            <v xml:space="preserve">הדפסות            </v>
          </cell>
        </row>
        <row r="7597">
          <cell r="A7597">
            <v>1912000571</v>
          </cell>
          <cell r="B7597" t="str">
            <v xml:space="preserve">מיכון וענ"א       </v>
          </cell>
        </row>
        <row r="7598">
          <cell r="A7598">
            <v>1912000700</v>
          </cell>
          <cell r="B7598" t="str">
            <v xml:space="preserve">הוצאות לפעולות    </v>
          </cell>
        </row>
        <row r="7599">
          <cell r="A7599">
            <v>1912000715</v>
          </cell>
          <cell r="B7599" t="str">
            <v>עבודות קבלניות-רכב</v>
          </cell>
        </row>
        <row r="7600">
          <cell r="A7600">
            <v>1912000722</v>
          </cell>
          <cell r="B7600" t="str">
            <v>חמרים-תחזוקה עצמית</v>
          </cell>
        </row>
        <row r="7601">
          <cell r="A7601">
            <v>1912000753</v>
          </cell>
          <cell r="B7601" t="str">
            <v xml:space="preserve">עובד חיצוני       </v>
          </cell>
        </row>
        <row r="7602">
          <cell r="A7602">
            <v>1912000757</v>
          </cell>
          <cell r="B7602" t="str">
            <v>שרותים מהתאגיד</v>
          </cell>
        </row>
        <row r="7603">
          <cell r="A7603">
            <v>1912000758</v>
          </cell>
          <cell r="B7603" t="str">
            <v>אכיפת גביה - מים</v>
          </cell>
        </row>
        <row r="7604">
          <cell r="A7604">
            <v>1912000794</v>
          </cell>
          <cell r="B7604" t="str">
            <v xml:space="preserve">השתתפות בעזר 094  </v>
          </cell>
        </row>
        <row r="7605">
          <cell r="A7605">
            <v>1912000961</v>
          </cell>
          <cell r="B7605" t="str">
            <v>רז' פעולות ורכישות</v>
          </cell>
        </row>
        <row r="7606">
          <cell r="A7606" t="str">
            <v>#VALUE!</v>
          </cell>
          <cell r="B7606" t="str">
            <v xml:space="preserve">גביה              </v>
          </cell>
        </row>
        <row r="7607">
          <cell r="A7607">
            <v>19130000</v>
          </cell>
          <cell r="B7607" t="str">
            <v>מי שיקמה חולון / אזור</v>
          </cell>
        </row>
        <row r="7608">
          <cell r="A7608">
            <v>1913000100</v>
          </cell>
          <cell r="B7608" t="str">
            <v>שכר עובדים לפי תקן</v>
          </cell>
        </row>
        <row r="7609">
          <cell r="A7609">
            <v>1913000119</v>
          </cell>
          <cell r="B7609" t="str">
            <v xml:space="preserve">השכר הקובע-צוברת  </v>
          </cell>
        </row>
        <row r="7610">
          <cell r="A7610">
            <v>1913000122</v>
          </cell>
          <cell r="B7610" t="str">
            <v xml:space="preserve">ביגוד             </v>
          </cell>
        </row>
        <row r="7611">
          <cell r="A7611">
            <v>1913000126</v>
          </cell>
          <cell r="B7611" t="str">
            <v xml:space="preserve">דמי הבראה         </v>
          </cell>
        </row>
        <row r="7612">
          <cell r="A7612">
            <v>1913000130</v>
          </cell>
          <cell r="B7612" t="str">
            <v xml:space="preserve">שעות נוספות       </v>
          </cell>
        </row>
        <row r="7613">
          <cell r="A7613">
            <v>1913000140</v>
          </cell>
          <cell r="B7613" t="str">
            <v>השתתפות באחזקת רכב</v>
          </cell>
        </row>
        <row r="7614">
          <cell r="A7614">
            <v>1913000250</v>
          </cell>
          <cell r="B7614" t="str">
            <v>שכר מושאלים</v>
          </cell>
        </row>
        <row r="7615">
          <cell r="A7615" t="str">
            <v>#VALUE!</v>
          </cell>
          <cell r="B7615" t="str">
            <v>מי נביעות חולון / אזור</v>
          </cell>
        </row>
        <row r="7616">
          <cell r="A7616">
            <v>19300000</v>
          </cell>
          <cell r="B7616" t="str">
            <v xml:space="preserve">נכסים             </v>
          </cell>
        </row>
        <row r="7617">
          <cell r="A7617">
            <v>19330000</v>
          </cell>
          <cell r="B7617" t="str">
            <v xml:space="preserve">החברה הכלכלית     </v>
          </cell>
        </row>
        <row r="7618">
          <cell r="A7618">
            <v>1933000610</v>
          </cell>
          <cell r="B7618" t="str">
            <v>עמלה לחברה הכלכלית</v>
          </cell>
        </row>
        <row r="7619">
          <cell r="A7619" t="str">
            <v>#VALUE!</v>
          </cell>
          <cell r="B7619" t="str">
            <v xml:space="preserve">החברה הכלכלית     </v>
          </cell>
        </row>
        <row r="7620">
          <cell r="A7620">
            <v>19390000</v>
          </cell>
          <cell r="B7620" t="str">
            <v xml:space="preserve">נכסים אחרים       </v>
          </cell>
        </row>
        <row r="7621">
          <cell r="A7621">
            <v>1939000410</v>
          </cell>
          <cell r="B7621" t="str">
            <v xml:space="preserve">דמי חכירה         </v>
          </cell>
          <cell r="C7621">
            <v>13500</v>
          </cell>
        </row>
        <row r="7622">
          <cell r="A7622">
            <v>1939000411</v>
          </cell>
          <cell r="B7622" t="str">
            <v>ארנונה-נכסי העירייה</v>
          </cell>
        </row>
        <row r="7623">
          <cell r="A7623">
            <v>1939000412</v>
          </cell>
          <cell r="B7623" t="str">
            <v xml:space="preserve">מס רכישה          </v>
          </cell>
          <cell r="C7623">
            <v>9000</v>
          </cell>
        </row>
        <row r="7624">
          <cell r="A7624">
            <v>1939000413</v>
          </cell>
          <cell r="B7624" t="str">
            <v>דמ"ש נכסי חברות הבת</v>
          </cell>
        </row>
        <row r="7625">
          <cell r="A7625">
            <v>1939000432</v>
          </cell>
          <cell r="B7625" t="str">
            <v>מים - נכסים</v>
          </cell>
          <cell r="C7625">
            <v>20000</v>
          </cell>
        </row>
        <row r="7626">
          <cell r="A7626">
            <v>1939000441</v>
          </cell>
          <cell r="B7626" t="str">
            <v xml:space="preserve">ביטוח דירות       </v>
          </cell>
        </row>
        <row r="7627">
          <cell r="A7627">
            <v>1939000477</v>
          </cell>
          <cell r="B7627" t="str">
            <v xml:space="preserve">אחזקת נכסים       </v>
          </cell>
        </row>
        <row r="7628">
          <cell r="A7628">
            <v>1939000550</v>
          </cell>
          <cell r="B7628" t="str">
            <v xml:space="preserve">פירסומים          </v>
          </cell>
        </row>
        <row r="7629">
          <cell r="A7629">
            <v>1939000570</v>
          </cell>
          <cell r="B7629" t="str">
            <v>תוכנת ניהול נכסים</v>
          </cell>
        </row>
        <row r="7630">
          <cell r="A7630">
            <v>1939000572</v>
          </cell>
          <cell r="B7630" t="str">
            <v>דמי ניהול אמות</v>
          </cell>
          <cell r="C7630">
            <v>300000</v>
          </cell>
        </row>
        <row r="7631">
          <cell r="A7631">
            <v>1939000580</v>
          </cell>
          <cell r="B7631" t="str">
            <v xml:space="preserve">ייעוץ חיצוני      </v>
          </cell>
        </row>
        <row r="7632">
          <cell r="A7632">
            <v>1939000801</v>
          </cell>
          <cell r="B7632" t="str">
            <v>דמי זיכיון רשת קהילה ופנאי</v>
          </cell>
        </row>
        <row r="7633">
          <cell r="A7633">
            <v>1939000802</v>
          </cell>
          <cell r="B7633" t="str">
            <v>דמ"ז החברה לפיתוח תאטרון</v>
          </cell>
        </row>
        <row r="7634">
          <cell r="A7634">
            <v>1939000803</v>
          </cell>
          <cell r="B7634" t="str">
            <v>זכות הפעלה החב' לפיתוח תאטרון</v>
          </cell>
        </row>
        <row r="7635">
          <cell r="A7635">
            <v>1939000804</v>
          </cell>
          <cell r="B7635" t="str">
            <v>זכות הפעלה רשת קהילה ופנאי</v>
          </cell>
        </row>
        <row r="7636">
          <cell r="A7636">
            <v>1939000810</v>
          </cell>
          <cell r="B7636" t="str">
            <v>ארנונה נכסי העירייה</v>
          </cell>
          <cell r="C7636">
            <v>12502000</v>
          </cell>
        </row>
        <row r="7637">
          <cell r="A7637">
            <v>1939000901</v>
          </cell>
          <cell r="B7637" t="str">
            <v>קרן ארנונה</v>
          </cell>
        </row>
        <row r="7638">
          <cell r="A7638" t="str">
            <v>#VALUE!</v>
          </cell>
          <cell r="B7638" t="str">
            <v xml:space="preserve">נכסים אחרים       </v>
          </cell>
        </row>
        <row r="7639">
          <cell r="A7639">
            <v>19700000</v>
          </cell>
          <cell r="B7639" t="str">
            <v xml:space="preserve">מפעל הביוב        </v>
          </cell>
        </row>
        <row r="7640">
          <cell r="A7640">
            <v>19720000</v>
          </cell>
          <cell r="B7640" t="str">
            <v xml:space="preserve">ביוב  עירוני      </v>
          </cell>
        </row>
        <row r="7641">
          <cell r="A7641">
            <v>1972000100</v>
          </cell>
          <cell r="B7641" t="str">
            <v>שכר עובדים לפי תקן</v>
          </cell>
        </row>
        <row r="7642">
          <cell r="A7642">
            <v>1972000119</v>
          </cell>
          <cell r="B7642" t="str">
            <v xml:space="preserve">השכר הקובע-צוברת  </v>
          </cell>
        </row>
        <row r="7643">
          <cell r="A7643">
            <v>1972000140</v>
          </cell>
          <cell r="B7643" t="str">
            <v>השתתפות באחזקת רכב</v>
          </cell>
        </row>
        <row r="7644">
          <cell r="A7644" t="str">
            <v>#VALUE!</v>
          </cell>
          <cell r="B7644" t="str">
            <v xml:space="preserve">ביוב  עירוני      </v>
          </cell>
        </row>
        <row r="7645">
          <cell r="A7645">
            <v>19900000</v>
          </cell>
          <cell r="B7645" t="str">
            <v xml:space="preserve">תשלומים לא רגילים </v>
          </cell>
        </row>
        <row r="7646">
          <cell r="A7646">
            <v>19910000</v>
          </cell>
          <cell r="B7646" t="str">
            <v>הפרשות לקרנות תקציביות</v>
          </cell>
        </row>
        <row r="7647">
          <cell r="A7647">
            <v>19911000</v>
          </cell>
          <cell r="B7647" t="str">
            <v xml:space="preserve">קרן מחסנים        </v>
          </cell>
        </row>
        <row r="7648">
          <cell r="A7648">
            <v>1991100986</v>
          </cell>
          <cell r="B7648" t="str">
            <v>התאם מלאי מחסן ודלק</v>
          </cell>
        </row>
        <row r="7649">
          <cell r="A7649" t="str">
            <v>#VALUE!</v>
          </cell>
          <cell r="B7649" t="str">
            <v xml:space="preserve">קרן מחסנים        </v>
          </cell>
        </row>
        <row r="7650">
          <cell r="A7650">
            <v>19913000</v>
          </cell>
          <cell r="B7650" t="str">
            <v>קרן הלואות לעובדים</v>
          </cell>
        </row>
        <row r="7651">
          <cell r="A7651">
            <v>1991300981</v>
          </cell>
          <cell r="B7651" t="str">
            <v xml:space="preserve">קרן להלואות לרכב  </v>
          </cell>
        </row>
        <row r="7652">
          <cell r="A7652" t="str">
            <v>#VALUE!</v>
          </cell>
          <cell r="B7652" t="str">
            <v>קרן הלואות לעובדים</v>
          </cell>
        </row>
        <row r="7653">
          <cell r="A7653">
            <v>19917000</v>
          </cell>
          <cell r="B7653" t="str">
            <v>העברה לתק' פיתוח</v>
          </cell>
        </row>
        <row r="7654">
          <cell r="A7654">
            <v>1991700930</v>
          </cell>
          <cell r="B7654" t="str">
            <v>העברה לתב"רים</v>
          </cell>
        </row>
        <row r="7655">
          <cell r="A7655">
            <v>1991700931</v>
          </cell>
          <cell r="B7655" t="str">
            <v>לתב"ר השקעה בחכ"ל</v>
          </cell>
        </row>
        <row r="7656">
          <cell r="A7656" t="str">
            <v>#VALUE!</v>
          </cell>
          <cell r="B7656" t="str">
            <v>הפרשות לתק' פיתוח</v>
          </cell>
        </row>
        <row r="7657">
          <cell r="A7657">
            <v>19918000</v>
          </cell>
          <cell r="B7657" t="str">
            <v>תשלומים סוציאליים</v>
          </cell>
        </row>
        <row r="7658">
          <cell r="A7658">
            <v>1991800126</v>
          </cell>
          <cell r="B7658" t="str">
            <v>הפרשה לדמי הבראה</v>
          </cell>
        </row>
        <row r="7659">
          <cell r="A7659">
            <v>1991800181</v>
          </cell>
          <cell r="B7659" t="str">
            <v>הסכם ינואר 2011</v>
          </cell>
        </row>
        <row r="7660">
          <cell r="A7660">
            <v>1991800360</v>
          </cell>
          <cell r="B7660" t="str">
            <v>שי לעובדים</v>
          </cell>
          <cell r="C7660">
            <v>2685000</v>
          </cell>
        </row>
        <row r="7661">
          <cell r="A7661">
            <v>1991800361</v>
          </cell>
          <cell r="B7661" t="str">
            <v>שי לעובדים ארעיים</v>
          </cell>
          <cell r="C7661">
            <v>10000</v>
          </cell>
        </row>
        <row r="7662">
          <cell r="A7662">
            <v>1991800362</v>
          </cell>
          <cell r="B7662" t="str">
            <v>ביטוח בריאות לעובדים</v>
          </cell>
        </row>
        <row r="7663">
          <cell r="A7663" t="str">
            <v>#VALUE!</v>
          </cell>
          <cell r="B7663" t="str">
            <v>תשלומים סוציאליים</v>
          </cell>
        </row>
        <row r="7664">
          <cell r="A7664">
            <v>19919000</v>
          </cell>
          <cell r="B7664" t="str">
            <v xml:space="preserve">גימלאות ופיצויים  </v>
          </cell>
        </row>
        <row r="7665">
          <cell r="A7665">
            <v>1991900100</v>
          </cell>
          <cell r="B7665" t="str">
            <v>שכר עובדים לפי תקן</v>
          </cell>
        </row>
        <row r="7666">
          <cell r="A7666">
            <v>1991900310</v>
          </cell>
          <cell r="B7666" t="str">
            <v xml:space="preserve">תשלומי פנסיות     </v>
          </cell>
        </row>
        <row r="7667">
          <cell r="A7667">
            <v>1991900311</v>
          </cell>
          <cell r="B7667" t="str">
            <v xml:space="preserve">פנסיות לשארים     </v>
          </cell>
        </row>
        <row r="7668">
          <cell r="A7668">
            <v>1991900320</v>
          </cell>
          <cell r="B7668" t="str">
            <v xml:space="preserve">תשלומי פיצויים    </v>
          </cell>
        </row>
        <row r="7669">
          <cell r="A7669">
            <v>1991900321</v>
          </cell>
          <cell r="B7669" t="str">
            <v>תשלומי גמר חשבון</v>
          </cell>
        </row>
        <row r="7670">
          <cell r="A7670">
            <v>1991900330</v>
          </cell>
          <cell r="B7670" t="str">
            <v xml:space="preserve">פנסיות לאחרים     </v>
          </cell>
        </row>
        <row r="7671">
          <cell r="A7671">
            <v>1991900340</v>
          </cell>
          <cell r="B7671" t="str">
            <v>רווחת גימלאי העירייה</v>
          </cell>
        </row>
        <row r="7672">
          <cell r="A7672" t="str">
            <v>#VALUE!</v>
          </cell>
          <cell r="B7672" t="str">
            <v xml:space="preserve">גימלאות ופיצויים  </v>
          </cell>
        </row>
        <row r="7673">
          <cell r="A7673">
            <v>19919100</v>
          </cell>
          <cell r="B7673" t="str">
            <v>השת' בהפרשה לפנסיה</v>
          </cell>
        </row>
        <row r="7674">
          <cell r="A7674">
            <v>1991910391</v>
          </cell>
          <cell r="B7674" t="str">
            <v>השת' בהפרשה לפנסיה</v>
          </cell>
        </row>
        <row r="7675">
          <cell r="A7675" t="str">
            <v>#VALUE!</v>
          </cell>
          <cell r="B7675" t="str">
            <v>השת' בהפרשה לפנסיה</v>
          </cell>
        </row>
        <row r="7676">
          <cell r="A7676">
            <v>19920000</v>
          </cell>
          <cell r="B7676" t="str">
            <v xml:space="preserve">רזרבה תקציבית     </v>
          </cell>
        </row>
        <row r="7677">
          <cell r="A7677">
            <v>1992000960</v>
          </cell>
          <cell r="B7677" t="str">
            <v xml:space="preserve">פעולות מיוחדות    </v>
          </cell>
        </row>
        <row r="7678">
          <cell r="A7678">
            <v>1992000961</v>
          </cell>
          <cell r="B7678" t="str">
            <v>רזרבת שכר לועדות תקינה</v>
          </cell>
        </row>
        <row r="7679">
          <cell r="A7679">
            <v>1992000963</v>
          </cell>
          <cell r="B7679" t="str">
            <v>רזרבה לרכבי ליסינג</v>
          </cell>
        </row>
        <row r="7680">
          <cell r="A7680" t="str">
            <v>#VALUE!</v>
          </cell>
          <cell r="B7680" t="str">
            <v xml:space="preserve">רזרבה תקציבית     </v>
          </cell>
        </row>
        <row r="7681">
          <cell r="A7681">
            <v>19940000</v>
          </cell>
          <cell r="B7681" t="str">
            <v>מיוחדות+בלתי נצפות</v>
          </cell>
        </row>
        <row r="7682">
          <cell r="A7682">
            <v>1994000970</v>
          </cell>
          <cell r="B7682" t="str">
            <v xml:space="preserve">מ"ה הוצאות עודפות </v>
          </cell>
          <cell r="C7682">
            <v>400000</v>
          </cell>
        </row>
        <row r="7683">
          <cell r="A7683">
            <v>1994000981</v>
          </cell>
          <cell r="B7683" t="str">
            <v xml:space="preserve">הוצ' משנים קודמות </v>
          </cell>
          <cell r="C7683">
            <v>2000000</v>
          </cell>
        </row>
        <row r="7684">
          <cell r="A7684">
            <v>1994000982</v>
          </cell>
          <cell r="B7684" t="str">
            <v>העברה לקרן עודפים</v>
          </cell>
        </row>
        <row r="7685">
          <cell r="A7685" t="str">
            <v>#VALUE!</v>
          </cell>
          <cell r="B7685" t="str">
            <v>מיוחדות+בלתי נצפות</v>
          </cell>
        </row>
        <row r="7686">
          <cell r="A7686">
            <v>19950000</v>
          </cell>
          <cell r="B7686" t="str">
            <v xml:space="preserve">הנחות במיסים      </v>
          </cell>
        </row>
        <row r="7687">
          <cell r="A7687">
            <v>1995000860</v>
          </cell>
          <cell r="B7687" t="str">
            <v xml:space="preserve">הנחות סוציאליות   </v>
          </cell>
        </row>
        <row r="7688">
          <cell r="A7688">
            <v>1995000861</v>
          </cell>
          <cell r="B7688" t="str">
            <v xml:space="preserve">הנחות במסים       </v>
          </cell>
          <cell r="C7688">
            <v>112000000</v>
          </cell>
        </row>
        <row r="7689">
          <cell r="A7689">
            <v>1995000862</v>
          </cell>
          <cell r="B7689" t="str">
            <v xml:space="preserve">הנחות לגימלאים    </v>
          </cell>
        </row>
        <row r="7690">
          <cell r="A7690">
            <v>1995000863</v>
          </cell>
          <cell r="B7690" t="str">
            <v>פטורים מארנונה</v>
          </cell>
          <cell r="C7690">
            <v>19000000</v>
          </cell>
        </row>
        <row r="7691">
          <cell r="A7691">
            <v>1995000864</v>
          </cell>
          <cell r="B7691" t="str">
            <v>פטורים - מוסדות</v>
          </cell>
          <cell r="C7691">
            <v>18000000</v>
          </cell>
        </row>
        <row r="7692">
          <cell r="A7692">
            <v>1995000865</v>
          </cell>
          <cell r="B7692" t="str">
            <v>הנחות פטור קורונה</v>
          </cell>
        </row>
        <row r="7693">
          <cell r="A7693">
            <v>0</v>
          </cell>
          <cell r="B7693" t="str">
            <v xml:space="preserve">הנחות במיסים      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גיליון1"/>
    </sheetNames>
    <sheetDataSet>
      <sheetData sheetId="0" refreshError="1">
        <row r="456">
          <cell r="A456">
            <v>1281300433</v>
          </cell>
          <cell r="B456">
            <v>433</v>
          </cell>
          <cell r="F456" t="str">
            <v>הכנסות משנים קודמות</v>
          </cell>
          <cell r="H456" t="str">
            <v>גמיש</v>
          </cell>
        </row>
        <row r="1005">
          <cell r="F1005" t="str">
            <v>השתת' ממשלה-חט"ב</v>
          </cell>
        </row>
        <row r="1403">
          <cell r="A1403">
            <v>1346500988</v>
          </cell>
          <cell r="B1403">
            <v>988</v>
          </cell>
          <cell r="F1403" t="str">
            <v>מעטפת מגורים בקהילה</v>
          </cell>
          <cell r="H1403" t="str">
            <v>גמיש</v>
          </cell>
        </row>
        <row r="1474">
          <cell r="F1474" t="str">
            <v>הכנסות מפעילות לתושבים</v>
          </cell>
        </row>
        <row r="1511">
          <cell r="F1511" t="str">
            <v>שכ"ד-מרפאה לבריאות הנפש</v>
          </cell>
        </row>
        <row r="1512">
          <cell r="F1512" t="str">
            <v>דמ"ש פוטו וולטאי</v>
          </cell>
        </row>
        <row r="1662">
          <cell r="F1662" t="str">
            <v>השתתפות באחזקת רכב</v>
          </cell>
        </row>
        <row r="1679">
          <cell r="F1679" t="str">
            <v>פעולות מנכ"ל מינהל</v>
          </cell>
        </row>
        <row r="1688">
          <cell r="H1688" t="str">
            <v>גמיש</v>
          </cell>
        </row>
        <row r="1691">
          <cell r="A1691">
            <v>1613100788</v>
          </cell>
          <cell r="B1691">
            <v>788</v>
          </cell>
        </row>
        <row r="1883">
          <cell r="F1883" t="str">
            <v>יום האישה</v>
          </cell>
        </row>
        <row r="1959">
          <cell r="H1959" t="str">
            <v>גמיש</v>
          </cell>
        </row>
        <row r="1961">
          <cell r="F1961" t="str">
            <v>מערך ארגון ושיטות</v>
          </cell>
        </row>
        <row r="1963">
          <cell r="A1963">
            <v>1618000783</v>
          </cell>
          <cell r="B1963">
            <v>783</v>
          </cell>
          <cell r="F1963" t="str">
            <v>מפגשי מנהלים</v>
          </cell>
        </row>
        <row r="2017">
          <cell r="F2017" t="str">
            <v xml:space="preserve">ליסינג </v>
          </cell>
        </row>
        <row r="2018">
          <cell r="F2018" t="str">
            <v xml:space="preserve">הוצאות ליסינג </v>
          </cell>
        </row>
        <row r="2027">
          <cell r="F2027" t="str">
            <v>מע' חשבונות ממוחשבת</v>
          </cell>
        </row>
        <row r="2056">
          <cell r="F2056" t="str">
            <v>מיחשוב הנה"ח</v>
          </cell>
        </row>
        <row r="2185">
          <cell r="F2185" t="str">
            <v>מיחשוב גבייה</v>
          </cell>
        </row>
        <row r="2209">
          <cell r="F2209" t="str">
            <v xml:space="preserve">אחזקת אזעקה       </v>
          </cell>
        </row>
        <row r="2270">
          <cell r="F2270" t="str">
            <v xml:space="preserve">עובדים חיצוניים   </v>
          </cell>
        </row>
        <row r="2441">
          <cell r="F2441" t="str">
            <v>מיחשוב רישוי עסקים</v>
          </cell>
        </row>
        <row r="2749">
          <cell r="F2749" t="str">
            <v xml:space="preserve">חומרי נקיון       </v>
          </cell>
        </row>
        <row r="2767">
          <cell r="F2767" t="str">
            <v>מערכות ממוחשבות</v>
          </cell>
        </row>
        <row r="2789">
          <cell r="F2789" t="str">
            <v xml:space="preserve">עובדים חיצוניים   </v>
          </cell>
        </row>
        <row r="3054">
          <cell r="F3054" t="str">
            <v>אחזקה מונעת סככות מהיר לעיר</v>
          </cell>
        </row>
        <row r="3156">
          <cell r="F3156" t="str">
            <v>אחזקה שוטפת חדר משאבות</v>
          </cell>
        </row>
        <row r="3270">
          <cell r="F3270" t="str">
            <v>וועדות כיבוד</v>
          </cell>
        </row>
        <row r="3452">
          <cell r="F3452" t="str">
            <v>כיבוד מועצת עיר וועדות</v>
          </cell>
        </row>
        <row r="3637">
          <cell r="F3637" t="str">
            <v>שאילתות משרד התחבורה</v>
          </cell>
        </row>
        <row r="3683">
          <cell r="F3683" t="str">
            <v>דמי מנוי לעמדת טעינה</v>
          </cell>
        </row>
        <row r="3692">
          <cell r="C3692">
            <v>781300</v>
          </cell>
          <cell r="D3692">
            <v>1</v>
          </cell>
        </row>
        <row r="3698">
          <cell r="A3698">
            <v>1781300783</v>
          </cell>
          <cell r="B3698">
            <v>783</v>
          </cell>
          <cell r="F3698" t="str">
            <v>סיירת שיטור שכונתי</v>
          </cell>
          <cell r="H3698" t="str">
            <v>גמיש</v>
          </cell>
        </row>
        <row r="3959">
          <cell r="F3959" t="str">
            <v xml:space="preserve">ביגוד             </v>
          </cell>
        </row>
        <row r="3960">
          <cell r="F3960" t="str">
            <v xml:space="preserve">דמי הבראה         </v>
          </cell>
        </row>
        <row r="3971">
          <cell r="F3971" t="str">
            <v>תחרות האתגר</v>
          </cell>
        </row>
        <row r="4131">
          <cell r="F4131" t="str">
            <v>מעטפ"ת</v>
          </cell>
        </row>
        <row r="4242">
          <cell r="F4242" t="str">
            <v>קבוצות טיפוליות-מניעת נשירה</v>
          </cell>
        </row>
        <row r="4282">
          <cell r="F4282" t="str">
            <v>תלמוד תורה רבי</v>
          </cell>
        </row>
        <row r="4532">
          <cell r="A4532">
            <v>1815100580</v>
          </cell>
          <cell r="B4532">
            <v>580</v>
          </cell>
          <cell r="F4532" t="str">
            <v>שירותי הכנה לבחינות בגרות</v>
          </cell>
          <cell r="H4532" t="str">
            <v>גמיש</v>
          </cell>
        </row>
        <row r="4548">
          <cell r="C4548">
            <v>815100</v>
          </cell>
          <cell r="H4548" t="str">
            <v>גמיש</v>
          </cell>
        </row>
        <row r="4553">
          <cell r="A4553">
            <v>1815100792</v>
          </cell>
          <cell r="B4553">
            <v>792</v>
          </cell>
          <cell r="F4553" t="str">
            <v>מעורבות חברתית</v>
          </cell>
        </row>
        <row r="6190">
          <cell r="C6190">
            <v>828100</v>
          </cell>
          <cell r="D6190">
            <v>1</v>
          </cell>
        </row>
        <row r="6195">
          <cell r="A6195">
            <v>1828100712</v>
          </cell>
          <cell r="B6195">
            <v>712</v>
          </cell>
          <cell r="F6195" t="str">
            <v>הסעות צרכים מיוחדים</v>
          </cell>
          <cell r="H6195" t="str">
            <v>קשיח</v>
          </cell>
        </row>
        <row r="6298">
          <cell r="C6298">
            <v>828130</v>
          </cell>
          <cell r="D6298">
            <v>1</v>
          </cell>
        </row>
        <row r="6305">
          <cell r="A6305">
            <v>1828130792</v>
          </cell>
          <cell r="B6305">
            <v>792</v>
          </cell>
          <cell r="F6305" t="str">
            <v>יום המעשים הטובים</v>
          </cell>
          <cell r="H6305" t="str">
            <v>גמיש</v>
          </cell>
        </row>
        <row r="6352">
          <cell r="F6352" t="str">
            <v>התנדבות בקהילה</v>
          </cell>
        </row>
        <row r="6353">
          <cell r="F6353" t="str">
            <v>נוע"ם ח'</v>
          </cell>
        </row>
        <row r="6955">
          <cell r="F6955" t="str">
            <v>לחצני מצוקה ניידים</v>
          </cell>
        </row>
        <row r="7155">
          <cell r="F7155" t="str">
            <v>סיוע לאזרחים ותיקים</v>
          </cell>
        </row>
        <row r="7288">
          <cell r="F7288" t="str">
            <v>הסעות למועדון לכבדי ראייה</v>
          </cell>
        </row>
        <row r="7312">
          <cell r="F7312" t="str">
            <v>נכים קשים בקהילה</v>
          </cell>
        </row>
        <row r="7322">
          <cell r="H7322" t="str">
            <v>קשיח</v>
          </cell>
        </row>
        <row r="7323">
          <cell r="C7323">
            <v>846500</v>
          </cell>
          <cell r="D7323">
            <v>1</v>
          </cell>
        </row>
        <row r="7330">
          <cell r="A7330">
            <v>1846500888</v>
          </cell>
          <cell r="B7330">
            <v>888</v>
          </cell>
          <cell r="F7330" t="str">
            <v>מעטפת מגורים בקהילה</v>
          </cell>
        </row>
        <row r="7409">
          <cell r="A7409">
            <v>1848100787</v>
          </cell>
          <cell r="B7409">
            <v>787</v>
          </cell>
          <cell r="F7409" t="str">
            <v>מרכז גישור</v>
          </cell>
          <cell r="H7409" t="str">
            <v>גמיש</v>
          </cell>
        </row>
        <row r="7478">
          <cell r="D7478">
            <v>1</v>
          </cell>
        </row>
        <row r="7487">
          <cell r="A7487">
            <v>1868000981</v>
          </cell>
          <cell r="F7487" t="str">
            <v>הוצאות משנים קודמות</v>
          </cell>
          <cell r="H7487" t="str">
            <v>קשיח</v>
          </cell>
        </row>
        <row r="7621">
          <cell r="F7621" t="str">
            <v>דמי ניהול אמות</v>
          </cell>
        </row>
      </sheetData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69"/>
  <sheetViews>
    <sheetView rightToLeft="1" tabSelected="1" zoomScaleNormal="100" workbookViewId="0">
      <pane ySplit="4" topLeftCell="A5" activePane="bottomLeft" state="frozen"/>
      <selection activeCell="B1" sqref="B1:M65536"/>
      <selection pane="bottomLeft" activeCell="C3782" sqref="C3782"/>
    </sheetView>
  </sheetViews>
  <sheetFormatPr defaultRowHeight="13.8" outlineLevelRow="2"/>
  <cols>
    <col min="1" max="1" width="10" customWidth="1"/>
    <col min="2" max="2" width="5.59765625" customWidth="1"/>
    <col min="3" max="3" width="8.19921875" customWidth="1"/>
    <col min="4" max="4" width="4.09765625" customWidth="1"/>
    <col min="5" max="5" width="10.69921875" hidden="1" customWidth="1"/>
    <col min="6" max="6" width="33.3984375" customWidth="1"/>
    <col min="7" max="7" width="5.09765625" customWidth="1"/>
    <col min="8" max="8" width="12.09765625" customWidth="1"/>
    <col min="9" max="9" width="9.69921875" hidden="1" customWidth="1"/>
    <col min="10" max="11" width="16.59765625" customWidth="1"/>
    <col min="12" max="12" width="15.8984375" bestFit="1" customWidth="1"/>
    <col min="13" max="13" width="17.09765625" bestFit="1" customWidth="1"/>
  </cols>
  <sheetData>
    <row r="1" spans="1:12" ht="18">
      <c r="A1" s="1"/>
      <c r="B1" s="2"/>
      <c r="C1" s="3" t="s">
        <v>0</v>
      </c>
      <c r="D1" s="2"/>
      <c r="E1" s="4"/>
      <c r="F1" s="4"/>
      <c r="G1" s="5" t="s">
        <v>1</v>
      </c>
      <c r="H1" s="6"/>
      <c r="I1" s="7"/>
      <c r="J1" s="8"/>
      <c r="K1" s="9"/>
      <c r="L1" s="10" t="s">
        <v>2</v>
      </c>
    </row>
    <row r="2" spans="1:12" ht="21">
      <c r="A2" s="11"/>
      <c r="B2" s="306" t="s">
        <v>3</v>
      </c>
      <c r="C2" s="306"/>
      <c r="D2" s="306"/>
      <c r="E2" s="306"/>
      <c r="F2" s="306"/>
      <c r="G2" s="306"/>
      <c r="H2" s="306"/>
      <c r="I2" s="306"/>
      <c r="J2" s="306"/>
      <c r="K2" s="306"/>
      <c r="L2" s="306"/>
    </row>
    <row r="3" spans="1:12" ht="16.2" thickBot="1">
      <c r="A3" s="11"/>
      <c r="B3" s="12"/>
      <c r="C3" s="12"/>
      <c r="D3" s="12"/>
      <c r="E3" s="12"/>
      <c r="F3" s="12"/>
      <c r="G3" s="13"/>
      <c r="H3" s="13"/>
      <c r="I3" s="14"/>
      <c r="J3" s="15"/>
      <c r="K3" s="16"/>
      <c r="L3" s="17"/>
    </row>
    <row r="4" spans="1:12" ht="44.25" customHeight="1" thickBot="1">
      <c r="A4" s="18" t="s">
        <v>4</v>
      </c>
      <c r="B4" s="19" t="s">
        <v>5</v>
      </c>
      <c r="C4" s="20" t="s">
        <v>6</v>
      </c>
      <c r="D4" s="21" t="s">
        <v>7</v>
      </c>
      <c r="E4" s="22"/>
      <c r="F4" s="23" t="s">
        <v>8</v>
      </c>
      <c r="G4" s="24" t="s">
        <v>9</v>
      </c>
      <c r="H4" s="25" t="s">
        <v>10</v>
      </c>
      <c r="I4" s="26" t="s">
        <v>11</v>
      </c>
      <c r="J4" s="27" t="s">
        <v>12</v>
      </c>
      <c r="K4" s="28" t="s">
        <v>13</v>
      </c>
      <c r="L4" s="29" t="s">
        <v>14</v>
      </c>
    </row>
    <row r="5" spans="1:12" ht="16.8">
      <c r="A5" s="18"/>
      <c r="B5" s="30"/>
      <c r="C5" s="31"/>
      <c r="D5" s="32" t="s">
        <v>15</v>
      </c>
      <c r="E5" s="32"/>
      <c r="F5" s="33" t="s">
        <v>16</v>
      </c>
      <c r="G5" s="34"/>
      <c r="H5" s="35"/>
      <c r="I5" s="36"/>
      <c r="J5" s="37"/>
      <c r="K5" s="38"/>
      <c r="L5" s="39"/>
    </row>
    <row r="6" spans="1:12" ht="15.75" customHeight="1" outlineLevel="1">
      <c r="A6" s="11">
        <v>1090000</v>
      </c>
      <c r="B6" s="40" t="s">
        <v>17</v>
      </c>
      <c r="C6" s="41" t="s">
        <v>18</v>
      </c>
      <c r="D6" s="42">
        <v>1</v>
      </c>
      <c r="E6" s="43"/>
      <c r="F6" s="44" t="s">
        <v>19</v>
      </c>
      <c r="G6" s="45"/>
      <c r="H6" s="46"/>
      <c r="I6" s="47"/>
      <c r="J6" s="48"/>
      <c r="K6" s="49"/>
      <c r="L6" s="50"/>
    </row>
    <row r="7" spans="1:12" ht="15.75" customHeight="1" outlineLevel="1">
      <c r="A7" s="11">
        <v>1092000110</v>
      </c>
      <c r="B7" s="40">
        <v>110</v>
      </c>
      <c r="C7" s="41" t="s">
        <v>20</v>
      </c>
      <c r="D7" s="42">
        <v>1</v>
      </c>
      <c r="E7" s="43"/>
      <c r="F7" s="44" t="s">
        <v>21</v>
      </c>
      <c r="G7" s="45" t="s">
        <v>22</v>
      </c>
      <c r="H7" s="51">
        <f>J7/K7-1</f>
        <v>2.4999999999999911E-2</v>
      </c>
      <c r="I7" s="47"/>
      <c r="J7" s="48">
        <f>VLOOKUP(A7,'[1]תקציב 2026'!$A$1:$M$65536,9,0)</f>
        <v>198029.99999999997</v>
      </c>
      <c r="K7" s="49">
        <v>193200</v>
      </c>
      <c r="L7" s="50">
        <f>VLOOKUP(A7,[2]data1761205830331!$A$1:$J$65536,10,0)</f>
        <v>202370.82</v>
      </c>
    </row>
    <row r="8" spans="1:12" ht="15.75" customHeight="1" outlineLevel="1">
      <c r="A8" s="11">
        <v>1092000119</v>
      </c>
      <c r="B8" s="40">
        <v>119</v>
      </c>
      <c r="C8" s="41" t="s">
        <v>20</v>
      </c>
      <c r="D8" s="42">
        <v>1</v>
      </c>
      <c r="E8" s="43"/>
      <c r="F8" s="44" t="s">
        <v>23</v>
      </c>
      <c r="G8" s="45" t="s">
        <v>22</v>
      </c>
      <c r="H8" s="51">
        <f t="shared" ref="H8:H44" si="0">J8/K8-1</f>
        <v>0.21809262166405019</v>
      </c>
      <c r="I8" s="47"/>
      <c r="J8" s="48">
        <f>VLOOKUP(A8,'[1]תקציב 2026'!$A$1:$M$65536,9,0)</f>
        <v>310370</v>
      </c>
      <c r="K8" s="49">
        <v>254800</v>
      </c>
      <c r="L8" s="50">
        <f>VLOOKUP(A8,[2]data1761205830331!$A$1:$J$65536,10,0)</f>
        <v>342463.72</v>
      </c>
    </row>
    <row r="9" spans="1:12" ht="15.75" customHeight="1" outlineLevel="1">
      <c r="A9" s="11">
        <v>1092000122</v>
      </c>
      <c r="B9" s="40">
        <v>122</v>
      </c>
      <c r="C9" s="41" t="s">
        <v>20</v>
      </c>
      <c r="D9" s="42">
        <v>1</v>
      </c>
      <c r="E9" s="43"/>
      <c r="F9" s="44" t="s">
        <v>24</v>
      </c>
      <c r="G9" s="45" t="s">
        <v>22</v>
      </c>
      <c r="H9" s="51">
        <f t="shared" si="0"/>
        <v>0.33333333333333326</v>
      </c>
      <c r="I9" s="47"/>
      <c r="J9" s="48">
        <f>VLOOKUP(A9,'[1]תקציב 2026'!$A$1:$M$65536,9,0)</f>
        <v>8000</v>
      </c>
      <c r="K9" s="49">
        <f>VLOOKUP(A9,[3]גיליון1!$A$1:$C$7693,3,0)</f>
        <v>6000</v>
      </c>
      <c r="L9" s="50">
        <f>VLOOKUP(A9,[2]data1761205830331!$A$1:$J$65536,10,0)</f>
        <v>5834.13</v>
      </c>
    </row>
    <row r="10" spans="1:12" ht="15.75" customHeight="1" outlineLevel="1">
      <c r="A10" s="11">
        <v>1092000126</v>
      </c>
      <c r="B10" s="40">
        <v>126</v>
      </c>
      <c r="C10" s="41" t="s">
        <v>20</v>
      </c>
      <c r="D10" s="42">
        <v>1</v>
      </c>
      <c r="E10" s="43"/>
      <c r="F10" s="44" t="s">
        <v>25</v>
      </c>
      <c r="G10" s="45" t="s">
        <v>22</v>
      </c>
      <c r="H10" s="51">
        <f t="shared" si="0"/>
        <v>0.33333333333333326</v>
      </c>
      <c r="I10" s="47"/>
      <c r="J10" s="48">
        <f>VLOOKUP(A10,'[1]תקציב 2026'!$A$1:$M$65536,9,0)</f>
        <v>25200</v>
      </c>
      <c r="K10" s="49">
        <f>VLOOKUP(A10,[3]גיליון1!$A$1:$C$7693,3,0)</f>
        <v>18900</v>
      </c>
      <c r="L10" s="50">
        <f>VLOOKUP(A10,[2]data1761205830331!$A$1:$J$65536,10,0)</f>
        <v>18384.599999999999</v>
      </c>
    </row>
    <row r="11" spans="1:12" ht="15.75" customHeight="1" outlineLevel="1">
      <c r="A11" s="11">
        <v>1092000130</v>
      </c>
      <c r="B11" s="40">
        <v>130</v>
      </c>
      <c r="C11" s="41" t="s">
        <v>20</v>
      </c>
      <c r="D11" s="42">
        <v>1</v>
      </c>
      <c r="E11" s="43"/>
      <c r="F11" s="44" t="s">
        <v>26</v>
      </c>
      <c r="G11" s="45" t="s">
        <v>22</v>
      </c>
      <c r="H11" s="51">
        <f t="shared" si="0"/>
        <v>0</v>
      </c>
      <c r="I11" s="47"/>
      <c r="J11" s="48">
        <f>VLOOKUP(A11,'[1]תקציב 2026'!$A$1:$M$65536,9,0)</f>
        <v>54700</v>
      </c>
      <c r="K11" s="49">
        <v>54700</v>
      </c>
      <c r="L11" s="50">
        <f>VLOOKUP(A11,[2]data1761205830331!$A$1:$J$65536,10,0)</f>
        <v>42661.58</v>
      </c>
    </row>
    <row r="12" spans="1:12" ht="15.75" customHeight="1" outlineLevel="1">
      <c r="A12" s="11">
        <v>1092000140</v>
      </c>
      <c r="B12" s="40">
        <v>140</v>
      </c>
      <c r="C12" s="41" t="s">
        <v>20</v>
      </c>
      <c r="D12" s="42">
        <v>1</v>
      </c>
      <c r="E12" s="43"/>
      <c r="F12" s="44" t="s">
        <v>27</v>
      </c>
      <c r="G12" s="45" t="s">
        <v>22</v>
      </c>
      <c r="H12" s="51">
        <f t="shared" si="0"/>
        <v>0</v>
      </c>
      <c r="I12" s="47"/>
      <c r="J12" s="48">
        <f>VLOOKUP(A12,'[1]תקציב 2026'!$A$1:$M$65536,9,0)</f>
        <v>79600</v>
      </c>
      <c r="K12" s="49">
        <f>VLOOKUP(A12,[3]גיליון1!$A$1:$C$7693,3,0)</f>
        <v>79600</v>
      </c>
      <c r="L12" s="50">
        <f>VLOOKUP(A12,[2]data1761205830331!$A$1:$J$65536,10,0)</f>
        <v>74564.429999999993</v>
      </c>
    </row>
    <row r="13" spans="1:12" ht="15.75" customHeight="1" outlineLevel="1">
      <c r="A13" s="11">
        <v>1092000410</v>
      </c>
      <c r="B13" s="40">
        <v>410</v>
      </c>
      <c r="C13" s="41" t="s">
        <v>20</v>
      </c>
      <c r="D13" s="42">
        <v>1</v>
      </c>
      <c r="E13" s="43"/>
      <c r="F13" s="44" t="s">
        <v>28</v>
      </c>
      <c r="G13" s="45" t="s">
        <v>29</v>
      </c>
      <c r="H13" s="51">
        <f t="shared" si="0"/>
        <v>0</v>
      </c>
      <c r="I13" s="47"/>
      <c r="J13" s="48">
        <f>VLOOKUP(A13,'[1]תקציב 2026'!$A$1:$M$65536,9,0)</f>
        <v>10000</v>
      </c>
      <c r="K13" s="49">
        <f>VLOOKUP(A13,[3]גיליון1!$A$1:$C$7693,3,0)</f>
        <v>10000</v>
      </c>
      <c r="L13" s="50">
        <f>VLOOKUP(A13,[2]data1761205830331!$A$1:$J$65536,10,0)</f>
        <v>8340</v>
      </c>
    </row>
    <row r="14" spans="1:12" ht="15.75" customHeight="1" outlineLevel="1">
      <c r="A14" s="11">
        <v>1092000420</v>
      </c>
      <c r="B14" s="40">
        <v>420</v>
      </c>
      <c r="C14" s="41" t="s">
        <v>20</v>
      </c>
      <c r="D14" s="42">
        <v>1</v>
      </c>
      <c r="E14" s="43"/>
      <c r="F14" s="44" t="s">
        <v>30</v>
      </c>
      <c r="G14" s="45" t="s">
        <v>29</v>
      </c>
      <c r="H14" s="51">
        <f t="shared" si="0"/>
        <v>0.39534883720930236</v>
      </c>
      <c r="I14" s="47"/>
      <c r="J14" s="48">
        <f>VLOOKUP(A14,'[1]תקציב 2026'!$A$1:$M$65536,9,0)</f>
        <v>60000</v>
      </c>
      <c r="K14" s="49">
        <v>43000</v>
      </c>
      <c r="L14" s="50">
        <f>VLOOKUP(A14,[2]data1761205830331!$A$1:$J$65536,10,0)</f>
        <v>26556.959999999999</v>
      </c>
    </row>
    <row r="15" spans="1:12" ht="15.75" customHeight="1" outlineLevel="1">
      <c r="A15" s="11">
        <v>1092000423</v>
      </c>
      <c r="B15" s="40">
        <v>423</v>
      </c>
      <c r="C15" s="41" t="s">
        <v>20</v>
      </c>
      <c r="D15" s="42">
        <v>1</v>
      </c>
      <c r="E15" s="43"/>
      <c r="F15" s="44" t="s">
        <v>31</v>
      </c>
      <c r="G15" s="45" t="s">
        <v>29</v>
      </c>
      <c r="H15" s="51">
        <f t="shared" si="0"/>
        <v>0</v>
      </c>
      <c r="I15" s="47"/>
      <c r="J15" s="48">
        <f>VLOOKUP(A15,'[1]תקציב 2026'!$A$1:$M$65536,9,0)</f>
        <v>34000</v>
      </c>
      <c r="K15" s="49">
        <f>VLOOKUP(A15,[3]גיליון1!$A$1:$C$7693,3,0)</f>
        <v>34000</v>
      </c>
      <c r="L15" s="50">
        <f>VLOOKUP(A15,[2]data1761205830331!$A$1:$J$65536,10,0)</f>
        <v>34000</v>
      </c>
    </row>
    <row r="16" spans="1:12" ht="15.75" customHeight="1" outlineLevel="1">
      <c r="A16" s="11">
        <v>1092000431</v>
      </c>
      <c r="B16" s="40">
        <v>431</v>
      </c>
      <c r="C16" s="41" t="s">
        <v>20</v>
      </c>
      <c r="D16" s="42">
        <v>1</v>
      </c>
      <c r="E16" s="43"/>
      <c r="F16" s="44" t="s">
        <v>32</v>
      </c>
      <c r="G16" s="45" t="s">
        <v>29</v>
      </c>
      <c r="H16" s="51">
        <f t="shared" si="0"/>
        <v>8.0108010801080098E-2</v>
      </c>
      <c r="I16" s="47"/>
      <c r="J16" s="48">
        <f>VLOOKUP(A16,'[1]תקציב 2026'!$A$1:$M$65536,9,0)</f>
        <v>1200000</v>
      </c>
      <c r="K16" s="49">
        <v>1111000</v>
      </c>
      <c r="L16" s="50">
        <f>VLOOKUP(A16,[2]data1761205830331!$A$1:$J$65536,10,0)</f>
        <v>1107023.24</v>
      </c>
    </row>
    <row r="17" spans="1:12" ht="15.75" customHeight="1" outlineLevel="1">
      <c r="A17" s="11">
        <v>1092000432</v>
      </c>
      <c r="B17" s="40">
        <v>432</v>
      </c>
      <c r="C17" s="41" t="s">
        <v>20</v>
      </c>
      <c r="D17" s="42">
        <v>1</v>
      </c>
      <c r="E17" s="43"/>
      <c r="F17" s="44" t="s">
        <v>33</v>
      </c>
      <c r="G17" s="45" t="s">
        <v>29</v>
      </c>
      <c r="H17" s="51">
        <f t="shared" si="0"/>
        <v>0</v>
      </c>
      <c r="I17" s="47"/>
      <c r="J17" s="48">
        <f>VLOOKUP(A17,'[1]תקציב 2026'!$A$1:$M$65536,9,0)</f>
        <v>240000</v>
      </c>
      <c r="K17" s="49">
        <f>VLOOKUP(A17,[3]גיליון1!$A$1:$C$7693,3,0)</f>
        <v>240000</v>
      </c>
      <c r="L17" s="50">
        <f>VLOOKUP(A17,[2]data1761205830331!$A$1:$J$65536,10,0)</f>
        <v>49997.09</v>
      </c>
    </row>
    <row r="18" spans="1:12" ht="15.75" customHeight="1" outlineLevel="1">
      <c r="A18" s="11">
        <v>1092000433</v>
      </c>
      <c r="B18" s="40">
        <v>433</v>
      </c>
      <c r="C18" s="41" t="s">
        <v>20</v>
      </c>
      <c r="D18" s="42">
        <v>1</v>
      </c>
      <c r="E18" s="43"/>
      <c r="F18" s="44" t="s">
        <v>34</v>
      </c>
      <c r="G18" s="45" t="s">
        <v>29</v>
      </c>
      <c r="H18" s="51">
        <f t="shared" si="0"/>
        <v>0</v>
      </c>
      <c r="I18" s="47"/>
      <c r="J18" s="48">
        <f>VLOOKUP(A18,'[1]תקציב 2026'!$A$1:$M$65536,9,0)</f>
        <v>26600</v>
      </c>
      <c r="K18" s="49">
        <f>VLOOKUP(A18,[3]גיליון1!$A$1:$C$7693,3,0)</f>
        <v>26600</v>
      </c>
      <c r="L18" s="50">
        <f>VLOOKUP(A18,[2]data1761205830331!$A$1:$J$65536,10,0)</f>
        <v>9031.91</v>
      </c>
    </row>
    <row r="19" spans="1:12" ht="15.75" customHeight="1" outlineLevel="1">
      <c r="A19" s="11">
        <v>1092000434</v>
      </c>
      <c r="B19" s="40">
        <v>434</v>
      </c>
      <c r="C19" s="41" t="s">
        <v>20</v>
      </c>
      <c r="D19" s="42">
        <v>1</v>
      </c>
      <c r="E19" s="43"/>
      <c r="F19" s="44" t="s">
        <v>35</v>
      </c>
      <c r="G19" s="45" t="s">
        <v>29</v>
      </c>
      <c r="H19" s="51">
        <f t="shared" si="0"/>
        <v>0</v>
      </c>
      <c r="I19" s="47"/>
      <c r="J19" s="48">
        <f>VLOOKUP(A19,'[1]תקציב 2026'!$A$1:$M$65536,9,0)</f>
        <v>19000</v>
      </c>
      <c r="K19" s="49">
        <f>VLOOKUP(A19,[3]גיליון1!$A$1:$C$7693,3,0)</f>
        <v>19000</v>
      </c>
      <c r="L19" s="50">
        <f>VLOOKUP(A19,[2]data1761205830331!$A$1:$J$65536,10,0)</f>
        <v>18070.46</v>
      </c>
    </row>
    <row r="20" spans="1:12" ht="15.75" customHeight="1" outlineLevel="1">
      <c r="A20" s="11">
        <v>1092000436</v>
      </c>
      <c r="B20" s="40">
        <v>436</v>
      </c>
      <c r="C20" s="41" t="s">
        <v>20</v>
      </c>
      <c r="D20" s="42">
        <v>1</v>
      </c>
      <c r="E20" s="43"/>
      <c r="F20" s="44" t="s">
        <v>36</v>
      </c>
      <c r="G20" s="45" t="s">
        <v>37</v>
      </c>
      <c r="H20" s="51">
        <f t="shared" si="0"/>
        <v>-0.67105263157894735</v>
      </c>
      <c r="I20" s="47"/>
      <c r="J20" s="48">
        <f>VLOOKUP(A20,'[1]תקציב 2026'!$A$1:$M$65536,9,0)</f>
        <v>25000</v>
      </c>
      <c r="K20" s="49">
        <f>VLOOKUP(A20,[3]גיליון1!$A$1:$C$7693,3,0)</f>
        <v>76000</v>
      </c>
      <c r="L20" s="50">
        <f>VLOOKUP(A20,[2]data1761205830331!$A$1:$J$65536,10,0)</f>
        <v>4167.63</v>
      </c>
    </row>
    <row r="21" spans="1:12" ht="15.75" customHeight="1" outlineLevel="1">
      <c r="A21" s="11">
        <v>1092000437</v>
      </c>
      <c r="B21" s="40">
        <v>437</v>
      </c>
      <c r="C21" s="41" t="s">
        <v>20</v>
      </c>
      <c r="D21" s="42">
        <v>1</v>
      </c>
      <c r="E21" s="43"/>
      <c r="F21" s="44" t="s">
        <v>38</v>
      </c>
      <c r="G21" s="45" t="s">
        <v>29</v>
      </c>
      <c r="H21" s="51">
        <f t="shared" si="0"/>
        <v>0</v>
      </c>
      <c r="I21" s="47"/>
      <c r="J21" s="48">
        <f>VLOOKUP(A21,'[1]תקציב 2026'!$A$1:$M$65536,9,0)</f>
        <v>5300</v>
      </c>
      <c r="K21" s="49">
        <f>VLOOKUP(A21,[3]גיליון1!$A$1:$C$7693,3,0)</f>
        <v>5300</v>
      </c>
      <c r="L21" s="50">
        <f>VLOOKUP(A21,[2]data1761205830331!$A$1:$J$65536,10,0)</f>
        <v>3027.49</v>
      </c>
    </row>
    <row r="22" spans="1:12" ht="15.75" customHeight="1" outlineLevel="1">
      <c r="A22" s="11">
        <v>1092000438</v>
      </c>
      <c r="B22" s="40">
        <v>438</v>
      </c>
      <c r="C22" s="41" t="s">
        <v>20</v>
      </c>
      <c r="D22" s="42">
        <v>1</v>
      </c>
      <c r="E22" s="43"/>
      <c r="F22" s="44" t="s">
        <v>39</v>
      </c>
      <c r="G22" s="45" t="s">
        <v>29</v>
      </c>
      <c r="H22" s="51">
        <f t="shared" si="0"/>
        <v>-0.52</v>
      </c>
      <c r="I22" s="47"/>
      <c r="J22" s="48">
        <f>VLOOKUP(A22,'[1]תקציב 2026'!$A$1:$M$65536,9,0)</f>
        <v>24000</v>
      </c>
      <c r="K22" s="49">
        <v>50000</v>
      </c>
      <c r="L22" s="50">
        <f>VLOOKUP(A22,[2]data1761205830331!$A$1:$J$65536,10,0)</f>
        <v>39261.519999999997</v>
      </c>
    </row>
    <row r="23" spans="1:12" ht="15.75" customHeight="1" outlineLevel="1">
      <c r="A23" s="11">
        <v>1092000439</v>
      </c>
      <c r="B23" s="40">
        <v>439</v>
      </c>
      <c r="C23" s="41" t="s">
        <v>20</v>
      </c>
      <c r="D23" s="42">
        <v>1</v>
      </c>
      <c r="E23" s="43"/>
      <c r="F23" s="44" t="s">
        <v>40</v>
      </c>
      <c r="G23" s="45" t="s">
        <v>29</v>
      </c>
      <c r="H23" s="51">
        <f t="shared" si="0"/>
        <v>-1</v>
      </c>
      <c r="I23" s="47"/>
      <c r="J23" s="48">
        <f>VLOOKUP(A23,'[1]תקציב 2026'!$A$1:$M$65536,9,0)</f>
        <v>0</v>
      </c>
      <c r="K23" s="49">
        <f>VLOOKUP(A23,[3]גיליון1!$A$1:$C$7693,3,0)</f>
        <v>1700</v>
      </c>
      <c r="L23" s="50">
        <f>VLOOKUP(A23,[2]data1761205830331!$A$1:$J$65536,10,0)</f>
        <v>0</v>
      </c>
    </row>
    <row r="24" spans="1:12" ht="15.75" customHeight="1" outlineLevel="1">
      <c r="A24" s="11">
        <v>1092000450</v>
      </c>
      <c r="B24" s="40">
        <v>450</v>
      </c>
      <c r="C24" s="41" t="s">
        <v>20</v>
      </c>
      <c r="D24" s="42">
        <v>1</v>
      </c>
      <c r="E24" s="43"/>
      <c r="F24" s="44" t="s">
        <v>41</v>
      </c>
      <c r="G24" s="45" t="s">
        <v>29</v>
      </c>
      <c r="H24" s="51">
        <f t="shared" si="0"/>
        <v>0</v>
      </c>
      <c r="I24" s="47"/>
      <c r="J24" s="48">
        <f>VLOOKUP(A24,'[1]תקציב 2026'!$A$1:$M$65536,9,0)</f>
        <v>50000</v>
      </c>
      <c r="K24" s="49">
        <v>50000</v>
      </c>
      <c r="L24" s="50">
        <f>VLOOKUP(A24,[2]data1761205830331!$A$1:$J$65536,10,0)</f>
        <v>53758.46</v>
      </c>
    </row>
    <row r="25" spans="1:12" ht="15.75" customHeight="1" outlineLevel="1">
      <c r="A25" s="11">
        <v>1092000451</v>
      </c>
      <c r="B25" s="40">
        <v>451</v>
      </c>
      <c r="C25" s="41" t="s">
        <v>20</v>
      </c>
      <c r="D25" s="42">
        <v>1</v>
      </c>
      <c r="E25" s="43"/>
      <c r="F25" s="44" t="s">
        <v>42</v>
      </c>
      <c r="G25" s="45" t="s">
        <v>29</v>
      </c>
      <c r="H25" s="51">
        <f t="shared" si="0"/>
        <v>-0.84</v>
      </c>
      <c r="I25" s="47"/>
      <c r="J25" s="48">
        <f>VLOOKUP(A25,'[1]תקציב 2026'!$A$1:$M$65536,9,0)</f>
        <v>8000</v>
      </c>
      <c r="K25" s="49">
        <v>50000</v>
      </c>
      <c r="L25" s="50">
        <f>VLOOKUP(A25,[2]data1761205830331!$A$1:$J$65536,10,0)</f>
        <v>2960.1</v>
      </c>
    </row>
    <row r="26" spans="1:12" ht="15.75" customHeight="1" outlineLevel="1">
      <c r="A26" s="11">
        <v>1092000470</v>
      </c>
      <c r="B26" s="40">
        <v>470</v>
      </c>
      <c r="C26" s="41" t="s">
        <v>20</v>
      </c>
      <c r="D26" s="42">
        <v>1</v>
      </c>
      <c r="E26" s="43"/>
      <c r="F26" s="44" t="s">
        <v>43</v>
      </c>
      <c r="G26" s="45" t="s">
        <v>37</v>
      </c>
      <c r="H26" s="51">
        <v>0</v>
      </c>
      <c r="I26" s="47"/>
      <c r="J26" s="48">
        <f>VLOOKUP(A26,'[1]תקציב 2026'!$A$1:$M$65536,9,0)</f>
        <v>0</v>
      </c>
      <c r="K26" s="49">
        <v>0</v>
      </c>
      <c r="L26" s="50">
        <f>VLOOKUP(A26,[2]data1761205830331!$A$1:$J$65536,10,0)</f>
        <v>6030.03</v>
      </c>
    </row>
    <row r="27" spans="1:12" ht="15.75" customHeight="1" outlineLevel="1">
      <c r="A27" s="11">
        <v>1092000474</v>
      </c>
      <c r="B27" s="40">
        <v>474</v>
      </c>
      <c r="C27" s="41" t="s">
        <v>20</v>
      </c>
      <c r="D27" s="42">
        <v>1</v>
      </c>
      <c r="E27" s="43"/>
      <c r="F27" s="44" t="s">
        <v>44</v>
      </c>
      <c r="G27" s="45" t="s">
        <v>29</v>
      </c>
      <c r="H27" s="51">
        <f t="shared" si="0"/>
        <v>0</v>
      </c>
      <c r="I27" s="47"/>
      <c r="J27" s="48">
        <f>VLOOKUP(A27,'[1]תקציב 2026'!$A$1:$M$65536,9,0)</f>
        <v>55000</v>
      </c>
      <c r="K27" s="49">
        <f>VLOOKUP(A27,[3]גיליון1!$A$1:$C$7693,3,0)</f>
        <v>55000</v>
      </c>
      <c r="L27" s="50">
        <f>VLOOKUP(A27,[2]data1761205830331!$A$1:$J$65536,10,0)</f>
        <v>56418</v>
      </c>
    </row>
    <row r="28" spans="1:12" ht="15.75" customHeight="1" outlineLevel="1">
      <c r="A28" s="11">
        <v>1092000476</v>
      </c>
      <c r="B28" s="40">
        <v>476</v>
      </c>
      <c r="C28" s="41" t="s">
        <v>20</v>
      </c>
      <c r="D28" s="42">
        <v>1</v>
      </c>
      <c r="E28" s="43"/>
      <c r="F28" s="44" t="s">
        <v>45</v>
      </c>
      <c r="G28" s="45" t="s">
        <v>29</v>
      </c>
      <c r="H28" s="51">
        <f t="shared" si="0"/>
        <v>0</v>
      </c>
      <c r="I28" s="47"/>
      <c r="J28" s="48">
        <f>VLOOKUP(A28,'[1]תקציב 2026'!$A$1:$M$65536,9,0)</f>
        <v>13500</v>
      </c>
      <c r="K28" s="49">
        <f>VLOOKUP(A28,[3]גיליון1!$A$1:$C$7693,3,0)</f>
        <v>13500</v>
      </c>
      <c r="L28" s="50">
        <f>VLOOKUP(A28,[2]data1761205830331!$A$1:$J$65536,10,0)</f>
        <v>12928.5</v>
      </c>
    </row>
    <row r="29" spans="1:12" ht="15.75" customHeight="1" outlineLevel="1">
      <c r="A29" s="11">
        <v>1092000511</v>
      </c>
      <c r="B29" s="40">
        <v>511</v>
      </c>
      <c r="C29" s="41" t="s">
        <v>20</v>
      </c>
      <c r="D29" s="42">
        <v>1</v>
      </c>
      <c r="E29" s="43"/>
      <c r="F29" s="44" t="s">
        <v>46</v>
      </c>
      <c r="G29" s="45" t="s">
        <v>37</v>
      </c>
      <c r="H29" s="51">
        <f t="shared" si="0"/>
        <v>0.17525773195876293</v>
      </c>
      <c r="I29" s="47"/>
      <c r="J29" s="48">
        <f>VLOOKUP(A29,'[1]תקציב 2026'!$A$1:$M$65536,9,0)</f>
        <v>570000</v>
      </c>
      <c r="K29" s="49">
        <f>VLOOKUP(A29,[3]גיליון1!$A$1:$C$7693,3,0)</f>
        <v>485000</v>
      </c>
      <c r="L29" s="50">
        <f>VLOOKUP(A29,[2]data1761205830331!$A$1:$J$65536,10,0)</f>
        <v>449325.44</v>
      </c>
    </row>
    <row r="30" spans="1:12" ht="15.75" customHeight="1" outlineLevel="1">
      <c r="A30" s="11">
        <v>1092000540</v>
      </c>
      <c r="B30" s="40">
        <v>540</v>
      </c>
      <c r="C30" s="41" t="s">
        <v>20</v>
      </c>
      <c r="D30" s="42">
        <v>1</v>
      </c>
      <c r="E30" s="43"/>
      <c r="F30" s="44" t="s">
        <v>47</v>
      </c>
      <c r="G30" s="45" t="s">
        <v>29</v>
      </c>
      <c r="H30" s="51">
        <f t="shared" si="0"/>
        <v>6.25E-2</v>
      </c>
      <c r="I30" s="47"/>
      <c r="J30" s="48">
        <f>VLOOKUP(A30,'[1]תקציב 2026'!$A$1:$M$65536,9,0)</f>
        <v>850000</v>
      </c>
      <c r="K30" s="49">
        <f>VLOOKUP(A30,[3]גיליון1!$A$1:$C$7693,3,0)</f>
        <v>800000</v>
      </c>
      <c r="L30" s="50">
        <f>VLOOKUP(A30,[2]data1761205830331!$A$1:$J$65536,10,0)</f>
        <v>820314.03</v>
      </c>
    </row>
    <row r="31" spans="1:12" ht="15.75" customHeight="1" outlineLevel="1">
      <c r="A31" s="11">
        <v>1092000543</v>
      </c>
      <c r="B31" s="40">
        <v>543</v>
      </c>
      <c r="C31" s="41" t="s">
        <v>20</v>
      </c>
      <c r="D31" s="42">
        <v>1</v>
      </c>
      <c r="E31" s="43"/>
      <c r="F31" s="44" t="s">
        <v>48</v>
      </c>
      <c r="G31" s="45" t="s">
        <v>37</v>
      </c>
      <c r="H31" s="51">
        <f t="shared" si="0"/>
        <v>-0.22222222222222221</v>
      </c>
      <c r="I31" s="47"/>
      <c r="J31" s="48">
        <f>VLOOKUP(A31,'[1]תקציב 2026'!$A$1:$M$65536,9,0)</f>
        <v>350000</v>
      </c>
      <c r="K31" s="49">
        <v>450000</v>
      </c>
      <c r="L31" s="50">
        <f>VLOOKUP(A31,[2]data1761205830331!$A$1:$J$65536,10,0)</f>
        <v>436279.95</v>
      </c>
    </row>
    <row r="32" spans="1:12" ht="15.75" customHeight="1" outlineLevel="1">
      <c r="A32" s="11">
        <v>1092000710</v>
      </c>
      <c r="B32" s="40">
        <v>710</v>
      </c>
      <c r="C32" s="41" t="s">
        <v>20</v>
      </c>
      <c r="D32" s="42">
        <v>1</v>
      </c>
      <c r="E32" s="43"/>
      <c r="F32" s="44" t="s">
        <v>49</v>
      </c>
      <c r="G32" s="45" t="s">
        <v>37</v>
      </c>
      <c r="H32" s="51">
        <f t="shared" si="0"/>
        <v>0.8</v>
      </c>
      <c r="I32" s="47"/>
      <c r="J32" s="48">
        <f>VLOOKUP(A32,'[1]תקציב 2026'!$A$1:$M$65536,9,0)</f>
        <v>9000</v>
      </c>
      <c r="K32" s="49">
        <v>5000</v>
      </c>
      <c r="L32" s="50">
        <f>VLOOKUP(A32,[2]data1761205830331!$A$1:$J$65536,10,0)</f>
        <v>7043</v>
      </c>
    </row>
    <row r="33" spans="1:12" ht="15.75" customHeight="1" outlineLevel="1">
      <c r="A33" s="11">
        <v>1092000721</v>
      </c>
      <c r="B33" s="40">
        <v>721</v>
      </c>
      <c r="C33" s="41" t="s">
        <v>20</v>
      </c>
      <c r="D33" s="42">
        <v>1</v>
      </c>
      <c r="E33" s="43"/>
      <c r="F33" s="44" t="s">
        <v>50</v>
      </c>
      <c r="G33" s="45" t="s">
        <v>37</v>
      </c>
      <c r="H33" s="51">
        <v>0</v>
      </c>
      <c r="I33" s="47"/>
      <c r="J33" s="48">
        <f>VLOOKUP(A33,'[1]תקציב 2026'!$A$1:$M$65536,9,0)</f>
        <v>0</v>
      </c>
      <c r="K33" s="49">
        <v>0</v>
      </c>
      <c r="L33" s="50">
        <f>VLOOKUP(A33,[2]data1761205830331!$A$1:$J$65536,10,0)</f>
        <v>429.52</v>
      </c>
    </row>
    <row r="34" spans="1:12" ht="15.75" customHeight="1" outlineLevel="1">
      <c r="A34" s="11">
        <v>1092000722</v>
      </c>
      <c r="B34" s="40">
        <v>722</v>
      </c>
      <c r="C34" s="41" t="s">
        <v>20</v>
      </c>
      <c r="D34" s="42">
        <v>1</v>
      </c>
      <c r="E34" s="43"/>
      <c r="F34" s="44" t="s">
        <v>51</v>
      </c>
      <c r="G34" s="45" t="s">
        <v>37</v>
      </c>
      <c r="H34" s="51">
        <f t="shared" si="0"/>
        <v>0.5</v>
      </c>
      <c r="I34" s="47"/>
      <c r="J34" s="48">
        <f>VLOOKUP(A34,'[1]תקציב 2026'!$A$1:$M$65536,9,0)</f>
        <v>30000</v>
      </c>
      <c r="K34" s="49">
        <v>20000</v>
      </c>
      <c r="L34" s="50">
        <f>VLOOKUP(A34,[2]data1761205830331!$A$1:$J$65536,10,0)</f>
        <v>15980.49</v>
      </c>
    </row>
    <row r="35" spans="1:12" ht="15.75" customHeight="1" outlineLevel="1">
      <c r="A35" s="11">
        <v>1092000742</v>
      </c>
      <c r="B35" s="40">
        <v>742</v>
      </c>
      <c r="C35" s="41" t="s">
        <v>20</v>
      </c>
      <c r="D35" s="42">
        <v>1</v>
      </c>
      <c r="E35" s="43"/>
      <c r="F35" s="44" t="s">
        <v>52</v>
      </c>
      <c r="G35" s="45" t="s">
        <v>37</v>
      </c>
      <c r="H35" s="51">
        <f t="shared" si="0"/>
        <v>0</v>
      </c>
      <c r="I35" s="47"/>
      <c r="J35" s="48">
        <f>VLOOKUP(A35,'[1]תקציב 2026'!$A$1:$M$65536,9,0)</f>
        <v>2300</v>
      </c>
      <c r="K35" s="49">
        <v>2300</v>
      </c>
      <c r="L35" s="50">
        <f>VLOOKUP(A35,[2]data1761205830331!$A$1:$J$65536,10,0)</f>
        <v>1126</v>
      </c>
    </row>
    <row r="36" spans="1:12" ht="15.75" customHeight="1" outlineLevel="1">
      <c r="A36" s="11">
        <v>1092000751</v>
      </c>
      <c r="B36" s="40">
        <v>751</v>
      </c>
      <c r="C36" s="41" t="s">
        <v>20</v>
      </c>
      <c r="D36" s="42">
        <v>1</v>
      </c>
      <c r="E36" s="43"/>
      <c r="F36" s="44" t="s">
        <v>53</v>
      </c>
      <c r="G36" s="45" t="s">
        <v>37</v>
      </c>
      <c r="H36" s="51">
        <f t="shared" si="0"/>
        <v>1.3542001070090959</v>
      </c>
      <c r="I36" s="47"/>
      <c r="J36" s="48">
        <f>VLOOKUP(A36,'[1]תקציב 2026'!$A$1:$M$65536,9,0)</f>
        <v>440000</v>
      </c>
      <c r="K36" s="49">
        <v>186900</v>
      </c>
      <c r="L36" s="50">
        <f>VLOOKUP(A36,[2]data1761205830331!$A$1:$J$65536,10,0)</f>
        <v>109889</v>
      </c>
    </row>
    <row r="37" spans="1:12" ht="15.75" customHeight="1" outlineLevel="1">
      <c r="A37" s="11">
        <v>1092000752</v>
      </c>
      <c r="B37" s="40">
        <v>752</v>
      </c>
      <c r="C37" s="41" t="s">
        <v>20</v>
      </c>
      <c r="D37" s="42">
        <v>1</v>
      </c>
      <c r="E37" s="43"/>
      <c r="F37" s="44" t="s">
        <v>54</v>
      </c>
      <c r="G37" s="45" t="s">
        <v>29</v>
      </c>
      <c r="H37" s="51">
        <f t="shared" si="0"/>
        <v>5.7500000000000107E-2</v>
      </c>
      <c r="I37" s="47"/>
      <c r="J37" s="48">
        <f>VLOOKUP(A37,'[1]תקציב 2026'!$A$1:$M$65536,9,0)</f>
        <v>2115000</v>
      </c>
      <c r="K37" s="49">
        <v>2000000</v>
      </c>
      <c r="L37" s="50">
        <f>VLOOKUP(A37,[2]data1761205830331!$A$1:$J$65536,10,0)</f>
        <v>1256687.03</v>
      </c>
    </row>
    <row r="38" spans="1:12" ht="15.75" customHeight="1" outlineLevel="1">
      <c r="A38" s="11">
        <v>1092000756</v>
      </c>
      <c r="B38" s="40">
        <v>756</v>
      </c>
      <c r="C38" s="41" t="s">
        <v>20</v>
      </c>
      <c r="D38" s="42">
        <v>1</v>
      </c>
      <c r="E38" s="43"/>
      <c r="F38" s="44" t="s">
        <v>55</v>
      </c>
      <c r="G38" s="45" t="s">
        <v>29</v>
      </c>
      <c r="H38" s="51">
        <f t="shared" si="0"/>
        <v>0</v>
      </c>
      <c r="I38" s="47"/>
      <c r="J38" s="48">
        <f>VLOOKUP(A38,'[1]תקציב 2026'!$A$1:$M$65536,9,0)</f>
        <v>1500000</v>
      </c>
      <c r="K38" s="49">
        <f>VLOOKUP(A38,[3]גיליון1!$A$1:$C$7693,3,0)</f>
        <v>1500000</v>
      </c>
      <c r="L38" s="50">
        <f>VLOOKUP(A38,[2]data1761205830331!$A$1:$J$65536,10,0)</f>
        <v>2388204.87</v>
      </c>
    </row>
    <row r="39" spans="1:12" ht="15.75" customHeight="1" outlineLevel="1">
      <c r="A39" s="11">
        <v>1092000757</v>
      </c>
      <c r="B39" s="40">
        <v>757</v>
      </c>
      <c r="C39" s="41" t="s">
        <v>20</v>
      </c>
      <c r="D39" s="42">
        <v>1</v>
      </c>
      <c r="E39" s="43"/>
      <c r="F39" s="44" t="s">
        <v>56</v>
      </c>
      <c r="G39" s="45" t="s">
        <v>37</v>
      </c>
      <c r="H39" s="51">
        <f t="shared" si="0"/>
        <v>0</v>
      </c>
      <c r="I39" s="47"/>
      <c r="J39" s="48">
        <f>VLOOKUP(A39,'[1]תקציב 2026'!$A$1:$M$65536,9,0)</f>
        <v>330000</v>
      </c>
      <c r="K39" s="49">
        <v>330000</v>
      </c>
      <c r="L39" s="50">
        <f>VLOOKUP(A39,[2]data1761205830331!$A$1:$J$65536,10,0)</f>
        <v>0</v>
      </c>
    </row>
    <row r="40" spans="1:12" ht="15.75" customHeight="1" outlineLevel="1">
      <c r="A40" s="11">
        <v>1092000758</v>
      </c>
      <c r="B40" s="40">
        <v>758</v>
      </c>
      <c r="C40" s="41" t="s">
        <v>20</v>
      </c>
      <c r="D40" s="42">
        <v>1</v>
      </c>
      <c r="E40" s="43"/>
      <c r="F40" s="44" t="s">
        <v>57</v>
      </c>
      <c r="G40" s="45" t="s">
        <v>37</v>
      </c>
      <c r="H40" s="51">
        <f t="shared" si="0"/>
        <v>8.6956521739130377E-2</v>
      </c>
      <c r="I40" s="47"/>
      <c r="J40" s="48">
        <f>VLOOKUP(A40,'[1]תקציב 2026'!$A$1:$M$65536,9,0)</f>
        <v>250000</v>
      </c>
      <c r="K40" s="49">
        <v>230000</v>
      </c>
      <c r="L40" s="50">
        <f>VLOOKUP(A40,[2]data1761205830331!$A$1:$J$65536,10,0)</f>
        <v>0</v>
      </c>
    </row>
    <row r="41" spans="1:12" ht="15.75" customHeight="1" outlineLevel="1">
      <c r="A41" s="11">
        <v>1092000794</v>
      </c>
      <c r="B41" s="40">
        <v>794</v>
      </c>
      <c r="C41" s="41" t="s">
        <v>20</v>
      </c>
      <c r="D41" s="42">
        <v>1</v>
      </c>
      <c r="E41" s="43"/>
      <c r="F41" s="44" t="s">
        <v>58</v>
      </c>
      <c r="G41" s="45" t="s">
        <v>29</v>
      </c>
      <c r="H41" s="51">
        <f t="shared" si="0"/>
        <v>0</v>
      </c>
      <c r="I41" s="47"/>
      <c r="J41" s="48">
        <f>VLOOKUP(A41,'[1]תקציב 2026'!$A$1:$M$65536,9,0)</f>
        <v>50000</v>
      </c>
      <c r="K41" s="49">
        <v>50000</v>
      </c>
      <c r="L41" s="50">
        <f>VLOOKUP(A41,[2]data1761205830331!$A$1:$J$65536,10,0)</f>
        <v>59636</v>
      </c>
    </row>
    <row r="42" spans="1:12" ht="15.75" customHeight="1" outlineLevel="1">
      <c r="A42" s="11">
        <v>1092000931</v>
      </c>
      <c r="B42" s="40">
        <v>931</v>
      </c>
      <c r="C42" s="41" t="s">
        <v>20</v>
      </c>
      <c r="D42" s="42">
        <v>1</v>
      </c>
      <c r="E42" s="43"/>
      <c r="F42" s="44" t="s">
        <v>59</v>
      </c>
      <c r="G42" s="45" t="s">
        <v>37</v>
      </c>
      <c r="H42" s="51">
        <f t="shared" si="0"/>
        <v>0</v>
      </c>
      <c r="I42" s="47"/>
      <c r="J42" s="48">
        <f>VLOOKUP(A42,'[1]תקציב 2026'!$A$1:$M$65536,9,0)</f>
        <v>23000</v>
      </c>
      <c r="K42" s="49">
        <f>VLOOKUP(A42,[3]גיליון1!$A$1:$C$7693,3,0)</f>
        <v>23000</v>
      </c>
      <c r="L42" s="50">
        <f>VLOOKUP(A42,[2]data1761205830331!$A$1:$J$65536,10,0)</f>
        <v>22051.26</v>
      </c>
    </row>
    <row r="43" spans="1:12" ht="15.75" customHeight="1" outlineLevel="1">
      <c r="A43" s="11">
        <v>1092000932</v>
      </c>
      <c r="B43" s="40">
        <v>932</v>
      </c>
      <c r="C43" s="41" t="s">
        <v>20</v>
      </c>
      <c r="D43" s="42">
        <v>1</v>
      </c>
      <c r="E43" s="43"/>
      <c r="F43" s="44" t="s">
        <v>60</v>
      </c>
      <c r="G43" s="45" t="s">
        <v>37</v>
      </c>
      <c r="H43" s="51">
        <f t="shared" si="0"/>
        <v>0</v>
      </c>
      <c r="I43" s="47"/>
      <c r="J43" s="48">
        <f>VLOOKUP(A43,'[1]תקציב 2026'!$A$1:$M$65536,9,0)</f>
        <v>16000</v>
      </c>
      <c r="K43" s="49">
        <f>VLOOKUP(A43,[3]גיליון1!$A$1:$C$7693,3,0)</f>
        <v>16000</v>
      </c>
      <c r="L43" s="50">
        <f>VLOOKUP(A43,[2]data1761205830331!$A$1:$J$65536,10,0)</f>
        <v>14058.21</v>
      </c>
    </row>
    <row r="44" spans="1:12" ht="15.75" customHeight="1" outlineLevel="1" thickBot="1">
      <c r="A44" s="11">
        <v>1092000934</v>
      </c>
      <c r="B44" s="40">
        <v>934</v>
      </c>
      <c r="C44" s="41" t="s">
        <v>20</v>
      </c>
      <c r="D44" s="42">
        <v>1</v>
      </c>
      <c r="E44" s="43"/>
      <c r="F44" s="44" t="s">
        <v>61</v>
      </c>
      <c r="G44" s="45" t="s">
        <v>37</v>
      </c>
      <c r="H44" s="51">
        <f t="shared" si="0"/>
        <v>0</v>
      </c>
      <c r="I44" s="52"/>
      <c r="J44" s="48">
        <f>VLOOKUP(A44,'[1]תקציב 2026'!$A$1:$M$65536,9,0)</f>
        <v>25000</v>
      </c>
      <c r="K44" s="49">
        <f>VLOOKUP(A44,[3]גיליון1!$A$1:$C$7693,3,0)</f>
        <v>25000</v>
      </c>
      <c r="L44" s="50">
        <f>VLOOKUP(A44,[2]data1761205830331!$A$1:$J$65536,10,0)</f>
        <v>22800.1</v>
      </c>
    </row>
    <row r="45" spans="1:12" ht="16.5" customHeight="1" thickBot="1">
      <c r="A45" s="11" t="e">
        <v>#VALUE!</v>
      </c>
      <c r="B45" s="53" t="s">
        <v>62</v>
      </c>
      <c r="C45" s="54"/>
      <c r="D45" s="55"/>
      <c r="E45" s="56"/>
      <c r="F45" s="57" t="s">
        <v>63</v>
      </c>
      <c r="G45" s="58"/>
      <c r="H45" s="59">
        <f>J45/K45-1</f>
        <v>5.7671305266866257E-2</v>
      </c>
      <c r="I45" s="60"/>
      <c r="J45" s="61">
        <f>SUBTOTAL(9,J7:J44)</f>
        <v>9006600</v>
      </c>
      <c r="K45" s="62">
        <f>SUBTOTAL(9,K7:K44)</f>
        <v>8515500</v>
      </c>
      <c r="L45" s="63">
        <f>SUBTOTAL(9,L7:L44)</f>
        <v>7721675.5699999994</v>
      </c>
    </row>
    <row r="46" spans="1:12" ht="15.75" customHeight="1" outlineLevel="1">
      <c r="A46" s="11">
        <v>10921000</v>
      </c>
      <c r="B46" s="64">
        <v>0</v>
      </c>
      <c r="C46" s="65" t="s">
        <v>64</v>
      </c>
      <c r="D46" s="66">
        <v>1</v>
      </c>
      <c r="E46" s="67"/>
      <c r="F46" s="68" t="s">
        <v>65</v>
      </c>
      <c r="G46" s="69" t="s">
        <v>15</v>
      </c>
      <c r="H46" s="51"/>
      <c r="I46" s="70"/>
      <c r="J46" s="48"/>
      <c r="K46" s="49"/>
      <c r="L46" s="50"/>
    </row>
    <row r="47" spans="1:12" ht="15.75" customHeight="1" outlineLevel="1" thickBot="1">
      <c r="A47" s="11">
        <v>1092100492</v>
      </c>
      <c r="B47" s="40">
        <v>492</v>
      </c>
      <c r="C47" s="41" t="s">
        <v>64</v>
      </c>
      <c r="D47" s="42">
        <v>1</v>
      </c>
      <c r="E47" s="43"/>
      <c r="F47" s="44" t="s">
        <v>66</v>
      </c>
      <c r="G47" s="45" t="s">
        <v>29</v>
      </c>
      <c r="H47" s="51">
        <f t="shared" ref="H47:H111" si="1">J47/K47-1</f>
        <v>5.7671305266866257E-2</v>
      </c>
      <c r="I47" s="47"/>
      <c r="J47" s="48">
        <f>VLOOKUP(A47,'[1]תקציב 2026'!$A$1:$M$65536,9,0)</f>
        <v>-9006600</v>
      </c>
      <c r="K47" s="49">
        <v>-8515500</v>
      </c>
      <c r="L47" s="50">
        <f>VLOOKUP(A47,[2]data1761205830331!$A$1:$J$65536,10,0)</f>
        <v>-7721675.5700000003</v>
      </c>
    </row>
    <row r="48" spans="1:12" ht="16.5" customHeight="1" thickBot="1">
      <c r="A48" s="11" t="e">
        <v>#VALUE!</v>
      </c>
      <c r="B48" s="53" t="s">
        <v>67</v>
      </c>
      <c r="C48" s="54"/>
      <c r="D48" s="55"/>
      <c r="E48" s="56"/>
      <c r="F48" s="57" t="s">
        <v>65</v>
      </c>
      <c r="G48" s="58"/>
      <c r="H48" s="71">
        <f>J48/K48-1</f>
        <v>5.7671305266866257E-2</v>
      </c>
      <c r="I48" s="72"/>
      <c r="J48" s="73">
        <f>SUBTOTAL(9,J47)</f>
        <v>-9006600</v>
      </c>
      <c r="K48" s="74">
        <f>SUBTOTAL(9,K47)</f>
        <v>-8515500</v>
      </c>
      <c r="L48" s="75">
        <f>SUBTOTAL(9,L47)</f>
        <v>-7721675.5700000003</v>
      </c>
    </row>
    <row r="49" spans="1:12" ht="15.75" customHeight="1" outlineLevel="1">
      <c r="A49" s="11">
        <v>10940000</v>
      </c>
      <c r="B49" s="64">
        <v>0</v>
      </c>
      <c r="C49" s="65" t="s">
        <v>68</v>
      </c>
      <c r="D49" s="66">
        <v>1</v>
      </c>
      <c r="E49" s="67"/>
      <c r="F49" s="68" t="s">
        <v>69</v>
      </c>
      <c r="G49" s="69" t="s">
        <v>15</v>
      </c>
      <c r="H49" s="51"/>
      <c r="I49" s="47"/>
      <c r="J49" s="48"/>
      <c r="K49" s="49"/>
      <c r="L49" s="50"/>
    </row>
    <row r="50" spans="1:12" ht="15.75" customHeight="1" outlineLevel="1">
      <c r="A50" s="11">
        <v>1094000110</v>
      </c>
      <c r="B50" s="40">
        <v>110</v>
      </c>
      <c r="C50" s="41" t="s">
        <v>68</v>
      </c>
      <c r="D50" s="42">
        <v>1</v>
      </c>
      <c r="E50" s="43"/>
      <c r="F50" s="44" t="s">
        <v>21</v>
      </c>
      <c r="G50" s="45" t="s">
        <v>22</v>
      </c>
      <c r="H50" s="51">
        <f t="shared" si="1"/>
        <v>2.5008437394532512E-2</v>
      </c>
      <c r="I50" s="47"/>
      <c r="J50" s="48">
        <f>VLOOKUP(A50,'[1]תקציב 2026'!$A$1:$M$65536,9,0)</f>
        <v>607420</v>
      </c>
      <c r="K50" s="49">
        <v>592600</v>
      </c>
      <c r="L50" s="50">
        <f>VLOOKUP(A50,[2]data1761205830331!$A$1:$J$65536,10,0)</f>
        <v>642596.13</v>
      </c>
    </row>
    <row r="51" spans="1:12" ht="15.75" customHeight="1" outlineLevel="1">
      <c r="A51" s="11">
        <v>1094000119</v>
      </c>
      <c r="B51" s="40">
        <v>119</v>
      </c>
      <c r="C51" s="41" t="s">
        <v>68</v>
      </c>
      <c r="D51" s="42">
        <v>1</v>
      </c>
      <c r="E51" s="43"/>
      <c r="F51" s="44" t="s">
        <v>23</v>
      </c>
      <c r="G51" s="45" t="s">
        <v>22</v>
      </c>
      <c r="H51" s="51">
        <f t="shared" si="1"/>
        <v>0.27299809845763789</v>
      </c>
      <c r="I51" s="47"/>
      <c r="J51" s="48">
        <f>602510</f>
        <v>602510</v>
      </c>
      <c r="K51" s="49">
        <v>473300</v>
      </c>
      <c r="L51" s="50">
        <f>VLOOKUP(A51,[2]data1761205830331!$A$1:$J$65536,10,0)</f>
        <v>703700.58</v>
      </c>
    </row>
    <row r="52" spans="1:12" ht="15.75" customHeight="1" outlineLevel="1">
      <c r="A52" s="11">
        <v>1094000122</v>
      </c>
      <c r="B52" s="40">
        <v>122</v>
      </c>
      <c r="C52" s="41" t="s">
        <v>68</v>
      </c>
      <c r="D52" s="42">
        <v>1</v>
      </c>
      <c r="E52" s="43"/>
      <c r="F52" s="44" t="s">
        <v>24</v>
      </c>
      <c r="G52" s="45" t="s">
        <v>22</v>
      </c>
      <c r="H52" s="51">
        <f t="shared" si="1"/>
        <v>0</v>
      </c>
      <c r="I52" s="47"/>
      <c r="J52" s="48">
        <f>VLOOKUP(A52,'[1]תקציב 2026'!$A$1:$M$65536,9,0)</f>
        <v>14500</v>
      </c>
      <c r="K52" s="49">
        <f>VLOOKUP(A52,[3]גיליון1!$A$1:$C$7693,3,0)</f>
        <v>14500</v>
      </c>
      <c r="L52" s="50">
        <f>VLOOKUP(A52,[2]data1761205830331!$A$1:$J$65536,10,0)</f>
        <v>15913.93</v>
      </c>
    </row>
    <row r="53" spans="1:12" ht="15.75" customHeight="1" outlineLevel="1">
      <c r="A53" s="11">
        <v>1094000126</v>
      </c>
      <c r="B53" s="40">
        <v>126</v>
      </c>
      <c r="C53" s="41" t="s">
        <v>68</v>
      </c>
      <c r="D53" s="42">
        <v>1</v>
      </c>
      <c r="E53" s="43"/>
      <c r="F53" s="44" t="s">
        <v>25</v>
      </c>
      <c r="G53" s="45" t="s">
        <v>22</v>
      </c>
      <c r="H53" s="51">
        <f t="shared" si="1"/>
        <v>0</v>
      </c>
      <c r="I53" s="47"/>
      <c r="J53" s="48">
        <f>VLOOKUP(A53,'[1]תקציב 2026'!$A$1:$M$65536,9,0)</f>
        <v>43800</v>
      </c>
      <c r="K53" s="49">
        <f>VLOOKUP(A53,[3]גיליון1!$A$1:$C$7693,3,0)</f>
        <v>43800</v>
      </c>
      <c r="L53" s="50">
        <f>VLOOKUP(A53,[2]data1761205830331!$A$1:$J$65536,10,0)</f>
        <v>48409.56</v>
      </c>
    </row>
    <row r="54" spans="1:12" ht="15.75" customHeight="1" outlineLevel="1">
      <c r="A54" s="11">
        <v>1094000130</v>
      </c>
      <c r="B54" s="40">
        <v>130</v>
      </c>
      <c r="C54" s="41" t="s">
        <v>68</v>
      </c>
      <c r="D54" s="42">
        <v>1</v>
      </c>
      <c r="E54" s="43"/>
      <c r="F54" s="44" t="s">
        <v>26</v>
      </c>
      <c r="G54" s="45" t="s">
        <v>22</v>
      </c>
      <c r="H54" s="51">
        <f t="shared" si="1"/>
        <v>0</v>
      </c>
      <c r="I54" s="47"/>
      <c r="J54" s="48">
        <f>VLOOKUP(A54,'[1]תקציב 2026'!$A$1:$M$65536,9,0)</f>
        <v>46700</v>
      </c>
      <c r="K54" s="49">
        <v>46700</v>
      </c>
      <c r="L54" s="50">
        <f>VLOOKUP(A54,[2]data1761205830331!$A$1:$J$65536,10,0)</f>
        <v>93156.42</v>
      </c>
    </row>
    <row r="55" spans="1:12" ht="15.75" customHeight="1" outlineLevel="1">
      <c r="A55" s="11">
        <v>1094000140</v>
      </c>
      <c r="B55" s="40">
        <v>140</v>
      </c>
      <c r="C55" s="41" t="s">
        <v>68</v>
      </c>
      <c r="D55" s="42">
        <v>1</v>
      </c>
      <c r="E55" s="43"/>
      <c r="F55" s="44" t="s">
        <v>27</v>
      </c>
      <c r="G55" s="45" t="s">
        <v>22</v>
      </c>
      <c r="H55" s="51">
        <f t="shared" si="1"/>
        <v>0</v>
      </c>
      <c r="I55" s="47"/>
      <c r="J55" s="48">
        <f>VLOOKUP(A55,'[1]תקציב 2026'!$A$1:$M$65536,9,0)</f>
        <v>81800</v>
      </c>
      <c r="K55" s="49">
        <f>VLOOKUP(A55,[3]גיליון1!$A$1:$C$7693,3,0)</f>
        <v>81800</v>
      </c>
      <c r="L55" s="50">
        <f>VLOOKUP(A55,[2]data1761205830331!$A$1:$J$65536,10,0)</f>
        <v>98900.32</v>
      </c>
    </row>
    <row r="56" spans="1:12" ht="15.75" customHeight="1" outlineLevel="1">
      <c r="A56" s="11">
        <v>1094000253</v>
      </c>
      <c r="B56" s="40">
        <v>253</v>
      </c>
      <c r="C56" s="41" t="s">
        <v>68</v>
      </c>
      <c r="D56" s="42">
        <v>1</v>
      </c>
      <c r="E56" s="43"/>
      <c r="F56" s="44" t="s">
        <v>70</v>
      </c>
      <c r="G56" s="45" t="s">
        <v>22</v>
      </c>
      <c r="H56" s="51">
        <v>0</v>
      </c>
      <c r="I56" s="47"/>
      <c r="J56" s="48">
        <f>VLOOKUP(A56,'[1]תקציב 2026'!$A$1:$M$65536,9,0)</f>
        <v>0</v>
      </c>
      <c r="K56" s="49">
        <v>0</v>
      </c>
      <c r="L56" s="50">
        <f>VLOOKUP(A56,[2]data1761205830331!$A$1:$J$65536,10,0)</f>
        <v>45231.08</v>
      </c>
    </row>
    <row r="57" spans="1:12" ht="15.75" customHeight="1" outlineLevel="1">
      <c r="A57" s="11">
        <v>1094000420</v>
      </c>
      <c r="B57" s="40">
        <v>420</v>
      </c>
      <c r="C57" s="41" t="s">
        <v>68</v>
      </c>
      <c r="D57" s="42">
        <v>1</v>
      </c>
      <c r="E57" s="43"/>
      <c r="F57" s="44" t="s">
        <v>30</v>
      </c>
      <c r="G57" s="45" t="s">
        <v>29</v>
      </c>
      <c r="H57" s="51">
        <f t="shared" si="1"/>
        <v>0.16666666666666674</v>
      </c>
      <c r="I57" s="47"/>
      <c r="J57" s="48">
        <f>VLOOKUP(A57,'[1]תקציב 2026'!$A$1:$M$65536,9,0)</f>
        <v>7000</v>
      </c>
      <c r="K57" s="49">
        <v>6000</v>
      </c>
      <c r="L57" s="50">
        <f>VLOOKUP(A57,[2]data1761205830331!$A$1:$J$65536,10,0)</f>
        <v>5118.21</v>
      </c>
    </row>
    <row r="58" spans="1:12" ht="15.75" customHeight="1" outlineLevel="1">
      <c r="A58" s="11">
        <v>1094000423</v>
      </c>
      <c r="B58" s="40">
        <v>423</v>
      </c>
      <c r="C58" s="41" t="s">
        <v>68</v>
      </c>
      <c r="D58" s="42">
        <v>1</v>
      </c>
      <c r="E58" s="43"/>
      <c r="F58" s="44" t="s">
        <v>31</v>
      </c>
      <c r="G58" s="45" t="s">
        <v>29</v>
      </c>
      <c r="H58" s="51">
        <f t="shared" si="1"/>
        <v>0</v>
      </c>
      <c r="I58" s="47"/>
      <c r="J58" s="48">
        <f>VLOOKUP(A58,'[1]תקציב 2026'!$A$1:$M$65536,9,0)</f>
        <v>67700</v>
      </c>
      <c r="K58" s="49">
        <v>67700</v>
      </c>
      <c r="L58" s="50">
        <f>VLOOKUP(A58,[2]data1761205830331!$A$1:$J$65536,10,0)</f>
        <v>67000</v>
      </c>
    </row>
    <row r="59" spans="1:12" ht="15.75" customHeight="1" outlineLevel="1">
      <c r="A59" s="11">
        <v>1094000433</v>
      </c>
      <c r="B59" s="40">
        <v>433</v>
      </c>
      <c r="C59" s="41" t="s">
        <v>68</v>
      </c>
      <c r="D59" s="42">
        <v>1</v>
      </c>
      <c r="E59" s="43"/>
      <c r="F59" s="44" t="s">
        <v>34</v>
      </c>
      <c r="G59" s="45" t="s">
        <v>37</v>
      </c>
      <c r="H59" s="51">
        <f t="shared" si="1"/>
        <v>0</v>
      </c>
      <c r="I59" s="47"/>
      <c r="J59" s="48">
        <f>VLOOKUP(A59,'[1]תקציב 2026'!$A$1:$M$65536,9,0)</f>
        <v>12100</v>
      </c>
      <c r="K59" s="49">
        <v>12100</v>
      </c>
      <c r="L59" s="50">
        <f>VLOOKUP(A59,[2]data1761205830331!$A$1:$J$65536,10,0)</f>
        <v>10640.01</v>
      </c>
    </row>
    <row r="60" spans="1:12" ht="15.75" customHeight="1" outlineLevel="1">
      <c r="A60" s="11">
        <v>1094000437</v>
      </c>
      <c r="B60" s="40">
        <v>437</v>
      </c>
      <c r="C60" s="41" t="s">
        <v>68</v>
      </c>
      <c r="D60" s="42">
        <v>1</v>
      </c>
      <c r="E60" s="43"/>
      <c r="F60" s="44" t="s">
        <v>38</v>
      </c>
      <c r="G60" s="45" t="s">
        <v>29</v>
      </c>
      <c r="H60" s="51">
        <f t="shared" si="1"/>
        <v>-4.7619047619047672E-2</v>
      </c>
      <c r="I60" s="47"/>
      <c r="J60" s="48">
        <f>VLOOKUP(A60,'[1]תקציב 2026'!$A$1:$M$65536,9,0)</f>
        <v>6000</v>
      </c>
      <c r="K60" s="49">
        <v>6300</v>
      </c>
      <c r="L60" s="50">
        <f>VLOOKUP(A60,[2]data1761205830331!$A$1:$J$65536,10,0)</f>
        <v>4071.6</v>
      </c>
    </row>
    <row r="61" spans="1:12" ht="15.75" customHeight="1" outlineLevel="1">
      <c r="A61" s="11">
        <v>1094000450</v>
      </c>
      <c r="B61" s="40">
        <v>450</v>
      </c>
      <c r="C61" s="41" t="s">
        <v>68</v>
      </c>
      <c r="D61" s="42">
        <v>1</v>
      </c>
      <c r="E61" s="43"/>
      <c r="F61" s="11" t="s">
        <v>41</v>
      </c>
      <c r="G61" s="45" t="s">
        <v>29</v>
      </c>
      <c r="H61" s="51">
        <f t="shared" si="1"/>
        <v>1</v>
      </c>
      <c r="I61" s="47"/>
      <c r="J61" s="48">
        <f>VLOOKUP(A61,'[1]תקציב 2026'!$A$1:$M$65536,9,0)</f>
        <v>2200</v>
      </c>
      <c r="K61" s="49">
        <v>1100</v>
      </c>
      <c r="L61" s="50">
        <f>VLOOKUP(A61,[2]data1761205830331!$A$1:$J$65536,10,0)</f>
        <v>0</v>
      </c>
    </row>
    <row r="62" spans="1:12" ht="15.75" customHeight="1" outlineLevel="1">
      <c r="A62" s="11">
        <v>1094000451</v>
      </c>
      <c r="B62" s="40">
        <v>451</v>
      </c>
      <c r="C62" s="41" t="s">
        <v>68</v>
      </c>
      <c r="D62" s="42">
        <v>1</v>
      </c>
      <c r="E62" s="43"/>
      <c r="F62" s="44" t="s">
        <v>42</v>
      </c>
      <c r="G62" s="45" t="s">
        <v>29</v>
      </c>
      <c r="H62" s="51">
        <f t="shared" si="1"/>
        <v>-1</v>
      </c>
      <c r="I62" s="47"/>
      <c r="J62" s="48">
        <f>VLOOKUP(A62,'[1]תקציב 2026'!$A$1:$M$65536,9,0)</f>
        <v>0</v>
      </c>
      <c r="K62" s="49">
        <v>3000</v>
      </c>
      <c r="L62" s="50">
        <f>VLOOKUP(A62,[2]data1761205830331!$A$1:$J$65536,10,0)</f>
        <v>273.77999999999997</v>
      </c>
    </row>
    <row r="63" spans="1:12" ht="15.75" customHeight="1" outlineLevel="1">
      <c r="A63" s="11">
        <v>1094000470</v>
      </c>
      <c r="B63" s="40">
        <v>470</v>
      </c>
      <c r="C63" s="41" t="s">
        <v>68</v>
      </c>
      <c r="D63" s="42">
        <v>1</v>
      </c>
      <c r="E63" s="43"/>
      <c r="F63" s="44" t="s">
        <v>43</v>
      </c>
      <c r="G63" s="45" t="s">
        <v>37</v>
      </c>
      <c r="H63" s="51">
        <f t="shared" si="1"/>
        <v>-0.6875</v>
      </c>
      <c r="I63" s="47"/>
      <c r="J63" s="48">
        <f>VLOOKUP(A63,'[1]תקציב 2026'!$A$1:$M$65536,9,0)</f>
        <v>500</v>
      </c>
      <c r="K63" s="49">
        <v>1600</v>
      </c>
      <c r="L63" s="50">
        <f>VLOOKUP(A63,[2]data1761205830331!$A$1:$J$65536,10,0)</f>
        <v>39.94</v>
      </c>
    </row>
    <row r="64" spans="1:12" ht="15.75" customHeight="1" outlineLevel="1">
      <c r="A64" s="11">
        <v>1094000471</v>
      </c>
      <c r="B64" s="40">
        <v>471</v>
      </c>
      <c r="C64" s="41" t="s">
        <v>68</v>
      </c>
      <c r="D64" s="42">
        <v>1</v>
      </c>
      <c r="E64" s="43"/>
      <c r="F64" s="44" t="s">
        <v>71</v>
      </c>
      <c r="G64" s="45" t="s">
        <v>37</v>
      </c>
      <c r="H64" s="51">
        <f t="shared" si="1"/>
        <v>-0.29078014184397161</v>
      </c>
      <c r="I64" s="47"/>
      <c r="J64" s="48">
        <f>VLOOKUP(A64,'[1]תקציב 2026'!$A$1:$M$65536,9,0)</f>
        <v>10000</v>
      </c>
      <c r="K64" s="49">
        <v>14100</v>
      </c>
      <c r="L64" s="50">
        <f>VLOOKUP(A64,[2]data1761205830331!$A$1:$J$65536,10,0)</f>
        <v>15075.87</v>
      </c>
    </row>
    <row r="65" spans="1:12" ht="15.75" customHeight="1" outlineLevel="1">
      <c r="A65" s="11">
        <v>1094000492</v>
      </c>
      <c r="B65" s="40">
        <v>492</v>
      </c>
      <c r="C65" s="41" t="s">
        <v>68</v>
      </c>
      <c r="D65" s="42">
        <v>1</v>
      </c>
      <c r="E65" s="43"/>
      <c r="F65" s="44" t="s">
        <v>66</v>
      </c>
      <c r="G65" s="45" t="s">
        <v>29</v>
      </c>
      <c r="H65" s="51">
        <f t="shared" si="1"/>
        <v>0</v>
      </c>
      <c r="I65" s="47"/>
      <c r="J65" s="48">
        <f>VLOOKUP(A65,'[1]תקציב 2026'!$A$1:$M$65536,9,0)</f>
        <v>225000</v>
      </c>
      <c r="K65" s="49">
        <v>225000</v>
      </c>
      <c r="L65" s="50">
        <f>VLOOKUP(A65,[2]data1761205830331!$A$1:$J$65536,10,0)</f>
        <v>202789</v>
      </c>
    </row>
    <row r="66" spans="1:12" ht="15.75" customHeight="1" outlineLevel="1">
      <c r="A66" s="11">
        <v>1094000511</v>
      </c>
      <c r="B66" s="40">
        <v>511</v>
      </c>
      <c r="C66" s="41" t="s">
        <v>68</v>
      </c>
      <c r="D66" s="42">
        <v>1</v>
      </c>
      <c r="E66" s="43"/>
      <c r="F66" s="44" t="s">
        <v>72</v>
      </c>
      <c r="G66" s="45" t="s">
        <v>37</v>
      </c>
      <c r="H66" s="51">
        <f t="shared" si="1"/>
        <v>0.4814814814814814</v>
      </c>
      <c r="I66" s="47"/>
      <c r="J66" s="48">
        <f>VLOOKUP(A66,'[1]תקציב 2026'!$A$1:$M$65536,9,0)</f>
        <v>12000</v>
      </c>
      <c r="K66" s="49">
        <v>8100</v>
      </c>
      <c r="L66" s="50">
        <f>VLOOKUP(A66,[2]data1761205830331!$A$1:$J$65536,10,0)</f>
        <v>6821</v>
      </c>
    </row>
    <row r="67" spans="1:12" ht="15.75" customHeight="1" outlineLevel="1">
      <c r="A67" s="11">
        <v>1094000540</v>
      </c>
      <c r="B67" s="40">
        <v>540</v>
      </c>
      <c r="C67" s="41" t="s">
        <v>68</v>
      </c>
      <c r="D67" s="42">
        <v>1</v>
      </c>
      <c r="E67" s="43"/>
      <c r="F67" s="44" t="s">
        <v>47</v>
      </c>
      <c r="G67" s="45" t="s">
        <v>29</v>
      </c>
      <c r="H67" s="51">
        <v>0</v>
      </c>
      <c r="I67" s="47"/>
      <c r="J67" s="48">
        <f>VLOOKUP(A67,'[1]תקציב 2026'!$A$1:$M$65536,9,0)</f>
        <v>0</v>
      </c>
      <c r="K67" s="49">
        <v>0</v>
      </c>
      <c r="L67" s="50">
        <f>VLOOKUP(A67,[2]data1761205830331!$A$1:$J$65536,10,0)</f>
        <v>0</v>
      </c>
    </row>
    <row r="68" spans="1:12" ht="15.75" customHeight="1" outlineLevel="1">
      <c r="A68" s="11">
        <v>1094000550</v>
      </c>
      <c r="B68" s="40">
        <v>550</v>
      </c>
      <c r="C68" s="41" t="s">
        <v>68</v>
      </c>
      <c r="D68" s="42">
        <v>1</v>
      </c>
      <c r="E68" s="43"/>
      <c r="F68" s="44" t="s">
        <v>73</v>
      </c>
      <c r="G68" s="45" t="s">
        <v>37</v>
      </c>
      <c r="H68" s="51">
        <f t="shared" si="1"/>
        <v>0</v>
      </c>
      <c r="I68" s="47"/>
      <c r="J68" s="48">
        <f>VLOOKUP(A68,'[1]תקציב 2026'!$A$1:$M$65536,9,0)</f>
        <v>2000</v>
      </c>
      <c r="K68" s="49">
        <v>2000</v>
      </c>
      <c r="L68" s="50">
        <f>VLOOKUP(A68,[2]data1761205830331!$A$1:$J$65536,10,0)</f>
        <v>5553</v>
      </c>
    </row>
    <row r="69" spans="1:12" ht="15.75" customHeight="1" outlineLevel="1">
      <c r="A69" s="11">
        <v>1094000561</v>
      </c>
      <c r="B69" s="40">
        <v>561</v>
      </c>
      <c r="C69" s="41" t="s">
        <v>68</v>
      </c>
      <c r="D69" s="42">
        <v>1</v>
      </c>
      <c r="E69" s="43"/>
      <c r="F69" s="44" t="s">
        <v>74</v>
      </c>
      <c r="G69" s="45" t="s">
        <v>37</v>
      </c>
      <c r="H69" s="51">
        <f t="shared" si="1"/>
        <v>-1</v>
      </c>
      <c r="I69" s="47"/>
      <c r="J69" s="48">
        <f>VLOOKUP(A69,'[1]תקציב 2026'!$A$1:$M$65536,9,0)</f>
        <v>0</v>
      </c>
      <c r="K69" s="49">
        <v>200</v>
      </c>
      <c r="L69" s="50">
        <f>VLOOKUP(A69,[2]data1761205830331!$A$1:$J$65536,10,0)</f>
        <v>0</v>
      </c>
    </row>
    <row r="70" spans="1:12" ht="15.75" customHeight="1" outlineLevel="1">
      <c r="A70" s="11">
        <v>1094000571</v>
      </c>
      <c r="B70" s="40">
        <v>571</v>
      </c>
      <c r="C70" s="41" t="s">
        <v>68</v>
      </c>
      <c r="D70" s="42">
        <v>1</v>
      </c>
      <c r="E70" s="43"/>
      <c r="F70" s="44" t="s">
        <v>75</v>
      </c>
      <c r="G70" s="45" t="s">
        <v>29</v>
      </c>
      <c r="H70" s="51">
        <f t="shared" si="1"/>
        <v>0</v>
      </c>
      <c r="I70" s="47"/>
      <c r="J70" s="48">
        <f>VLOOKUP(A70,'[1]תקציב 2026'!$A$1:$M$65536,9,0)</f>
        <v>127400</v>
      </c>
      <c r="K70" s="49">
        <v>127400</v>
      </c>
      <c r="L70" s="50">
        <f>VLOOKUP(A70,[2]data1761205830331!$A$1:$J$65536,10,0)</f>
        <v>127400</v>
      </c>
    </row>
    <row r="71" spans="1:12" ht="15.75" customHeight="1" outlineLevel="1">
      <c r="A71" s="11">
        <v>1094000596</v>
      </c>
      <c r="B71" s="40">
        <v>596</v>
      </c>
      <c r="C71" s="41" t="s">
        <v>68</v>
      </c>
      <c r="D71" s="42">
        <v>1</v>
      </c>
      <c r="E71" s="43"/>
      <c r="F71" s="44" t="s">
        <v>76</v>
      </c>
      <c r="G71" s="45" t="s">
        <v>29</v>
      </c>
      <c r="H71" s="51">
        <f t="shared" si="1"/>
        <v>0</v>
      </c>
      <c r="I71" s="47"/>
      <c r="J71" s="48">
        <f>VLOOKUP(A71,'[1]תקציב 2026'!$A$1:$M$65536,9,0)</f>
        <v>110000</v>
      </c>
      <c r="K71" s="49">
        <v>110000</v>
      </c>
      <c r="L71" s="50">
        <f>VLOOKUP(A71,[2]data1761205830331!$A$1:$J$65536,10,0)</f>
        <v>102817</v>
      </c>
    </row>
    <row r="72" spans="1:12" ht="15.75" customHeight="1" outlineLevel="1">
      <c r="A72" s="11">
        <v>1094000721</v>
      </c>
      <c r="B72" s="40">
        <v>721</v>
      </c>
      <c r="C72" s="41" t="s">
        <v>68</v>
      </c>
      <c r="D72" s="42">
        <v>1</v>
      </c>
      <c r="E72" s="43"/>
      <c r="F72" s="44" t="s">
        <v>50</v>
      </c>
      <c r="G72" s="45" t="s">
        <v>37</v>
      </c>
      <c r="H72" s="51">
        <f t="shared" si="1"/>
        <v>-1</v>
      </c>
      <c r="I72" s="47"/>
      <c r="J72" s="48">
        <f>VLOOKUP(A72,'[1]תקציב 2026'!$A$1:$M$65536,9,0)</f>
        <v>0</v>
      </c>
      <c r="K72" s="49">
        <v>80000</v>
      </c>
      <c r="L72" s="50">
        <f>VLOOKUP(A72,[2]data1761205830331!$A$1:$J$65536,10,0)</f>
        <v>0</v>
      </c>
    </row>
    <row r="73" spans="1:12" ht="15.75" customHeight="1" outlineLevel="1">
      <c r="A73" s="11">
        <v>1094000742</v>
      </c>
      <c r="B73" s="40">
        <v>742</v>
      </c>
      <c r="C73" s="41" t="s">
        <v>68</v>
      </c>
      <c r="D73" s="42">
        <v>1</v>
      </c>
      <c r="E73" s="43"/>
      <c r="F73" s="44" t="s">
        <v>52</v>
      </c>
      <c r="G73" s="45" t="s">
        <v>37</v>
      </c>
      <c r="H73" s="51">
        <f t="shared" si="1"/>
        <v>0</v>
      </c>
      <c r="I73" s="47"/>
      <c r="J73" s="48">
        <f>VLOOKUP(A73,'[1]תקציב 2026'!$A$1:$M$65536,9,0)</f>
        <v>4000</v>
      </c>
      <c r="K73" s="49">
        <v>4000</v>
      </c>
      <c r="L73" s="50">
        <f>VLOOKUP(A73,[2]data1761205830331!$A$1:$J$65536,10,0)</f>
        <v>3100</v>
      </c>
    </row>
    <row r="74" spans="1:12" ht="15.75" customHeight="1" outlineLevel="1">
      <c r="A74" s="11">
        <v>1094000751</v>
      </c>
      <c r="B74" s="40">
        <v>751</v>
      </c>
      <c r="C74" s="41" t="s">
        <v>68</v>
      </c>
      <c r="D74" s="42">
        <v>1</v>
      </c>
      <c r="E74" s="43"/>
      <c r="F74" s="44" t="s">
        <v>53</v>
      </c>
      <c r="G74" s="45" t="s">
        <v>37</v>
      </c>
      <c r="H74" s="51">
        <f t="shared" si="1"/>
        <v>0.23762376237623761</v>
      </c>
      <c r="I74" s="47"/>
      <c r="J74" s="48">
        <f>VLOOKUP(A74,'[1]תקציב 2026'!$A$1:$M$65536,9,0)</f>
        <v>50000</v>
      </c>
      <c r="K74" s="49">
        <v>40400</v>
      </c>
      <c r="L74" s="50">
        <f>VLOOKUP(A74,[2]data1761205830331!$A$1:$J$65536,10,0)</f>
        <v>37636</v>
      </c>
    </row>
    <row r="75" spans="1:12" ht="15.75" customHeight="1" outlineLevel="1">
      <c r="A75" s="11">
        <v>1094000752</v>
      </c>
      <c r="B75" s="40">
        <v>752</v>
      </c>
      <c r="C75" s="41" t="s">
        <v>68</v>
      </c>
      <c r="D75" s="42">
        <v>1</v>
      </c>
      <c r="E75" s="43"/>
      <c r="F75" s="44" t="s">
        <v>54</v>
      </c>
      <c r="G75" s="45" t="s">
        <v>29</v>
      </c>
      <c r="H75" s="51">
        <f t="shared" si="1"/>
        <v>-0.36274509803921573</v>
      </c>
      <c r="I75" s="47"/>
      <c r="J75" s="48">
        <f>VLOOKUP(A75,'[1]תקציב 2026'!$A$1:$M$65536,9,0)</f>
        <v>65000</v>
      </c>
      <c r="K75" s="49">
        <f>VLOOKUP(A75,[3]גיליון1!$A$1:$C$7693,3,0)</f>
        <v>102000</v>
      </c>
      <c r="L75" s="50">
        <f>VLOOKUP(A75,[2]data1761205830331!$A$1:$J$65536,10,0)</f>
        <v>99833.52</v>
      </c>
    </row>
    <row r="76" spans="1:12" ht="15.75" customHeight="1" outlineLevel="1">
      <c r="A76" s="11">
        <v>1094000756</v>
      </c>
      <c r="B76" s="40">
        <v>756</v>
      </c>
      <c r="C76" s="41" t="s">
        <v>68</v>
      </c>
      <c r="D76" s="42">
        <v>1</v>
      </c>
      <c r="E76" s="43"/>
      <c r="F76" s="44" t="s">
        <v>55</v>
      </c>
      <c r="G76" s="45" t="s">
        <v>29</v>
      </c>
      <c r="H76" s="51">
        <f t="shared" si="1"/>
        <v>0</v>
      </c>
      <c r="I76" s="47"/>
      <c r="J76" s="48">
        <f>VLOOKUP(A76,'[1]תקציב 2026'!$A$1:$M$65536,9,0)</f>
        <v>360000</v>
      </c>
      <c r="K76" s="49">
        <f>VLOOKUP(A76,[3]גיליון1!$A$1:$C$7693,3,0)</f>
        <v>360000</v>
      </c>
      <c r="L76" s="50">
        <f>VLOOKUP(A76,[2]data1761205830331!$A$1:$J$65536,10,0)</f>
        <v>361140.38</v>
      </c>
    </row>
    <row r="77" spans="1:12" ht="15.75" customHeight="1" outlineLevel="1">
      <c r="A77" s="11">
        <v>1094000757</v>
      </c>
      <c r="B77" s="40">
        <v>757</v>
      </c>
      <c r="C77" s="41" t="s">
        <v>68</v>
      </c>
      <c r="D77" s="42">
        <v>1</v>
      </c>
      <c r="E77" s="43"/>
      <c r="F77" s="44" t="s">
        <v>77</v>
      </c>
      <c r="G77" s="45" t="s">
        <v>37</v>
      </c>
      <c r="H77" s="51">
        <f t="shared" si="1"/>
        <v>-0.1089108910891089</v>
      </c>
      <c r="I77" s="47"/>
      <c r="J77" s="48">
        <f>VLOOKUP(A77,'[1]תקציב 2026'!$A$1:$M$65536,9,0)</f>
        <v>9000</v>
      </c>
      <c r="K77" s="49">
        <v>10100</v>
      </c>
      <c r="L77" s="50">
        <f>VLOOKUP(A77,[2]data1761205830331!$A$1:$J$65536,10,0)</f>
        <v>7722</v>
      </c>
    </row>
    <row r="78" spans="1:12" ht="15.75" customHeight="1" outlineLevel="1">
      <c r="A78" s="11">
        <v>1094000930</v>
      </c>
      <c r="B78" s="40">
        <v>930</v>
      </c>
      <c r="C78" s="41" t="s">
        <v>68</v>
      </c>
      <c r="D78" s="42">
        <v>1</v>
      </c>
      <c r="E78" s="43"/>
      <c r="F78" s="44" t="s">
        <v>78</v>
      </c>
      <c r="G78" s="45" t="s">
        <v>37</v>
      </c>
      <c r="H78" s="51">
        <f t="shared" si="1"/>
        <v>0</v>
      </c>
      <c r="I78" s="47"/>
      <c r="J78" s="48">
        <f>VLOOKUP(A78,'[1]תקציב 2026'!$A$1:$M$65536,9,0)</f>
        <v>3000</v>
      </c>
      <c r="K78" s="49">
        <v>3000</v>
      </c>
      <c r="L78" s="50">
        <f>VLOOKUP(A78,[2]data1761205830331!$A$1:$J$65536,10,0)</f>
        <v>2763.06</v>
      </c>
    </row>
    <row r="79" spans="1:12" ht="15.75" customHeight="1" outlineLevel="1" thickBot="1">
      <c r="A79" s="11">
        <v>1094000931</v>
      </c>
      <c r="B79" s="40">
        <v>931</v>
      </c>
      <c r="C79" s="41" t="s">
        <v>68</v>
      </c>
      <c r="D79" s="42">
        <v>1</v>
      </c>
      <c r="E79" s="43"/>
      <c r="F79" s="44" t="s">
        <v>79</v>
      </c>
      <c r="G79" s="45" t="s">
        <v>37</v>
      </c>
      <c r="H79" s="51">
        <f t="shared" si="1"/>
        <v>0.33333333333333326</v>
      </c>
      <c r="I79" s="52"/>
      <c r="J79" s="48">
        <f>VLOOKUP(A79,'[1]תקציב 2026'!$A$1:$M$65536,9,0)</f>
        <v>4000</v>
      </c>
      <c r="K79" s="48">
        <v>3000</v>
      </c>
      <c r="L79" s="50">
        <f>VLOOKUP(A79,[2]data1761205830331!$A$1:$J$65536,10,0)</f>
        <v>0</v>
      </c>
    </row>
    <row r="80" spans="1:12" ht="16.5" customHeight="1" thickBot="1">
      <c r="A80" s="11" t="e">
        <v>#VALUE!</v>
      </c>
      <c r="B80" s="53" t="s">
        <v>80</v>
      </c>
      <c r="C80" s="54"/>
      <c r="D80" s="55"/>
      <c r="E80" s="56"/>
      <c r="F80" s="57" t="s">
        <v>69</v>
      </c>
      <c r="G80" s="58"/>
      <c r="H80" s="71">
        <f>J80/K80-1</f>
        <v>1.3865890646774348E-2</v>
      </c>
      <c r="I80" s="60"/>
      <c r="J80" s="61">
        <f>SUBTOTAL(9,J49:J79)</f>
        <v>2473630</v>
      </c>
      <c r="K80" s="76">
        <f>SUBTOTAL(9,K49:K79)</f>
        <v>2439800</v>
      </c>
      <c r="L80" s="63">
        <f>SUBTOTAL(9,L49:L79)</f>
        <v>2707702.39</v>
      </c>
    </row>
    <row r="81" spans="1:12" ht="15.75" customHeight="1" outlineLevel="1">
      <c r="A81" s="11">
        <v>10941000</v>
      </c>
      <c r="B81" s="40">
        <v>0</v>
      </c>
      <c r="C81" s="41" t="s">
        <v>81</v>
      </c>
      <c r="D81" s="42">
        <v>1</v>
      </c>
      <c r="E81" s="43"/>
      <c r="F81" s="44" t="s">
        <v>82</v>
      </c>
      <c r="G81" s="45" t="s">
        <v>15</v>
      </c>
      <c r="H81" s="77"/>
      <c r="I81" s="47"/>
      <c r="J81" s="48"/>
      <c r="K81" s="49"/>
      <c r="L81" s="50"/>
    </row>
    <row r="82" spans="1:12" ht="15.75" customHeight="1" outlineLevel="1" thickBot="1">
      <c r="A82" s="11">
        <v>1094100794</v>
      </c>
      <c r="B82" s="40">
        <v>794</v>
      </c>
      <c r="C82" s="41" t="s">
        <v>81</v>
      </c>
      <c r="D82" s="42">
        <v>1</v>
      </c>
      <c r="E82" s="43"/>
      <c r="F82" s="44" t="s">
        <v>58</v>
      </c>
      <c r="G82" s="45" t="s">
        <v>29</v>
      </c>
      <c r="H82" s="78">
        <f t="shared" si="1"/>
        <v>1.3865890646774348E-2</v>
      </c>
      <c r="I82" s="47"/>
      <c r="J82" s="48">
        <f>VLOOKUP(A82,'[1]תקציב 2026'!$A$1:$M$65536,9,0)</f>
        <v>-2473630</v>
      </c>
      <c r="K82" s="49">
        <v>-2439800</v>
      </c>
      <c r="L82" s="50">
        <f>VLOOKUP(A82,[2]data1761205830331!$A$1:$J$65536,10,0)</f>
        <v>-2707702.39</v>
      </c>
    </row>
    <row r="83" spans="1:12" ht="16.5" customHeight="1" thickBot="1">
      <c r="A83" s="11" t="e">
        <v>#VALUE!</v>
      </c>
      <c r="B83" s="53" t="s">
        <v>83</v>
      </c>
      <c r="C83" s="54"/>
      <c r="D83" s="55"/>
      <c r="E83" s="56"/>
      <c r="F83" s="57" t="s">
        <v>82</v>
      </c>
      <c r="G83" s="58"/>
      <c r="H83" s="71">
        <f>J83/K83-1</f>
        <v>1.3865890646774348E-2</v>
      </c>
      <c r="I83" s="60"/>
      <c r="J83" s="61">
        <f>SUBTOTAL(9,J82)</f>
        <v>-2473630</v>
      </c>
      <c r="K83" s="76">
        <f>SUBTOTAL(9,K82)</f>
        <v>-2439800</v>
      </c>
      <c r="L83" s="63">
        <f>SUBTOTAL(9,L82)</f>
        <v>-2707702.39</v>
      </c>
    </row>
    <row r="84" spans="1:12" ht="15.75" customHeight="1" outlineLevel="1">
      <c r="A84" s="11">
        <v>10960000</v>
      </c>
      <c r="B84" s="64">
        <v>0</v>
      </c>
      <c r="C84" s="65" t="s">
        <v>84</v>
      </c>
      <c r="D84" s="66">
        <v>1</v>
      </c>
      <c r="E84" s="67"/>
      <c r="F84" s="68" t="s">
        <v>85</v>
      </c>
      <c r="G84" s="69" t="s">
        <v>15</v>
      </c>
      <c r="H84" s="51"/>
      <c r="I84" s="47"/>
      <c r="J84" s="48"/>
      <c r="K84" s="49"/>
      <c r="L84" s="50"/>
    </row>
    <row r="85" spans="1:12" ht="15.75" customHeight="1" outlineLevel="1">
      <c r="A85" s="11">
        <v>1096000110</v>
      </c>
      <c r="B85" s="40">
        <v>110</v>
      </c>
      <c r="C85" s="41" t="s">
        <v>84</v>
      </c>
      <c r="D85" s="42">
        <v>1</v>
      </c>
      <c r="E85" s="43"/>
      <c r="F85" s="44" t="s">
        <v>21</v>
      </c>
      <c r="G85" s="45" t="s">
        <v>22</v>
      </c>
      <c r="H85" s="51">
        <f t="shared" si="1"/>
        <v>2.5032679738562047E-2</v>
      </c>
      <c r="I85" s="47"/>
      <c r="J85" s="48">
        <f>VLOOKUP(A85,'[1]תקציב 2026'!$A$1:$M$65536,9,0)</f>
        <v>156830</v>
      </c>
      <c r="K85" s="49">
        <v>153000</v>
      </c>
      <c r="L85" s="50">
        <f>VLOOKUP(A85,[2]data1761205830331!$A$1:$J$65536,10,0)</f>
        <v>148370.85999999999</v>
      </c>
    </row>
    <row r="86" spans="1:12" ht="15.75" customHeight="1" outlineLevel="1">
      <c r="A86" s="11">
        <v>1096000119</v>
      </c>
      <c r="B86" s="40">
        <v>119</v>
      </c>
      <c r="C86" s="41" t="s">
        <v>84</v>
      </c>
      <c r="D86" s="42">
        <v>1</v>
      </c>
      <c r="E86" s="43"/>
      <c r="F86" s="44" t="s">
        <v>23</v>
      </c>
      <c r="G86" s="45" t="s">
        <v>22</v>
      </c>
      <c r="H86" s="51">
        <f t="shared" si="1"/>
        <v>-0.18623650637880274</v>
      </c>
      <c r="I86" s="47"/>
      <c r="J86" s="48">
        <f>VLOOKUP(A86,'[1]תקציב 2026'!$A$1:$M$65536,9,0)</f>
        <v>331690</v>
      </c>
      <c r="K86" s="49">
        <v>407600</v>
      </c>
      <c r="L86" s="50">
        <f>VLOOKUP(A86,[2]data1761205830331!$A$1:$J$65536,10,0)</f>
        <v>376254.71</v>
      </c>
    </row>
    <row r="87" spans="1:12" ht="15.75" customHeight="1" outlineLevel="1">
      <c r="A87" s="11">
        <v>1096000122</v>
      </c>
      <c r="B87" s="40">
        <v>122</v>
      </c>
      <c r="C87" s="41" t="s">
        <v>84</v>
      </c>
      <c r="D87" s="42">
        <v>1</v>
      </c>
      <c r="E87" s="43"/>
      <c r="F87" s="44" t="s">
        <v>24</v>
      </c>
      <c r="G87" s="45" t="s">
        <v>22</v>
      </c>
      <c r="H87" s="51">
        <f t="shared" si="1"/>
        <v>0</v>
      </c>
      <c r="I87" s="47"/>
      <c r="J87" s="48">
        <f>VLOOKUP(A87,'[1]תקציב 2026'!$A$1:$M$65536,9,0)</f>
        <v>6100</v>
      </c>
      <c r="K87" s="49">
        <f>VLOOKUP(A87,[3]גיליון1!$A$1:$C$7693,3,0)</f>
        <v>6100</v>
      </c>
      <c r="L87" s="50">
        <f>VLOOKUP(A87,[2]data1761205830331!$A$1:$J$65536,10,0)</f>
        <v>6077.5</v>
      </c>
    </row>
    <row r="88" spans="1:12" ht="15.75" customHeight="1" outlineLevel="1">
      <c r="A88" s="11">
        <v>1096000126</v>
      </c>
      <c r="B88" s="40">
        <v>126</v>
      </c>
      <c r="C88" s="41" t="s">
        <v>84</v>
      </c>
      <c r="D88" s="42">
        <v>1</v>
      </c>
      <c r="E88" s="43"/>
      <c r="F88" s="44" t="s">
        <v>25</v>
      </c>
      <c r="G88" s="45" t="s">
        <v>22</v>
      </c>
      <c r="H88" s="51">
        <f t="shared" si="1"/>
        <v>0</v>
      </c>
      <c r="I88" s="47"/>
      <c r="J88" s="48">
        <f>VLOOKUP(A88,'[1]תקציב 2026'!$A$1:$M$65536,9,0)</f>
        <v>14500</v>
      </c>
      <c r="K88" s="49">
        <f>VLOOKUP(A88,[3]גיליון1!$A$1:$C$7693,3,0)</f>
        <v>14500</v>
      </c>
      <c r="L88" s="50">
        <f>VLOOKUP(A88,[2]data1761205830331!$A$1:$J$65536,10,0)</f>
        <v>14554.4</v>
      </c>
    </row>
    <row r="89" spans="1:12" ht="15.75" customHeight="1" outlineLevel="1">
      <c r="A89" s="11">
        <v>1096000130</v>
      </c>
      <c r="B89" s="40">
        <v>130</v>
      </c>
      <c r="C89" s="41" t="s">
        <v>84</v>
      </c>
      <c r="D89" s="42">
        <v>1</v>
      </c>
      <c r="E89" s="43"/>
      <c r="F89" s="44" t="s">
        <v>26</v>
      </c>
      <c r="G89" s="45" t="s">
        <v>22</v>
      </c>
      <c r="H89" s="51">
        <v>0</v>
      </c>
      <c r="I89" s="47"/>
      <c r="J89" s="48">
        <f>VLOOKUP(A89,'[1]תקציב 2026'!$A$1:$M$65536,9,0)</f>
        <v>0</v>
      </c>
      <c r="K89" s="49">
        <v>0</v>
      </c>
      <c r="L89" s="50">
        <f>VLOOKUP(A89,[2]data1761205830331!$A$1:$J$65536,10,0)</f>
        <v>0</v>
      </c>
    </row>
    <row r="90" spans="1:12" ht="15.75" customHeight="1" outlineLevel="1">
      <c r="A90" s="11">
        <v>1096000140</v>
      </c>
      <c r="B90" s="40">
        <v>140</v>
      </c>
      <c r="C90" s="41" t="s">
        <v>84</v>
      </c>
      <c r="D90" s="42">
        <v>1</v>
      </c>
      <c r="E90" s="43"/>
      <c r="F90" s="44" t="s">
        <v>27</v>
      </c>
      <c r="G90" s="45" t="s">
        <v>22</v>
      </c>
      <c r="H90" s="51">
        <f t="shared" si="1"/>
        <v>0</v>
      </c>
      <c r="I90" s="47"/>
      <c r="J90" s="48">
        <f>VLOOKUP(A90,'[1]תקציב 2026'!$A$1:$M$65536,9,0)</f>
        <v>65200</v>
      </c>
      <c r="K90" s="49">
        <f>VLOOKUP(A90,[3]גיליון1!$A$1:$C$7693,3,0)</f>
        <v>65200</v>
      </c>
      <c r="L90" s="50">
        <f>VLOOKUP(A90,[2]data1761205830331!$A$1:$J$65536,10,0)</f>
        <v>72400.679999999993</v>
      </c>
    </row>
    <row r="91" spans="1:12" ht="15.75" customHeight="1" outlineLevel="1">
      <c r="A91" s="11">
        <v>1096000253</v>
      </c>
      <c r="B91" s="40">
        <v>253</v>
      </c>
      <c r="C91" s="41" t="s">
        <v>84</v>
      </c>
      <c r="D91" s="42">
        <v>1</v>
      </c>
      <c r="E91" s="43"/>
      <c r="F91" s="44" t="s">
        <v>70</v>
      </c>
      <c r="G91" s="45" t="s">
        <v>22</v>
      </c>
      <c r="H91" s="51">
        <v>1</v>
      </c>
      <c r="I91" s="47" t="s">
        <v>86</v>
      </c>
      <c r="J91" s="48">
        <f>VLOOKUP(A91,'[1]תקציב 2026'!$A$1:$M$65536,9,0)</f>
        <v>0</v>
      </c>
      <c r="K91" s="49">
        <v>0</v>
      </c>
      <c r="L91" s="50">
        <v>0</v>
      </c>
    </row>
    <row r="92" spans="1:12" ht="15.75" customHeight="1" outlineLevel="1">
      <c r="A92" s="11">
        <v>1096000420</v>
      </c>
      <c r="B92" s="40">
        <v>420</v>
      </c>
      <c r="C92" s="41" t="s">
        <v>84</v>
      </c>
      <c r="D92" s="42">
        <v>1</v>
      </c>
      <c r="E92" s="43"/>
      <c r="F92" s="44" t="s">
        <v>30</v>
      </c>
      <c r="G92" s="45" t="s">
        <v>29</v>
      </c>
      <c r="H92" s="51">
        <f t="shared" si="1"/>
        <v>0</v>
      </c>
      <c r="I92" s="47"/>
      <c r="J92" s="48">
        <f>VLOOKUP(A92,'[1]תקציב 2026'!$A$1:$M$65536,9,0)</f>
        <v>5100</v>
      </c>
      <c r="K92" s="49">
        <v>5100</v>
      </c>
      <c r="L92" s="50">
        <f>VLOOKUP(A92,[2]data1761205830331!$A$1:$J$65536,10,0)</f>
        <v>3999.04</v>
      </c>
    </row>
    <row r="93" spans="1:12" ht="15.75" customHeight="1" outlineLevel="1">
      <c r="A93" s="11">
        <v>1096000433</v>
      </c>
      <c r="B93" s="40">
        <v>433</v>
      </c>
      <c r="C93" s="41" t="s">
        <v>84</v>
      </c>
      <c r="D93" s="42">
        <v>1</v>
      </c>
      <c r="E93" s="43"/>
      <c r="F93" s="44" t="s">
        <v>34</v>
      </c>
      <c r="G93" s="45" t="s">
        <v>37</v>
      </c>
      <c r="H93" s="51">
        <f t="shared" si="1"/>
        <v>0</v>
      </c>
      <c r="I93" s="47"/>
      <c r="J93" s="48">
        <f>VLOOKUP(A93,'[1]תקציב 2026'!$A$1:$M$65536,9,0)</f>
        <v>5100</v>
      </c>
      <c r="K93" s="49">
        <v>5100</v>
      </c>
      <c r="L93" s="50">
        <f>VLOOKUP(A93,[2]data1761205830331!$A$1:$J$65536,10,0)</f>
        <v>5153.3900000000003</v>
      </c>
    </row>
    <row r="94" spans="1:12" ht="15.75" customHeight="1" outlineLevel="1">
      <c r="A94" s="11">
        <v>1096000441</v>
      </c>
      <c r="B94" s="40">
        <v>441</v>
      </c>
      <c r="C94" s="41" t="s">
        <v>84</v>
      </c>
      <c r="D94" s="42">
        <v>1</v>
      </c>
      <c r="E94" s="43"/>
      <c r="F94" s="44" t="s">
        <v>87</v>
      </c>
      <c r="G94" s="45" t="s">
        <v>29</v>
      </c>
      <c r="H94" s="51">
        <f t="shared" si="1"/>
        <v>2.6472177201512626E-2</v>
      </c>
      <c r="I94" s="47"/>
      <c r="J94" s="48">
        <f>VLOOKUP(A94,'[1]תקציב 2026'!$A$1:$M$65536,9,0)</f>
        <v>950000</v>
      </c>
      <c r="K94" s="49">
        <v>925500</v>
      </c>
      <c r="L94" s="50">
        <f>VLOOKUP(A94,[2]data1761205830331!$A$1:$J$65536,10,0)</f>
        <v>829643</v>
      </c>
    </row>
    <row r="95" spans="1:12" ht="15.75" customHeight="1" outlineLevel="1">
      <c r="A95" s="11">
        <v>1096000470</v>
      </c>
      <c r="B95" s="40">
        <v>470</v>
      </c>
      <c r="C95" s="41" t="s">
        <v>84</v>
      </c>
      <c r="D95" s="42">
        <v>1</v>
      </c>
      <c r="E95" s="43"/>
      <c r="F95" s="44" t="s">
        <v>43</v>
      </c>
      <c r="G95" s="45" t="s">
        <v>37</v>
      </c>
      <c r="H95" s="51">
        <f t="shared" si="1"/>
        <v>-0.375</v>
      </c>
      <c r="I95" s="47"/>
      <c r="J95" s="48">
        <f>VLOOKUP(A95,'[1]תקציב 2026'!$A$1:$M$65536,9,0)</f>
        <v>500</v>
      </c>
      <c r="K95" s="49">
        <v>800</v>
      </c>
      <c r="L95" s="50">
        <f>VLOOKUP(A95,[2]data1761205830331!$A$1:$J$65536,10,0)</f>
        <v>970</v>
      </c>
    </row>
    <row r="96" spans="1:12" ht="15.75" customHeight="1" outlineLevel="1">
      <c r="A96" s="11">
        <v>1096000471</v>
      </c>
      <c r="B96" s="40">
        <v>471</v>
      </c>
      <c r="C96" s="41" t="s">
        <v>84</v>
      </c>
      <c r="D96" s="42">
        <v>1</v>
      </c>
      <c r="E96" s="43"/>
      <c r="F96" s="44" t="s">
        <v>71</v>
      </c>
      <c r="G96" s="45" t="s">
        <v>37</v>
      </c>
      <c r="H96" s="51">
        <f t="shared" si="1"/>
        <v>0</v>
      </c>
      <c r="I96" s="47"/>
      <c r="J96" s="48">
        <f>VLOOKUP(A96,'[1]תקציב 2026'!$A$1:$M$65536,9,0)</f>
        <v>5100</v>
      </c>
      <c r="K96" s="49">
        <v>5100</v>
      </c>
      <c r="L96" s="50">
        <f>VLOOKUP(A96,[2]data1761205830331!$A$1:$J$65536,10,0)</f>
        <v>4370.32</v>
      </c>
    </row>
    <row r="97" spans="1:12" ht="15.75" customHeight="1" outlineLevel="1">
      <c r="A97" s="11">
        <v>1096000492</v>
      </c>
      <c r="B97" s="40">
        <v>492</v>
      </c>
      <c r="C97" s="41" t="s">
        <v>84</v>
      </c>
      <c r="D97" s="42">
        <v>1</v>
      </c>
      <c r="E97" s="43"/>
      <c r="F97" s="44" t="s">
        <v>66</v>
      </c>
      <c r="G97" s="45" t="s">
        <v>29</v>
      </c>
      <c r="H97" s="51">
        <f t="shared" si="1"/>
        <v>0.13714285714285723</v>
      </c>
      <c r="I97" s="47"/>
      <c r="J97" s="48">
        <f>VLOOKUP(A97,'[1]תקציב 2026'!$A$1:$M$65536,9,0)</f>
        <v>99500</v>
      </c>
      <c r="K97" s="49">
        <v>87500</v>
      </c>
      <c r="L97" s="50">
        <f>VLOOKUP(A97,[2]data1761205830331!$A$1:$J$65536,10,0)</f>
        <v>77195</v>
      </c>
    </row>
    <row r="98" spans="1:12" ht="15.75" customHeight="1" outlineLevel="1">
      <c r="A98" s="11">
        <v>1096000511</v>
      </c>
      <c r="B98" s="40">
        <v>511</v>
      </c>
      <c r="C98" s="41" t="s">
        <v>84</v>
      </c>
      <c r="D98" s="42">
        <v>1</v>
      </c>
      <c r="E98" s="43"/>
      <c r="F98" s="44" t="s">
        <v>72</v>
      </c>
      <c r="G98" s="45" t="s">
        <v>37</v>
      </c>
      <c r="H98" s="51">
        <f t="shared" si="1"/>
        <v>-0.13793103448275867</v>
      </c>
      <c r="I98" s="47"/>
      <c r="J98" s="48">
        <f>VLOOKUP(A98,'[1]תקציב 2026'!$A$1:$M$65536,9,0)</f>
        <v>2500</v>
      </c>
      <c r="K98" s="49">
        <v>2900</v>
      </c>
      <c r="L98" s="50">
        <f>VLOOKUP(A98,[2]data1761205830331!$A$1:$J$65536,10,0)</f>
        <v>2712.75</v>
      </c>
    </row>
    <row r="99" spans="1:12" ht="15.75" customHeight="1" outlineLevel="1">
      <c r="A99" s="11">
        <v>1096000512</v>
      </c>
      <c r="B99" s="40">
        <v>512</v>
      </c>
      <c r="C99" s="41" t="s">
        <v>84</v>
      </c>
      <c r="D99" s="42">
        <v>1</v>
      </c>
      <c r="E99" s="43"/>
      <c r="F99" s="44" t="s">
        <v>88</v>
      </c>
      <c r="G99" s="45" t="s">
        <v>37</v>
      </c>
      <c r="H99" s="51">
        <f t="shared" si="1"/>
        <v>-1</v>
      </c>
      <c r="I99" s="47"/>
      <c r="J99" s="48">
        <f>VLOOKUP(A99,'[1]תקציב 2026'!$A$1:$M$65536,9,0)</f>
        <v>0</v>
      </c>
      <c r="K99" s="49">
        <v>200</v>
      </c>
      <c r="L99" s="50">
        <f>VLOOKUP(A99,[2]data1761205830331!$A$1:$J$65536,10,0)</f>
        <v>0</v>
      </c>
    </row>
    <row r="100" spans="1:12" s="79" customFormat="1" ht="15.75" customHeight="1" outlineLevel="1">
      <c r="A100" s="11">
        <v>1096000521</v>
      </c>
      <c r="B100" s="40">
        <v>521</v>
      </c>
      <c r="C100" s="41" t="s">
        <v>84</v>
      </c>
      <c r="D100" s="42">
        <v>1</v>
      </c>
      <c r="E100" s="43"/>
      <c r="F100" s="44" t="s">
        <v>89</v>
      </c>
      <c r="G100" s="45" t="s">
        <v>37</v>
      </c>
      <c r="H100" s="51">
        <v>1</v>
      </c>
      <c r="I100" s="47" t="s">
        <v>86</v>
      </c>
      <c r="J100" s="48">
        <f>VLOOKUP(A100,'[1]תקציב 2026'!$A$1:$M$65536,9,0)</f>
        <v>16000</v>
      </c>
      <c r="K100" s="49">
        <v>0</v>
      </c>
      <c r="L100" s="50">
        <v>0</v>
      </c>
    </row>
    <row r="101" spans="1:12" ht="15.75" customHeight="1" outlineLevel="1">
      <c r="A101" s="11">
        <v>1096000522</v>
      </c>
      <c r="B101" s="40">
        <v>522</v>
      </c>
      <c r="C101" s="41" t="s">
        <v>84</v>
      </c>
      <c r="D101" s="42">
        <v>1</v>
      </c>
      <c r="E101" s="43"/>
      <c r="F101" s="44" t="s">
        <v>90</v>
      </c>
      <c r="G101" s="45" t="s">
        <v>37</v>
      </c>
      <c r="H101" s="51">
        <f t="shared" si="1"/>
        <v>-1</v>
      </c>
      <c r="I101" s="47"/>
      <c r="J101" s="48">
        <f>VLOOKUP(A101,'[1]תקציב 2026'!$A$1:$M$65536,9,0)</f>
        <v>0</v>
      </c>
      <c r="K101" s="49">
        <v>800</v>
      </c>
      <c r="L101" s="50">
        <f>VLOOKUP(A101,[2]data1761205830331!$A$1:$J$65536,10,0)</f>
        <v>0</v>
      </c>
    </row>
    <row r="102" spans="1:12" ht="15.75" customHeight="1" outlineLevel="1">
      <c r="A102" s="11">
        <v>1096000550</v>
      </c>
      <c r="B102" s="40">
        <v>550</v>
      </c>
      <c r="C102" s="41" t="s">
        <v>84</v>
      </c>
      <c r="D102" s="42">
        <v>1</v>
      </c>
      <c r="E102" s="43"/>
      <c r="F102" s="44" t="s">
        <v>73</v>
      </c>
      <c r="G102" s="45" t="s">
        <v>37</v>
      </c>
      <c r="H102" s="51">
        <f t="shared" si="1"/>
        <v>0.33333333333333326</v>
      </c>
      <c r="I102" s="47"/>
      <c r="J102" s="48">
        <f>VLOOKUP(A102,'[1]תקציב 2026'!$A$1:$M$65536,9,0)</f>
        <v>4000</v>
      </c>
      <c r="K102" s="49">
        <v>3000</v>
      </c>
      <c r="L102" s="50">
        <f>VLOOKUP(A102,[2]data1761205830331!$A$1:$J$65536,10,0)</f>
        <v>4010</v>
      </c>
    </row>
    <row r="103" spans="1:12" ht="15.75" customHeight="1" outlineLevel="1">
      <c r="A103" s="11">
        <v>1096000571</v>
      </c>
      <c r="B103" s="40">
        <v>571</v>
      </c>
      <c r="C103" s="41" t="s">
        <v>84</v>
      </c>
      <c r="D103" s="42">
        <v>1</v>
      </c>
      <c r="E103" s="43"/>
      <c r="F103" s="44" t="s">
        <v>75</v>
      </c>
      <c r="G103" s="45" t="s">
        <v>29</v>
      </c>
      <c r="H103" s="51">
        <f t="shared" si="1"/>
        <v>0</v>
      </c>
      <c r="I103" s="47"/>
      <c r="J103" s="48">
        <f>VLOOKUP(A103,'[1]תקציב 2026'!$A$1:$M$65536,9,0)</f>
        <v>56100</v>
      </c>
      <c r="K103" s="49">
        <v>56100</v>
      </c>
      <c r="L103" s="50">
        <f>VLOOKUP(A103,[2]data1761205830331!$A$1:$J$65536,10,0)</f>
        <v>56100</v>
      </c>
    </row>
    <row r="104" spans="1:12" ht="15.75" customHeight="1" outlineLevel="1">
      <c r="A104" s="11">
        <v>1096000580</v>
      </c>
      <c r="B104" s="40">
        <v>580</v>
      </c>
      <c r="C104" s="41" t="s">
        <v>84</v>
      </c>
      <c r="D104" s="42">
        <v>1</v>
      </c>
      <c r="E104" s="43"/>
      <c r="F104" s="44" t="s">
        <v>91</v>
      </c>
      <c r="G104" s="45" t="s">
        <v>37</v>
      </c>
      <c r="H104" s="51">
        <f t="shared" si="1"/>
        <v>0.25</v>
      </c>
      <c r="I104" s="47"/>
      <c r="J104" s="48">
        <f>VLOOKUP(A104,'[1]תקציב 2026'!$A$1:$M$65536,9,0)</f>
        <v>3000</v>
      </c>
      <c r="K104" s="49">
        <v>2400</v>
      </c>
      <c r="L104" s="50">
        <f>VLOOKUP(A104,[2]data1761205830331!$A$1:$J$65536,10,0)</f>
        <v>1860</v>
      </c>
    </row>
    <row r="105" spans="1:12" ht="15.75" customHeight="1" outlineLevel="1">
      <c r="A105" s="11">
        <v>1096000715</v>
      </c>
      <c r="B105" s="40">
        <v>715</v>
      </c>
      <c r="C105" s="41" t="s">
        <v>84</v>
      </c>
      <c r="D105" s="42">
        <v>1</v>
      </c>
      <c r="E105" s="43"/>
      <c r="F105" s="44" t="s">
        <v>92</v>
      </c>
      <c r="G105" s="45" t="s">
        <v>37</v>
      </c>
      <c r="H105" s="51">
        <f t="shared" si="1"/>
        <v>-1</v>
      </c>
      <c r="I105" s="47"/>
      <c r="J105" s="48">
        <f>VLOOKUP(A105,'[1]תקציב 2026'!$A$1:$M$65536,9,0)</f>
        <v>0</v>
      </c>
      <c r="K105" s="49">
        <v>3800</v>
      </c>
      <c r="L105" s="50">
        <f>VLOOKUP(A105,[2]data1761205830331!$A$1:$J$65536,10,0)</f>
        <v>0</v>
      </c>
    </row>
    <row r="106" spans="1:12" ht="15.75" customHeight="1" outlineLevel="1">
      <c r="A106" s="11">
        <v>1096000721</v>
      </c>
      <c r="B106" s="40">
        <v>721</v>
      </c>
      <c r="C106" s="41" t="s">
        <v>84</v>
      </c>
      <c r="D106" s="42">
        <v>1</v>
      </c>
      <c r="E106" s="43"/>
      <c r="F106" s="44" t="s">
        <v>50</v>
      </c>
      <c r="G106" s="45" t="s">
        <v>37</v>
      </c>
      <c r="H106" s="51">
        <v>0</v>
      </c>
      <c r="I106" s="47"/>
      <c r="J106" s="48">
        <f>VLOOKUP(A106,'[1]תקציב 2026'!$A$1:$M$65536,9,0)</f>
        <v>0</v>
      </c>
      <c r="K106" s="49">
        <v>0</v>
      </c>
      <c r="L106" s="50">
        <f>VLOOKUP(A106,[2]data1761205830331!$A$1:$J$65536,10,0)</f>
        <v>0</v>
      </c>
    </row>
    <row r="107" spans="1:12" ht="15.75" customHeight="1" outlineLevel="1">
      <c r="A107" s="11">
        <v>1096000731</v>
      </c>
      <c r="B107" s="40">
        <v>731</v>
      </c>
      <c r="C107" s="41" t="s">
        <v>84</v>
      </c>
      <c r="D107" s="42">
        <v>1</v>
      </c>
      <c r="E107" s="43"/>
      <c r="F107" s="44" t="s">
        <v>93</v>
      </c>
      <c r="G107" s="45" t="s">
        <v>29</v>
      </c>
      <c r="H107" s="51">
        <f t="shared" si="1"/>
        <v>0.13793103448275867</v>
      </c>
      <c r="I107" s="47"/>
      <c r="J107" s="48">
        <f>VLOOKUP(A107,'[1]תקציב 2026'!$A$1:$M$65536,9,0)</f>
        <v>330000</v>
      </c>
      <c r="K107" s="49">
        <v>290000</v>
      </c>
      <c r="L107" s="50">
        <f>VLOOKUP(A107,[2]data1761205830331!$A$1:$J$65536,10,0)</f>
        <v>284249.59000000003</v>
      </c>
    </row>
    <row r="108" spans="1:12" ht="15.75" customHeight="1" outlineLevel="1">
      <c r="A108" s="11">
        <v>1096000733</v>
      </c>
      <c r="B108" s="40">
        <v>733</v>
      </c>
      <c r="C108" s="41" t="s">
        <v>84</v>
      </c>
      <c r="D108" s="42">
        <v>1</v>
      </c>
      <c r="E108" s="43"/>
      <c r="F108" s="44" t="s">
        <v>94</v>
      </c>
      <c r="G108" s="45" t="s">
        <v>29</v>
      </c>
      <c r="H108" s="51">
        <f t="shared" si="1"/>
        <v>0</v>
      </c>
      <c r="I108" s="47"/>
      <c r="J108" s="48">
        <f>VLOOKUP(A108,'[1]תקציב 2026'!$A$1:$M$65536,9,0)</f>
        <v>2400</v>
      </c>
      <c r="K108" s="49">
        <v>2400</v>
      </c>
      <c r="L108" s="50">
        <f>VLOOKUP(A108,[2]data1761205830331!$A$1:$J$65536,10,0)</f>
        <v>2194</v>
      </c>
    </row>
    <row r="109" spans="1:12" ht="15.75" customHeight="1" outlineLevel="1">
      <c r="A109" s="11">
        <v>1096000734</v>
      </c>
      <c r="B109" s="40">
        <v>734</v>
      </c>
      <c r="C109" s="41" t="s">
        <v>84</v>
      </c>
      <c r="D109" s="42">
        <v>1</v>
      </c>
      <c r="E109" s="43"/>
      <c r="F109" s="44" t="s">
        <v>95</v>
      </c>
      <c r="G109" s="45" t="s">
        <v>29</v>
      </c>
      <c r="H109" s="51">
        <f t="shared" si="1"/>
        <v>3.314679294016365E-2</v>
      </c>
      <c r="I109" s="47"/>
      <c r="J109" s="48">
        <f>VLOOKUP(A109,'[1]תקציב 2026'!$A$1:$M$65536,9,0)</f>
        <v>1200000</v>
      </c>
      <c r="K109" s="49">
        <v>1161500</v>
      </c>
      <c r="L109" s="50">
        <f>VLOOKUP(A109,[2]data1761205830331!$A$1:$J$65536,10,0)</f>
        <v>1006483.85</v>
      </c>
    </row>
    <row r="110" spans="1:12" ht="15.75" customHeight="1" outlineLevel="1">
      <c r="A110" s="11">
        <v>1096000736</v>
      </c>
      <c r="B110" s="40">
        <v>736</v>
      </c>
      <c r="C110" s="41" t="s">
        <v>84</v>
      </c>
      <c r="D110" s="42">
        <v>1</v>
      </c>
      <c r="E110" s="43"/>
      <c r="F110" s="44" t="s">
        <v>96</v>
      </c>
      <c r="G110" s="45" t="s">
        <v>37</v>
      </c>
      <c r="H110" s="51">
        <f t="shared" si="1"/>
        <v>0</v>
      </c>
      <c r="I110" s="47"/>
      <c r="J110" s="48">
        <f>VLOOKUP(A110,'[1]תקציב 2026'!$A$1:$M$65536,9,0)</f>
        <v>15200</v>
      </c>
      <c r="K110" s="49">
        <v>15200</v>
      </c>
      <c r="L110" s="50">
        <f>VLOOKUP(A110,[2]data1761205830331!$A$1:$J$65536,10,0)</f>
        <v>4653.5600000000004</v>
      </c>
    </row>
    <row r="111" spans="1:12" ht="15.75" customHeight="1" outlineLevel="1">
      <c r="A111" s="11">
        <v>1096000737</v>
      </c>
      <c r="B111" s="40">
        <v>737</v>
      </c>
      <c r="C111" s="41" t="s">
        <v>84</v>
      </c>
      <c r="D111" s="42">
        <v>1</v>
      </c>
      <c r="E111" s="43"/>
      <c r="F111" s="44" t="s">
        <v>97</v>
      </c>
      <c r="G111" s="45" t="s">
        <v>29</v>
      </c>
      <c r="H111" s="51">
        <f t="shared" si="1"/>
        <v>0.24633431085043989</v>
      </c>
      <c r="I111" s="47"/>
      <c r="J111" s="48">
        <f>VLOOKUP(A111,'[1]תקציב 2026'!$A$1:$M$65536,9,0)</f>
        <v>170000</v>
      </c>
      <c r="K111" s="49">
        <v>136400</v>
      </c>
      <c r="L111" s="50">
        <f>VLOOKUP(A111,[2]data1761205830331!$A$1:$J$65536,10,0)</f>
        <v>142173</v>
      </c>
    </row>
    <row r="112" spans="1:12" ht="15.75" customHeight="1" outlineLevel="1">
      <c r="A112" s="11">
        <v>1096000742</v>
      </c>
      <c r="B112" s="40">
        <v>742</v>
      </c>
      <c r="C112" s="41" t="s">
        <v>84</v>
      </c>
      <c r="D112" s="42">
        <v>1</v>
      </c>
      <c r="E112" s="43"/>
      <c r="F112" s="44" t="s">
        <v>52</v>
      </c>
      <c r="G112" s="45" t="s">
        <v>37</v>
      </c>
      <c r="H112" s="51">
        <f t="shared" ref="H112:H124" si="2">J112/K112-1</f>
        <v>9.375E-2</v>
      </c>
      <c r="I112" s="47"/>
      <c r="J112" s="48">
        <f>VLOOKUP(A112,'[1]תקציב 2026'!$A$1:$M$65536,9,0)</f>
        <v>7000</v>
      </c>
      <c r="K112" s="49">
        <v>6400</v>
      </c>
      <c r="L112" s="50">
        <f>VLOOKUP(A112,[2]data1761205830331!$A$1:$J$65536,10,0)</f>
        <v>6291.69</v>
      </c>
    </row>
    <row r="113" spans="1:12" ht="15.75" customHeight="1" outlineLevel="1">
      <c r="A113" s="11">
        <v>1096000746</v>
      </c>
      <c r="B113" s="40">
        <v>746</v>
      </c>
      <c r="C113" s="41" t="s">
        <v>84</v>
      </c>
      <c r="D113" s="42">
        <v>1</v>
      </c>
      <c r="E113" s="43"/>
      <c r="F113" s="44" t="s">
        <v>98</v>
      </c>
      <c r="G113" s="45" t="s">
        <v>29</v>
      </c>
      <c r="H113" s="51">
        <f t="shared" si="2"/>
        <v>0</v>
      </c>
      <c r="I113" s="47"/>
      <c r="J113" s="48">
        <f>VLOOKUP(A113,'[1]תקציב 2026'!$A$1:$M$65536,9,0)</f>
        <v>130000</v>
      </c>
      <c r="K113" s="49">
        <v>130000</v>
      </c>
      <c r="L113" s="50">
        <f>VLOOKUP(A113,[2]data1761205830331!$A$1:$J$65536,10,0)</f>
        <v>157021</v>
      </c>
    </row>
    <row r="114" spans="1:12" ht="15.75" customHeight="1" outlineLevel="1">
      <c r="A114" s="11">
        <v>1096000750</v>
      </c>
      <c r="B114" s="40">
        <v>750</v>
      </c>
      <c r="C114" s="41" t="s">
        <v>84</v>
      </c>
      <c r="D114" s="42">
        <v>1</v>
      </c>
      <c r="E114" s="43"/>
      <c r="F114" s="44" t="s">
        <v>99</v>
      </c>
      <c r="G114" s="45" t="s">
        <v>37</v>
      </c>
      <c r="H114" s="51">
        <f t="shared" si="2"/>
        <v>-0.26666666666666672</v>
      </c>
      <c r="I114" s="47"/>
      <c r="J114" s="48">
        <f>VLOOKUP(A114,'[1]תקציב 2026'!$A$1:$M$65536,9,0)</f>
        <v>22000</v>
      </c>
      <c r="K114" s="49">
        <v>30000</v>
      </c>
      <c r="L114" s="50">
        <f>VLOOKUP(A114,[2]data1761205830331!$A$1:$J$65536,10,0)</f>
        <v>16904.810000000001</v>
      </c>
    </row>
    <row r="115" spans="1:12" ht="15.75" customHeight="1" outlineLevel="1">
      <c r="A115" s="11">
        <v>1096000751</v>
      </c>
      <c r="B115" s="40">
        <v>751</v>
      </c>
      <c r="C115" s="41" t="s">
        <v>84</v>
      </c>
      <c r="D115" s="42">
        <v>1</v>
      </c>
      <c r="E115" s="43"/>
      <c r="F115" s="44" t="s">
        <v>53</v>
      </c>
      <c r="G115" s="45" t="s">
        <v>37</v>
      </c>
      <c r="H115" s="51">
        <f t="shared" si="2"/>
        <v>0</v>
      </c>
      <c r="I115" s="47"/>
      <c r="J115" s="48">
        <f>VLOOKUP(A115,'[1]תקציב 2026'!$A$1:$M$65536,9,0)</f>
        <v>10000</v>
      </c>
      <c r="K115" s="49">
        <v>10000</v>
      </c>
      <c r="L115" s="50">
        <f>VLOOKUP(A115,[2]data1761205830331!$A$1:$J$65536,10,0)</f>
        <v>3955</v>
      </c>
    </row>
    <row r="116" spans="1:12" ht="15.75" customHeight="1" outlineLevel="1">
      <c r="A116" s="11">
        <v>1096000752</v>
      </c>
      <c r="B116" s="40">
        <v>752</v>
      </c>
      <c r="C116" s="41" t="s">
        <v>84</v>
      </c>
      <c r="D116" s="42">
        <v>1</v>
      </c>
      <c r="E116" s="43"/>
      <c r="F116" s="44" t="s">
        <v>54</v>
      </c>
      <c r="G116" s="45" t="s">
        <v>29</v>
      </c>
      <c r="H116" s="51">
        <f t="shared" si="2"/>
        <v>-4.7619047619047672E-2</v>
      </c>
      <c r="I116" s="47"/>
      <c r="J116" s="48">
        <f>VLOOKUP(A116,'[1]תקציב 2026'!$A$1:$M$65536,9,0)</f>
        <v>40000</v>
      </c>
      <c r="K116" s="49">
        <f>VLOOKUP(A116,[3]גיליון1!$A$1:$C$7693,3,0)</f>
        <v>42000</v>
      </c>
      <c r="L116" s="50">
        <f>VLOOKUP(A116,[2]data1761205830331!$A$1:$J$65536,10,0)</f>
        <v>31081.97</v>
      </c>
    </row>
    <row r="117" spans="1:12" ht="15.75" customHeight="1" outlineLevel="1">
      <c r="A117" s="11">
        <v>1096000755</v>
      </c>
      <c r="B117" s="40">
        <v>755</v>
      </c>
      <c r="C117" s="41" t="s">
        <v>84</v>
      </c>
      <c r="D117" s="42">
        <v>1</v>
      </c>
      <c r="E117" s="43"/>
      <c r="F117" s="44" t="s">
        <v>100</v>
      </c>
      <c r="G117" s="45" t="s">
        <v>29</v>
      </c>
      <c r="H117" s="51">
        <f t="shared" si="2"/>
        <v>7.1428571428571397E-2</v>
      </c>
      <c r="I117" s="47"/>
      <c r="J117" s="48">
        <f>VLOOKUP(A117,'[1]תקציב 2026'!$A$1:$M$65536,9,0)</f>
        <v>75000</v>
      </c>
      <c r="K117" s="49">
        <v>70000</v>
      </c>
      <c r="L117" s="50">
        <f>VLOOKUP(A117,[2]data1761205830331!$A$1:$J$65536,10,0)</f>
        <v>49487</v>
      </c>
    </row>
    <row r="118" spans="1:12" ht="15.75" customHeight="1" outlineLevel="1">
      <c r="A118" s="11">
        <v>1096000756</v>
      </c>
      <c r="B118" s="40">
        <v>756</v>
      </c>
      <c r="C118" s="41" t="s">
        <v>84</v>
      </c>
      <c r="D118" s="42">
        <v>1</v>
      </c>
      <c r="E118" s="43"/>
      <c r="F118" s="44" t="s">
        <v>55</v>
      </c>
      <c r="G118" s="45" t="s">
        <v>29</v>
      </c>
      <c r="H118" s="51">
        <f t="shared" si="2"/>
        <v>0</v>
      </c>
      <c r="I118" s="47"/>
      <c r="J118" s="48">
        <f>VLOOKUP(A118,'[1]תקציב 2026'!$A$1:$M$65536,9,0)</f>
        <v>360000</v>
      </c>
      <c r="K118" s="49">
        <f>VLOOKUP(A118,[3]גיליון1!$A$1:$C$7693,3,0)</f>
        <v>360000</v>
      </c>
      <c r="L118" s="50">
        <f>VLOOKUP(A118,[2]data1761205830331!$A$1:$J$65536,10,0)</f>
        <v>330000</v>
      </c>
    </row>
    <row r="119" spans="1:12" ht="15.75" customHeight="1" outlineLevel="1">
      <c r="A119" s="11">
        <v>1096000757</v>
      </c>
      <c r="B119" s="40">
        <v>757</v>
      </c>
      <c r="C119" s="41" t="s">
        <v>84</v>
      </c>
      <c r="D119" s="42">
        <v>1</v>
      </c>
      <c r="E119" s="43"/>
      <c r="F119" s="44" t="s">
        <v>101</v>
      </c>
      <c r="G119" s="45" t="s">
        <v>37</v>
      </c>
      <c r="H119" s="51">
        <f t="shared" si="2"/>
        <v>0.16666666666666674</v>
      </c>
      <c r="I119" s="47"/>
      <c r="J119" s="48">
        <f>VLOOKUP(A119,'[1]תקציב 2026'!$A$1:$M$65536,9,0)</f>
        <v>2100000</v>
      </c>
      <c r="K119" s="49">
        <v>1800000</v>
      </c>
      <c r="L119" s="50">
        <f>VLOOKUP(A119,[2]data1761205830331!$A$1:$J$65536,10,0)</f>
        <v>1627914.75</v>
      </c>
    </row>
    <row r="120" spans="1:12" ht="15.75" customHeight="1" outlineLevel="1">
      <c r="A120" s="11">
        <v>1096000758</v>
      </c>
      <c r="B120" s="40">
        <v>758</v>
      </c>
      <c r="C120" s="41" t="s">
        <v>84</v>
      </c>
      <c r="D120" s="42">
        <v>1</v>
      </c>
      <c r="E120" s="43"/>
      <c r="F120" s="44" t="s">
        <v>102</v>
      </c>
      <c r="G120" s="45" t="s">
        <v>37</v>
      </c>
      <c r="H120" s="51">
        <f t="shared" si="2"/>
        <v>-1</v>
      </c>
      <c r="I120" s="47"/>
      <c r="J120" s="48">
        <f>VLOOKUP(A120,'[1]תקציב 2026'!$A$1:$M$65536,9,0)</f>
        <v>0</v>
      </c>
      <c r="K120" s="49">
        <v>200000</v>
      </c>
      <c r="L120" s="50">
        <f>VLOOKUP(A120,[2]data1761205830331!$A$1:$J$65536,10,0)</f>
        <v>151716</v>
      </c>
    </row>
    <row r="121" spans="1:12" ht="15.75" customHeight="1" outlineLevel="1">
      <c r="A121" s="11">
        <v>1096000759</v>
      </c>
      <c r="B121" s="40">
        <v>759</v>
      </c>
      <c r="C121" s="41" t="s">
        <v>84</v>
      </c>
      <c r="D121" s="42">
        <v>1</v>
      </c>
      <c r="E121" s="43"/>
      <c r="F121" s="44" t="s">
        <v>103</v>
      </c>
      <c r="G121" s="45" t="s">
        <v>37</v>
      </c>
      <c r="H121" s="51">
        <f t="shared" si="2"/>
        <v>-1</v>
      </c>
      <c r="I121" s="47"/>
      <c r="J121" s="48">
        <f>VLOOKUP(A121,'[1]תקציב 2026'!$A$1:$M$65536,9,0)</f>
        <v>0</v>
      </c>
      <c r="K121" s="49">
        <v>30000</v>
      </c>
      <c r="L121" s="50">
        <f>VLOOKUP(A121,[2]data1761205830331!$A$1:$J$65536,10,0)</f>
        <v>35889</v>
      </c>
    </row>
    <row r="122" spans="1:12" ht="15.75" customHeight="1" outlineLevel="1">
      <c r="A122" s="11">
        <v>1096000780</v>
      </c>
      <c r="B122" s="40">
        <v>780</v>
      </c>
      <c r="C122" s="41" t="s">
        <v>84</v>
      </c>
      <c r="D122" s="42">
        <v>1</v>
      </c>
      <c r="E122" s="43"/>
      <c r="F122" s="44" t="s">
        <v>104</v>
      </c>
      <c r="G122" s="45" t="s">
        <v>37</v>
      </c>
      <c r="H122" s="51">
        <f t="shared" si="2"/>
        <v>0</v>
      </c>
      <c r="I122" s="47"/>
      <c r="J122" s="48">
        <f>VLOOKUP(A122,'[1]תקציב 2026'!$A$1:$M$65536,9,0)</f>
        <v>339400</v>
      </c>
      <c r="K122" s="49">
        <v>339400</v>
      </c>
      <c r="L122" s="50">
        <f>VLOOKUP(A122,[2]data1761205830331!$A$1:$J$65536,10,0)</f>
        <v>335556</v>
      </c>
    </row>
    <row r="123" spans="1:12" ht="15.75" customHeight="1" outlineLevel="1" thickBot="1">
      <c r="A123" s="11">
        <v>1096000794</v>
      </c>
      <c r="B123" s="40">
        <v>794</v>
      </c>
      <c r="C123" s="41" t="s">
        <v>84</v>
      </c>
      <c r="D123" s="42">
        <v>1</v>
      </c>
      <c r="E123" s="43"/>
      <c r="F123" s="44" t="s">
        <v>58</v>
      </c>
      <c r="G123" s="45" t="s">
        <v>29</v>
      </c>
      <c r="H123" s="51">
        <f t="shared" si="2"/>
        <v>0</v>
      </c>
      <c r="I123" s="47"/>
      <c r="J123" s="48">
        <f>VLOOKUP(A123,'[1]תקציב 2026'!$A$1:$M$65536,9,0)</f>
        <v>30500</v>
      </c>
      <c r="K123" s="49">
        <v>30500</v>
      </c>
      <c r="L123" s="50">
        <f>VLOOKUP(A123,[2]data1761205830331!$A$1:$J$65536,10,0)</f>
        <v>36378</v>
      </c>
    </row>
    <row r="124" spans="1:12" ht="16.5" customHeight="1" thickBot="1">
      <c r="A124" s="11" t="e">
        <v>#VALUE!</v>
      </c>
      <c r="B124" s="53" t="s">
        <v>105</v>
      </c>
      <c r="C124" s="54"/>
      <c r="D124" s="55"/>
      <c r="E124" s="56"/>
      <c r="F124" s="57" t="s">
        <v>85</v>
      </c>
      <c r="G124" s="60"/>
      <c r="H124" s="59">
        <f t="shared" si="2"/>
        <v>2.4102524029069317E-2</v>
      </c>
      <c r="I124" s="60"/>
      <c r="J124" s="61">
        <f>SUBTOTAL(9,J84:J123)</f>
        <v>6552720</v>
      </c>
      <c r="K124" s="76">
        <f>SUBTOTAL(9,K84:K123)</f>
        <v>6398500</v>
      </c>
      <c r="L124" s="63">
        <f>SUBTOTAL(9,L84:L123)</f>
        <v>5825620.870000001</v>
      </c>
    </row>
    <row r="125" spans="1:12" ht="15.75" customHeight="1" outlineLevel="1">
      <c r="A125" s="11">
        <v>10961000</v>
      </c>
      <c r="B125" s="40">
        <v>0</v>
      </c>
      <c r="C125" s="41" t="s">
        <v>106</v>
      </c>
      <c r="D125" s="42">
        <v>1</v>
      </c>
      <c r="E125" s="43"/>
      <c r="F125" s="44" t="s">
        <v>107</v>
      </c>
      <c r="G125" s="45" t="s">
        <v>15</v>
      </c>
      <c r="H125" s="51"/>
      <c r="I125" s="47"/>
      <c r="J125" s="48"/>
      <c r="K125" s="49"/>
      <c r="L125" s="50"/>
    </row>
    <row r="126" spans="1:12" ht="15.75" customHeight="1" outlineLevel="1" thickBot="1">
      <c r="A126" s="11">
        <v>1096100596</v>
      </c>
      <c r="B126" s="40">
        <v>596</v>
      </c>
      <c r="C126" s="41" t="s">
        <v>106</v>
      </c>
      <c r="D126" s="42">
        <v>1</v>
      </c>
      <c r="E126" s="43"/>
      <c r="F126" s="44" t="s">
        <v>76</v>
      </c>
      <c r="G126" s="80" t="s">
        <v>29</v>
      </c>
      <c r="H126" s="51">
        <f>J126/K126-1</f>
        <v>2.4102524029069317E-2</v>
      </c>
      <c r="I126" s="52"/>
      <c r="J126" s="48">
        <f>VLOOKUP(A126,'[1]תקציב 2026'!$A$1:$M$65536,9,0)</f>
        <v>-6552720</v>
      </c>
      <c r="K126" s="49">
        <v>-6398500</v>
      </c>
      <c r="L126" s="50">
        <f>VLOOKUP(A126,[2]data1761205830331!$A$1:$J$65536,10,0)</f>
        <v>-5825620.8700000001</v>
      </c>
    </row>
    <row r="127" spans="1:12" ht="16.5" customHeight="1" thickBot="1">
      <c r="A127" s="11" t="e">
        <v>#VALUE!</v>
      </c>
      <c r="B127" s="81" t="s">
        <v>108</v>
      </c>
      <c r="C127" s="82"/>
      <c r="D127" s="83"/>
      <c r="E127" s="84"/>
      <c r="F127" s="85" t="s">
        <v>107</v>
      </c>
      <c r="G127" s="86"/>
      <c r="H127" s="87">
        <f>J127/K127-1</f>
        <v>2.4102524029069317E-2</v>
      </c>
      <c r="I127" s="88"/>
      <c r="J127" s="89">
        <f>SUBTOTAL(9,J126)</f>
        <v>-6552720</v>
      </c>
      <c r="K127" s="90">
        <f>SUBTOTAL(9,K126)</f>
        <v>-6398500</v>
      </c>
      <c r="L127" s="91">
        <f>SUBTOTAL(9,L126)</f>
        <v>-5825620.8700000001</v>
      </c>
    </row>
    <row r="128" spans="1:12" ht="21.6" thickBot="1">
      <c r="A128" s="11" t="e">
        <v>#REF!</v>
      </c>
      <c r="B128" s="307" t="s">
        <v>109</v>
      </c>
      <c r="C128" s="308"/>
      <c r="D128" s="308"/>
      <c r="E128" s="308"/>
      <c r="F128" s="308"/>
      <c r="G128" s="309"/>
      <c r="H128" s="71">
        <v>0</v>
      </c>
      <c r="I128" s="72"/>
      <c r="J128" s="73">
        <f>SUBTOTAL(9,J7:J127)</f>
        <v>0</v>
      </c>
      <c r="K128" s="92">
        <f>SUBTOTAL(9,K7:K127)</f>
        <v>0</v>
      </c>
      <c r="L128" s="75">
        <f>SUBTOTAL(9,L7:L127)</f>
        <v>0</v>
      </c>
    </row>
    <row r="129" spans="1:12" ht="15.6">
      <c r="A129" s="1"/>
      <c r="B129" s="2"/>
      <c r="C129" s="93"/>
      <c r="D129" s="2"/>
      <c r="E129" s="4"/>
      <c r="F129" s="4"/>
      <c r="G129" s="94"/>
      <c r="H129" s="95"/>
      <c r="I129" s="96"/>
      <c r="J129" s="97"/>
      <c r="K129" s="98"/>
      <c r="L129" s="39"/>
    </row>
    <row r="130" spans="1:12" ht="21">
      <c r="A130" s="11" t="e">
        <v>#VALUE!</v>
      </c>
      <c r="B130" s="99"/>
      <c r="C130" s="100"/>
      <c r="D130" s="101"/>
      <c r="E130" s="101"/>
      <c r="F130" s="102" t="s">
        <v>110</v>
      </c>
      <c r="G130" s="103"/>
      <c r="H130" s="104"/>
      <c r="I130" s="105"/>
      <c r="J130" s="106"/>
      <c r="K130" s="107"/>
      <c r="L130" s="108"/>
    </row>
    <row r="131" spans="1:12" ht="15.6" outlineLevel="1">
      <c r="A131" s="11"/>
      <c r="B131" s="40">
        <v>0</v>
      </c>
      <c r="C131" s="109">
        <v>100000</v>
      </c>
      <c r="D131" s="42">
        <v>1</v>
      </c>
      <c r="E131" s="110"/>
      <c r="F131" s="44" t="s">
        <v>111</v>
      </c>
      <c r="G131" s="111"/>
      <c r="H131" s="51"/>
      <c r="I131" s="47"/>
      <c r="J131" s="48"/>
      <c r="K131" s="49"/>
      <c r="L131" s="50"/>
    </row>
    <row r="132" spans="1:12" ht="15.75" customHeight="1" outlineLevel="1">
      <c r="A132" s="11">
        <v>11100000</v>
      </c>
      <c r="B132" s="40">
        <v>0</v>
      </c>
      <c r="C132" s="109">
        <v>110000</v>
      </c>
      <c r="D132" s="42">
        <v>1</v>
      </c>
      <c r="E132" s="112"/>
      <c r="F132" s="44" t="s">
        <v>112</v>
      </c>
      <c r="G132" s="45" t="s">
        <v>15</v>
      </c>
      <c r="H132" s="51"/>
      <c r="I132" s="47"/>
      <c r="J132" s="48"/>
      <c r="K132" s="49"/>
      <c r="L132" s="50"/>
    </row>
    <row r="133" spans="1:12" ht="15.75" customHeight="1" outlineLevel="1">
      <c r="A133" s="11">
        <v>1110000110</v>
      </c>
      <c r="B133" s="40">
        <v>110</v>
      </c>
      <c r="C133" s="109">
        <v>110000</v>
      </c>
      <c r="D133" s="42">
        <v>1</v>
      </c>
      <c r="E133" s="112"/>
      <c r="F133" s="44" t="s">
        <v>113</v>
      </c>
      <c r="G133" s="45" t="s">
        <v>37</v>
      </c>
      <c r="H133" s="51">
        <f>J133/K133-1</f>
        <v>5.8428515675816417E-2</v>
      </c>
      <c r="I133" s="47"/>
      <c r="J133" s="48">
        <f>VLOOKUP(A133,'[1]תקציב 2026'!$A$1:$M$65536,9,0)</f>
        <v>-813614000</v>
      </c>
      <c r="K133" s="49">
        <v>-768700000</v>
      </c>
      <c r="L133" s="50">
        <f>VLOOKUP(A133,[2]data1761205830331!$A$1:$J$65536,10,0)</f>
        <v>-760029164.20000005</v>
      </c>
    </row>
    <row r="134" spans="1:12" ht="15.75" customHeight="1" outlineLevel="1">
      <c r="A134" s="11">
        <v>1110000111</v>
      </c>
      <c r="B134" s="40">
        <v>111</v>
      </c>
      <c r="C134" s="109">
        <v>110000</v>
      </c>
      <c r="D134" s="42">
        <v>1</v>
      </c>
      <c r="E134" s="112"/>
      <c r="F134" s="44" t="s">
        <v>114</v>
      </c>
      <c r="G134" s="45" t="s">
        <v>37</v>
      </c>
      <c r="H134" s="51">
        <v>0</v>
      </c>
      <c r="I134" s="47"/>
      <c r="J134" s="48">
        <f>VLOOKUP(A134,'[1]תקציב 2026'!$A$1:$M$65536,9,0)</f>
        <v>0</v>
      </c>
      <c r="K134" s="49">
        <f>VLOOKUP(A134,[3]גיליון1!$A$1:$C$7693,3,0)</f>
        <v>0</v>
      </c>
      <c r="L134" s="50">
        <f>VLOOKUP(A134,[2]data1761205830331!$A$1:$J$65536,10,0)</f>
        <v>-1812.38</v>
      </c>
    </row>
    <row r="135" spans="1:12" ht="15.75" customHeight="1" outlineLevel="1">
      <c r="A135" s="11">
        <v>1110000112</v>
      </c>
      <c r="B135" s="40">
        <v>112</v>
      </c>
      <c r="C135" s="109">
        <v>110000</v>
      </c>
      <c r="D135" s="42">
        <v>1</v>
      </c>
      <c r="E135" s="112"/>
      <c r="F135" s="44" t="s">
        <v>115</v>
      </c>
      <c r="G135" s="45" t="s">
        <v>37</v>
      </c>
      <c r="H135" s="51">
        <f>J135/L135-1</f>
        <v>0.14839752290654307</v>
      </c>
      <c r="I135" s="47"/>
      <c r="J135" s="48">
        <f>VLOOKUP(A135,'[1]תקציב 2026'!$A$1:$M$65536,9,0)</f>
        <v>-180000</v>
      </c>
      <c r="K135" s="113" t="str">
        <f>VLOOKUP(A135,[3]גיליון1!$A$1:$C$7693,3,0)</f>
        <v>200,000-</v>
      </c>
      <c r="L135" s="50">
        <f>VLOOKUP(A135,[2]data1761205830331!$A$1:$J$65536,10,0)</f>
        <v>-156740.15</v>
      </c>
    </row>
    <row r="136" spans="1:12" ht="15.75" customHeight="1" outlineLevel="1">
      <c r="A136" s="11">
        <v>1110000113</v>
      </c>
      <c r="B136" s="40">
        <v>113</v>
      </c>
      <c r="C136" s="109">
        <v>110000</v>
      </c>
      <c r="D136" s="42">
        <v>1</v>
      </c>
      <c r="E136" s="112"/>
      <c r="F136" s="44" t="s">
        <v>116</v>
      </c>
      <c r="G136" s="45" t="s">
        <v>37</v>
      </c>
      <c r="H136" s="51">
        <f>J136/K136-1</f>
        <v>0</v>
      </c>
      <c r="I136" s="47"/>
      <c r="J136" s="48">
        <f>VLOOKUP(A136,'[1]תקציב 2026'!$A$1:$M$65536,9,0)</f>
        <v>-700000</v>
      </c>
      <c r="K136" s="114">
        <v>-700000</v>
      </c>
      <c r="L136" s="50">
        <f>VLOOKUP(A136,[2]data1761205830331!$A$1:$J$65536,10,0)</f>
        <v>-1097325.96</v>
      </c>
    </row>
    <row r="137" spans="1:12" ht="15.75" customHeight="1" outlineLevel="1">
      <c r="A137" s="11">
        <v>1110000176</v>
      </c>
      <c r="B137" s="40">
        <v>176</v>
      </c>
      <c r="C137" s="109">
        <v>110000</v>
      </c>
      <c r="D137" s="42">
        <v>1</v>
      </c>
      <c r="E137" s="112"/>
      <c r="F137" s="44" t="s">
        <v>117</v>
      </c>
      <c r="G137" s="45" t="s">
        <v>37</v>
      </c>
      <c r="H137" s="51">
        <v>0</v>
      </c>
      <c r="I137" s="47"/>
      <c r="J137" s="48">
        <f>VLOOKUP(A137,'[1]תקציב 2026'!$A$1:$M$65536,9,0)</f>
        <v>0</v>
      </c>
      <c r="K137" s="49">
        <f>VLOOKUP(A137,[3]גיליון1!$A$1:$C$7693,3,0)</f>
        <v>0</v>
      </c>
      <c r="L137" s="50">
        <f>VLOOKUP(A137,[2]data1761205830331!$A$1:$J$65536,10,0)</f>
        <v>16287.62</v>
      </c>
    </row>
    <row r="138" spans="1:12" ht="15.75" customHeight="1" outlineLevel="1">
      <c r="A138" s="11">
        <v>1110000177</v>
      </c>
      <c r="B138" s="40">
        <v>177</v>
      </c>
      <c r="C138" s="109">
        <v>110000</v>
      </c>
      <c r="D138" s="42">
        <v>1</v>
      </c>
      <c r="E138" s="112"/>
      <c r="F138" s="44" t="s">
        <v>118</v>
      </c>
      <c r="G138" s="45" t="s">
        <v>37</v>
      </c>
      <c r="H138" s="51">
        <v>0</v>
      </c>
      <c r="I138" s="47"/>
      <c r="J138" s="48">
        <f>VLOOKUP(A138,'[1]תקציב 2026'!$A$1:$M$65536,9,0)</f>
        <v>0</v>
      </c>
      <c r="K138" s="49">
        <f>VLOOKUP(A138,[3]גיליון1!$A$1:$C$7693,3,0)</f>
        <v>0</v>
      </c>
      <c r="L138" s="50">
        <f>VLOOKUP(A138,[2]data1761205830331!$A$1:$J$65536,10,0)</f>
        <v>51870.44</v>
      </c>
    </row>
    <row r="139" spans="1:12" ht="15.75" customHeight="1" outlineLevel="1">
      <c r="A139" s="11">
        <v>1110000178</v>
      </c>
      <c r="B139" s="40">
        <v>178</v>
      </c>
      <c r="C139" s="109">
        <v>110000</v>
      </c>
      <c r="D139" s="42">
        <v>1</v>
      </c>
      <c r="E139" s="112"/>
      <c r="F139" s="44" t="s">
        <v>119</v>
      </c>
      <c r="G139" s="45" t="s">
        <v>37</v>
      </c>
      <c r="H139" s="51">
        <v>0</v>
      </c>
      <c r="I139" s="47"/>
      <c r="J139" s="48">
        <f>VLOOKUP(A139,'[1]תקציב 2026'!$A$1:$M$65536,9,0)</f>
        <v>0</v>
      </c>
      <c r="K139" s="49">
        <f>VLOOKUP(A139,[3]גיליון1!$A$1:$C$7693,3,0)</f>
        <v>0</v>
      </c>
      <c r="L139" s="50">
        <f>VLOOKUP(A139,[2]data1761205830331!$A$1:$J$65536,10,0)</f>
        <v>5642.98</v>
      </c>
    </row>
    <row r="140" spans="1:12" ht="15.75" customHeight="1" outlineLevel="1" thickBot="1">
      <c r="A140" s="11">
        <v>1110000590</v>
      </c>
      <c r="B140" s="40">
        <v>590</v>
      </c>
      <c r="C140" s="109">
        <v>110000</v>
      </c>
      <c r="D140" s="42">
        <v>1</v>
      </c>
      <c r="E140" s="112"/>
      <c r="F140" s="44" t="s">
        <v>120</v>
      </c>
      <c r="G140" s="45" t="s">
        <v>37</v>
      </c>
      <c r="H140" s="51">
        <f>J140/K140-1</f>
        <v>0</v>
      </c>
      <c r="I140" s="47"/>
      <c r="J140" s="48">
        <f>VLOOKUP(A140,'[1]תקציב 2026'!$A$1:$M$65536,9,0)</f>
        <v>-100000</v>
      </c>
      <c r="K140" s="49">
        <f>VLOOKUP(A140,[3]גיליון1!$A$1:$C$7693,3,0)</f>
        <v>-100000</v>
      </c>
      <c r="L140" s="50">
        <f>VLOOKUP(A140,[2]data1761205830331!$A$1:$J$65536,10,0)</f>
        <v>-100000</v>
      </c>
    </row>
    <row r="141" spans="1:12" ht="16.2" thickBot="1">
      <c r="A141" s="11" t="e">
        <v>#VALUE!</v>
      </c>
      <c r="B141" s="53" t="s">
        <v>121</v>
      </c>
      <c r="C141" s="54"/>
      <c r="D141" s="55"/>
      <c r="E141" s="115"/>
      <c r="F141" s="116" t="s">
        <v>112</v>
      </c>
      <c r="G141" s="58"/>
      <c r="H141" s="59">
        <f>J141/K141-1</f>
        <v>5.8601689408706914E-2</v>
      </c>
      <c r="I141" s="60"/>
      <c r="J141" s="61">
        <f>SUBTOTAL(9,J133:J140)</f>
        <v>-814594000</v>
      </c>
      <c r="K141" s="76">
        <f>SUBTOTAL(9,K133:K140)</f>
        <v>-769500000</v>
      </c>
      <c r="L141" s="75">
        <f>SUBTOTAL(9,L133:L140)</f>
        <v>-761311241.64999998</v>
      </c>
    </row>
    <row r="142" spans="1:12" ht="15.75" customHeight="1" outlineLevel="1">
      <c r="A142" s="11">
        <v>11150000</v>
      </c>
      <c r="B142" s="40">
        <v>0</v>
      </c>
      <c r="C142" s="109">
        <v>115000</v>
      </c>
      <c r="D142" s="42">
        <v>1</v>
      </c>
      <c r="E142" s="112"/>
      <c r="F142" s="44" t="s">
        <v>122</v>
      </c>
      <c r="G142" s="45" t="s">
        <v>15</v>
      </c>
      <c r="H142" s="51"/>
      <c r="I142" s="47"/>
      <c r="J142" s="48"/>
      <c r="K142" s="49"/>
      <c r="L142" s="50"/>
    </row>
    <row r="143" spans="1:12" ht="15.75" customHeight="1" outlineLevel="1">
      <c r="A143" s="11">
        <v>1115000110</v>
      </c>
      <c r="B143" s="40">
        <v>110</v>
      </c>
      <c r="C143" s="109">
        <v>115000</v>
      </c>
      <c r="D143" s="42">
        <v>1</v>
      </c>
      <c r="E143" s="112"/>
      <c r="F143" s="44" t="s">
        <v>123</v>
      </c>
      <c r="G143" s="45" t="s">
        <v>37</v>
      </c>
      <c r="H143" s="51">
        <f>J143/K143-1</f>
        <v>2.6785714285714191E-2</v>
      </c>
      <c r="I143" s="47"/>
      <c r="J143" s="48">
        <f>VLOOKUP(A143,'[1]תקציב 2026'!$A$1:$M$65536,9,0)</f>
        <v>-115000000</v>
      </c>
      <c r="K143" s="49">
        <f>VLOOKUP(A143,[3]גיליון1!$A$1:$C$7693,3,0)</f>
        <v>-112000000</v>
      </c>
      <c r="L143" s="50">
        <f>VLOOKUP(A143,[2]data1761205830331!$A$1:$J$65536,10,0)</f>
        <v>-105150973.98</v>
      </c>
    </row>
    <row r="144" spans="1:12" ht="15.75" customHeight="1" outlineLevel="1">
      <c r="A144" s="11">
        <v>1115000111</v>
      </c>
      <c r="B144" s="40">
        <v>111</v>
      </c>
      <c r="C144" s="109">
        <v>115000</v>
      </c>
      <c r="D144" s="42">
        <v>1</v>
      </c>
      <c r="E144" s="112"/>
      <c r="F144" s="44" t="s">
        <v>124</v>
      </c>
      <c r="G144" s="45" t="s">
        <v>37</v>
      </c>
      <c r="H144" s="51">
        <f>J144/K144-1</f>
        <v>3.3333333333333437E-2</v>
      </c>
      <c r="I144" s="47"/>
      <c r="J144" s="48">
        <f>VLOOKUP(A144,'[1]תקציב 2026'!$A$1:$M$65536,9,0)</f>
        <v>-1550000</v>
      </c>
      <c r="K144" s="49">
        <f>VLOOKUP(A144,[3]גיליון1!$A$1:$C$7693,3,0)</f>
        <v>-1500000</v>
      </c>
      <c r="L144" s="50">
        <f>VLOOKUP(A144,[2]data1761205830331!$A$1:$J$65536,10,0)</f>
        <v>-1554255.89</v>
      </c>
    </row>
    <row r="145" spans="1:12" ht="15.75" customHeight="1" outlineLevel="1">
      <c r="A145" s="11">
        <v>1115000112</v>
      </c>
      <c r="B145" s="40">
        <v>112</v>
      </c>
      <c r="C145" s="109">
        <v>115000</v>
      </c>
      <c r="D145" s="42">
        <v>1</v>
      </c>
      <c r="E145" s="112"/>
      <c r="F145" s="44" t="s">
        <v>125</v>
      </c>
      <c r="G145" s="45" t="s">
        <v>37</v>
      </c>
      <c r="H145" s="51">
        <f>J145/K145-1</f>
        <v>-0.21052631578947367</v>
      </c>
      <c r="I145" s="47"/>
      <c r="J145" s="48">
        <f>VLOOKUP(A145,'[1]תקציב 2026'!$A$1:$M$65536,9,0)</f>
        <v>-15000000</v>
      </c>
      <c r="K145" s="49">
        <f>VLOOKUP(A145,[3]גיליון1!$A$1:$C$7693,3,0)</f>
        <v>-19000000</v>
      </c>
      <c r="L145" s="50">
        <f>VLOOKUP(A145,[2]data1761205830331!$A$1:$J$65536,10,0)</f>
        <v>-11223469.640000001</v>
      </c>
    </row>
    <row r="146" spans="1:12" ht="15.75" customHeight="1" outlineLevel="1">
      <c r="A146" s="11">
        <v>1115000114</v>
      </c>
      <c r="B146" s="40">
        <v>114</v>
      </c>
      <c r="C146" s="109">
        <v>115000</v>
      </c>
      <c r="D146" s="42">
        <v>1</v>
      </c>
      <c r="E146" s="112"/>
      <c r="F146" s="44" t="s">
        <v>126</v>
      </c>
      <c r="G146" s="45" t="s">
        <v>37</v>
      </c>
      <c r="H146" s="51">
        <f>J146/K146-1</f>
        <v>0.11111111111111116</v>
      </c>
      <c r="I146" s="47"/>
      <c r="J146" s="48">
        <f>VLOOKUP(A146,'[1]תקציב 2026'!$A$1:$M$65536,9,0)</f>
        <v>-20000000</v>
      </c>
      <c r="K146" s="49">
        <f>VLOOKUP(A146,[3]גיליון1!$A$1:$C$7693,3,0)</f>
        <v>-18000000</v>
      </c>
      <c r="L146" s="50">
        <f>VLOOKUP(A146,[2]data1761205830331!$A$1:$J$65536,10,0)</f>
        <v>-23252459.32</v>
      </c>
    </row>
    <row r="147" spans="1:12" ht="15.75" customHeight="1" outlineLevel="1" thickBot="1">
      <c r="A147" s="11">
        <v>1115000115</v>
      </c>
      <c r="B147" s="40">
        <v>115</v>
      </c>
      <c r="C147" s="109">
        <v>115000</v>
      </c>
      <c r="D147" s="42">
        <v>1</v>
      </c>
      <c r="E147" s="112"/>
      <c r="F147" s="44" t="s">
        <v>127</v>
      </c>
      <c r="G147" s="45" t="s">
        <v>37</v>
      </c>
      <c r="H147" s="51">
        <v>0</v>
      </c>
      <c r="I147" s="47"/>
      <c r="J147" s="48">
        <f>VLOOKUP(A147,'[1]תקציב 2026'!$A$1:$M$65536,9,0)</f>
        <v>0</v>
      </c>
      <c r="K147" s="49">
        <f>VLOOKUP(A147,[3]גיליון1!$A$1:$C$7693,3,0)</f>
        <v>0</v>
      </c>
      <c r="L147" s="50">
        <f>VLOOKUP(A147,[2]data1761205830331!$A$1:$J$65536,10,0)</f>
        <v>989.94</v>
      </c>
    </row>
    <row r="148" spans="1:12" ht="16.2" thickBot="1">
      <c r="A148" s="11" t="e">
        <v>#VALUE!</v>
      </c>
      <c r="B148" s="53" t="s">
        <v>128</v>
      </c>
      <c r="C148" s="54"/>
      <c r="D148" s="55"/>
      <c r="E148" s="115"/>
      <c r="F148" s="116" t="s">
        <v>122</v>
      </c>
      <c r="G148" s="58"/>
      <c r="H148" s="59">
        <f>J148/K148-1</f>
        <v>6.9767441860464352E-3</v>
      </c>
      <c r="I148" s="60"/>
      <c r="J148" s="61">
        <f>SUBTOTAL(9,J143:J147)</f>
        <v>-151550000</v>
      </c>
      <c r="K148" s="76">
        <f>SUBTOTAL(9,K143:K147)</f>
        <v>-150500000</v>
      </c>
      <c r="L148" s="75">
        <f>SUBTOTAL(9,L143:L147)</f>
        <v>-141180168.89000002</v>
      </c>
    </row>
    <row r="149" spans="1:12" ht="15.75" customHeight="1" outlineLevel="1">
      <c r="A149" s="11">
        <v>11200000</v>
      </c>
      <c r="B149" s="40">
        <v>0</v>
      </c>
      <c r="C149" s="109">
        <v>120000</v>
      </c>
      <c r="D149" s="42">
        <v>1</v>
      </c>
      <c r="E149" s="112"/>
      <c r="F149" s="44" t="s">
        <v>129</v>
      </c>
      <c r="G149" s="45" t="s">
        <v>15</v>
      </c>
      <c r="H149" s="51"/>
      <c r="I149" s="47"/>
      <c r="J149" s="48"/>
      <c r="K149" s="49"/>
      <c r="L149" s="50"/>
    </row>
    <row r="150" spans="1:12" ht="15.75" customHeight="1" outlineLevel="1" thickBot="1">
      <c r="A150" s="11">
        <v>1121000290</v>
      </c>
      <c r="B150" s="40">
        <v>290</v>
      </c>
      <c r="C150" s="109">
        <v>121000</v>
      </c>
      <c r="D150" s="42">
        <v>1</v>
      </c>
      <c r="E150" s="112"/>
      <c r="F150" s="44" t="s">
        <v>130</v>
      </c>
      <c r="G150" s="45" t="s">
        <v>37</v>
      </c>
      <c r="H150" s="51">
        <f>J150/K150-1</f>
        <v>0</v>
      </c>
      <c r="I150" s="47"/>
      <c r="J150" s="48">
        <f>VLOOKUP(A150,'[1]תקציב 2026'!$A$1:$M$65536,9,0)</f>
        <v>-300000</v>
      </c>
      <c r="K150" s="49">
        <v>-300000</v>
      </c>
      <c r="L150" s="50">
        <f>VLOOKUP(A150,[2]data1761205830331!$A$1:$J$65536,10,0)</f>
        <v>-185220.21</v>
      </c>
    </row>
    <row r="151" spans="1:12" ht="16.2" thickBot="1">
      <c r="A151" s="11" t="e">
        <v>#VALUE!</v>
      </c>
      <c r="B151" s="53" t="s">
        <v>131</v>
      </c>
      <c r="C151" s="54"/>
      <c r="D151" s="55"/>
      <c r="E151" s="115"/>
      <c r="F151" s="116" t="s">
        <v>132</v>
      </c>
      <c r="G151" s="58"/>
      <c r="H151" s="59">
        <v>0</v>
      </c>
      <c r="I151" s="60"/>
      <c r="J151" s="61">
        <f>SUBTOTAL(9,J150)</f>
        <v>-300000</v>
      </c>
      <c r="K151" s="76">
        <f>SUBTOTAL(9,K150)</f>
        <v>-300000</v>
      </c>
      <c r="L151" s="75">
        <f>SUBTOTAL(9,L150)</f>
        <v>-185220.21</v>
      </c>
    </row>
    <row r="152" spans="1:12" ht="15.75" customHeight="1" outlineLevel="1">
      <c r="A152" s="11">
        <v>11220000</v>
      </c>
      <c r="B152" s="40">
        <v>0</v>
      </c>
      <c r="C152" s="109">
        <v>122000</v>
      </c>
      <c r="D152" s="42">
        <v>1</v>
      </c>
      <c r="E152" s="112"/>
      <c r="F152" s="44" t="s">
        <v>133</v>
      </c>
      <c r="G152" s="45" t="s">
        <v>15</v>
      </c>
      <c r="H152" s="51"/>
      <c r="I152" s="70"/>
      <c r="J152" s="48"/>
      <c r="K152" s="117"/>
      <c r="L152" s="50"/>
    </row>
    <row r="153" spans="1:12" ht="15.75" customHeight="1" outlineLevel="1">
      <c r="A153" s="11">
        <v>1122000290</v>
      </c>
      <c r="B153" s="40">
        <v>290</v>
      </c>
      <c r="C153" s="109">
        <v>122000</v>
      </c>
      <c r="D153" s="42">
        <v>1</v>
      </c>
      <c r="E153" s="112"/>
      <c r="F153" s="44" t="s">
        <v>134</v>
      </c>
      <c r="G153" s="45" t="s">
        <v>37</v>
      </c>
      <c r="H153" s="51">
        <f>J153/K153-1</f>
        <v>0.17647058823529416</v>
      </c>
      <c r="I153" s="47"/>
      <c r="J153" s="48">
        <f>VLOOKUP(A153,'[1]תקציב 2026'!$A$1:$M$65536,9,0)</f>
        <v>-12000000</v>
      </c>
      <c r="K153" s="49">
        <v>-10200000</v>
      </c>
      <c r="L153" s="50">
        <f>VLOOKUP(A153,[2]data1761205830331!$A$1:$J$65536,10,0)</f>
        <v>-9205140.2300000004</v>
      </c>
    </row>
    <row r="154" spans="1:12" ht="15.75" customHeight="1" outlineLevel="1">
      <c r="A154" s="11">
        <v>1122000291</v>
      </c>
      <c r="B154" s="40">
        <v>291</v>
      </c>
      <c r="C154" s="109">
        <v>122000</v>
      </c>
      <c r="D154" s="42">
        <v>1</v>
      </c>
      <c r="E154" s="118"/>
      <c r="F154" s="44" t="s">
        <v>135</v>
      </c>
      <c r="G154" s="45" t="s">
        <v>37</v>
      </c>
      <c r="H154" s="51">
        <f>J154/K154-1</f>
        <v>4</v>
      </c>
      <c r="I154" s="47"/>
      <c r="J154" s="48">
        <f>VLOOKUP(A154,'[1]תקציב 2026'!$A$1:$M$65536,9,0)</f>
        <v>-10000</v>
      </c>
      <c r="K154" s="49">
        <v>-2000</v>
      </c>
      <c r="L154" s="50">
        <f>VLOOKUP(A154,[2]data1761205830331!$A$1:$J$65536,10,0)</f>
        <v>-15629.44</v>
      </c>
    </row>
    <row r="155" spans="1:12" ht="15.75" customHeight="1" outlineLevel="1" thickBot="1">
      <c r="A155" s="11">
        <v>1122000292</v>
      </c>
      <c r="B155" s="119">
        <v>292</v>
      </c>
      <c r="C155" s="120">
        <v>122000</v>
      </c>
      <c r="D155" s="121">
        <v>1</v>
      </c>
      <c r="E155" s="11"/>
      <c r="F155" s="122" t="s">
        <v>136</v>
      </c>
      <c r="G155" s="123" t="s">
        <v>37</v>
      </c>
      <c r="H155" s="124">
        <v>1</v>
      </c>
      <c r="I155" s="125" t="s">
        <v>137</v>
      </c>
      <c r="J155" s="48">
        <f>VLOOKUP(A155,'[1]תקציב 2026'!$A$1:$M$65536,9,0)</f>
        <v>-7000000</v>
      </c>
      <c r="K155" s="126">
        <v>0</v>
      </c>
      <c r="L155" s="127">
        <v>0</v>
      </c>
    </row>
    <row r="156" spans="1:12" ht="16.2" thickBot="1">
      <c r="A156" s="11" t="e">
        <v>#VALUE!</v>
      </c>
      <c r="B156" s="53" t="s">
        <v>138</v>
      </c>
      <c r="C156" s="54"/>
      <c r="D156" s="55"/>
      <c r="E156" s="115"/>
      <c r="F156" s="116" t="s">
        <v>133</v>
      </c>
      <c r="G156" s="128"/>
      <c r="H156" s="71">
        <f>J156/K156-1</f>
        <v>0.86336012546559493</v>
      </c>
      <c r="I156" s="60"/>
      <c r="J156" s="61">
        <f>SUBTOTAL(9,J153:J155)</f>
        <v>-19010000</v>
      </c>
      <c r="K156" s="76">
        <f>SUBTOTAL(9,K153:K155)</f>
        <v>-10202000</v>
      </c>
      <c r="L156" s="75">
        <f>SUBTOTAL(9,L153:L155)</f>
        <v>-9220769.6699999999</v>
      </c>
    </row>
    <row r="157" spans="1:12" ht="15.75" customHeight="1" outlineLevel="1">
      <c r="A157" s="11">
        <v>11240000</v>
      </c>
      <c r="B157" s="40">
        <v>0</v>
      </c>
      <c r="C157" s="109">
        <v>124000</v>
      </c>
      <c r="D157" s="42">
        <v>1</v>
      </c>
      <c r="E157" s="112"/>
      <c r="F157" s="44" t="s">
        <v>139</v>
      </c>
      <c r="G157" s="45" t="s">
        <v>15</v>
      </c>
      <c r="H157" s="129"/>
      <c r="I157" s="47"/>
      <c r="J157" s="48"/>
      <c r="K157" s="49"/>
      <c r="L157" s="50"/>
    </row>
    <row r="158" spans="1:12" ht="15.75" customHeight="1" outlineLevel="1" thickBot="1">
      <c r="A158" s="11">
        <v>1124000290</v>
      </c>
      <c r="B158" s="40">
        <v>290</v>
      </c>
      <c r="C158" s="109">
        <v>124000</v>
      </c>
      <c r="D158" s="42">
        <v>1</v>
      </c>
      <c r="E158" s="112"/>
      <c r="F158" s="44" t="s">
        <v>140</v>
      </c>
      <c r="G158" s="45" t="s">
        <v>37</v>
      </c>
      <c r="H158" s="130">
        <v>1</v>
      </c>
      <c r="I158" s="47"/>
      <c r="J158" s="48">
        <f>VLOOKUP(A158,'[1]תקציב 2026'!$A$1:$M$65536,9,0)</f>
        <v>-2000</v>
      </c>
      <c r="K158" s="49">
        <f>VLOOKUP(A158,[3]גיליון1!$A$1:$C$7693,3,0)</f>
        <v>0</v>
      </c>
      <c r="L158" s="50">
        <f>VLOOKUP(A158,[2]data1761205830331!$A$1:$J$65536,10,0)</f>
        <v>-3488.95</v>
      </c>
    </row>
    <row r="159" spans="1:12" ht="16.2" thickBot="1">
      <c r="A159" s="11" t="e">
        <v>#VALUE!</v>
      </c>
      <c r="B159" s="53" t="s">
        <v>141</v>
      </c>
      <c r="C159" s="54"/>
      <c r="D159" s="55"/>
      <c r="E159" s="115"/>
      <c r="F159" s="116" t="s">
        <v>139</v>
      </c>
      <c r="G159" s="128"/>
      <c r="H159" s="71">
        <v>1</v>
      </c>
      <c r="I159" s="60"/>
      <c r="J159" s="61">
        <f>SUBTOTAL(9,J158)</f>
        <v>-2000</v>
      </c>
      <c r="K159" s="76">
        <f>SUBTOTAL(9,K158)</f>
        <v>0</v>
      </c>
      <c r="L159" s="75">
        <f>SUBTOTAL(9,L158)</f>
        <v>-3488.95</v>
      </c>
    </row>
    <row r="160" spans="1:12" ht="15.75" customHeight="1" outlineLevel="1">
      <c r="A160" s="11">
        <v>11290000</v>
      </c>
      <c r="B160" s="40">
        <v>0</v>
      </c>
      <c r="C160" s="109">
        <v>129000</v>
      </c>
      <c r="D160" s="42">
        <v>1</v>
      </c>
      <c r="E160" s="112"/>
      <c r="F160" s="44" t="s">
        <v>142</v>
      </c>
      <c r="G160" s="45" t="s">
        <v>15</v>
      </c>
      <c r="H160" s="129"/>
      <c r="I160" s="47"/>
      <c r="J160" s="48"/>
      <c r="K160" s="49"/>
      <c r="L160" s="50"/>
    </row>
    <row r="161" spans="1:12" ht="15.75" customHeight="1" outlineLevel="1" thickBot="1">
      <c r="A161" s="11">
        <v>1129000290</v>
      </c>
      <c r="B161" s="40">
        <v>290</v>
      </c>
      <c r="C161" s="109">
        <v>129000</v>
      </c>
      <c r="D161" s="42">
        <v>1</v>
      </c>
      <c r="E161" s="112"/>
      <c r="F161" s="44" t="s">
        <v>143</v>
      </c>
      <c r="G161" s="45" t="s">
        <v>37</v>
      </c>
      <c r="H161" s="130">
        <f>J161/K161-1</f>
        <v>0</v>
      </c>
      <c r="I161" s="47"/>
      <c r="J161" s="48">
        <f>VLOOKUP(A161,'[1]תקציב 2026'!$A$1:$M$65536,9,0)</f>
        <v>-47000</v>
      </c>
      <c r="K161" s="49">
        <f>VLOOKUP(A161,[3]גיליון1!$A$1:$C$7693,3,0)</f>
        <v>-47000</v>
      </c>
      <c r="L161" s="50">
        <f>VLOOKUP(A161,[2]data1761205830331!$A$1:$J$65536,10,0)</f>
        <v>-43094.65</v>
      </c>
    </row>
    <row r="162" spans="1:12" ht="16.2" thickBot="1">
      <c r="A162" s="11" t="e">
        <v>#VALUE!</v>
      </c>
      <c r="B162" s="53" t="s">
        <v>144</v>
      </c>
      <c r="C162" s="54"/>
      <c r="D162" s="55"/>
      <c r="E162" s="115"/>
      <c r="F162" s="116" t="s">
        <v>142</v>
      </c>
      <c r="G162" s="128"/>
      <c r="H162" s="71">
        <v>0</v>
      </c>
      <c r="I162" s="60"/>
      <c r="J162" s="61">
        <f>SUBTOTAL(9,J161)</f>
        <v>-47000</v>
      </c>
      <c r="K162" s="76">
        <f>SUBTOTAL(9,K161)</f>
        <v>-47000</v>
      </c>
      <c r="L162" s="75">
        <f>SUBTOTAL(9,L161)</f>
        <v>-43094.65</v>
      </c>
    </row>
    <row r="163" spans="1:12" ht="15.75" customHeight="1" outlineLevel="1">
      <c r="A163" s="11">
        <v>11600000</v>
      </c>
      <c r="B163" s="40">
        <v>0</v>
      </c>
      <c r="C163" s="109">
        <v>160000</v>
      </c>
      <c r="D163" s="42">
        <v>1</v>
      </c>
      <c r="E163" s="112"/>
      <c r="F163" s="44" t="s">
        <v>145</v>
      </c>
      <c r="G163" s="45" t="s">
        <v>15</v>
      </c>
      <c r="H163" s="129"/>
      <c r="I163" s="47"/>
      <c r="J163" s="48"/>
      <c r="K163" s="49"/>
      <c r="L163" s="50"/>
    </row>
    <row r="164" spans="1:12" ht="15.75" customHeight="1" outlineLevel="1">
      <c r="A164" s="11">
        <v>1160000841</v>
      </c>
      <c r="B164" s="40">
        <v>841</v>
      </c>
      <c r="C164" s="109">
        <v>160000</v>
      </c>
      <c r="D164" s="42">
        <v>1</v>
      </c>
      <c r="E164" s="112"/>
      <c r="F164" s="44" t="s">
        <v>146</v>
      </c>
      <c r="G164" s="45" t="s">
        <v>37</v>
      </c>
      <c r="H164" s="51">
        <f>J164/K164-1</f>
        <v>0.45352646846221001</v>
      </c>
      <c r="I164" s="47"/>
      <c r="J164" s="48">
        <f>VLOOKUP(A164,'[1]תקציב 2026'!$A$1:$M$65536,9,0)</f>
        <v>-15483400</v>
      </c>
      <c r="K164" s="49">
        <v>-10652300</v>
      </c>
      <c r="L164" s="50">
        <f>VLOOKUP(A164,[2]data1761205830331!$A$1:$J$65536,10,0)</f>
        <v>-8461000</v>
      </c>
    </row>
    <row r="165" spans="1:12" ht="15.75" customHeight="1" outlineLevel="1">
      <c r="A165" s="11">
        <v>1160000842</v>
      </c>
      <c r="B165" s="40">
        <v>842</v>
      </c>
      <c r="C165" s="109">
        <v>160000</v>
      </c>
      <c r="D165" s="42">
        <v>1</v>
      </c>
      <c r="E165" s="112"/>
      <c r="F165" s="44" t="s">
        <v>147</v>
      </c>
      <c r="G165" s="45" t="s">
        <v>37</v>
      </c>
      <c r="H165" s="51">
        <v>0</v>
      </c>
      <c r="I165" s="47"/>
      <c r="J165" s="48">
        <f>VLOOKUP(A165,'[1]תקציב 2026'!$A$1:$M$65536,9,0)</f>
        <v>0</v>
      </c>
      <c r="K165" s="49">
        <f>VLOOKUP(A165,[3]גיליון1!$A$1:$C$7693,3,0)</f>
        <v>0</v>
      </c>
      <c r="L165" s="50">
        <f>VLOOKUP(A165,[2]data1761205830331!$A$1:$J$65536,10,0)</f>
        <v>-200000</v>
      </c>
    </row>
    <row r="166" spans="1:12" ht="15.75" customHeight="1" outlineLevel="1" thickBot="1">
      <c r="A166" s="11">
        <v>1160000844</v>
      </c>
      <c r="B166" s="40">
        <v>844</v>
      </c>
      <c r="C166" s="109">
        <v>160000</v>
      </c>
      <c r="D166" s="42">
        <v>1</v>
      </c>
      <c r="E166" s="112"/>
      <c r="F166" s="44" t="s">
        <v>148</v>
      </c>
      <c r="G166" s="45" t="s">
        <v>37</v>
      </c>
      <c r="H166" s="130">
        <f>J166/K166-1</f>
        <v>0.15013131317269823</v>
      </c>
      <c r="I166" s="47"/>
      <c r="J166" s="48">
        <f>VLOOKUP(A166,'[1]תקציב 2026'!$A$1:$M$65536,9,0)</f>
        <v>-28071600</v>
      </c>
      <c r="K166" s="49">
        <v>-24407300</v>
      </c>
      <c r="L166" s="50">
        <f>VLOOKUP(A166,[2]data1761205830331!$A$1:$J$65536,10,0)</f>
        <v>-56828800</v>
      </c>
    </row>
    <row r="167" spans="1:12" ht="16.2" thickBot="1">
      <c r="A167" s="11" t="e">
        <v>#VALUE!</v>
      </c>
      <c r="B167" s="53" t="s">
        <v>149</v>
      </c>
      <c r="C167" s="54"/>
      <c r="D167" s="55"/>
      <c r="E167" s="115"/>
      <c r="F167" s="116" t="s">
        <v>145</v>
      </c>
      <c r="G167" s="128"/>
      <c r="H167" s="71">
        <f>J167/K167-1</f>
        <v>0.24231308971009358</v>
      </c>
      <c r="I167" s="60"/>
      <c r="J167" s="61">
        <f>SUBTOTAL(9,J164:J166)</f>
        <v>-43555000</v>
      </c>
      <c r="K167" s="76">
        <f>SUBTOTAL(9,K164:K166)</f>
        <v>-35059600</v>
      </c>
      <c r="L167" s="75">
        <f>SUBTOTAL(9,L164:L166)</f>
        <v>-65489800</v>
      </c>
    </row>
    <row r="168" spans="1:12" ht="15.75" customHeight="1" outlineLevel="1">
      <c r="A168" s="11">
        <v>11900000</v>
      </c>
      <c r="B168" s="64">
        <v>0</v>
      </c>
      <c r="C168" s="131">
        <v>190000</v>
      </c>
      <c r="D168" s="66">
        <v>1</v>
      </c>
      <c r="E168" s="132"/>
      <c r="F168" s="68" t="s">
        <v>150</v>
      </c>
      <c r="G168" s="69" t="s">
        <v>15</v>
      </c>
      <c r="H168" s="129"/>
      <c r="I168" s="47"/>
      <c r="J168" s="48"/>
      <c r="K168" s="49"/>
      <c r="L168" s="50"/>
    </row>
    <row r="169" spans="1:12" ht="15.75" customHeight="1" outlineLevel="1">
      <c r="A169" s="11">
        <v>1192000913</v>
      </c>
      <c r="B169" s="119">
        <v>913</v>
      </c>
      <c r="C169" s="120">
        <v>192000</v>
      </c>
      <c r="D169" s="121">
        <v>1</v>
      </c>
      <c r="E169" s="133"/>
      <c r="F169" s="134" t="s">
        <v>151</v>
      </c>
      <c r="G169" s="123" t="s">
        <v>37</v>
      </c>
      <c r="H169" s="130">
        <v>0</v>
      </c>
      <c r="I169" s="125"/>
      <c r="J169" s="48">
        <f>VLOOKUP(A169,'[1]תקציב 2026'!$A$1:$M$65536,9,0)</f>
        <v>0</v>
      </c>
      <c r="K169" s="126">
        <v>0</v>
      </c>
      <c r="L169" s="135">
        <f>VLOOKUP(A169,[2]data1761205830331!$A$1:$J$65536,10,0)</f>
        <v>-537957</v>
      </c>
    </row>
    <row r="170" spans="1:12" s="144" customFormat="1" ht="15.75" customHeight="1" outlineLevel="1" thickBot="1">
      <c r="A170" s="136">
        <v>1192000980</v>
      </c>
      <c r="B170" s="137">
        <v>980</v>
      </c>
      <c r="C170" s="138">
        <v>192000</v>
      </c>
      <c r="D170" s="139">
        <v>1</v>
      </c>
      <c r="E170" s="140"/>
      <c r="F170" s="134" t="s">
        <v>152</v>
      </c>
      <c r="G170" s="141" t="s">
        <v>37</v>
      </c>
      <c r="H170" s="130">
        <v>0</v>
      </c>
      <c r="I170" s="142"/>
      <c r="J170" s="48">
        <v>0</v>
      </c>
      <c r="K170" s="143">
        <v>0</v>
      </c>
      <c r="L170" s="135">
        <f>VLOOKUP(A170,[2]data1761205830331!$A$1:$J$65536,10,0)</f>
        <v>-13408</v>
      </c>
    </row>
    <row r="171" spans="1:12" ht="16.2" thickBot="1">
      <c r="A171" s="11" t="e">
        <v>#VALUE!</v>
      </c>
      <c r="B171" s="53" t="s">
        <v>153</v>
      </c>
      <c r="C171" s="54"/>
      <c r="D171" s="55"/>
      <c r="E171" s="115"/>
      <c r="F171" s="116" t="s">
        <v>154</v>
      </c>
      <c r="G171" s="128"/>
      <c r="H171" s="71">
        <v>0</v>
      </c>
      <c r="I171" s="60"/>
      <c r="J171" s="61">
        <f>SUBTOTAL(9,J169:J170)</f>
        <v>0</v>
      </c>
      <c r="K171" s="145">
        <f>SUBTOTAL(9,K169:K170)</f>
        <v>0</v>
      </c>
      <c r="L171" s="75">
        <f>SUBTOTAL(9,L169:L170)</f>
        <v>-551365</v>
      </c>
    </row>
    <row r="172" spans="1:12" ht="15.75" customHeight="1" outlineLevel="1">
      <c r="A172" s="11">
        <v>11960000</v>
      </c>
      <c r="B172" s="40">
        <v>0</v>
      </c>
      <c r="C172" s="109">
        <v>196000</v>
      </c>
      <c r="D172" s="42">
        <v>1</v>
      </c>
      <c r="E172" s="112"/>
      <c r="F172" s="44" t="s">
        <v>155</v>
      </c>
      <c r="G172" s="45" t="s">
        <v>15</v>
      </c>
      <c r="H172" s="129"/>
      <c r="I172" s="47"/>
      <c r="J172" s="48"/>
      <c r="K172" s="49"/>
      <c r="L172" s="50"/>
    </row>
    <row r="173" spans="1:12" ht="15.75" customHeight="1" outlineLevel="1" thickBot="1">
      <c r="A173" s="11">
        <v>1196100910</v>
      </c>
      <c r="B173" s="40">
        <v>910</v>
      </c>
      <c r="C173" s="109">
        <v>196100</v>
      </c>
      <c r="D173" s="42">
        <v>1</v>
      </c>
      <c r="E173" s="112"/>
      <c r="F173" s="44" t="s">
        <v>156</v>
      </c>
      <c r="G173" s="45" t="s">
        <v>37</v>
      </c>
      <c r="H173" s="130">
        <v>0</v>
      </c>
      <c r="I173" s="47"/>
      <c r="J173" s="48">
        <f>VLOOKUP(A173,'[1]תקציב 2026'!$A$1:$M$65536,9,0)</f>
        <v>0</v>
      </c>
      <c r="K173" s="49">
        <f>VLOOKUP(A173,[3]גיליון1!$A$1:$C$7693,3,0)</f>
        <v>0</v>
      </c>
      <c r="L173" s="50">
        <f>VLOOKUP(A173,[2]data1761205830331!$A$1:$J$65536,10,0)</f>
        <v>-1864470</v>
      </c>
    </row>
    <row r="174" spans="1:12" ht="16.2" thickBot="1">
      <c r="A174" s="11" t="e">
        <v>#VALUE!</v>
      </c>
      <c r="B174" s="53" t="s">
        <v>157</v>
      </c>
      <c r="C174" s="54"/>
      <c r="D174" s="55"/>
      <c r="E174" s="115"/>
      <c r="F174" s="116" t="s">
        <v>156</v>
      </c>
      <c r="G174" s="128"/>
      <c r="H174" s="71">
        <v>0</v>
      </c>
      <c r="I174" s="60"/>
      <c r="J174" s="61">
        <f>SUBTOTAL(9,J173)</f>
        <v>0</v>
      </c>
      <c r="K174" s="76">
        <f>SUBTOTAL(9,K173)</f>
        <v>0</v>
      </c>
      <c r="L174" s="75">
        <f>SUBTOTAL(9,L173)</f>
        <v>-1864470</v>
      </c>
    </row>
    <row r="175" spans="1:12" ht="15.75" customHeight="1" outlineLevel="1">
      <c r="A175" s="11">
        <v>12123000</v>
      </c>
      <c r="B175" s="40">
        <v>0</v>
      </c>
      <c r="C175" s="109">
        <v>212300</v>
      </c>
      <c r="D175" s="42">
        <v>1</v>
      </c>
      <c r="E175" s="112"/>
      <c r="F175" s="44" t="s">
        <v>158</v>
      </c>
      <c r="G175" s="45" t="s">
        <v>15</v>
      </c>
      <c r="H175" s="129"/>
      <c r="I175" s="47"/>
      <c r="J175" s="48"/>
      <c r="K175" s="49"/>
      <c r="L175" s="50"/>
    </row>
    <row r="176" spans="1:12" ht="15.75" customHeight="1" outlineLevel="1">
      <c r="A176" s="11">
        <v>1212300690</v>
      </c>
      <c r="B176" s="40">
        <v>690</v>
      </c>
      <c r="C176" s="109">
        <v>212300</v>
      </c>
      <c r="D176" s="42">
        <v>1</v>
      </c>
      <c r="E176" s="112"/>
      <c r="F176" s="44" t="s">
        <v>159</v>
      </c>
      <c r="G176" s="45" t="s">
        <v>37</v>
      </c>
      <c r="H176" s="51">
        <f>J176/K176-1</f>
        <v>4.0000000000000036E-2</v>
      </c>
      <c r="I176" s="47"/>
      <c r="J176" s="48">
        <f>VLOOKUP(A176,'[1]תקציב 2026'!$A$1:$M$65536,9,0)</f>
        <v>-2080000</v>
      </c>
      <c r="K176" s="49">
        <f>VLOOKUP(A176,[3]גיליון1!$A$1:$C$7693,3,0)</f>
        <v>-2000000</v>
      </c>
      <c r="L176" s="50">
        <f>VLOOKUP(A176,[2]data1761205830331!$A$1:$J$65536,10,0)</f>
        <v>-757304.16</v>
      </c>
    </row>
    <row r="177" spans="1:12" ht="15.75" customHeight="1" outlineLevel="1">
      <c r="A177" s="11">
        <v>1212300691</v>
      </c>
      <c r="B177" s="40">
        <v>691</v>
      </c>
      <c r="C177" s="109">
        <v>212300</v>
      </c>
      <c r="D177" s="42">
        <v>1</v>
      </c>
      <c r="E177" s="112"/>
      <c r="F177" s="44" t="s">
        <v>160</v>
      </c>
      <c r="G177" s="45" t="s">
        <v>37</v>
      </c>
      <c r="H177" s="51">
        <f t="shared" ref="H177:H237" si="3">J177/K177-1</f>
        <v>0.5</v>
      </c>
      <c r="I177" s="47"/>
      <c r="J177" s="48">
        <f>VLOOKUP(A177,'[1]תקציב 2026'!$A$1:$M$65536,9,0)</f>
        <v>-150000</v>
      </c>
      <c r="K177" s="49">
        <v>-100000</v>
      </c>
      <c r="L177" s="50">
        <f>VLOOKUP(A177,[2]data1761205830331!$A$1:$J$65536,10,0)</f>
        <v>-133966.54999999999</v>
      </c>
    </row>
    <row r="178" spans="1:12" ht="15.75" customHeight="1" outlineLevel="1">
      <c r="A178" s="11">
        <v>1212300692</v>
      </c>
      <c r="B178" s="40">
        <v>692</v>
      </c>
      <c r="C178" s="109">
        <v>212300</v>
      </c>
      <c r="D178" s="42">
        <v>1</v>
      </c>
      <c r="E178" s="112"/>
      <c r="F178" s="44" t="s">
        <v>161</v>
      </c>
      <c r="G178" s="45" t="s">
        <v>37</v>
      </c>
      <c r="H178" s="51">
        <f t="shared" si="3"/>
        <v>0.10000000000000009</v>
      </c>
      <c r="I178" s="47"/>
      <c r="J178" s="48">
        <f>VLOOKUP(A178,'[1]תקציב 2026'!$A$1:$M$65536,9,0)</f>
        <v>-11000000</v>
      </c>
      <c r="K178" s="49">
        <f>VLOOKUP(A178,[3]גיליון1!$A$1:$C$7693,3,0)</f>
        <v>-10000000</v>
      </c>
      <c r="L178" s="50">
        <f>VLOOKUP(A178,[2]data1761205830331!$A$1:$J$65536,10,0)</f>
        <v>-9060289.5299999993</v>
      </c>
    </row>
    <row r="179" spans="1:12" ht="15.75" customHeight="1" outlineLevel="1">
      <c r="A179" s="11">
        <v>1212300694</v>
      </c>
      <c r="B179" s="40">
        <v>694</v>
      </c>
      <c r="C179" s="109">
        <v>212300</v>
      </c>
      <c r="D179" s="42">
        <v>1</v>
      </c>
      <c r="E179" s="112"/>
      <c r="F179" s="44" t="s">
        <v>162</v>
      </c>
      <c r="G179" s="45" t="s">
        <v>37</v>
      </c>
      <c r="H179" s="51">
        <f t="shared" si="3"/>
        <v>0</v>
      </c>
      <c r="I179" s="47"/>
      <c r="J179" s="48">
        <f>VLOOKUP(A179,'[1]תקציב 2026'!$A$1:$M$65536,9,0)</f>
        <v>-79800</v>
      </c>
      <c r="K179" s="49">
        <f>VLOOKUP(A179,[3]גיליון1!$A$1:$C$7693,3,0)</f>
        <v>-79800</v>
      </c>
      <c r="L179" s="50">
        <f>VLOOKUP(A179,[2]data1761205830331!$A$1:$J$65536,10,0)</f>
        <v>-13278.61</v>
      </c>
    </row>
    <row r="180" spans="1:12" ht="15.75" customHeight="1" outlineLevel="1">
      <c r="A180" s="11">
        <v>1212300696</v>
      </c>
      <c r="B180" s="40">
        <v>696</v>
      </c>
      <c r="C180" s="109">
        <v>212300</v>
      </c>
      <c r="D180" s="42">
        <v>1</v>
      </c>
      <c r="E180" s="112"/>
      <c r="F180" s="44" t="s">
        <v>163</v>
      </c>
      <c r="G180" s="45" t="s">
        <v>37</v>
      </c>
      <c r="H180" s="51">
        <f t="shared" si="3"/>
        <v>-3.7499999999999978E-2</v>
      </c>
      <c r="I180" s="47"/>
      <c r="J180" s="48">
        <f>VLOOKUP(A180,'[1]תקציב 2026'!$A$1:$M$65536,9,0)</f>
        <v>-23100</v>
      </c>
      <c r="K180" s="49">
        <f>VLOOKUP(A180,[3]גיליון1!$A$1:$C$7693,3,0)</f>
        <v>-24000</v>
      </c>
      <c r="L180" s="50">
        <f>VLOOKUP(A180,[2]data1761205830331!$A$1:$J$65536,10,0)</f>
        <v>-24820.95</v>
      </c>
    </row>
    <row r="181" spans="1:12" ht="15.75" customHeight="1" outlineLevel="1" thickBot="1">
      <c r="A181" s="11">
        <v>1212300697</v>
      </c>
      <c r="B181" s="40">
        <v>697</v>
      </c>
      <c r="C181" s="109">
        <v>212300</v>
      </c>
      <c r="D181" s="42">
        <v>1</v>
      </c>
      <c r="E181" s="112"/>
      <c r="F181" s="44" t="s">
        <v>164</v>
      </c>
      <c r="G181" s="45" t="s">
        <v>37</v>
      </c>
      <c r="H181" s="130">
        <f t="shared" si="3"/>
        <v>8.237232289951546E-4</v>
      </c>
      <c r="I181" s="47"/>
      <c r="J181" s="48">
        <f>VLOOKUP(A181,'[1]תקציב 2026'!$A$1:$M$65536,9,0)</f>
        <v>-607500</v>
      </c>
      <c r="K181" s="49">
        <f>VLOOKUP(A181,[3]גיליון1!$A$1:$C$7693,3,0)</f>
        <v>-607000</v>
      </c>
      <c r="L181" s="50">
        <f>VLOOKUP(A181,[2]data1761205830331!$A$1:$J$65536,10,0)</f>
        <v>-151880.4</v>
      </c>
    </row>
    <row r="182" spans="1:12" ht="16.2" thickBot="1">
      <c r="A182" s="11" t="e">
        <v>#VALUE!</v>
      </c>
      <c r="B182" s="53" t="s">
        <v>165</v>
      </c>
      <c r="C182" s="54"/>
      <c r="D182" s="55"/>
      <c r="E182" s="115"/>
      <c r="F182" s="116" t="s">
        <v>158</v>
      </c>
      <c r="G182" s="128"/>
      <c r="H182" s="71">
        <f>J182/K182-1</f>
        <v>8.8175601835950967E-2</v>
      </c>
      <c r="I182" s="60"/>
      <c r="J182" s="61">
        <f>SUBTOTAL(9,J176:J181)</f>
        <v>-13940400</v>
      </c>
      <c r="K182" s="76">
        <f>SUBTOTAL(9,K176:K181)</f>
        <v>-12810800</v>
      </c>
      <c r="L182" s="75">
        <f>SUBTOTAL(9,L176:L181)</f>
        <v>-10141540.199999997</v>
      </c>
    </row>
    <row r="183" spans="1:12" ht="15.75" customHeight="1" outlineLevel="1">
      <c r="A183" s="11">
        <v>12126000</v>
      </c>
      <c r="B183" s="40">
        <v>0</v>
      </c>
      <c r="C183" s="109">
        <v>212600</v>
      </c>
      <c r="D183" s="42">
        <v>1</v>
      </c>
      <c r="E183" s="112"/>
      <c r="F183" s="44" t="s">
        <v>166</v>
      </c>
      <c r="G183" s="45" t="s">
        <v>15</v>
      </c>
      <c r="H183" s="129"/>
      <c r="I183" s="47"/>
      <c r="J183" s="48"/>
      <c r="K183" s="49"/>
      <c r="L183" s="50"/>
    </row>
    <row r="184" spans="1:12" ht="15.75" customHeight="1" outlineLevel="1">
      <c r="A184" s="11">
        <v>1212600590</v>
      </c>
      <c r="B184" s="40">
        <v>590</v>
      </c>
      <c r="C184" s="109">
        <v>212600</v>
      </c>
      <c r="D184" s="42">
        <v>1</v>
      </c>
      <c r="E184" s="112"/>
      <c r="F184" s="44" t="s">
        <v>167</v>
      </c>
      <c r="G184" s="45" t="s">
        <v>37</v>
      </c>
      <c r="H184" s="51">
        <f t="shared" si="3"/>
        <v>0.1399999999999999</v>
      </c>
      <c r="I184" s="51"/>
      <c r="J184" s="48">
        <f>VLOOKUP(A184,'[1]תקציב 2026'!$A$1:$M$65536,9,0)</f>
        <v>-456000</v>
      </c>
      <c r="K184" s="49">
        <v>-400000</v>
      </c>
      <c r="L184" s="50">
        <f>VLOOKUP(A184,[2]data1761205830331!$A$1:$J$65536,10,0)</f>
        <v>-452648.93</v>
      </c>
    </row>
    <row r="185" spans="1:12" ht="15.75" customHeight="1" outlineLevel="1">
      <c r="A185" s="11">
        <v>1212600591</v>
      </c>
      <c r="B185" s="40">
        <v>591</v>
      </c>
      <c r="C185" s="109">
        <v>212600</v>
      </c>
      <c r="D185" s="42">
        <v>1</v>
      </c>
      <c r="E185" s="112"/>
      <c r="F185" s="44" t="s">
        <v>168</v>
      </c>
      <c r="G185" s="45" t="s">
        <v>37</v>
      </c>
      <c r="H185" s="51">
        <f t="shared" si="3"/>
        <v>5.1250000000000018E-2</v>
      </c>
      <c r="I185" s="47"/>
      <c r="J185" s="48">
        <f>VLOOKUP(A185,'[1]תקציב 2026'!$A$1:$M$65536,9,0)</f>
        <v>-117740</v>
      </c>
      <c r="K185" s="49">
        <f>VLOOKUP(A185,[3]גיליון1!$A$1:$C$7693,3,0)</f>
        <v>-112000</v>
      </c>
      <c r="L185" s="50">
        <f>VLOOKUP(A185,[2]data1761205830331!$A$1:$J$65536,10,0)</f>
        <v>-111626.4</v>
      </c>
    </row>
    <row r="186" spans="1:12" ht="15.75" customHeight="1" outlineLevel="1" thickBot="1">
      <c r="A186" s="11">
        <v>1212600592</v>
      </c>
      <c r="B186" s="40">
        <v>592</v>
      </c>
      <c r="C186" s="109">
        <v>212600</v>
      </c>
      <c r="D186" s="42">
        <v>1</v>
      </c>
      <c r="E186" s="112"/>
      <c r="F186" s="44" t="s">
        <v>169</v>
      </c>
      <c r="G186" s="45" t="s">
        <v>29</v>
      </c>
      <c r="H186" s="130">
        <f t="shared" si="3"/>
        <v>-1</v>
      </c>
      <c r="I186" s="47"/>
      <c r="J186" s="48">
        <f>VLOOKUP(A186,'[1]תקציב 2026'!$A$1:$M$65536,9,0)</f>
        <v>0</v>
      </c>
      <c r="K186" s="49">
        <v>-60500</v>
      </c>
      <c r="L186" s="50">
        <f>VLOOKUP(A186,[2]data1761205830331!$A$1:$J$65536,10,0)</f>
        <v>6113</v>
      </c>
    </row>
    <row r="187" spans="1:12" ht="16.2" thickBot="1">
      <c r="A187" s="11" t="e">
        <v>#VALUE!</v>
      </c>
      <c r="B187" s="53" t="s">
        <v>170</v>
      </c>
      <c r="C187" s="54"/>
      <c r="D187" s="55"/>
      <c r="E187" s="115"/>
      <c r="F187" s="116" t="s">
        <v>166</v>
      </c>
      <c r="G187" s="128"/>
      <c r="H187" s="71">
        <f>J187/K187-1</f>
        <v>2.1659388646289024E-3</v>
      </c>
      <c r="I187" s="60"/>
      <c r="J187" s="61">
        <f>SUBTOTAL(9,J184:J186)</f>
        <v>-573740</v>
      </c>
      <c r="K187" s="76">
        <f>SUBTOTAL(9,K184:K186)</f>
        <v>-572500</v>
      </c>
      <c r="L187" s="75">
        <f>SUBTOTAL(9,L184:L186)</f>
        <v>-558162.32999999996</v>
      </c>
    </row>
    <row r="188" spans="1:12" ht="15.75" customHeight="1" outlineLevel="1">
      <c r="A188" s="11">
        <v>12130000</v>
      </c>
      <c r="B188" s="40">
        <v>0</v>
      </c>
      <c r="C188" s="109">
        <v>213000</v>
      </c>
      <c r="D188" s="42">
        <v>1</v>
      </c>
      <c r="E188" s="112"/>
      <c r="F188" s="44" t="s">
        <v>171</v>
      </c>
      <c r="G188" s="45" t="s">
        <v>15</v>
      </c>
      <c r="H188" s="129"/>
      <c r="I188" s="47"/>
      <c r="J188" s="48"/>
      <c r="K188" s="49"/>
      <c r="L188" s="50"/>
    </row>
    <row r="189" spans="1:12" ht="15.75" customHeight="1" outlineLevel="1" thickBot="1">
      <c r="A189" s="11">
        <v>1213300310</v>
      </c>
      <c r="B189" s="40">
        <v>310</v>
      </c>
      <c r="C189" s="109">
        <v>213300</v>
      </c>
      <c r="D189" s="42">
        <v>1</v>
      </c>
      <c r="E189" s="112"/>
      <c r="F189" s="44" t="s">
        <v>172</v>
      </c>
      <c r="G189" s="45" t="s">
        <v>37</v>
      </c>
      <c r="H189" s="130">
        <f t="shared" si="3"/>
        <v>0.19999999999999996</v>
      </c>
      <c r="I189" s="47"/>
      <c r="J189" s="48">
        <f>VLOOKUP(A189,'[1]תקציב 2026'!$A$1:$M$65536,9,0)</f>
        <v>-300000</v>
      </c>
      <c r="K189" s="49">
        <v>-250000</v>
      </c>
      <c r="L189" s="50">
        <f>VLOOKUP(A189,[2]data1761205830331!$A$1:$J$65536,10,0)</f>
        <v>-316029.53000000003</v>
      </c>
    </row>
    <row r="190" spans="1:12" ht="16.2" thickBot="1">
      <c r="A190" s="11" t="e">
        <v>#VALUE!</v>
      </c>
      <c r="B190" s="53" t="s">
        <v>173</v>
      </c>
      <c r="C190" s="54"/>
      <c r="D190" s="55"/>
      <c r="E190" s="115"/>
      <c r="F190" s="116" t="s">
        <v>174</v>
      </c>
      <c r="G190" s="128"/>
      <c r="H190" s="71">
        <f>J190/K190-1</f>
        <v>0.19999999999999996</v>
      </c>
      <c r="I190" s="60"/>
      <c r="J190" s="61">
        <f>SUBTOTAL(9,J189)</f>
        <v>-300000</v>
      </c>
      <c r="K190" s="76">
        <f>SUBTOTAL(9,K189)</f>
        <v>-250000</v>
      </c>
      <c r="L190" s="75">
        <f>SUBTOTAL(9,L189)</f>
        <v>-316029.53000000003</v>
      </c>
    </row>
    <row r="191" spans="1:12" ht="15.75" customHeight="1" outlineLevel="1">
      <c r="A191" s="11">
        <v>12140000</v>
      </c>
      <c r="B191" s="40">
        <v>0</v>
      </c>
      <c r="C191" s="109">
        <v>214000</v>
      </c>
      <c r="D191" s="42">
        <v>1</v>
      </c>
      <c r="E191" s="112"/>
      <c r="F191" s="44" t="s">
        <v>175</v>
      </c>
      <c r="G191" s="45" t="s">
        <v>15</v>
      </c>
      <c r="H191" s="129"/>
      <c r="I191" s="47"/>
      <c r="J191" s="48"/>
      <c r="K191" s="49"/>
      <c r="L191" s="50"/>
    </row>
    <row r="192" spans="1:12" ht="15.75" customHeight="1" outlineLevel="1">
      <c r="A192" s="11">
        <v>1214000220</v>
      </c>
      <c r="B192" s="40">
        <v>220</v>
      </c>
      <c r="C192" s="109">
        <v>214000</v>
      </c>
      <c r="D192" s="42">
        <v>1</v>
      </c>
      <c r="E192" s="112"/>
      <c r="F192" s="44" t="s">
        <v>176</v>
      </c>
      <c r="G192" s="45" t="s">
        <v>37</v>
      </c>
      <c r="H192" s="51">
        <f t="shared" si="3"/>
        <v>0.20754716981132071</v>
      </c>
      <c r="I192" s="47"/>
      <c r="J192" s="48">
        <f>VLOOKUP(A192,'[1]תקציב 2026'!$A$1:$M$65536,9,0)</f>
        <v>-1600000</v>
      </c>
      <c r="K192" s="114">
        <v>-1325000</v>
      </c>
      <c r="L192" s="50">
        <f>VLOOKUP(A192,[2]data1761205830331!$A$1:$J$65536,10,0)</f>
        <v>-1537191.64</v>
      </c>
    </row>
    <row r="193" spans="1:12" ht="15.75" customHeight="1" outlineLevel="1">
      <c r="A193" s="11">
        <v>1214000221</v>
      </c>
      <c r="B193" s="40">
        <v>221</v>
      </c>
      <c r="C193" s="109">
        <v>214000</v>
      </c>
      <c r="D193" s="42">
        <v>1</v>
      </c>
      <c r="E193" s="112"/>
      <c r="F193" s="44" t="s">
        <v>177</v>
      </c>
      <c r="G193" s="45" t="s">
        <v>37</v>
      </c>
      <c r="H193" s="51">
        <f t="shared" si="3"/>
        <v>0</v>
      </c>
      <c r="I193" s="47"/>
      <c r="J193" s="48">
        <f>VLOOKUP(A193,'[1]תקציב 2026'!$A$1:$M$65536,9,0)</f>
        <v>-11000</v>
      </c>
      <c r="K193" s="114">
        <v>-11000</v>
      </c>
      <c r="L193" s="50">
        <f>VLOOKUP(A193,[2]data1761205830331!$A$1:$J$65536,10,0)</f>
        <v>-9771.5</v>
      </c>
    </row>
    <row r="194" spans="1:12" ht="15.75" customHeight="1" outlineLevel="1">
      <c r="A194" s="11">
        <v>1214000222</v>
      </c>
      <c r="B194" s="40">
        <v>222</v>
      </c>
      <c r="C194" s="109">
        <v>214000</v>
      </c>
      <c r="D194" s="42">
        <v>1</v>
      </c>
      <c r="E194" s="112"/>
      <c r="F194" s="44" t="s">
        <v>178</v>
      </c>
      <c r="G194" s="45" t="s">
        <v>37</v>
      </c>
      <c r="H194" s="51">
        <f t="shared" si="3"/>
        <v>-0.33999999999999997</v>
      </c>
      <c r="I194" s="47"/>
      <c r="J194" s="48">
        <f>VLOOKUP(A194,'[1]תקציב 2026'!$A$1:$M$65536,9,0)</f>
        <v>-2640</v>
      </c>
      <c r="K194" s="114">
        <v>-4000</v>
      </c>
      <c r="L194" s="50">
        <f>VLOOKUP(A194,[2]data1761205830331!$A$1:$J$65536,10,0)</f>
        <v>-1320</v>
      </c>
    </row>
    <row r="195" spans="1:12" ht="15.75" customHeight="1" outlineLevel="1">
      <c r="A195" s="11">
        <v>1214000690</v>
      </c>
      <c r="B195" s="40">
        <v>690</v>
      </c>
      <c r="C195" s="109">
        <v>214000</v>
      </c>
      <c r="D195" s="42">
        <v>1</v>
      </c>
      <c r="E195" s="112"/>
      <c r="F195" s="44" t="s">
        <v>179</v>
      </c>
      <c r="G195" s="45" t="s">
        <v>37</v>
      </c>
      <c r="H195" s="51">
        <f t="shared" si="3"/>
        <v>0.27800000000000002</v>
      </c>
      <c r="I195" s="47"/>
      <c r="J195" s="48">
        <f>VLOOKUP(A195,'[1]תקציב 2026'!$A$1:$M$65536,9,0)</f>
        <v>-12780</v>
      </c>
      <c r="K195" s="114">
        <v>-10000</v>
      </c>
      <c r="L195" s="50">
        <f>VLOOKUP(A195,[2]data1761205830331!$A$1:$J$65536,10,0)</f>
        <v>-11488</v>
      </c>
    </row>
    <row r="196" spans="1:12" ht="15.75" customHeight="1" outlineLevel="1">
      <c r="A196" s="11">
        <v>1214000790</v>
      </c>
      <c r="B196" s="40">
        <v>790</v>
      </c>
      <c r="C196" s="109">
        <v>214000</v>
      </c>
      <c r="D196" s="42">
        <v>1</v>
      </c>
      <c r="E196" s="112"/>
      <c r="F196" s="44" t="s">
        <v>180</v>
      </c>
      <c r="G196" s="45" t="s">
        <v>37</v>
      </c>
      <c r="H196" s="51">
        <f t="shared" si="3"/>
        <v>5.0761421319795996E-3</v>
      </c>
      <c r="I196" s="47"/>
      <c r="J196" s="48">
        <f>VLOOKUP(A196,'[1]תקציב 2026'!$A$1:$M$65536,9,0)</f>
        <v>-792000</v>
      </c>
      <c r="K196" s="114">
        <v>-788000</v>
      </c>
      <c r="L196" s="50">
        <f>VLOOKUP(A196,[2]data1761205830331!$A$1:$J$65536,10,0)</f>
        <v>-1049810.3799999999</v>
      </c>
    </row>
    <row r="197" spans="1:12" ht="15.75" customHeight="1" outlineLevel="1" thickBot="1">
      <c r="A197" s="11">
        <v>1214000990</v>
      </c>
      <c r="B197" s="40">
        <v>990</v>
      </c>
      <c r="C197" s="109">
        <v>214000</v>
      </c>
      <c r="D197" s="42">
        <v>1</v>
      </c>
      <c r="E197" s="112"/>
      <c r="F197" s="146" t="s">
        <v>181</v>
      </c>
      <c r="G197" s="45" t="s">
        <v>37</v>
      </c>
      <c r="H197" s="130">
        <f t="shared" si="3"/>
        <v>-2.4017467248908297E-2</v>
      </c>
      <c r="I197" s="47"/>
      <c r="J197" s="48">
        <f>VLOOKUP(A197,'[1]תקציב 2026'!$A$1:$M$65536,9,0)</f>
        <v>-223500</v>
      </c>
      <c r="K197" s="114">
        <v>-229000</v>
      </c>
      <c r="L197" s="50">
        <f>VLOOKUP(A197,[2]data1761205830331!$A$1:$J$65536,10,0)</f>
        <v>-265772.96999999997</v>
      </c>
    </row>
    <row r="198" spans="1:12" ht="16.2" thickBot="1">
      <c r="A198" s="11" t="e">
        <v>#VALUE!</v>
      </c>
      <c r="B198" s="53" t="s">
        <v>182</v>
      </c>
      <c r="C198" s="54"/>
      <c r="D198" s="55"/>
      <c r="E198" s="115"/>
      <c r="F198" s="116" t="s">
        <v>175</v>
      </c>
      <c r="G198" s="128"/>
      <c r="H198" s="71">
        <f>J198/K198-1</f>
        <v>0.116147021546261</v>
      </c>
      <c r="I198" s="60"/>
      <c r="J198" s="61">
        <f>SUBTOTAL(9,J192:J197)</f>
        <v>-2641920</v>
      </c>
      <c r="K198" s="76">
        <f>SUBTOTAL(9,K192:K197)</f>
        <v>-2367000</v>
      </c>
      <c r="L198" s="75">
        <f>SUBTOTAL(9,L192:L197)</f>
        <v>-2875354.4899999993</v>
      </c>
    </row>
    <row r="199" spans="1:12" ht="15.75" customHeight="1" outlineLevel="1">
      <c r="A199" s="11">
        <v>12230000</v>
      </c>
      <c r="B199" s="40">
        <v>0</v>
      </c>
      <c r="C199" s="109">
        <v>223000</v>
      </c>
      <c r="D199" s="42">
        <v>1</v>
      </c>
      <c r="E199" s="112"/>
      <c r="F199" s="44" t="s">
        <v>183</v>
      </c>
      <c r="G199" s="45" t="s">
        <v>15</v>
      </c>
      <c r="H199" s="129"/>
      <c r="I199" s="47"/>
      <c r="J199" s="48"/>
      <c r="K199" s="49"/>
      <c r="L199" s="50"/>
    </row>
    <row r="200" spans="1:12" ht="15.75" customHeight="1" outlineLevel="1" thickBot="1">
      <c r="A200" s="11">
        <v>1223000640</v>
      </c>
      <c r="B200" s="40">
        <v>640</v>
      </c>
      <c r="C200" s="109">
        <v>223000</v>
      </c>
      <c r="D200" s="42">
        <v>1</v>
      </c>
      <c r="E200" s="112"/>
      <c r="F200" s="44" t="s">
        <v>184</v>
      </c>
      <c r="G200" s="45" t="s">
        <v>37</v>
      </c>
      <c r="H200" s="130">
        <f t="shared" si="3"/>
        <v>-1</v>
      </c>
      <c r="I200" s="47"/>
      <c r="J200" s="48">
        <f>VLOOKUP(A200,'[1]תקציב 2026'!$A$1:$M$65536,9,0)</f>
        <v>0</v>
      </c>
      <c r="K200" s="49">
        <v>-12500</v>
      </c>
      <c r="L200" s="50">
        <f>VLOOKUP(A200,[2]data1761205830331!$A$1:$J$65536,10,0)</f>
        <v>-62470</v>
      </c>
    </row>
    <row r="201" spans="1:12" ht="16.2" thickBot="1">
      <c r="A201" s="11" t="e">
        <v>#VALUE!</v>
      </c>
      <c r="B201" s="53" t="s">
        <v>185</v>
      </c>
      <c r="C201" s="54"/>
      <c r="D201" s="55"/>
      <c r="E201" s="115"/>
      <c r="F201" s="116" t="s">
        <v>183</v>
      </c>
      <c r="G201" s="128"/>
      <c r="H201" s="71">
        <v>1</v>
      </c>
      <c r="I201" s="60"/>
      <c r="J201" s="61">
        <f>SUBTOTAL(9,J200:J200)</f>
        <v>0</v>
      </c>
      <c r="K201" s="76">
        <f>SUBTOTAL(9,K200:K200)</f>
        <v>-12500</v>
      </c>
      <c r="L201" s="75">
        <f>SUBTOTAL(9,L200:L200)</f>
        <v>-62470</v>
      </c>
    </row>
    <row r="202" spans="1:12" ht="15.75" customHeight="1" outlineLevel="1">
      <c r="A202" s="11">
        <v>12300000</v>
      </c>
      <c r="B202" s="40">
        <v>0</v>
      </c>
      <c r="C202" s="109">
        <v>230000</v>
      </c>
      <c r="D202" s="42">
        <v>1</v>
      </c>
      <c r="E202" s="112"/>
      <c r="F202" s="44" t="s">
        <v>186</v>
      </c>
      <c r="G202" s="45" t="s">
        <v>15</v>
      </c>
      <c r="H202" s="129"/>
      <c r="I202" s="47"/>
      <c r="J202" s="48"/>
      <c r="K202" s="49"/>
      <c r="L202" s="50"/>
    </row>
    <row r="203" spans="1:12" ht="15.75" customHeight="1" outlineLevel="1">
      <c r="A203" s="11">
        <v>1231000690</v>
      </c>
      <c r="B203" s="40">
        <v>690</v>
      </c>
      <c r="C203" s="109">
        <v>231000</v>
      </c>
      <c r="D203" s="42">
        <v>1</v>
      </c>
      <c r="E203" s="112"/>
      <c r="F203" s="44" t="s">
        <v>187</v>
      </c>
      <c r="G203" s="45" t="s">
        <v>37</v>
      </c>
      <c r="H203" s="51">
        <v>0</v>
      </c>
      <c r="I203" s="47"/>
      <c r="J203" s="48">
        <f>VLOOKUP(A203,'[1]תקציב 2026'!$A$1:$M$65536,9,0)</f>
        <v>0</v>
      </c>
      <c r="K203" s="49">
        <v>0</v>
      </c>
      <c r="L203" s="50">
        <f>VLOOKUP(A203,[2]data1761205830331!$A$1:$J$65536,10,0)</f>
        <v>-10967.23</v>
      </c>
    </row>
    <row r="204" spans="1:12" ht="15.75" customHeight="1" outlineLevel="1" thickBot="1">
      <c r="A204" s="11">
        <v>1231000691</v>
      </c>
      <c r="B204" s="40">
        <v>691</v>
      </c>
      <c r="C204" s="109">
        <v>231000</v>
      </c>
      <c r="D204" s="42">
        <v>1</v>
      </c>
      <c r="E204" s="112"/>
      <c r="F204" s="44" t="s">
        <v>188</v>
      </c>
      <c r="G204" s="45" t="s">
        <v>37</v>
      </c>
      <c r="H204" s="130">
        <f t="shared" si="3"/>
        <v>-0.19999999999999996</v>
      </c>
      <c r="I204" s="47"/>
      <c r="J204" s="48">
        <f>VLOOKUP(A204,'[1]תקציב 2026'!$A$1:$M$65536,9,0)</f>
        <v>-120000</v>
      </c>
      <c r="K204" s="49">
        <v>-150000</v>
      </c>
      <c r="L204" s="50">
        <f>VLOOKUP(A204,[2]data1761205830331!$A$1:$J$65536,10,0)</f>
        <v>-102522</v>
      </c>
    </row>
    <row r="205" spans="1:12" ht="16.2" thickBot="1">
      <c r="A205" s="11" t="e">
        <v>#VALUE!</v>
      </c>
      <c r="B205" s="53" t="s">
        <v>189</v>
      </c>
      <c r="C205" s="54"/>
      <c r="D205" s="55"/>
      <c r="E205" s="115"/>
      <c r="F205" s="116" t="s">
        <v>190</v>
      </c>
      <c r="G205" s="128"/>
      <c r="H205" s="71">
        <f>J205/K205-1</f>
        <v>-0.19999999999999996</v>
      </c>
      <c r="I205" s="60"/>
      <c r="J205" s="61">
        <f>SUBTOTAL(9,J203:J204)</f>
        <v>-120000</v>
      </c>
      <c r="K205" s="76">
        <f>SUBTOTAL(9,K203:K204)</f>
        <v>-150000</v>
      </c>
      <c r="L205" s="75">
        <f>SUBTOTAL(9,L203:L204)</f>
        <v>-113489.23</v>
      </c>
    </row>
    <row r="206" spans="1:12" ht="15.75" customHeight="1" outlineLevel="1">
      <c r="A206" s="11">
        <v>12330000</v>
      </c>
      <c r="B206" s="64">
        <v>0</v>
      </c>
      <c r="C206" s="131">
        <v>233000</v>
      </c>
      <c r="D206" s="66">
        <v>1</v>
      </c>
      <c r="E206" s="132"/>
      <c r="F206" s="68" t="s">
        <v>191</v>
      </c>
      <c r="G206" s="69" t="s">
        <v>15</v>
      </c>
      <c r="H206" s="129"/>
      <c r="I206" s="47"/>
      <c r="J206" s="48"/>
      <c r="K206" s="49"/>
      <c r="L206" s="50"/>
    </row>
    <row r="207" spans="1:12" ht="15.75" customHeight="1" outlineLevel="1">
      <c r="A207" s="11">
        <v>1233000290</v>
      </c>
      <c r="B207" s="40">
        <v>290</v>
      </c>
      <c r="C207" s="109">
        <v>233000</v>
      </c>
      <c r="D207" s="42">
        <v>1</v>
      </c>
      <c r="E207" s="112"/>
      <c r="F207" s="44" t="s">
        <v>192</v>
      </c>
      <c r="G207" s="45" t="s">
        <v>37</v>
      </c>
      <c r="H207" s="51">
        <f t="shared" si="3"/>
        <v>0.55714285714285716</v>
      </c>
      <c r="I207" s="47"/>
      <c r="J207" s="48">
        <f>VLOOKUP(A207,'[1]תקציב 2026'!$A$1:$M$65536,9,0)</f>
        <v>-10900000</v>
      </c>
      <c r="K207" s="49">
        <v>-7000000</v>
      </c>
      <c r="L207" s="50">
        <f>VLOOKUP(A207,[2]data1761205830331!$A$1:$J$65536,10,0)</f>
        <v>-8774515.5399999991</v>
      </c>
    </row>
    <row r="208" spans="1:12" ht="15.75" customHeight="1" outlineLevel="1">
      <c r="A208" s="11">
        <v>1233000310</v>
      </c>
      <c r="B208" s="40">
        <v>310</v>
      </c>
      <c r="C208" s="109">
        <v>233000</v>
      </c>
      <c r="D208" s="42">
        <v>1</v>
      </c>
      <c r="E208" s="112"/>
      <c r="F208" s="44" t="s">
        <v>193</v>
      </c>
      <c r="G208" s="45" t="s">
        <v>37</v>
      </c>
      <c r="H208" s="51">
        <f t="shared" si="3"/>
        <v>-0.22336185601140912</v>
      </c>
      <c r="I208" s="47"/>
      <c r="J208" s="48">
        <f>VLOOKUP(A208,'[1]תקציב 2026'!$A$1:$M$65536,9,0)</f>
        <v>-24397000</v>
      </c>
      <c r="K208" s="49">
        <v>-31413600</v>
      </c>
      <c r="L208" s="50">
        <f>VLOOKUP(A208,[2]data1761205830331!$A$1:$J$65536,10,0)</f>
        <v>-27599770</v>
      </c>
    </row>
    <row r="209" spans="1:12" ht="15.75" customHeight="1" outlineLevel="1">
      <c r="A209" s="11">
        <v>1233000691</v>
      </c>
      <c r="B209" s="40">
        <v>691</v>
      </c>
      <c r="C209" s="109">
        <v>233000</v>
      </c>
      <c r="D209" s="42">
        <v>1</v>
      </c>
      <c r="E209" s="112"/>
      <c r="F209" s="44" t="s">
        <v>194</v>
      </c>
      <c r="G209" s="45" t="s">
        <v>37</v>
      </c>
      <c r="H209" s="51">
        <f t="shared" si="3"/>
        <v>0</v>
      </c>
      <c r="I209" s="47"/>
      <c r="J209" s="48">
        <f>VLOOKUP(A209,'[1]תקציב 2026'!$A$1:$M$65536,9,0)</f>
        <v>-65000</v>
      </c>
      <c r="K209" s="49">
        <v>-65000</v>
      </c>
      <c r="L209" s="50">
        <f>VLOOKUP(A209,[2]data1761205830331!$A$1:$J$65536,10,0)</f>
        <v>-66547</v>
      </c>
    </row>
    <row r="210" spans="1:12" ht="15.75" customHeight="1" outlineLevel="1" thickBot="1">
      <c r="A210" s="11">
        <v>1233000692</v>
      </c>
      <c r="B210" s="40">
        <v>692</v>
      </c>
      <c r="C210" s="109">
        <v>233000</v>
      </c>
      <c r="D210" s="42">
        <v>1</v>
      </c>
      <c r="E210" s="112"/>
      <c r="F210" s="44" t="s">
        <v>195</v>
      </c>
      <c r="G210" s="45" t="s">
        <v>37</v>
      </c>
      <c r="H210" s="130">
        <v>0</v>
      </c>
      <c r="I210" s="47"/>
      <c r="J210" s="48">
        <f>VLOOKUP(A210,'[1]תקציב 2026'!$A$1:$M$65536,9,0)</f>
        <v>0</v>
      </c>
      <c r="K210" s="49">
        <f>VLOOKUP(A210,[3]גיליון1!$A$1:$C$7693,3,0)</f>
        <v>0</v>
      </c>
      <c r="L210" s="50">
        <f>VLOOKUP(A210,[2]data1761205830331!$A$1:$J$65536,10,0)</f>
        <v>-2328.5500000000002</v>
      </c>
    </row>
    <row r="211" spans="1:12" ht="16.5" customHeight="1" thickBot="1">
      <c r="A211" s="11" t="e">
        <v>#VALUE!</v>
      </c>
      <c r="B211" s="53" t="s">
        <v>196</v>
      </c>
      <c r="C211" s="54"/>
      <c r="D211" s="55"/>
      <c r="E211" s="115"/>
      <c r="F211" s="116" t="s">
        <v>191</v>
      </c>
      <c r="G211" s="58"/>
      <c r="H211" s="71">
        <f>J211/K211-1</f>
        <v>-8.0995670320645807E-2</v>
      </c>
      <c r="I211" s="60"/>
      <c r="J211" s="61">
        <f>SUBTOTAL(9,J207:J210)</f>
        <v>-35362000</v>
      </c>
      <c r="K211" s="76">
        <f>SUBTOTAL(9,K207:K210)</f>
        <v>-38478600</v>
      </c>
      <c r="L211" s="75">
        <f>SUBTOTAL(9,L207:L210)</f>
        <v>-36443161.089999996</v>
      </c>
    </row>
    <row r="212" spans="1:12" ht="15.75" customHeight="1" outlineLevel="1">
      <c r="A212" s="11">
        <v>12420000</v>
      </c>
      <c r="B212" s="40">
        <v>0</v>
      </c>
      <c r="C212" s="109">
        <v>242000</v>
      </c>
      <c r="D212" s="42">
        <v>1</v>
      </c>
      <c r="E212" s="112"/>
      <c r="F212" s="44" t="s">
        <v>197</v>
      </c>
      <c r="G212" s="45" t="s">
        <v>15</v>
      </c>
      <c r="H212" s="129"/>
      <c r="I212" s="47"/>
      <c r="J212" s="48"/>
      <c r="K212" s="49"/>
      <c r="L212" s="50"/>
    </row>
    <row r="213" spans="1:12" ht="15.75" customHeight="1" outlineLevel="1" thickBot="1">
      <c r="A213" s="11">
        <v>1242000690</v>
      </c>
      <c r="B213" s="40">
        <v>690</v>
      </c>
      <c r="C213" s="109">
        <v>242000</v>
      </c>
      <c r="D213" s="42">
        <v>1</v>
      </c>
      <c r="E213" s="112"/>
      <c r="F213" s="44" t="s">
        <v>198</v>
      </c>
      <c r="G213" s="45" t="s">
        <v>37</v>
      </c>
      <c r="H213" s="130">
        <v>0</v>
      </c>
      <c r="I213" s="47"/>
      <c r="J213" s="48">
        <f>VLOOKUP(A213,'[1]תקציב 2026'!$A$1:$M$65536,9,0)</f>
        <v>0</v>
      </c>
      <c r="K213" s="147">
        <f>VLOOKUP(A213,[3]גיליון1!$A$1:$C$7693,3,0)</f>
        <v>0</v>
      </c>
      <c r="L213" s="50">
        <f>VLOOKUP(A213,[2]data1761205830331!$A$1:$J$65536,10,0)</f>
        <v>-108000</v>
      </c>
    </row>
    <row r="214" spans="1:12" ht="16.2" thickBot="1">
      <c r="A214" s="11" t="e">
        <v>#VALUE!</v>
      </c>
      <c r="B214" s="53" t="s">
        <v>199</v>
      </c>
      <c r="C214" s="54"/>
      <c r="D214" s="55"/>
      <c r="E214" s="115"/>
      <c r="F214" s="116" t="s">
        <v>197</v>
      </c>
      <c r="G214" s="58"/>
      <c r="H214" s="71">
        <v>0</v>
      </c>
      <c r="I214" s="60"/>
      <c r="J214" s="61">
        <f>SUBTOTAL(9,J213)</f>
        <v>0</v>
      </c>
      <c r="K214" s="148">
        <f>SUBTOTAL(9,K213)</f>
        <v>0</v>
      </c>
      <c r="L214" s="149">
        <f>SUBTOTAL(9,L213)</f>
        <v>-108000</v>
      </c>
    </row>
    <row r="215" spans="1:12" ht="15.75" customHeight="1" outlineLevel="1">
      <c r="A215" s="11">
        <v>12430000</v>
      </c>
      <c r="B215" s="40">
        <v>0</v>
      </c>
      <c r="C215" s="109">
        <v>243000</v>
      </c>
      <c r="D215" s="42">
        <v>1</v>
      </c>
      <c r="E215" s="112"/>
      <c r="F215" s="44" t="s">
        <v>200</v>
      </c>
      <c r="G215" s="45" t="s">
        <v>15</v>
      </c>
      <c r="H215" s="129"/>
      <c r="I215" s="47"/>
      <c r="J215" s="48"/>
      <c r="K215" s="49"/>
      <c r="L215" s="50"/>
    </row>
    <row r="216" spans="1:12" ht="15.75" customHeight="1" outlineLevel="1" thickBot="1">
      <c r="A216" s="11">
        <v>1243000690</v>
      </c>
      <c r="B216" s="40">
        <v>690</v>
      </c>
      <c r="C216" s="109">
        <v>243000</v>
      </c>
      <c r="D216" s="42">
        <v>1</v>
      </c>
      <c r="E216" s="112"/>
      <c r="F216" s="44" t="s">
        <v>201</v>
      </c>
      <c r="G216" s="45" t="s">
        <v>37</v>
      </c>
      <c r="H216" s="130">
        <f t="shared" si="3"/>
        <v>-0.86</v>
      </c>
      <c r="I216" s="47"/>
      <c r="J216" s="48">
        <f>VLOOKUP(A216,'[1]תקציב 2026'!$A$1:$M$65536,9,0)</f>
        <v>-7000</v>
      </c>
      <c r="K216" s="49">
        <v>-50000</v>
      </c>
      <c r="L216" s="50">
        <f>VLOOKUP(A216,[2]data1761205830331!$A$1:$J$65536,10,0)</f>
        <v>0</v>
      </c>
    </row>
    <row r="217" spans="1:12" ht="16.2" thickBot="1">
      <c r="A217" s="11" t="e">
        <v>#VALUE!</v>
      </c>
      <c r="B217" s="53" t="s">
        <v>202</v>
      </c>
      <c r="C217" s="54"/>
      <c r="D217" s="55"/>
      <c r="E217" s="115"/>
      <c r="F217" s="116" t="s">
        <v>200</v>
      </c>
      <c r="G217" s="58"/>
      <c r="H217" s="71">
        <f>J217/K217-1</f>
        <v>-0.86</v>
      </c>
      <c r="I217" s="60"/>
      <c r="J217" s="61">
        <f>SUBTOTAL(9,J216)</f>
        <v>-7000</v>
      </c>
      <c r="K217" s="76">
        <f>SUBTOTAL(9,K216)</f>
        <v>-50000</v>
      </c>
      <c r="L217" s="75">
        <f>SUBTOTAL(9,L216)</f>
        <v>0</v>
      </c>
    </row>
    <row r="218" spans="1:12" ht="15.75" customHeight="1" outlineLevel="1">
      <c r="A218" s="11">
        <v>12460000</v>
      </c>
      <c r="B218" s="40">
        <v>0</v>
      </c>
      <c r="C218" s="109">
        <v>246000</v>
      </c>
      <c r="D218" s="42">
        <v>1</v>
      </c>
      <c r="E218" s="112"/>
      <c r="F218" s="44" t="s">
        <v>203</v>
      </c>
      <c r="G218" s="45" t="s">
        <v>15</v>
      </c>
      <c r="H218" s="129"/>
      <c r="I218" s="47"/>
      <c r="J218" s="48"/>
      <c r="K218" s="49"/>
      <c r="L218" s="50"/>
    </row>
    <row r="219" spans="1:12" ht="15.75" customHeight="1" outlineLevel="1" thickBot="1">
      <c r="A219" s="11">
        <v>1246100692</v>
      </c>
      <c r="B219" s="40">
        <v>692</v>
      </c>
      <c r="C219" s="109">
        <v>246100</v>
      </c>
      <c r="D219" s="42">
        <v>1</v>
      </c>
      <c r="E219" s="112"/>
      <c r="F219" s="44" t="s">
        <v>204</v>
      </c>
      <c r="G219" s="45" t="s">
        <v>37</v>
      </c>
      <c r="H219" s="130">
        <v>1</v>
      </c>
      <c r="I219" s="47"/>
      <c r="J219" s="48">
        <f>VLOOKUP(A219,'[1]תקציב 2026'!$A$1:$M$65536,9,0)</f>
        <v>-220000</v>
      </c>
      <c r="K219" s="49">
        <v>0</v>
      </c>
      <c r="L219" s="50">
        <f>VLOOKUP(A219,[2]data1761205830331!$A$1:$J$65536,10,0)</f>
        <v>-196098</v>
      </c>
    </row>
    <row r="220" spans="1:12" ht="16.2" thickBot="1">
      <c r="A220" s="11" t="e">
        <v>#VALUE!</v>
      </c>
      <c r="B220" s="53" t="s">
        <v>205</v>
      </c>
      <c r="C220" s="54"/>
      <c r="D220" s="55"/>
      <c r="E220" s="115"/>
      <c r="F220" s="116" t="s">
        <v>206</v>
      </c>
      <c r="G220" s="58"/>
      <c r="H220" s="71">
        <v>1</v>
      </c>
      <c r="I220" s="60"/>
      <c r="J220" s="61">
        <f>SUBTOTAL(9,J219:J219)</f>
        <v>-220000</v>
      </c>
      <c r="K220" s="148">
        <f>SUBTOTAL(9,K219:K219)</f>
        <v>0</v>
      </c>
      <c r="L220" s="75">
        <f>SUBTOTAL(9,L219:L219)</f>
        <v>-196098</v>
      </c>
    </row>
    <row r="221" spans="1:12" ht="15.75" customHeight="1" outlineLevel="1">
      <c r="A221" s="11">
        <v>12600000</v>
      </c>
      <c r="B221" s="40">
        <v>0</v>
      </c>
      <c r="C221" s="109">
        <v>260000</v>
      </c>
      <c r="D221" s="42">
        <v>1</v>
      </c>
      <c r="E221" s="112"/>
      <c r="F221" s="44" t="s">
        <v>207</v>
      </c>
      <c r="G221" s="45" t="s">
        <v>15</v>
      </c>
      <c r="H221" s="129"/>
      <c r="I221" s="47"/>
      <c r="J221" s="48"/>
      <c r="K221" s="49"/>
      <c r="L221" s="50"/>
    </row>
    <row r="222" spans="1:12" ht="15.75" customHeight="1" outlineLevel="1" thickBot="1">
      <c r="A222" s="11">
        <v>1267000540</v>
      </c>
      <c r="B222" s="40">
        <v>540</v>
      </c>
      <c r="C222" s="109">
        <v>267000</v>
      </c>
      <c r="D222" s="42">
        <v>1</v>
      </c>
      <c r="E222" s="112"/>
      <c r="F222" s="44" t="s">
        <v>208</v>
      </c>
      <c r="G222" s="45" t="s">
        <v>37</v>
      </c>
      <c r="H222" s="130">
        <v>1</v>
      </c>
      <c r="I222" s="47"/>
      <c r="J222" s="48">
        <f>VLOOKUP(A222,'[1]תקציב 2026'!$A$1:$M$65536,9,0)</f>
        <v>-50000</v>
      </c>
      <c r="K222" s="49">
        <f>VLOOKUP(A222,[3]גיליון1!$A$1:$C$7693,3,0)</f>
        <v>0</v>
      </c>
      <c r="L222" s="50">
        <f>VLOOKUP(A222,[2]data1761205830331!$A$1:$J$65536,10,0)</f>
        <v>-42661.599999999999</v>
      </c>
    </row>
    <row r="223" spans="1:12" ht="16.2" thickBot="1">
      <c r="A223" s="11" t="e">
        <v>#VALUE!</v>
      </c>
      <c r="B223" s="53" t="s">
        <v>209</v>
      </c>
      <c r="C223" s="54"/>
      <c r="D223" s="55"/>
      <c r="E223" s="115"/>
      <c r="F223" s="116" t="s">
        <v>210</v>
      </c>
      <c r="G223" s="58"/>
      <c r="H223" s="71">
        <v>1</v>
      </c>
      <c r="I223" s="60"/>
      <c r="J223" s="61">
        <f>SUBTOTAL(9,J222)</f>
        <v>-50000</v>
      </c>
      <c r="K223" s="148">
        <f>SUBTOTAL(9,K222)</f>
        <v>0</v>
      </c>
      <c r="L223" s="75">
        <f>SUBTOTAL(9,L222)</f>
        <v>-42661.599999999999</v>
      </c>
    </row>
    <row r="224" spans="1:12" ht="15.75" customHeight="1" outlineLevel="1">
      <c r="A224" s="11">
        <v>12690000</v>
      </c>
      <c r="B224" s="40">
        <v>0</v>
      </c>
      <c r="C224" s="109">
        <v>269000</v>
      </c>
      <c r="D224" s="42">
        <v>1</v>
      </c>
      <c r="E224" s="112"/>
      <c r="F224" s="44" t="s">
        <v>211</v>
      </c>
      <c r="G224" s="45" t="s">
        <v>15</v>
      </c>
      <c r="H224" s="129"/>
      <c r="I224" s="47"/>
      <c r="J224" s="48"/>
      <c r="K224" s="49"/>
      <c r="L224" s="50"/>
    </row>
    <row r="225" spans="1:12" ht="15.75" customHeight="1" outlineLevel="1">
      <c r="A225" s="11">
        <v>1269000114</v>
      </c>
      <c r="B225" s="40">
        <v>114</v>
      </c>
      <c r="C225" s="109">
        <v>269000</v>
      </c>
      <c r="D225" s="42">
        <v>1</v>
      </c>
      <c r="E225" s="112"/>
      <c r="F225" s="44" t="s">
        <v>212</v>
      </c>
      <c r="G225" s="45" t="s">
        <v>37</v>
      </c>
      <c r="H225" s="51">
        <f t="shared" si="3"/>
        <v>-0.5</v>
      </c>
      <c r="I225" s="47"/>
      <c r="J225" s="48">
        <f>VLOOKUP(A225,'[1]תקציב 2026'!$A$1:$M$65536,9,0)</f>
        <v>-15000</v>
      </c>
      <c r="K225" s="49">
        <f>VLOOKUP(A225,[3]גיליון1!$A$1:$C$7693,3,0)</f>
        <v>-30000</v>
      </c>
      <c r="L225" s="50">
        <f>VLOOKUP(A225,[2]data1761205830331!$A$1:$J$65536,10,0)</f>
        <v>-40517.24</v>
      </c>
    </row>
    <row r="226" spans="1:12" ht="15.75" customHeight="1" outlineLevel="1">
      <c r="A226" s="11">
        <v>1269000115</v>
      </c>
      <c r="B226" s="40">
        <v>115</v>
      </c>
      <c r="C226" s="109">
        <v>269000</v>
      </c>
      <c r="D226" s="42">
        <v>1</v>
      </c>
      <c r="E226" s="112"/>
      <c r="F226" s="44" t="s">
        <v>213</v>
      </c>
      <c r="G226" s="45" t="s">
        <v>37</v>
      </c>
      <c r="H226" s="51">
        <f t="shared" si="3"/>
        <v>-0.33333333333333337</v>
      </c>
      <c r="I226" s="47"/>
      <c r="J226" s="48">
        <f>VLOOKUP(A226,'[1]תקציב 2026'!$A$1:$M$65536,9,0)</f>
        <v>-10000</v>
      </c>
      <c r="K226" s="49">
        <f>VLOOKUP(A226,[3]גיליון1!$A$1:$C$7693,3,0)</f>
        <v>-15000</v>
      </c>
      <c r="L226" s="50">
        <f>VLOOKUP(A226,[2]data1761205830331!$A$1:$J$65536,10,0)</f>
        <v>-25660.94</v>
      </c>
    </row>
    <row r="227" spans="1:12" ht="15.75" customHeight="1" outlineLevel="1">
      <c r="A227" s="11">
        <v>1269000116</v>
      </c>
      <c r="B227" s="40">
        <v>116</v>
      </c>
      <c r="C227" s="109">
        <v>269000</v>
      </c>
      <c r="D227" s="42">
        <v>1</v>
      </c>
      <c r="E227" s="112"/>
      <c r="F227" s="44" t="s">
        <v>214</v>
      </c>
      <c r="G227" s="45" t="s">
        <v>37</v>
      </c>
      <c r="H227" s="51">
        <v>0</v>
      </c>
      <c r="I227" s="47"/>
      <c r="J227" s="48">
        <f>VLOOKUP(A227,'[1]תקציב 2026'!$A$1:$M$65536,9,0)</f>
        <v>0</v>
      </c>
      <c r="K227" s="49">
        <f>VLOOKUP(A227,[3]גיליון1!$A$1:$C$7693,3,0)</f>
        <v>0</v>
      </c>
      <c r="L227" s="50">
        <f>VLOOKUP(A227,[2]data1761205830331!$A$1:$J$65536,10,0)</f>
        <v>-75.349999999999994</v>
      </c>
    </row>
    <row r="228" spans="1:12" ht="15.75" customHeight="1" outlineLevel="1">
      <c r="A228" s="11">
        <v>1269000117</v>
      </c>
      <c r="B228" s="40">
        <v>117</v>
      </c>
      <c r="C228" s="109">
        <v>269000</v>
      </c>
      <c r="D228" s="42">
        <v>1</v>
      </c>
      <c r="E228" s="112"/>
      <c r="F228" s="44" t="s">
        <v>215</v>
      </c>
      <c r="G228" s="45" t="s">
        <v>37</v>
      </c>
      <c r="H228" s="51">
        <v>0</v>
      </c>
      <c r="I228" s="47"/>
      <c r="J228" s="48">
        <f>VLOOKUP(A228,'[1]תקציב 2026'!$A$1:$M$65536,9,0)</f>
        <v>0</v>
      </c>
      <c r="K228" s="49">
        <f>VLOOKUP(A228,[3]גיליון1!$A$1:$C$7693,3,0)</f>
        <v>0</v>
      </c>
      <c r="L228" s="50">
        <f>VLOOKUP(A228,[2]data1761205830331!$A$1:$J$65536,10,0)</f>
        <v>-74.95</v>
      </c>
    </row>
    <row r="229" spans="1:12" ht="15.75" customHeight="1" outlineLevel="1">
      <c r="A229" s="11">
        <v>1269000290</v>
      </c>
      <c r="B229" s="40">
        <v>290</v>
      </c>
      <c r="C229" s="109">
        <v>269000</v>
      </c>
      <c r="D229" s="42">
        <v>1</v>
      </c>
      <c r="E229" s="112"/>
      <c r="F229" s="44" t="s">
        <v>216</v>
      </c>
      <c r="G229" s="45" t="s">
        <v>37</v>
      </c>
      <c r="H229" s="51">
        <f t="shared" si="3"/>
        <v>-7.1038251366120186E-2</v>
      </c>
      <c r="I229" s="47"/>
      <c r="J229" s="48">
        <f>VLOOKUP(A229,'[1]תקציב 2026'!$A$1:$M$65536,9,0)</f>
        <v>-170000</v>
      </c>
      <c r="K229" s="49">
        <f>VLOOKUP(A229,[3]גיליון1!$A$1:$C$7693,3,0)</f>
        <v>-183000</v>
      </c>
      <c r="L229" s="50">
        <f>VLOOKUP(A229,[2]data1761205830331!$A$1:$J$65536,10,0)</f>
        <v>-171477.41</v>
      </c>
    </row>
    <row r="230" spans="1:12" ht="15.75" customHeight="1" outlineLevel="1">
      <c r="A230" s="11">
        <v>1269000291</v>
      </c>
      <c r="B230" s="40">
        <v>291</v>
      </c>
      <c r="C230" s="109">
        <v>269000</v>
      </c>
      <c r="D230" s="42">
        <v>1</v>
      </c>
      <c r="E230" s="112"/>
      <c r="F230" s="44" t="s">
        <v>217</v>
      </c>
      <c r="G230" s="45" t="s">
        <v>37</v>
      </c>
      <c r="H230" s="51">
        <f t="shared" si="3"/>
        <v>-6.25E-2</v>
      </c>
      <c r="I230" s="47"/>
      <c r="J230" s="48">
        <f>VLOOKUP(A230,'[1]תקציב 2026'!$A$1:$M$65536,9,0)</f>
        <v>-600000</v>
      </c>
      <c r="K230" s="49">
        <f>VLOOKUP(A230,[3]גיליון1!$A$1:$C$7693,3,0)</f>
        <v>-640000</v>
      </c>
      <c r="L230" s="50">
        <f>VLOOKUP(A230,[2]data1761205830331!$A$1:$J$65536,10,0)</f>
        <v>-455202.1</v>
      </c>
    </row>
    <row r="231" spans="1:12" ht="15.75" customHeight="1" outlineLevel="1">
      <c r="A231" s="11">
        <v>1269000292</v>
      </c>
      <c r="B231" s="40">
        <v>292</v>
      </c>
      <c r="C231" s="109">
        <v>269000</v>
      </c>
      <c r="D231" s="42">
        <v>1</v>
      </c>
      <c r="E231" s="112"/>
      <c r="F231" s="44" t="s">
        <v>218</v>
      </c>
      <c r="G231" s="45" t="s">
        <v>37</v>
      </c>
      <c r="H231" s="51">
        <f t="shared" si="3"/>
        <v>0.27272727272727271</v>
      </c>
      <c r="I231" s="47"/>
      <c r="J231" s="48">
        <f>VLOOKUP(A231,'[1]תקציב 2026'!$A$1:$M$65536,9,0)</f>
        <v>-350000</v>
      </c>
      <c r="K231" s="49">
        <f>VLOOKUP(A231,[3]גיליון1!$A$1:$C$7693,3,0)</f>
        <v>-275000</v>
      </c>
      <c r="L231" s="50">
        <f>VLOOKUP(A231,[2]data1761205830331!$A$1:$J$65536,10,0)</f>
        <v>-181949.72</v>
      </c>
    </row>
    <row r="232" spans="1:12" ht="15.75" customHeight="1" outlineLevel="1">
      <c r="A232" s="11">
        <v>1269000293</v>
      </c>
      <c r="B232" s="40">
        <v>293</v>
      </c>
      <c r="C232" s="109">
        <v>269000</v>
      </c>
      <c r="D232" s="42">
        <v>1</v>
      </c>
      <c r="E232" s="112"/>
      <c r="F232" s="44" t="s">
        <v>219</v>
      </c>
      <c r="G232" s="45" t="s">
        <v>37</v>
      </c>
      <c r="H232" s="51">
        <f t="shared" si="3"/>
        <v>-0.4</v>
      </c>
      <c r="I232" s="47"/>
      <c r="J232" s="48">
        <f>VLOOKUP(A232,'[1]תקציב 2026'!$A$1:$M$65536,9,0)</f>
        <v>-3000</v>
      </c>
      <c r="K232" s="49">
        <f>VLOOKUP(A232,[3]גיליון1!$A$1:$C$7693,3,0)</f>
        <v>-5000</v>
      </c>
      <c r="L232" s="50">
        <f>VLOOKUP(A232,[2]data1761205830331!$A$1:$J$65536,10,0)</f>
        <v>-136</v>
      </c>
    </row>
    <row r="233" spans="1:12" ht="15.75" customHeight="1" outlineLevel="1">
      <c r="A233" s="11">
        <v>1269000294</v>
      </c>
      <c r="B233" s="40">
        <v>294</v>
      </c>
      <c r="C233" s="109">
        <v>269000</v>
      </c>
      <c r="D233" s="42">
        <v>1</v>
      </c>
      <c r="E233" s="112"/>
      <c r="F233" s="44" t="s">
        <v>220</v>
      </c>
      <c r="G233" s="45" t="s">
        <v>37</v>
      </c>
      <c r="H233" s="51">
        <f t="shared" si="3"/>
        <v>2</v>
      </c>
      <c r="I233" s="47"/>
      <c r="J233" s="48">
        <f>VLOOKUP(A233,'[1]תקציב 2026'!$A$1:$M$65536,9,0)</f>
        <v>-3000</v>
      </c>
      <c r="K233" s="49">
        <f>VLOOKUP(A233,[3]גיליון1!$A$1:$C$7693,3,0)</f>
        <v>-1000</v>
      </c>
      <c r="L233" s="50">
        <f>VLOOKUP(A233,[2]data1761205830331!$A$1:$J$65536,10,0)</f>
        <v>-431.99</v>
      </c>
    </row>
    <row r="234" spans="1:12" ht="15.75" customHeight="1" outlineLevel="1">
      <c r="A234" s="11">
        <v>1269000691</v>
      </c>
      <c r="B234" s="40">
        <v>691</v>
      </c>
      <c r="C234" s="109">
        <v>269000</v>
      </c>
      <c r="D234" s="42">
        <v>1</v>
      </c>
      <c r="E234" s="112"/>
      <c r="F234" s="44" t="s">
        <v>221</v>
      </c>
      <c r="G234" s="45" t="s">
        <v>37</v>
      </c>
      <c r="H234" s="51">
        <f t="shared" si="3"/>
        <v>1.5748031496063408E-3</v>
      </c>
      <c r="I234" s="47"/>
      <c r="J234" s="48">
        <f>VLOOKUP(A234,'[1]תקציב 2026'!$A$1:$M$65536,9,0)</f>
        <v>-12720</v>
      </c>
      <c r="K234" s="49">
        <v>-12700</v>
      </c>
      <c r="L234" s="50">
        <f>VLOOKUP(A234,[2]data1761205830331!$A$1:$J$65536,10,0)</f>
        <v>-1450</v>
      </c>
    </row>
    <row r="235" spans="1:12" ht="15.75" customHeight="1" outlineLevel="1">
      <c r="A235" s="11">
        <v>1269000692</v>
      </c>
      <c r="B235" s="40">
        <v>692</v>
      </c>
      <c r="C235" s="109">
        <v>269000</v>
      </c>
      <c r="D235" s="42">
        <v>1</v>
      </c>
      <c r="E235" s="112"/>
      <c r="F235" s="44" t="s">
        <v>222</v>
      </c>
      <c r="G235" s="45" t="s">
        <v>37</v>
      </c>
      <c r="H235" s="51">
        <f t="shared" si="3"/>
        <v>-0.2857142857142857</v>
      </c>
      <c r="I235" s="47"/>
      <c r="J235" s="48">
        <f>VLOOKUP(A235,'[1]תקציב 2026'!$A$1:$M$65536,9,0)</f>
        <v>-5000</v>
      </c>
      <c r="K235" s="49">
        <f>VLOOKUP(A235,[3]גיליון1!$A$1:$C$7693,3,0)</f>
        <v>-7000</v>
      </c>
      <c r="L235" s="50">
        <f>VLOOKUP(A235,[2]data1761205830331!$A$1:$J$65536,10,0)</f>
        <v>-8835.9699999999993</v>
      </c>
    </row>
    <row r="236" spans="1:12" ht="15.75" customHeight="1" outlineLevel="1">
      <c r="A236" s="11">
        <v>1269000693</v>
      </c>
      <c r="B236" s="40">
        <v>693</v>
      </c>
      <c r="C236" s="109">
        <v>269000</v>
      </c>
      <c r="D236" s="42">
        <v>1</v>
      </c>
      <c r="E236" s="112"/>
      <c r="F236" s="44" t="s">
        <v>223</v>
      </c>
      <c r="G236" s="45" t="s">
        <v>37</v>
      </c>
      <c r="H236" s="51">
        <f t="shared" si="3"/>
        <v>0.5</v>
      </c>
      <c r="I236" s="47"/>
      <c r="J236" s="48">
        <f>VLOOKUP(A236,'[1]תקציב 2026'!$A$1:$M$65536,9,0)</f>
        <v>-1500</v>
      </c>
      <c r="K236" s="49">
        <v>-1000</v>
      </c>
      <c r="L236" s="50">
        <f>VLOOKUP(A236,[2]data1761205830331!$A$1:$J$65536,10,0)</f>
        <v>-2133</v>
      </c>
    </row>
    <row r="237" spans="1:12" ht="15.75" customHeight="1" outlineLevel="1" thickBot="1">
      <c r="A237" s="11">
        <v>1269000696</v>
      </c>
      <c r="B237" s="40">
        <v>696</v>
      </c>
      <c r="C237" s="109">
        <v>269000</v>
      </c>
      <c r="D237" s="42">
        <v>1</v>
      </c>
      <c r="E237" s="112"/>
      <c r="F237" s="44" t="s">
        <v>224</v>
      </c>
      <c r="G237" s="45" t="s">
        <v>37</v>
      </c>
      <c r="H237" s="51">
        <f t="shared" si="3"/>
        <v>0</v>
      </c>
      <c r="I237" s="47"/>
      <c r="J237" s="48">
        <f>VLOOKUP(A237,'[1]תקציב 2026'!$A$1:$M$65536,9,0)</f>
        <v>-40000</v>
      </c>
      <c r="K237" s="49">
        <f>VLOOKUP(A237,[3]גיליון1!$A$1:$C$7693,3,0)</f>
        <v>-40000</v>
      </c>
      <c r="L237" s="50">
        <f>VLOOKUP(A237,[2]data1761205830331!$A$1:$J$65536,10,0)</f>
        <v>-56277</v>
      </c>
    </row>
    <row r="238" spans="1:12" ht="16.2" thickBot="1">
      <c r="A238" s="11" t="e">
        <v>#VALUE!</v>
      </c>
      <c r="B238" s="53" t="s">
        <v>225</v>
      </c>
      <c r="C238" s="54"/>
      <c r="D238" s="55"/>
      <c r="E238" s="115"/>
      <c r="F238" s="116" t="s">
        <v>211</v>
      </c>
      <c r="G238" s="58"/>
      <c r="H238" s="71">
        <f>J238/K238-1</f>
        <v>4.2985864263878071E-4</v>
      </c>
      <c r="I238" s="72"/>
      <c r="J238" s="73">
        <f>SUBTOTAL(9,J225:J237)</f>
        <v>-1210220</v>
      </c>
      <c r="K238" s="92">
        <f>SUBTOTAL(9,K225:K237)</f>
        <v>-1209700</v>
      </c>
      <c r="L238" s="75">
        <f>SUBTOTAL(9,L225:L237)</f>
        <v>-944221.66999999993</v>
      </c>
    </row>
    <row r="239" spans="1:12" ht="15.75" customHeight="1" outlineLevel="1">
      <c r="A239" s="11">
        <v>12691000</v>
      </c>
      <c r="B239" s="40">
        <v>0</v>
      </c>
      <c r="C239" s="109">
        <v>269100</v>
      </c>
      <c r="D239" s="42">
        <v>1</v>
      </c>
      <c r="E239" s="112"/>
      <c r="F239" s="44" t="s">
        <v>226</v>
      </c>
      <c r="G239" s="45" t="s">
        <v>15</v>
      </c>
      <c r="H239" s="129"/>
      <c r="I239" s="47"/>
      <c r="J239" s="48"/>
      <c r="K239" s="49"/>
      <c r="L239" s="50"/>
    </row>
    <row r="240" spans="1:12" ht="15.75" customHeight="1" outlineLevel="1">
      <c r="A240" s="11">
        <v>1269100690</v>
      </c>
      <c r="B240" s="40">
        <v>690</v>
      </c>
      <c r="C240" s="109">
        <v>269100</v>
      </c>
      <c r="D240" s="42">
        <v>1</v>
      </c>
      <c r="E240" s="112"/>
      <c r="F240" s="44" t="s">
        <v>227</v>
      </c>
      <c r="G240" s="45" t="s">
        <v>37</v>
      </c>
      <c r="H240" s="51">
        <v>0</v>
      </c>
      <c r="I240" s="47"/>
      <c r="J240" s="48">
        <f>VLOOKUP(A240,'[1]תקציב 2026'!$A$1:$M$65536,9,0)</f>
        <v>0</v>
      </c>
      <c r="K240" s="49">
        <f>VLOOKUP(A240,[3]גיליון1!$A$1:$C$7693,3,0)</f>
        <v>0</v>
      </c>
      <c r="L240" s="50">
        <f>VLOOKUP(A240,[2]data1761205830331!$A$1:$J$65536,10,0)</f>
        <v>-206.6</v>
      </c>
    </row>
    <row r="241" spans="1:12" ht="15.75" customHeight="1" outlineLevel="1" thickBot="1">
      <c r="A241" s="11">
        <v>1269100692</v>
      </c>
      <c r="B241" s="40">
        <v>692</v>
      </c>
      <c r="C241" s="109">
        <v>269100</v>
      </c>
      <c r="D241" s="42">
        <v>1</v>
      </c>
      <c r="E241" s="112"/>
      <c r="F241" s="44" t="s">
        <v>228</v>
      </c>
      <c r="G241" s="45" t="s">
        <v>37</v>
      </c>
      <c r="H241" s="130">
        <f t="shared" ref="H241:H292" si="4">J241/K241-1</f>
        <v>0</v>
      </c>
      <c r="I241" s="47"/>
      <c r="J241" s="48">
        <f>VLOOKUP(A241,'[1]תקציב 2026'!$A$1:$M$65536,9,0)</f>
        <v>-100000</v>
      </c>
      <c r="K241" s="49">
        <v>-100000</v>
      </c>
      <c r="L241" s="50">
        <f>VLOOKUP(A241,[2]data1761205830331!$A$1:$J$65536,10,0)</f>
        <v>-60000</v>
      </c>
    </row>
    <row r="242" spans="1:12" ht="16.2" thickBot="1">
      <c r="A242" s="11" t="e">
        <v>#VALUE!</v>
      </c>
      <c r="B242" s="53" t="s">
        <v>229</v>
      </c>
      <c r="C242" s="54"/>
      <c r="D242" s="55"/>
      <c r="E242" s="115"/>
      <c r="F242" s="116" t="s">
        <v>226</v>
      </c>
      <c r="G242" s="58"/>
      <c r="H242" s="71">
        <v>0</v>
      </c>
      <c r="I242" s="60"/>
      <c r="J242" s="62">
        <f>SUBTOTAL(9,J240:J241)</f>
        <v>-100000</v>
      </c>
      <c r="K242" s="76">
        <f>SUBTOTAL(9,K240:K241)</f>
        <v>-100000</v>
      </c>
      <c r="L242" s="75">
        <f>SUBTOTAL(9,L240:L241)</f>
        <v>-60206.6</v>
      </c>
    </row>
    <row r="243" spans="1:12" ht="15.75" customHeight="1" outlineLevel="1">
      <c r="A243" s="11">
        <v>12800000</v>
      </c>
      <c r="B243" s="40">
        <v>0</v>
      </c>
      <c r="C243" s="109">
        <v>280000</v>
      </c>
      <c r="D243" s="42">
        <v>1</v>
      </c>
      <c r="E243" s="112"/>
      <c r="F243" s="44" t="s">
        <v>230</v>
      </c>
      <c r="G243" s="45" t="s">
        <v>15</v>
      </c>
      <c r="H243" s="129"/>
      <c r="I243" s="47"/>
      <c r="J243" s="48"/>
      <c r="K243" s="49"/>
      <c r="L243" s="50"/>
    </row>
    <row r="244" spans="1:12" ht="15.75" customHeight="1" outlineLevel="1">
      <c r="A244" s="11">
        <v>1281100290</v>
      </c>
      <c r="B244" s="40">
        <v>290</v>
      </c>
      <c r="C244" s="109">
        <v>281100</v>
      </c>
      <c r="D244" s="42">
        <v>1</v>
      </c>
      <c r="E244" s="112"/>
      <c r="F244" s="44" t="s">
        <v>231</v>
      </c>
      <c r="G244" s="45" t="s">
        <v>37</v>
      </c>
      <c r="H244" s="51">
        <f t="shared" si="4"/>
        <v>0</v>
      </c>
      <c r="I244" s="47"/>
      <c r="J244" s="48">
        <f>VLOOKUP(A244,'[1]תקציב 2026'!$A$1:$M$65536,9,0)</f>
        <v>-10000</v>
      </c>
      <c r="K244" s="49">
        <f>VLOOKUP(A244,[3]גיליון1!$A$1:$C$7693,3,0)</f>
        <v>-10000</v>
      </c>
      <c r="L244" s="50">
        <f>VLOOKUP(A244,[2]data1761205830331!$A$1:$J$65536,10,0)</f>
        <v>-835.42</v>
      </c>
    </row>
    <row r="245" spans="1:12" ht="15.75" customHeight="1" outlineLevel="1">
      <c r="A245" s="11">
        <v>1281100291</v>
      </c>
      <c r="B245" s="40">
        <v>291</v>
      </c>
      <c r="C245" s="109">
        <v>281100</v>
      </c>
      <c r="D245" s="42">
        <v>1</v>
      </c>
      <c r="E245" s="112"/>
      <c r="F245" s="44" t="s">
        <v>232</v>
      </c>
      <c r="G245" s="45" t="s">
        <v>37</v>
      </c>
      <c r="H245" s="51">
        <f t="shared" si="4"/>
        <v>0</v>
      </c>
      <c r="I245" s="47"/>
      <c r="J245" s="48">
        <f>VLOOKUP(A245,'[1]תקציב 2026'!$A$1:$M$65536,9,0)</f>
        <v>-5000</v>
      </c>
      <c r="K245" s="49">
        <f>VLOOKUP(A245,[3]גיליון1!$A$1:$C$7693,3,0)</f>
        <v>-5000</v>
      </c>
      <c r="L245" s="50">
        <f>VLOOKUP(A245,[2]data1761205830331!$A$1:$J$65536,10,0)</f>
        <v>-5568.28</v>
      </c>
    </row>
    <row r="246" spans="1:12" ht="15.75" customHeight="1" outlineLevel="1">
      <c r="A246" s="11">
        <v>1281100292</v>
      </c>
      <c r="B246" s="40">
        <v>292</v>
      </c>
      <c r="C246" s="109">
        <v>281100</v>
      </c>
      <c r="D246" s="42">
        <v>1</v>
      </c>
      <c r="E246" s="112"/>
      <c r="F246" s="44" t="s">
        <v>233</v>
      </c>
      <c r="G246" s="45" t="s">
        <v>37</v>
      </c>
      <c r="H246" s="51">
        <f t="shared" si="4"/>
        <v>0</v>
      </c>
      <c r="I246" s="47"/>
      <c r="J246" s="48">
        <f>VLOOKUP(A246,'[1]תקציב 2026'!$A$1:$M$65536,9,0)</f>
        <v>-5000</v>
      </c>
      <c r="K246" s="49">
        <f>VLOOKUP(A246,[3]גיליון1!$A$1:$C$7693,3,0)</f>
        <v>-5000</v>
      </c>
      <c r="L246" s="50">
        <f>VLOOKUP(A246,[2]data1761205830331!$A$1:$J$65536,10,0)</f>
        <v>0</v>
      </c>
    </row>
    <row r="247" spans="1:12" ht="15.75" customHeight="1" outlineLevel="1">
      <c r="A247" s="11">
        <v>1281100293</v>
      </c>
      <c r="B247" s="40">
        <v>293</v>
      </c>
      <c r="C247" s="109">
        <v>281100</v>
      </c>
      <c r="D247" s="42">
        <v>1</v>
      </c>
      <c r="E247" s="112"/>
      <c r="F247" s="44" t="s">
        <v>234</v>
      </c>
      <c r="G247" s="45" t="s">
        <v>37</v>
      </c>
      <c r="H247" s="51">
        <f t="shared" si="4"/>
        <v>0</v>
      </c>
      <c r="I247" s="47"/>
      <c r="J247" s="48">
        <f>VLOOKUP(A247,'[1]תקציב 2026'!$A$1:$M$65536,9,0)</f>
        <v>-1000</v>
      </c>
      <c r="K247" s="49">
        <f>VLOOKUP(A247,[3]גיליון1!$A$1:$C$7693,3,0)</f>
        <v>-1000</v>
      </c>
      <c r="L247" s="50">
        <f>VLOOKUP(A247,[2]data1761205830331!$A$1:$J$65536,10,0)</f>
        <v>0</v>
      </c>
    </row>
    <row r="248" spans="1:12" ht="15.75" customHeight="1" outlineLevel="1">
      <c r="A248" s="11">
        <v>1281100294</v>
      </c>
      <c r="B248" s="40">
        <v>294</v>
      </c>
      <c r="C248" s="109">
        <v>281100</v>
      </c>
      <c r="D248" s="42">
        <v>1</v>
      </c>
      <c r="E248" s="112"/>
      <c r="F248" s="44" t="s">
        <v>235</v>
      </c>
      <c r="G248" s="45" t="s">
        <v>37</v>
      </c>
      <c r="H248" s="51">
        <f t="shared" si="4"/>
        <v>0</v>
      </c>
      <c r="I248" s="47"/>
      <c r="J248" s="48">
        <f>VLOOKUP(A248,'[1]תקציב 2026'!$A$1:$M$65536,9,0)</f>
        <v>-1000</v>
      </c>
      <c r="K248" s="49">
        <f>VLOOKUP(A248,[3]גיליון1!$A$1:$C$7693,3,0)</f>
        <v>-1000</v>
      </c>
      <c r="L248" s="50">
        <f>VLOOKUP(A248,[2]data1761205830331!$A$1:$J$65536,10,0)</f>
        <v>0</v>
      </c>
    </row>
    <row r="249" spans="1:12" ht="15.75" customHeight="1" outlineLevel="1">
      <c r="A249" s="11">
        <v>1281100420</v>
      </c>
      <c r="B249" s="40">
        <v>420</v>
      </c>
      <c r="C249" s="109">
        <v>281100</v>
      </c>
      <c r="D249" s="42">
        <v>1</v>
      </c>
      <c r="E249" s="112"/>
      <c r="F249" s="44" t="s">
        <v>236</v>
      </c>
      <c r="G249" s="45" t="s">
        <v>37</v>
      </c>
      <c r="H249" s="51">
        <f t="shared" si="4"/>
        <v>-9.9999999999999978E-2</v>
      </c>
      <c r="I249" s="47"/>
      <c r="J249" s="48">
        <f>VLOOKUP(A249,'[1]תקציב 2026'!$A$1:$M$65536,9,0)</f>
        <v>-1800000</v>
      </c>
      <c r="K249" s="49">
        <f>VLOOKUP(A249,[3]גיליון1!$A$1:$C$7693,3,0)</f>
        <v>-2000000</v>
      </c>
      <c r="L249" s="50">
        <f>VLOOKUP(A249,[2]data1761205830331!$A$1:$J$65536,10,0)</f>
        <v>-1706742.92</v>
      </c>
    </row>
    <row r="250" spans="1:12" ht="15.75" customHeight="1" outlineLevel="1">
      <c r="A250" s="11">
        <v>1281100421</v>
      </c>
      <c r="B250" s="40">
        <v>421</v>
      </c>
      <c r="C250" s="109">
        <v>281100</v>
      </c>
      <c r="D250" s="42">
        <v>1</v>
      </c>
      <c r="E250" s="112"/>
      <c r="F250" s="44" t="s">
        <v>237</v>
      </c>
      <c r="G250" s="45" t="s">
        <v>37</v>
      </c>
      <c r="H250" s="51">
        <f t="shared" si="4"/>
        <v>0</v>
      </c>
      <c r="I250" s="47"/>
      <c r="J250" s="48">
        <f>VLOOKUP(A250,'[1]תקציב 2026'!$A$1:$M$65536,9,0)</f>
        <v>-500</v>
      </c>
      <c r="K250" s="49">
        <f>VLOOKUP(A250,[3]גיליון1!$A$1:$C$7693,3,0)</f>
        <v>-500</v>
      </c>
      <c r="L250" s="50">
        <f>VLOOKUP(A250,[2]data1761205830331!$A$1:$J$65536,10,0)</f>
        <v>-503.23</v>
      </c>
    </row>
    <row r="251" spans="1:12" ht="15.75" customHeight="1" outlineLevel="1">
      <c r="A251" s="11">
        <v>1281100422</v>
      </c>
      <c r="B251" s="40">
        <v>422</v>
      </c>
      <c r="C251" s="109">
        <v>281100</v>
      </c>
      <c r="D251" s="42">
        <v>1</v>
      </c>
      <c r="E251" s="112"/>
      <c r="F251" s="44" t="s">
        <v>238</v>
      </c>
      <c r="G251" s="45" t="s">
        <v>37</v>
      </c>
      <c r="H251" s="51">
        <f t="shared" si="4"/>
        <v>0</v>
      </c>
      <c r="I251" s="47"/>
      <c r="J251" s="48">
        <f>VLOOKUP(A251,'[1]תקציב 2026'!$A$1:$M$65536,9,0)</f>
        <v>-100</v>
      </c>
      <c r="K251" s="49">
        <f>VLOOKUP(A251,[3]גיליון1!$A$1:$C$7693,3,0)</f>
        <v>-100</v>
      </c>
      <c r="L251" s="50">
        <f>VLOOKUP(A251,[2]data1761205830331!$A$1:$J$65536,10,0)</f>
        <v>-70.459999999999994</v>
      </c>
    </row>
    <row r="252" spans="1:12" ht="15.75" customHeight="1" outlineLevel="1">
      <c r="A252" s="11">
        <v>1281100424</v>
      </c>
      <c r="B252" s="40">
        <v>424</v>
      </c>
      <c r="C252" s="109">
        <v>281100</v>
      </c>
      <c r="D252" s="42">
        <v>1</v>
      </c>
      <c r="E252" s="112"/>
      <c r="F252" s="44" t="s">
        <v>239</v>
      </c>
      <c r="G252" s="45" t="s">
        <v>37</v>
      </c>
      <c r="H252" s="51">
        <f t="shared" si="4"/>
        <v>-0.33333333333333337</v>
      </c>
      <c r="I252" s="47"/>
      <c r="J252" s="48">
        <f>VLOOKUP(A252,'[1]תקציב 2026'!$A$1:$M$65536,9,0)</f>
        <v>-2000</v>
      </c>
      <c r="K252" s="49">
        <f>VLOOKUP(A252,[3]גיליון1!$A$1:$C$7693,3,0)</f>
        <v>-3000</v>
      </c>
      <c r="L252" s="50">
        <f>VLOOKUP(A252,[2]data1761205830331!$A$1:$J$65536,10,0)</f>
        <v>-5187.2700000000004</v>
      </c>
    </row>
    <row r="253" spans="1:12" ht="15.75" customHeight="1" outlineLevel="1">
      <c r="A253" s="11">
        <v>1281100425</v>
      </c>
      <c r="B253" s="40">
        <v>425</v>
      </c>
      <c r="C253" s="109">
        <v>281100</v>
      </c>
      <c r="D253" s="42">
        <v>1</v>
      </c>
      <c r="E253" s="112"/>
      <c r="F253" s="44" t="s">
        <v>240</v>
      </c>
      <c r="G253" s="45" t="s">
        <v>29</v>
      </c>
      <c r="H253" s="51">
        <v>0</v>
      </c>
      <c r="I253" s="47"/>
      <c r="J253" s="48">
        <f>VLOOKUP(A253,'[1]תקציב 2026'!$A$1:$M$65536,9,0)</f>
        <v>0</v>
      </c>
      <c r="K253" s="49">
        <v>0</v>
      </c>
      <c r="L253" s="50">
        <f>VLOOKUP(A253,[2]data1761205830331!$A$1:$J$65536,10,0)</f>
        <v>-3000</v>
      </c>
    </row>
    <row r="254" spans="1:12" ht="15.75" customHeight="1" outlineLevel="1">
      <c r="A254" s="11">
        <v>1281100426</v>
      </c>
      <c r="B254" s="40">
        <v>426</v>
      </c>
      <c r="C254" s="109">
        <v>281100</v>
      </c>
      <c r="D254" s="42">
        <v>1</v>
      </c>
      <c r="E254" s="112"/>
      <c r="F254" s="44" t="s">
        <v>241</v>
      </c>
      <c r="G254" s="45" t="s">
        <v>37</v>
      </c>
      <c r="H254" s="130">
        <v>1</v>
      </c>
      <c r="I254" s="47" t="s">
        <v>86</v>
      </c>
      <c r="J254" s="48">
        <f>VLOOKUP(A254,'[1]תקציב 2026'!$A$1:$M$65536,9,0)</f>
        <v>-100000</v>
      </c>
      <c r="K254" s="49">
        <v>0</v>
      </c>
      <c r="L254" s="50">
        <v>0</v>
      </c>
    </row>
    <row r="255" spans="1:12" ht="15.75" customHeight="1" outlineLevel="1" thickBot="1">
      <c r="A255" s="11">
        <v>1281100690</v>
      </c>
      <c r="B255" s="40">
        <v>690</v>
      </c>
      <c r="C255" s="109">
        <v>281100</v>
      </c>
      <c r="D255" s="42">
        <v>1</v>
      </c>
      <c r="E255" s="112"/>
      <c r="F255" s="44" t="s">
        <v>211</v>
      </c>
      <c r="G255" s="45" t="s">
        <v>37</v>
      </c>
      <c r="H255" s="51">
        <f t="shared" si="4"/>
        <v>-0.4</v>
      </c>
      <c r="I255" s="47"/>
      <c r="J255" s="48">
        <f>VLOOKUP(A255,'[1]תקציב 2026'!$A$1:$M$65536,9,0)</f>
        <v>-300000</v>
      </c>
      <c r="K255" s="49">
        <v>-500000</v>
      </c>
      <c r="L255" s="50">
        <f>VLOOKUP(A255,[2]data1761205830331!$A$1:$J$65536,10,0)</f>
        <v>-277506.05</v>
      </c>
    </row>
    <row r="256" spans="1:12" ht="16.2" thickBot="1">
      <c r="A256" s="11" t="e">
        <v>#VALUE!</v>
      </c>
      <c r="B256" s="53" t="s">
        <v>242</v>
      </c>
      <c r="C256" s="82"/>
      <c r="D256" s="55"/>
      <c r="E256" s="150"/>
      <c r="F256" s="116" t="s">
        <v>230</v>
      </c>
      <c r="G256" s="58"/>
      <c r="H256" s="71">
        <f>J256/K256-1</f>
        <v>-0.11917960088691792</v>
      </c>
      <c r="I256" s="72"/>
      <c r="J256" s="74">
        <f>SUBTOTAL(9,J244:J255)</f>
        <v>-2224600</v>
      </c>
      <c r="K256" s="92">
        <f>SUBTOTAL(9,K244:K255)</f>
        <v>-2525600</v>
      </c>
      <c r="L256" s="75">
        <f>SUBTOTAL(9,L244:L255)</f>
        <v>-1999413.63</v>
      </c>
    </row>
    <row r="257" spans="1:12" ht="15.75" customHeight="1" outlineLevel="1">
      <c r="A257" s="11">
        <v>12812000</v>
      </c>
      <c r="B257" s="64">
        <v>0</v>
      </c>
      <c r="C257" s="151">
        <v>281200</v>
      </c>
      <c r="D257" s="66">
        <v>1</v>
      </c>
      <c r="E257" s="152"/>
      <c r="F257" s="68" t="s">
        <v>243</v>
      </c>
      <c r="G257" s="69" t="s">
        <v>15</v>
      </c>
      <c r="H257" s="129"/>
      <c r="I257" s="70"/>
      <c r="J257" s="48"/>
      <c r="K257" s="49"/>
      <c r="L257" s="50"/>
    </row>
    <row r="258" spans="1:12" ht="15.75" customHeight="1" outlineLevel="1">
      <c r="A258" s="11">
        <v>1281200290</v>
      </c>
      <c r="B258" s="64">
        <v>290</v>
      </c>
      <c r="C258" s="109">
        <v>281200</v>
      </c>
      <c r="D258" s="42">
        <v>1</v>
      </c>
      <c r="E258" s="132"/>
      <c r="F258" s="68" t="s">
        <v>244</v>
      </c>
      <c r="G258" s="69" t="s">
        <v>37</v>
      </c>
      <c r="H258" s="51">
        <f t="shared" si="4"/>
        <v>-0.5</v>
      </c>
      <c r="I258" s="47"/>
      <c r="J258" s="48">
        <f>VLOOKUP(A258,'[1]תקציב 2026'!$A$1:$M$65536,9,0)</f>
        <v>-90000</v>
      </c>
      <c r="K258" s="49">
        <f>VLOOKUP(A258,[3]גיליון1!$A$1:$C$7693,3,0)</f>
        <v>-180000</v>
      </c>
      <c r="L258" s="50">
        <f>VLOOKUP(A258,[2]data1761205830331!$A$1:$J$65536,10,0)</f>
        <v>-51126.8</v>
      </c>
    </row>
    <row r="259" spans="1:12" ht="15.75" customHeight="1" outlineLevel="1">
      <c r="A259" s="11">
        <v>1281200291</v>
      </c>
      <c r="B259" s="64">
        <v>291</v>
      </c>
      <c r="C259" s="109">
        <v>281200</v>
      </c>
      <c r="D259" s="42">
        <v>1</v>
      </c>
      <c r="E259" s="132"/>
      <c r="F259" s="68" t="s">
        <v>245</v>
      </c>
      <c r="G259" s="69" t="s">
        <v>37</v>
      </c>
      <c r="H259" s="51">
        <f t="shared" si="4"/>
        <v>-0.5</v>
      </c>
      <c r="I259" s="47"/>
      <c r="J259" s="48">
        <f>VLOOKUP(A259,'[1]תקציב 2026'!$A$1:$M$65536,9,0)</f>
        <v>-130000</v>
      </c>
      <c r="K259" s="49">
        <f>VLOOKUP(A259,[3]גיליון1!$A$1:$C$7693,3,0)</f>
        <v>-260000</v>
      </c>
      <c r="L259" s="50">
        <f>VLOOKUP(A259,[2]data1761205830331!$A$1:$J$65536,10,0)</f>
        <v>-22074</v>
      </c>
    </row>
    <row r="260" spans="1:12" ht="15.75" customHeight="1" outlineLevel="1">
      <c r="A260" s="11">
        <v>1281200292</v>
      </c>
      <c r="B260" s="64">
        <v>292</v>
      </c>
      <c r="C260" s="109">
        <v>281200</v>
      </c>
      <c r="D260" s="42">
        <v>1</v>
      </c>
      <c r="E260" s="132"/>
      <c r="F260" s="68" t="s">
        <v>246</v>
      </c>
      <c r="G260" s="69" t="s">
        <v>37</v>
      </c>
      <c r="H260" s="51">
        <f t="shared" si="4"/>
        <v>-0.5161290322580645</v>
      </c>
      <c r="I260" s="47"/>
      <c r="J260" s="48">
        <f>VLOOKUP(A260,'[1]תקציב 2026'!$A$1:$M$65536,9,0)</f>
        <v>-150000</v>
      </c>
      <c r="K260" s="49">
        <f>VLOOKUP(A260,[3]גיליון1!$A$1:$C$7693,3,0)</f>
        <v>-310000</v>
      </c>
      <c r="L260" s="50">
        <f>VLOOKUP(A260,[2]data1761205830331!$A$1:$J$65536,10,0)</f>
        <v>-14826.5</v>
      </c>
    </row>
    <row r="261" spans="1:12" ht="15.75" customHeight="1" outlineLevel="1">
      <c r="A261" s="11">
        <v>1281200293</v>
      </c>
      <c r="B261" s="64">
        <v>293</v>
      </c>
      <c r="C261" s="109">
        <v>281200</v>
      </c>
      <c r="D261" s="42">
        <v>1</v>
      </c>
      <c r="E261" s="132"/>
      <c r="F261" s="68" t="s">
        <v>247</v>
      </c>
      <c r="G261" s="69" t="s">
        <v>37</v>
      </c>
      <c r="H261" s="51">
        <f t="shared" si="4"/>
        <v>-0.5161290322580645</v>
      </c>
      <c r="I261" s="47"/>
      <c r="J261" s="48">
        <f>VLOOKUP(A261,'[1]תקציב 2026'!$A$1:$M$65536,9,0)</f>
        <v>-150000</v>
      </c>
      <c r="K261" s="49">
        <f>VLOOKUP(A261,[3]גיליון1!$A$1:$C$7693,3,0)</f>
        <v>-310000</v>
      </c>
      <c r="L261" s="50">
        <f>VLOOKUP(A261,[2]data1761205830331!$A$1:$J$65536,10,0)</f>
        <v>-9400</v>
      </c>
    </row>
    <row r="262" spans="1:12" ht="15.75" customHeight="1" outlineLevel="1">
      <c r="A262" s="11">
        <v>1281200294</v>
      </c>
      <c r="B262" s="64">
        <v>294</v>
      </c>
      <c r="C262" s="109">
        <v>281200</v>
      </c>
      <c r="D262" s="42">
        <v>1</v>
      </c>
      <c r="E262" s="132"/>
      <c r="F262" s="68" t="s">
        <v>248</v>
      </c>
      <c r="G262" s="69" t="s">
        <v>37</v>
      </c>
      <c r="H262" s="51">
        <f t="shared" si="4"/>
        <v>-0.5161290322580645</v>
      </c>
      <c r="I262" s="47"/>
      <c r="J262" s="48">
        <f>VLOOKUP(A262,'[1]תקציב 2026'!$A$1:$M$65536,9,0)</f>
        <v>-150000</v>
      </c>
      <c r="K262" s="49">
        <f>VLOOKUP(A262,[3]גיליון1!$A$1:$C$7693,3,0)</f>
        <v>-310000</v>
      </c>
      <c r="L262" s="50">
        <f>VLOOKUP(A262,[2]data1761205830331!$A$1:$J$65536,10,0)</f>
        <v>0</v>
      </c>
    </row>
    <row r="263" spans="1:12" ht="15.75" customHeight="1" outlineLevel="1">
      <c r="A263" s="11">
        <v>1281200420</v>
      </c>
      <c r="B263" s="40">
        <v>420</v>
      </c>
      <c r="C263" s="109">
        <v>281200</v>
      </c>
      <c r="D263" s="42">
        <v>1</v>
      </c>
      <c r="E263" s="112"/>
      <c r="F263" s="44" t="s">
        <v>249</v>
      </c>
      <c r="G263" s="45" t="s">
        <v>37</v>
      </c>
      <c r="H263" s="51">
        <f t="shared" si="4"/>
        <v>0.10000000000000009</v>
      </c>
      <c r="I263" s="47"/>
      <c r="J263" s="48">
        <f>VLOOKUP(A263,'[1]תקציב 2026'!$A$1:$M$65536,9,0)</f>
        <v>-22000000</v>
      </c>
      <c r="K263" s="49">
        <f>VLOOKUP(A263,[3]גיליון1!$A$1:$C$7693,3,0)</f>
        <v>-20000000</v>
      </c>
      <c r="L263" s="50">
        <f>VLOOKUP(A263,[2]data1761205830331!$A$1:$J$65536,10,0)</f>
        <v>-19513103.530000001</v>
      </c>
    </row>
    <row r="264" spans="1:12" ht="15.75" customHeight="1" outlineLevel="1">
      <c r="A264" s="11">
        <v>1281200421</v>
      </c>
      <c r="B264" s="40">
        <v>421</v>
      </c>
      <c r="C264" s="109">
        <v>281200</v>
      </c>
      <c r="D264" s="42">
        <v>1</v>
      </c>
      <c r="E264" s="112"/>
      <c r="F264" s="44" t="s">
        <v>250</v>
      </c>
      <c r="G264" s="45" t="s">
        <v>37</v>
      </c>
      <c r="H264" s="51">
        <f t="shared" si="4"/>
        <v>-0.19999999999999996</v>
      </c>
      <c r="I264" s="47"/>
      <c r="J264" s="48">
        <f>VLOOKUP(A264,'[1]תקציב 2026'!$A$1:$M$65536,9,0)</f>
        <v>-4000</v>
      </c>
      <c r="K264" s="49">
        <f>VLOOKUP(A264,[3]גיליון1!$A$1:$C$7693,3,0)</f>
        <v>-5000</v>
      </c>
      <c r="L264" s="50">
        <f>VLOOKUP(A264,[2]data1761205830331!$A$1:$J$65536,10,0)</f>
        <v>-10180.43</v>
      </c>
    </row>
    <row r="265" spans="1:12" ht="15.75" customHeight="1" outlineLevel="1">
      <c r="A265" s="11">
        <v>1281200422</v>
      </c>
      <c r="B265" s="40">
        <v>422</v>
      </c>
      <c r="C265" s="109">
        <v>281200</v>
      </c>
      <c r="D265" s="42">
        <v>1</v>
      </c>
      <c r="E265" s="112"/>
      <c r="F265" s="44" t="s">
        <v>251</v>
      </c>
      <c r="G265" s="45" t="s">
        <v>37</v>
      </c>
      <c r="H265" s="51">
        <f t="shared" si="4"/>
        <v>0</v>
      </c>
      <c r="I265" s="47"/>
      <c r="J265" s="48">
        <f>VLOOKUP(A265,'[1]תקציב 2026'!$A$1:$M$65536,9,0)</f>
        <v>-10000</v>
      </c>
      <c r="K265" s="49">
        <f>VLOOKUP(A265,[3]גיליון1!$A$1:$C$7693,3,0)</f>
        <v>-10000</v>
      </c>
      <c r="L265" s="50">
        <f>VLOOKUP(A265,[2]data1761205830331!$A$1:$J$65536,10,0)</f>
        <v>-25873.61</v>
      </c>
    </row>
    <row r="266" spans="1:12" ht="15.75" customHeight="1" outlineLevel="1">
      <c r="A266" s="11">
        <v>1281200424</v>
      </c>
      <c r="B266" s="40">
        <v>424</v>
      </c>
      <c r="C266" s="109">
        <v>281200</v>
      </c>
      <c r="D266" s="42">
        <v>1</v>
      </c>
      <c r="E266" s="112"/>
      <c r="F266" s="44" t="s">
        <v>252</v>
      </c>
      <c r="G266" s="45" t="s">
        <v>37</v>
      </c>
      <c r="H266" s="51">
        <f t="shared" si="4"/>
        <v>-0.25</v>
      </c>
      <c r="I266" s="47"/>
      <c r="J266" s="48">
        <f>VLOOKUP(A266,'[1]תקציב 2026'!$A$1:$M$65536,9,0)</f>
        <v>-15000</v>
      </c>
      <c r="K266" s="49">
        <f>VLOOKUP(A266,[3]גיליון1!$A$1:$C$7693,3,0)</f>
        <v>-20000</v>
      </c>
      <c r="L266" s="50">
        <f>VLOOKUP(A266,[2]data1761205830331!$A$1:$J$65536,10,0)</f>
        <v>-52689.91</v>
      </c>
    </row>
    <row r="267" spans="1:12" ht="15.75" customHeight="1" outlineLevel="1">
      <c r="A267" s="11">
        <v>1281200425</v>
      </c>
      <c r="B267" s="40">
        <v>425</v>
      </c>
      <c r="C267" s="109">
        <v>281200</v>
      </c>
      <c r="D267" s="42">
        <v>1</v>
      </c>
      <c r="E267" s="112"/>
      <c r="F267" s="44" t="s">
        <v>253</v>
      </c>
      <c r="G267" s="45" t="s">
        <v>37</v>
      </c>
      <c r="H267" s="51">
        <f t="shared" si="4"/>
        <v>1</v>
      </c>
      <c r="I267" s="47"/>
      <c r="J267" s="48">
        <f>VLOOKUP(A267,'[1]תקציב 2026'!$A$1:$M$65536,9,0)</f>
        <v>-6000000</v>
      </c>
      <c r="K267" s="49">
        <v>-3000000</v>
      </c>
      <c r="L267" s="50">
        <f>VLOOKUP(A267,[2]data1761205830331!$A$1:$J$65536,10,0)</f>
        <v>0</v>
      </c>
    </row>
    <row r="268" spans="1:12" ht="15.75" customHeight="1" outlineLevel="1" thickBot="1">
      <c r="A268" s="11">
        <v>1281200426</v>
      </c>
      <c r="B268" s="40">
        <v>426</v>
      </c>
      <c r="C268" s="109">
        <v>281200</v>
      </c>
      <c r="D268" s="42">
        <v>1</v>
      </c>
      <c r="E268" s="112"/>
      <c r="F268" s="44" t="s">
        <v>254</v>
      </c>
      <c r="G268" s="45" t="s">
        <v>37</v>
      </c>
      <c r="H268" s="130">
        <f t="shared" si="4"/>
        <v>0.85714285714285721</v>
      </c>
      <c r="I268" s="47"/>
      <c r="J268" s="48">
        <f>VLOOKUP(A268,'[1]תקציב 2026'!$A$1:$M$65536,9,0)</f>
        <v>-13000000</v>
      </c>
      <c r="K268" s="49">
        <v>-7000000</v>
      </c>
      <c r="L268" s="50">
        <f>VLOOKUP(A268,[2]data1761205830331!$A$1:$J$65536,10,0)</f>
        <v>0</v>
      </c>
    </row>
    <row r="269" spans="1:12" ht="16.2" thickBot="1">
      <c r="A269" s="11" t="e">
        <v>#VALUE!</v>
      </c>
      <c r="B269" s="53" t="s">
        <v>255</v>
      </c>
      <c r="C269" s="54"/>
      <c r="D269" s="55"/>
      <c r="E269" s="115"/>
      <c r="F269" s="116" t="s">
        <v>243</v>
      </c>
      <c r="G269" s="58"/>
      <c r="H269" s="71">
        <f>J269/K269-1</f>
        <v>0.32778220028657867</v>
      </c>
      <c r="I269" s="72"/>
      <c r="J269" s="74">
        <f>SUBTOTAL(9,J258:J268)</f>
        <v>-41699000</v>
      </c>
      <c r="K269" s="92">
        <f>SUBTOTAL(9,K258:K268)</f>
        <v>-31405000</v>
      </c>
      <c r="L269" s="75">
        <f>SUBTOTAL(9,L258:L268)</f>
        <v>-19699274.780000001</v>
      </c>
    </row>
    <row r="270" spans="1:12" ht="15.75" customHeight="1" outlineLevel="1">
      <c r="A270" s="11">
        <v>12813000</v>
      </c>
      <c r="B270" s="40">
        <v>0</v>
      </c>
      <c r="C270" s="109">
        <v>281300</v>
      </c>
      <c r="D270" s="42">
        <v>1</v>
      </c>
      <c r="E270" s="112"/>
      <c r="F270" s="44" t="s">
        <v>256</v>
      </c>
      <c r="G270" s="45" t="s">
        <v>15</v>
      </c>
      <c r="H270" s="129"/>
      <c r="I270" s="47"/>
      <c r="J270" s="48"/>
      <c r="K270" s="49"/>
      <c r="L270" s="50"/>
    </row>
    <row r="271" spans="1:12" ht="15.75" customHeight="1" outlineLevel="1">
      <c r="A271" s="11">
        <v>1281300220</v>
      </c>
      <c r="B271" s="40">
        <v>220</v>
      </c>
      <c r="C271" s="109">
        <v>281300</v>
      </c>
      <c r="D271" s="42">
        <v>1</v>
      </c>
      <c r="E271" s="112"/>
      <c r="F271" s="44" t="s">
        <v>257</v>
      </c>
      <c r="G271" s="45" t="s">
        <v>37</v>
      </c>
      <c r="H271" s="51">
        <f t="shared" si="4"/>
        <v>0.25405508474576277</v>
      </c>
      <c r="I271" s="47"/>
      <c r="J271" s="48">
        <f>VLOOKUP(A271,'[1]תקציב 2026'!$A$1:$M$65536,9,0)</f>
        <v>-14797850</v>
      </c>
      <c r="K271" s="49">
        <v>-11800000</v>
      </c>
      <c r="L271" s="50">
        <f>VLOOKUP(A271,[2]data1761205830331!$A$1:$J$65536,10,0)</f>
        <v>-9023593.8900000006</v>
      </c>
    </row>
    <row r="272" spans="1:12" ht="15.75" customHeight="1" outlineLevel="1" thickBot="1">
      <c r="A272" s="11">
        <f>[4]גיליון1!$A$456</f>
        <v>1281300433</v>
      </c>
      <c r="B272" s="119">
        <f>[4]גיליון1!$B$456</f>
        <v>433</v>
      </c>
      <c r="C272" s="120">
        <v>281300</v>
      </c>
      <c r="D272" s="121">
        <v>1</v>
      </c>
      <c r="E272" s="133"/>
      <c r="F272" s="122" t="str">
        <f>[4]גיליון1!$F$456</f>
        <v>הכנסות משנים קודמות</v>
      </c>
      <c r="G272" s="153" t="str">
        <f>[4]גיליון1!$H$456</f>
        <v>גמיש</v>
      </c>
      <c r="H272" s="130">
        <f t="shared" si="4"/>
        <v>0.11111111111111116</v>
      </c>
      <c r="I272" s="47"/>
      <c r="J272" s="48">
        <f>VLOOKUP(A272,'[1]תקציב 2026'!$A$1:$M$65536,9,0)</f>
        <v>-1000000</v>
      </c>
      <c r="K272" s="49">
        <f>VLOOKUP(A272,[3]גיליון1!$A$1:$C$7693,3,0)</f>
        <v>-900000</v>
      </c>
      <c r="L272" s="50">
        <f>VLOOKUP(A272,[2]data1761205830331!$A$1:$J$65536,10,0)</f>
        <v>0</v>
      </c>
    </row>
    <row r="273" spans="1:12" ht="16.2" thickBot="1">
      <c r="A273" s="11" t="e">
        <v>#VALUE!</v>
      </c>
      <c r="B273" s="53" t="s">
        <v>258</v>
      </c>
      <c r="C273" s="54"/>
      <c r="D273" s="55"/>
      <c r="E273" s="115"/>
      <c r="F273" s="116" t="s">
        <v>256</v>
      </c>
      <c r="G273" s="58"/>
      <c r="H273" s="71">
        <f>J273/K273-1</f>
        <v>0.24392519685039371</v>
      </c>
      <c r="I273" s="72"/>
      <c r="J273" s="74">
        <f>SUBTOTAL(9,J271:J272)</f>
        <v>-15797850</v>
      </c>
      <c r="K273" s="92">
        <f>SUBTOTAL(9,K271:K272)</f>
        <v>-12700000</v>
      </c>
      <c r="L273" s="75">
        <f>SUBTOTAL(9,L271:L272)</f>
        <v>-9023593.8900000006</v>
      </c>
    </row>
    <row r="274" spans="1:12" ht="15.75" customHeight="1" outlineLevel="1">
      <c r="A274" s="11">
        <v>12820000</v>
      </c>
      <c r="B274" s="40">
        <v>0</v>
      </c>
      <c r="C274" s="109">
        <v>282000</v>
      </c>
      <c r="D274" s="42">
        <v>1</v>
      </c>
      <c r="E274" s="112"/>
      <c r="F274" s="44" t="s">
        <v>259</v>
      </c>
      <c r="G274" s="45" t="s">
        <v>15</v>
      </c>
      <c r="H274" s="129"/>
      <c r="I274" s="47"/>
      <c r="J274" s="48"/>
      <c r="K274" s="49"/>
      <c r="L274" s="50"/>
    </row>
    <row r="275" spans="1:12" ht="15.75" customHeight="1" outlineLevel="1" thickBot="1">
      <c r="A275" s="11">
        <v>1282000690</v>
      </c>
      <c r="B275" s="40">
        <v>690</v>
      </c>
      <c r="C275" s="109">
        <v>282000</v>
      </c>
      <c r="D275" s="42">
        <v>1</v>
      </c>
      <c r="E275" s="112"/>
      <c r="F275" s="44" t="s">
        <v>260</v>
      </c>
      <c r="G275" s="45" t="s">
        <v>37</v>
      </c>
      <c r="H275" s="130">
        <f t="shared" si="4"/>
        <v>-0.2857142857142857</v>
      </c>
      <c r="I275" s="47"/>
      <c r="J275" s="48">
        <f>VLOOKUP(A275,'[1]תקציב 2026'!$A$1:$M$65536,9,0)</f>
        <v>-1000000</v>
      </c>
      <c r="K275" s="49">
        <v>-1400000</v>
      </c>
      <c r="L275" s="50">
        <f>VLOOKUP(A275,[2]data1761205830331!$A$1:$J$65536,10,0)</f>
        <v>-948126.25</v>
      </c>
    </row>
    <row r="276" spans="1:12" ht="16.2" thickBot="1">
      <c r="A276" s="11" t="e">
        <v>#VALUE!</v>
      </c>
      <c r="B276" s="53" t="s">
        <v>261</v>
      </c>
      <c r="C276" s="54"/>
      <c r="D276" s="55"/>
      <c r="E276" s="115"/>
      <c r="F276" s="116" t="s">
        <v>259</v>
      </c>
      <c r="G276" s="58"/>
      <c r="H276" s="71">
        <f>J276/K276-1</f>
        <v>-0.2857142857142857</v>
      </c>
      <c r="I276" s="72"/>
      <c r="J276" s="74">
        <f>SUBTOTAL(9,J275:J275)</f>
        <v>-1000000</v>
      </c>
      <c r="K276" s="74">
        <f>SUBTOTAL(9,K275:K275)</f>
        <v>-1400000</v>
      </c>
      <c r="L276" s="75">
        <f>SUBTOTAL(9,L275:L275)</f>
        <v>-948126.25</v>
      </c>
    </row>
    <row r="277" spans="1:12" ht="15.75" customHeight="1" outlineLevel="1">
      <c r="A277" s="11">
        <v>13000000</v>
      </c>
      <c r="B277" s="40">
        <v>0</v>
      </c>
      <c r="C277" s="109">
        <v>300000</v>
      </c>
      <c r="D277" s="42">
        <v>1</v>
      </c>
      <c r="E277" s="112"/>
      <c r="F277" s="44" t="s">
        <v>262</v>
      </c>
      <c r="G277" s="45" t="s">
        <v>15</v>
      </c>
      <c r="H277" s="129"/>
      <c r="I277" s="47"/>
      <c r="J277" s="48"/>
      <c r="K277" s="49"/>
      <c r="L277" s="50"/>
    </row>
    <row r="278" spans="1:12" ht="15.75" customHeight="1" outlineLevel="1">
      <c r="A278" s="11">
        <v>1311100410</v>
      </c>
      <c r="B278" s="40">
        <v>410</v>
      </c>
      <c r="C278" s="109">
        <v>311100</v>
      </c>
      <c r="D278" s="42">
        <v>1</v>
      </c>
      <c r="E278" s="112"/>
      <c r="F278" s="44" t="s">
        <v>263</v>
      </c>
      <c r="G278" s="45" t="s">
        <v>37</v>
      </c>
      <c r="H278" s="51">
        <f t="shared" si="4"/>
        <v>-1.2345679012345734E-2</v>
      </c>
      <c r="I278" s="47"/>
      <c r="J278" s="48">
        <f>VLOOKUP(A278,'[1]תקציב 2026'!$A$1:$M$65536,9,0)</f>
        <v>-40000</v>
      </c>
      <c r="K278" s="49">
        <f>VLOOKUP(A278,[3]גיליון1!$A$1:$C$7693,3,0)</f>
        <v>-40500</v>
      </c>
      <c r="L278" s="50">
        <f>VLOOKUP(A278,[2]data1761205830331!$A$1:$J$65536,10,0)</f>
        <v>-34785</v>
      </c>
    </row>
    <row r="279" spans="1:12" ht="15.75" customHeight="1" outlineLevel="1">
      <c r="A279" s="11">
        <v>1311100420</v>
      </c>
      <c r="B279" s="40">
        <v>420</v>
      </c>
      <c r="C279" s="109">
        <v>311100</v>
      </c>
      <c r="D279" s="42">
        <v>1</v>
      </c>
      <c r="E279" s="112"/>
      <c r="F279" s="44" t="s">
        <v>264</v>
      </c>
      <c r="G279" s="45" t="s">
        <v>37</v>
      </c>
      <c r="H279" s="51">
        <f t="shared" si="4"/>
        <v>0.52631578947368429</v>
      </c>
      <c r="I279" s="47"/>
      <c r="J279" s="48">
        <f>VLOOKUP(A279,'[1]תקציב 2026'!$A$1:$M$65536,9,0)</f>
        <v>-580000</v>
      </c>
      <c r="K279" s="49">
        <f>VLOOKUP(A279,[3]גיליון1!$A$1:$C$7693,3,0)</f>
        <v>-380000</v>
      </c>
      <c r="L279" s="50">
        <f>VLOOKUP(A279,[2]data1761205830331!$A$1:$J$65536,10,0)</f>
        <v>-581710.86</v>
      </c>
    </row>
    <row r="280" spans="1:12" ht="15.75" customHeight="1" outlineLevel="1">
      <c r="A280" s="11">
        <v>1311100421</v>
      </c>
      <c r="B280" s="40">
        <v>421</v>
      </c>
      <c r="C280" s="109">
        <v>311100</v>
      </c>
      <c r="D280" s="42">
        <v>1</v>
      </c>
      <c r="E280" s="112"/>
      <c r="F280" s="44" t="s">
        <v>265</v>
      </c>
      <c r="G280" s="45" t="s">
        <v>37</v>
      </c>
      <c r="H280" s="51">
        <f t="shared" si="4"/>
        <v>-1</v>
      </c>
      <c r="I280" s="47"/>
      <c r="J280" s="48">
        <f>VLOOKUP(A280,'[1]תקציב 2026'!$A$1:$M$65536,9,0)</f>
        <v>0</v>
      </c>
      <c r="K280" s="49">
        <f>VLOOKUP(A280,[3]גיליון1!$A$1:$C$7693,3,0)</f>
        <v>-200000</v>
      </c>
      <c r="L280" s="50">
        <f>VLOOKUP(A280,[2]data1761205830331!$A$1:$J$65536,10,0)</f>
        <v>-150640.5</v>
      </c>
    </row>
    <row r="281" spans="1:12" ht="15.75" customHeight="1" outlineLevel="1">
      <c r="A281" s="11">
        <v>1311100423</v>
      </c>
      <c r="B281" s="40">
        <v>423</v>
      </c>
      <c r="C281" s="109">
        <v>311100</v>
      </c>
      <c r="D281" s="42">
        <v>1</v>
      </c>
      <c r="E281" s="112"/>
      <c r="F281" s="44" t="s">
        <v>266</v>
      </c>
      <c r="G281" s="45" t="s">
        <v>37</v>
      </c>
      <c r="H281" s="51">
        <f t="shared" si="4"/>
        <v>-0.1428571428571429</v>
      </c>
      <c r="I281" s="47"/>
      <c r="J281" s="48">
        <f>VLOOKUP(A281,'[1]תקציב 2026'!$A$1:$M$65536,9,0)</f>
        <v>-60000</v>
      </c>
      <c r="K281" s="49">
        <v>-70000</v>
      </c>
      <c r="L281" s="50">
        <f>VLOOKUP(A281,[2]data1761205830331!$A$1:$J$65536,10,0)</f>
        <v>-57011.23</v>
      </c>
    </row>
    <row r="282" spans="1:12" ht="15.75" customHeight="1" outlineLevel="1">
      <c r="A282" s="11">
        <v>1311100424</v>
      </c>
      <c r="B282" s="40">
        <v>424</v>
      </c>
      <c r="C282" s="109">
        <v>311100</v>
      </c>
      <c r="D282" s="42">
        <v>1</v>
      </c>
      <c r="E282" s="112"/>
      <c r="F282" s="154" t="s">
        <v>267</v>
      </c>
      <c r="G282" s="45" t="s">
        <v>37</v>
      </c>
      <c r="H282" s="51">
        <f t="shared" si="4"/>
        <v>-0.13793103448275867</v>
      </c>
      <c r="I282" s="47"/>
      <c r="J282" s="48">
        <f>VLOOKUP(A282,'[1]תקציב 2026'!$A$1:$M$65536,9,0)</f>
        <v>-500000</v>
      </c>
      <c r="K282" s="49">
        <v>-580000</v>
      </c>
      <c r="L282" s="50">
        <f>VLOOKUP(A282,[2]data1761205830331!$A$1:$J$65536,10,0)</f>
        <v>-437739.65</v>
      </c>
    </row>
    <row r="283" spans="1:12" ht="15.75" customHeight="1" outlineLevel="1">
      <c r="A283" s="11">
        <v>1311100425</v>
      </c>
      <c r="B283" s="40">
        <v>425</v>
      </c>
      <c r="C283" s="109">
        <v>311100</v>
      </c>
      <c r="D283" s="42">
        <v>1</v>
      </c>
      <c r="E283" s="112"/>
      <c r="F283" s="44" t="s">
        <v>268</v>
      </c>
      <c r="G283" s="45" t="s">
        <v>37</v>
      </c>
      <c r="H283" s="51">
        <f t="shared" si="4"/>
        <v>0</v>
      </c>
      <c r="I283" s="47"/>
      <c r="J283" s="48">
        <f>VLOOKUP(A283,'[1]תקציב 2026'!$A$1:$M$65536,9,0)</f>
        <v>-30000</v>
      </c>
      <c r="K283" s="49">
        <v>-30000</v>
      </c>
      <c r="L283" s="50">
        <f>VLOOKUP(A283,[2]data1761205830331!$A$1:$J$65536,10,0)</f>
        <v>-14040</v>
      </c>
    </row>
    <row r="284" spans="1:12" ht="15.75" customHeight="1" outlineLevel="1">
      <c r="A284" s="11">
        <v>1311100428</v>
      </c>
      <c r="B284" s="40">
        <v>428</v>
      </c>
      <c r="C284" s="109">
        <v>311100</v>
      </c>
      <c r="D284" s="42">
        <v>1</v>
      </c>
      <c r="E284" s="112"/>
      <c r="F284" s="44" t="s">
        <v>269</v>
      </c>
      <c r="G284" s="45" t="s">
        <v>37</v>
      </c>
      <c r="H284" s="51">
        <f t="shared" si="4"/>
        <v>-1</v>
      </c>
      <c r="I284" s="47"/>
      <c r="J284" s="48">
        <f>VLOOKUP(A284,'[1]תקציב 2026'!$A$1:$M$65536,9,0)</f>
        <v>0</v>
      </c>
      <c r="K284" s="49">
        <f>VLOOKUP(A284,[3]גיליון1!$A$1:$C$7693,3,0)</f>
        <v>-1000000</v>
      </c>
      <c r="L284" s="50">
        <f>VLOOKUP(A284,[2]data1761205830331!$A$1:$J$65536,10,0)</f>
        <v>-1406401.26</v>
      </c>
    </row>
    <row r="285" spans="1:12" ht="15.75" customHeight="1" outlineLevel="1">
      <c r="A285" s="11">
        <v>1311100429</v>
      </c>
      <c r="B285" s="40">
        <v>429</v>
      </c>
      <c r="C285" s="109">
        <v>311100</v>
      </c>
      <c r="D285" s="42">
        <v>1</v>
      </c>
      <c r="E285" s="112"/>
      <c r="F285" s="44" t="s">
        <v>270</v>
      </c>
      <c r="G285" s="45" t="s">
        <v>37</v>
      </c>
      <c r="H285" s="51">
        <f t="shared" si="4"/>
        <v>0</v>
      </c>
      <c r="I285" s="47"/>
      <c r="J285" s="48">
        <f>VLOOKUP(A285,'[1]תקציב 2026'!$A$1:$M$65536,9,0)</f>
        <v>-40000</v>
      </c>
      <c r="K285" s="49">
        <f>VLOOKUP(A285,[3]גיליון1!$A$1:$C$7693,3,0)</f>
        <v>-40000</v>
      </c>
      <c r="L285" s="50">
        <f>VLOOKUP(A285,[2]data1761205830331!$A$1:$J$65536,10,0)</f>
        <v>-15250</v>
      </c>
    </row>
    <row r="286" spans="1:12" ht="15.75" customHeight="1" outlineLevel="1">
      <c r="A286" s="11">
        <v>1311100430</v>
      </c>
      <c r="B286" s="40">
        <v>430</v>
      </c>
      <c r="C286" s="109">
        <v>311100</v>
      </c>
      <c r="D286" s="42">
        <v>1</v>
      </c>
      <c r="E286" s="112"/>
      <c r="F286" s="44" t="s">
        <v>271</v>
      </c>
      <c r="G286" s="45" t="s">
        <v>37</v>
      </c>
      <c r="H286" s="51">
        <f t="shared" si="4"/>
        <v>0</v>
      </c>
      <c r="I286" s="47"/>
      <c r="J286" s="48">
        <f>VLOOKUP(A286,'[1]תקציב 2026'!$A$1:$M$65536,9,0)</f>
        <v>-35000</v>
      </c>
      <c r="K286" s="49">
        <f>VLOOKUP(A286,[3]גיליון1!$A$1:$C$7693,3,0)</f>
        <v>-35000</v>
      </c>
      <c r="L286" s="50">
        <f>VLOOKUP(A286,[2]data1761205830331!$A$1:$J$65536,10,0)</f>
        <v>-36550</v>
      </c>
    </row>
    <row r="287" spans="1:12" ht="15.75" customHeight="1" outlineLevel="1">
      <c r="A287" s="11">
        <v>1311100433</v>
      </c>
      <c r="B287" s="40">
        <v>433</v>
      </c>
      <c r="C287" s="109">
        <v>311100</v>
      </c>
      <c r="D287" s="42">
        <v>1</v>
      </c>
      <c r="E287" s="112"/>
      <c r="F287" s="44" t="s">
        <v>272</v>
      </c>
      <c r="G287" s="45" t="s">
        <v>37</v>
      </c>
      <c r="H287" s="51">
        <v>1</v>
      </c>
      <c r="I287" s="47"/>
      <c r="J287" s="48">
        <f>VLOOKUP(A287,'[1]תקציב 2026'!$A$1:$M$65536,9,0)</f>
        <v>-1500000</v>
      </c>
      <c r="K287" s="49">
        <v>0</v>
      </c>
      <c r="L287" s="50">
        <f>VLOOKUP(A287,[2]data1761205830331!$A$1:$J$65536,10,0)</f>
        <v>-1560171.2</v>
      </c>
    </row>
    <row r="288" spans="1:12" ht="15.75" customHeight="1" outlineLevel="1">
      <c r="A288" s="11">
        <v>1311100922</v>
      </c>
      <c r="B288" s="40">
        <v>922</v>
      </c>
      <c r="C288" s="109">
        <v>311100</v>
      </c>
      <c r="D288" s="42">
        <v>1</v>
      </c>
      <c r="E288" s="112"/>
      <c r="F288" s="44" t="s">
        <v>273</v>
      </c>
      <c r="G288" s="45" t="s">
        <v>37</v>
      </c>
      <c r="H288" s="51">
        <f t="shared" si="4"/>
        <v>0.12811244979919678</v>
      </c>
      <c r="I288" s="47"/>
      <c r="J288" s="48">
        <f>VLOOKUP(A288,'[1]תקציב 2026'!$A$1:$M$65536,9,0)</f>
        <v>-1404500</v>
      </c>
      <c r="K288" s="49">
        <f>VLOOKUP(A288,[3]גיליון1!$A$1:$C$7693,3,0)</f>
        <v>-1245000</v>
      </c>
      <c r="L288" s="50">
        <f>VLOOKUP(A288,[2]data1761205830331!$A$1:$J$65536,10,0)</f>
        <v>-1253819.5</v>
      </c>
    </row>
    <row r="289" spans="1:12" ht="15.75" customHeight="1" outlineLevel="1">
      <c r="A289" s="11">
        <v>1311100924</v>
      </c>
      <c r="B289" s="40">
        <v>924</v>
      </c>
      <c r="C289" s="109">
        <v>311100</v>
      </c>
      <c r="D289" s="42">
        <v>1</v>
      </c>
      <c r="E289" s="112"/>
      <c r="F289" s="44" t="s">
        <v>274</v>
      </c>
      <c r="G289" s="45" t="s">
        <v>37</v>
      </c>
      <c r="H289" s="51">
        <f t="shared" si="4"/>
        <v>-0.25</v>
      </c>
      <c r="I289" s="47"/>
      <c r="J289" s="48">
        <f>VLOOKUP(A289,'[1]תקציב 2026'!$A$1:$M$65536,9,0)</f>
        <v>-600000</v>
      </c>
      <c r="K289" s="49">
        <f>VLOOKUP(A289,[3]גיליון1!$A$1:$C$7693,3,0)</f>
        <v>-800000</v>
      </c>
      <c r="L289" s="50">
        <f>VLOOKUP(A289,[2]data1761205830331!$A$1:$J$65536,10,0)</f>
        <v>-417329.23</v>
      </c>
    </row>
    <row r="290" spans="1:12" ht="15.75" customHeight="1" outlineLevel="1">
      <c r="A290" s="11">
        <v>1311100929</v>
      </c>
      <c r="B290" s="40">
        <v>929</v>
      </c>
      <c r="C290" s="109">
        <v>311100</v>
      </c>
      <c r="D290" s="42">
        <v>1</v>
      </c>
      <c r="E290" s="112"/>
      <c r="F290" s="44" t="s">
        <v>275</v>
      </c>
      <c r="G290" s="45" t="s">
        <v>37</v>
      </c>
      <c r="H290" s="51">
        <f t="shared" si="4"/>
        <v>0.5</v>
      </c>
      <c r="I290" s="47"/>
      <c r="J290" s="48">
        <f>VLOOKUP(A290,'[1]תקציב 2026'!$A$1:$M$65536,9,0)</f>
        <v>-2400000</v>
      </c>
      <c r="K290" s="49">
        <v>-1600000</v>
      </c>
      <c r="L290" s="50">
        <f>VLOOKUP(A290,[2]data1761205830331!$A$1:$J$65536,10,0)</f>
        <v>-228595</v>
      </c>
    </row>
    <row r="291" spans="1:12" ht="15.75" customHeight="1" outlineLevel="1">
      <c r="A291" s="11">
        <v>1311100937</v>
      </c>
      <c r="B291" s="40">
        <v>937</v>
      </c>
      <c r="C291" s="109">
        <v>311100</v>
      </c>
      <c r="D291" s="42">
        <v>1</v>
      </c>
      <c r="E291" s="112"/>
      <c r="F291" s="44" t="s">
        <v>276</v>
      </c>
      <c r="G291" s="45" t="s">
        <v>37</v>
      </c>
      <c r="H291" s="51">
        <f t="shared" si="4"/>
        <v>-0.125</v>
      </c>
      <c r="I291" s="47"/>
      <c r="J291" s="48">
        <f>VLOOKUP(A291,'[1]תקציב 2026'!$A$1:$M$65536,9,0)</f>
        <v>-3500000</v>
      </c>
      <c r="K291" s="49">
        <f>VLOOKUP(A291,[3]גיליון1!$A$1:$C$7693,3,0)</f>
        <v>-4000000</v>
      </c>
      <c r="L291" s="50">
        <f>VLOOKUP(A291,[2]data1761205830331!$A$1:$J$65536,10,0)</f>
        <v>-20271161.309999999</v>
      </c>
    </row>
    <row r="292" spans="1:12" ht="15.75" customHeight="1" outlineLevel="1" thickBot="1">
      <c r="A292" s="11">
        <v>1311100953</v>
      </c>
      <c r="B292" s="40">
        <v>953</v>
      </c>
      <c r="C292" s="109">
        <v>311100</v>
      </c>
      <c r="D292" s="42">
        <v>1</v>
      </c>
      <c r="E292" s="112"/>
      <c r="F292" s="44" t="s">
        <v>277</v>
      </c>
      <c r="G292" s="45" t="s">
        <v>37</v>
      </c>
      <c r="H292" s="130">
        <f t="shared" si="4"/>
        <v>1.2499999999999956E-2</v>
      </c>
      <c r="I292" s="47"/>
      <c r="J292" s="48">
        <f>VLOOKUP(A292,'[1]תקציב 2026'!$A$1:$M$65536,9,0)</f>
        <v>-4050000</v>
      </c>
      <c r="K292" s="49">
        <f>VLOOKUP(A292,[3]גיליון1!$A$1:$C$7693,3,0)</f>
        <v>-4000000</v>
      </c>
      <c r="L292" s="50">
        <f>VLOOKUP(A292,[2]data1761205830331!$A$1:$J$65536,10,0)</f>
        <v>-3874006</v>
      </c>
    </row>
    <row r="293" spans="1:12" ht="16.2" thickBot="1">
      <c r="A293" s="11" t="e">
        <v>#VALUE!</v>
      </c>
      <c r="B293" s="53" t="s">
        <v>278</v>
      </c>
      <c r="C293" s="54"/>
      <c r="D293" s="55"/>
      <c r="E293" s="115"/>
      <c r="F293" s="116" t="s">
        <v>279</v>
      </c>
      <c r="G293" s="58"/>
      <c r="H293" s="71">
        <f>J293/K293-1</f>
        <v>5.1282051282051322E-2</v>
      </c>
      <c r="I293" s="72"/>
      <c r="J293" s="74">
        <f>SUBTOTAL(9,J278:J292)</f>
        <v>-14739500</v>
      </c>
      <c r="K293" s="92">
        <f>SUBTOTAL(9,K278:K292)</f>
        <v>-14020500</v>
      </c>
      <c r="L293" s="75">
        <f>SUBTOTAL(9,L278:L292)</f>
        <v>-30339210.739999998</v>
      </c>
    </row>
    <row r="294" spans="1:12" ht="15.75" customHeight="1" outlineLevel="1">
      <c r="A294" s="11">
        <v>13112000</v>
      </c>
      <c r="B294" s="40">
        <v>0</v>
      </c>
      <c r="C294" s="109">
        <v>311200</v>
      </c>
      <c r="D294" s="42">
        <v>1</v>
      </c>
      <c r="E294" s="112"/>
      <c r="F294" s="44" t="s">
        <v>280</v>
      </c>
      <c r="G294" s="45" t="s">
        <v>15</v>
      </c>
      <c r="H294" s="129"/>
      <c r="I294" s="47"/>
      <c r="J294" s="48"/>
      <c r="K294" s="49"/>
      <c r="L294" s="50"/>
    </row>
    <row r="295" spans="1:12" ht="15.75" customHeight="1" outlineLevel="1">
      <c r="A295" s="11">
        <v>1311200421</v>
      </c>
      <c r="B295" s="40">
        <v>421</v>
      </c>
      <c r="C295" s="109">
        <v>311200</v>
      </c>
      <c r="D295" s="42">
        <v>1</v>
      </c>
      <c r="E295" s="112"/>
      <c r="F295" s="44" t="s">
        <v>281</v>
      </c>
      <c r="G295" s="45" t="s">
        <v>37</v>
      </c>
      <c r="H295" s="51">
        <v>0</v>
      </c>
      <c r="I295" s="47"/>
      <c r="J295" s="48">
        <f>VLOOKUP(A295,'[1]תקציב 2026'!$A$1:$M$65536,9,0)</f>
        <v>0</v>
      </c>
      <c r="K295" s="49">
        <f>VLOOKUP(A295,[3]גיליון1!$A$1:$C$7693,3,0)</f>
        <v>0</v>
      </c>
      <c r="L295" s="50">
        <f>VLOOKUP(A295,[2]data1761205830331!$A$1:$J$65536,10,0)</f>
        <v>-17486.46</v>
      </c>
    </row>
    <row r="296" spans="1:12" ht="15.75" customHeight="1" outlineLevel="1" thickBot="1">
      <c r="A296" s="11">
        <v>1311200929</v>
      </c>
      <c r="B296" s="40">
        <v>929</v>
      </c>
      <c r="C296" s="109">
        <v>311200</v>
      </c>
      <c r="D296" s="42">
        <v>1</v>
      </c>
      <c r="E296" s="112"/>
      <c r="F296" s="44" t="s">
        <v>282</v>
      </c>
      <c r="G296" s="45" t="s">
        <v>37</v>
      </c>
      <c r="H296" s="130">
        <f t="shared" ref="H296:H347" si="5">J296/K296-1</f>
        <v>-1</v>
      </c>
      <c r="I296" s="47"/>
      <c r="J296" s="48">
        <f>VLOOKUP(A296,'[1]תקציב 2026'!$A$1:$M$65536,9,0)</f>
        <v>0</v>
      </c>
      <c r="K296" s="49">
        <v>-134000</v>
      </c>
      <c r="L296" s="50">
        <f>VLOOKUP(A296,[2]data1761205830331!$A$1:$J$65536,10,0)</f>
        <v>0</v>
      </c>
    </row>
    <row r="297" spans="1:12" ht="16.2" thickBot="1">
      <c r="A297" s="11" t="e">
        <v>#VALUE!</v>
      </c>
      <c r="B297" s="53" t="s">
        <v>283</v>
      </c>
      <c r="C297" s="54"/>
      <c r="D297" s="55"/>
      <c r="E297" s="115"/>
      <c r="F297" s="116" t="s">
        <v>280</v>
      </c>
      <c r="G297" s="58"/>
      <c r="H297" s="71">
        <f>J297/K297-1</f>
        <v>-1</v>
      </c>
      <c r="I297" s="72"/>
      <c r="J297" s="74">
        <f>SUBTOTAL(9,J295:J296)</f>
        <v>0</v>
      </c>
      <c r="K297" s="92">
        <f>SUBTOTAL(9,K295:K296)</f>
        <v>-134000</v>
      </c>
      <c r="L297" s="75">
        <f>SUBTOTAL(9,L295:L296)</f>
        <v>-17486.46</v>
      </c>
    </row>
    <row r="298" spans="1:12" ht="15.75" customHeight="1" outlineLevel="1">
      <c r="A298" s="11">
        <v>13113000</v>
      </c>
      <c r="B298" s="40">
        <v>0</v>
      </c>
      <c r="C298" s="109">
        <v>311300</v>
      </c>
      <c r="D298" s="42">
        <v>1</v>
      </c>
      <c r="E298" s="112"/>
      <c r="F298" s="154" t="s">
        <v>284</v>
      </c>
      <c r="G298" s="45" t="s">
        <v>15</v>
      </c>
      <c r="H298" s="129"/>
      <c r="I298" s="47"/>
      <c r="J298" s="48"/>
      <c r="K298" s="49"/>
      <c r="L298" s="50"/>
    </row>
    <row r="299" spans="1:12" ht="15.75" customHeight="1" outlineLevel="1" thickBot="1">
      <c r="A299" s="11">
        <v>1311300482</v>
      </c>
      <c r="B299" s="40">
        <v>482</v>
      </c>
      <c r="C299" s="109">
        <v>311300</v>
      </c>
      <c r="D299" s="42">
        <v>1</v>
      </c>
      <c r="E299" s="112"/>
      <c r="F299" s="44" t="s">
        <v>285</v>
      </c>
      <c r="G299" s="45" t="s">
        <v>37</v>
      </c>
      <c r="H299" s="130">
        <f t="shared" si="5"/>
        <v>0.62000000000000011</v>
      </c>
      <c r="I299" s="47"/>
      <c r="J299" s="48">
        <f>VLOOKUP(A299,'[1]תקציב 2026'!$A$1:$M$65536,9,0)</f>
        <v>-97200</v>
      </c>
      <c r="K299" s="49">
        <v>-60000</v>
      </c>
      <c r="L299" s="50">
        <f>VLOOKUP(A299,[2]data1761205830331!$A$1:$J$65536,10,0)</f>
        <v>-59600</v>
      </c>
    </row>
    <row r="300" spans="1:12" ht="16.2" thickBot="1">
      <c r="A300" s="11" t="e">
        <v>#VALUE!</v>
      </c>
      <c r="B300" s="53" t="s">
        <v>286</v>
      </c>
      <c r="C300" s="54"/>
      <c r="D300" s="55"/>
      <c r="E300" s="115"/>
      <c r="F300" s="116" t="s">
        <v>284</v>
      </c>
      <c r="G300" s="58"/>
      <c r="H300" s="71">
        <f>J300/K300-1</f>
        <v>0.62000000000000011</v>
      </c>
      <c r="I300" s="72"/>
      <c r="J300" s="74">
        <f>SUBTOTAL(9,J299)</f>
        <v>-97200</v>
      </c>
      <c r="K300" s="92">
        <f>SUBTOTAL(9,K299)</f>
        <v>-60000</v>
      </c>
      <c r="L300" s="75">
        <f>SUBTOTAL(9,L299)</f>
        <v>-59600</v>
      </c>
    </row>
    <row r="301" spans="1:12" ht="15.75" customHeight="1" outlineLevel="1">
      <c r="A301" s="11">
        <v>13113050</v>
      </c>
      <c r="B301" s="40">
        <v>0</v>
      </c>
      <c r="C301" s="109">
        <v>311305</v>
      </c>
      <c r="D301" s="42">
        <v>1</v>
      </c>
      <c r="E301" s="112"/>
      <c r="F301" s="154" t="s">
        <v>287</v>
      </c>
      <c r="G301" s="45" t="s">
        <v>15</v>
      </c>
      <c r="H301" s="129"/>
      <c r="I301" s="47"/>
      <c r="J301" s="48"/>
      <c r="K301" s="49"/>
      <c r="L301" s="50"/>
    </row>
    <row r="302" spans="1:12" ht="15.75" customHeight="1" outlineLevel="1" thickBot="1">
      <c r="A302" s="11">
        <v>1311305410</v>
      </c>
      <c r="B302" s="40">
        <v>410</v>
      </c>
      <c r="C302" s="109">
        <v>311305</v>
      </c>
      <c r="D302" s="42">
        <v>1</v>
      </c>
      <c r="E302" s="112"/>
      <c r="F302" s="44" t="s">
        <v>288</v>
      </c>
      <c r="G302" s="45" t="s">
        <v>37</v>
      </c>
      <c r="H302" s="130">
        <f t="shared" si="5"/>
        <v>0.28000000000000003</v>
      </c>
      <c r="I302" s="47"/>
      <c r="J302" s="48">
        <f>VLOOKUP(A302,'[1]תקציב 2026'!$A$1:$M$65536,9,0)</f>
        <v>-192000</v>
      </c>
      <c r="K302" s="49">
        <f>VLOOKUP(A302,[3]גיליון1!$A$1:$C$7693,3,0)</f>
        <v>-150000</v>
      </c>
      <c r="L302" s="50">
        <f>VLOOKUP(A302,[2]data1761205830331!$A$1:$J$65536,10,0)</f>
        <v>-191809</v>
      </c>
    </row>
    <row r="303" spans="1:12" ht="16.2" thickBot="1">
      <c r="A303" s="11" t="e">
        <v>#VALUE!</v>
      </c>
      <c r="B303" s="53" t="s">
        <v>289</v>
      </c>
      <c r="C303" s="54"/>
      <c r="D303" s="55"/>
      <c r="E303" s="115"/>
      <c r="F303" s="116" t="s">
        <v>287</v>
      </c>
      <c r="G303" s="58"/>
      <c r="H303" s="71">
        <f>J303/K303-1</f>
        <v>0.28000000000000003</v>
      </c>
      <c r="I303" s="72"/>
      <c r="J303" s="74">
        <f>SUBTOTAL(9,J302)</f>
        <v>-192000</v>
      </c>
      <c r="K303" s="92">
        <f>SUBTOTAL(9,K302)</f>
        <v>-150000</v>
      </c>
      <c r="L303" s="75">
        <f>SUBTOTAL(9,L302)</f>
        <v>-191809</v>
      </c>
    </row>
    <row r="304" spans="1:12" ht="15.75" customHeight="1" outlineLevel="1">
      <c r="A304" s="11">
        <v>13114000</v>
      </c>
      <c r="B304" s="40">
        <v>0</v>
      </c>
      <c r="C304" s="109">
        <v>311400</v>
      </c>
      <c r="D304" s="42">
        <v>1</v>
      </c>
      <c r="E304" s="112"/>
      <c r="F304" s="44" t="s">
        <v>290</v>
      </c>
      <c r="G304" s="45" t="s">
        <v>15</v>
      </c>
      <c r="H304" s="129"/>
      <c r="I304" s="47"/>
      <c r="J304" s="48"/>
      <c r="K304" s="49"/>
      <c r="L304" s="50"/>
    </row>
    <row r="305" spans="1:12" ht="15.75" customHeight="1" outlineLevel="1">
      <c r="A305" s="11">
        <v>1311400920</v>
      </c>
      <c r="B305" s="40">
        <v>920</v>
      </c>
      <c r="C305" s="109">
        <v>311400</v>
      </c>
      <c r="D305" s="42">
        <v>1</v>
      </c>
      <c r="E305" s="112"/>
      <c r="F305" s="44" t="s">
        <v>291</v>
      </c>
      <c r="G305" s="45" t="s">
        <v>37</v>
      </c>
      <c r="H305" s="51">
        <f t="shared" si="5"/>
        <v>-1</v>
      </c>
      <c r="I305" s="47"/>
      <c r="J305" s="48">
        <f>VLOOKUP(A305,'[1]תקציב 2026'!$A$1:$M$65536,9,0)</f>
        <v>0</v>
      </c>
      <c r="K305" s="49">
        <f>VLOOKUP(A305,[3]גיליון1!$A$1:$C$7693,3,0)</f>
        <v>-16000</v>
      </c>
      <c r="L305" s="50">
        <f>VLOOKUP(A305,[2]data1761205830331!$A$1:$J$65536,10,0)</f>
        <v>0</v>
      </c>
    </row>
    <row r="306" spans="1:12" ht="15.75" customHeight="1" outlineLevel="1">
      <c r="A306" s="11">
        <v>1311400937</v>
      </c>
      <c r="B306" s="40">
        <v>937</v>
      </c>
      <c r="C306" s="109">
        <v>311400</v>
      </c>
      <c r="D306" s="42">
        <v>1</v>
      </c>
      <c r="E306" s="112"/>
      <c r="F306" s="44" t="s">
        <v>292</v>
      </c>
      <c r="G306" s="45" t="s">
        <v>37</v>
      </c>
      <c r="H306" s="51">
        <f t="shared" si="5"/>
        <v>-1</v>
      </c>
      <c r="I306" s="47"/>
      <c r="J306" s="48">
        <f>VLOOKUP(A306,'[1]תקציב 2026'!$A$1:$M$65536,9,0)</f>
        <v>0</v>
      </c>
      <c r="K306" s="49">
        <f>VLOOKUP(A306,[3]גיליון1!$A$1:$C$7693,3,0)</f>
        <v>-250000</v>
      </c>
      <c r="L306" s="50">
        <f>VLOOKUP(A306,[2]data1761205830331!$A$1:$J$65536,10,0)</f>
        <v>-190411</v>
      </c>
    </row>
    <row r="307" spans="1:12" ht="15.75" customHeight="1" outlineLevel="1" thickBot="1">
      <c r="A307" s="11">
        <v>1311400990</v>
      </c>
      <c r="B307" s="40">
        <v>990</v>
      </c>
      <c r="C307" s="109">
        <v>311400</v>
      </c>
      <c r="D307" s="42">
        <v>1</v>
      </c>
      <c r="E307" s="112"/>
      <c r="F307" s="155" t="s">
        <v>293</v>
      </c>
      <c r="G307" s="45" t="s">
        <v>37</v>
      </c>
      <c r="H307" s="130">
        <f t="shared" si="5"/>
        <v>-1</v>
      </c>
      <c r="I307" s="47"/>
      <c r="J307" s="48">
        <f>VLOOKUP(A307,'[1]תקציב 2026'!$A$1:$M$65536,9,0)</f>
        <v>0</v>
      </c>
      <c r="K307" s="49">
        <f>VLOOKUP(A307,[3]גיליון1!$A$1:$C$7693,3,0)</f>
        <v>-759000</v>
      </c>
      <c r="L307" s="50">
        <f>VLOOKUP(A307,[2]data1761205830331!$A$1:$J$65536,10,0)</f>
        <v>-626695</v>
      </c>
    </row>
    <row r="308" spans="1:12" ht="16.2" thickBot="1">
      <c r="A308" s="11" t="e">
        <v>#VALUE!</v>
      </c>
      <c r="B308" s="53" t="s">
        <v>294</v>
      </c>
      <c r="C308" s="54"/>
      <c r="D308" s="55"/>
      <c r="E308" s="115"/>
      <c r="F308" s="116" t="s">
        <v>290</v>
      </c>
      <c r="G308" s="58"/>
      <c r="H308" s="71">
        <f>J308/K308-1</f>
        <v>-1</v>
      </c>
      <c r="I308" s="72"/>
      <c r="J308" s="74">
        <f>SUBTOTAL(9,J305:J307)</f>
        <v>0</v>
      </c>
      <c r="K308" s="92">
        <f>SUBTOTAL(9,K305:K307)</f>
        <v>-1025000</v>
      </c>
      <c r="L308" s="75">
        <f>SUBTOTAL(9,L305:L307)</f>
        <v>-817106</v>
      </c>
    </row>
    <row r="309" spans="1:12" ht="15.75" customHeight="1" outlineLevel="1">
      <c r="A309" s="11">
        <v>13120000</v>
      </c>
      <c r="B309" s="40">
        <v>0</v>
      </c>
      <c r="C309" s="109">
        <v>312000</v>
      </c>
      <c r="D309" s="42">
        <v>1</v>
      </c>
      <c r="E309" s="112"/>
      <c r="F309" s="44" t="s">
        <v>295</v>
      </c>
      <c r="G309" s="45" t="s">
        <v>15</v>
      </c>
      <c r="H309" s="129"/>
      <c r="I309" s="47"/>
      <c r="J309" s="48"/>
      <c r="K309" s="49"/>
      <c r="L309" s="50"/>
    </row>
    <row r="310" spans="1:12" ht="15.75" customHeight="1" outlineLevel="1">
      <c r="A310" s="11">
        <v>1312200312</v>
      </c>
      <c r="B310" s="40">
        <v>312</v>
      </c>
      <c r="C310" s="109">
        <v>312200</v>
      </c>
      <c r="D310" s="42">
        <v>1</v>
      </c>
      <c r="E310" s="112"/>
      <c r="F310" s="44" t="s">
        <v>296</v>
      </c>
      <c r="G310" s="45" t="s">
        <v>37</v>
      </c>
      <c r="H310" s="51">
        <f t="shared" si="5"/>
        <v>0</v>
      </c>
      <c r="I310" s="47"/>
      <c r="J310" s="48">
        <f>VLOOKUP(A310,'[1]תקציב 2026'!$A$1:$M$65536,9,0)</f>
        <v>-150000</v>
      </c>
      <c r="K310" s="49">
        <f>VLOOKUP(A310,[3]גיליון1!$A$1:$C$7693,3,0)</f>
        <v>-150000</v>
      </c>
      <c r="L310" s="50">
        <f>VLOOKUP(A310,[2]data1761205830331!$A$1:$J$65536,10,0)</f>
        <v>-135288</v>
      </c>
    </row>
    <row r="311" spans="1:12" ht="15.75" customHeight="1" outlineLevel="1">
      <c r="A311" s="11">
        <v>1312200491</v>
      </c>
      <c r="B311" s="40">
        <v>491</v>
      </c>
      <c r="C311" s="109">
        <v>312200</v>
      </c>
      <c r="D311" s="42">
        <v>1</v>
      </c>
      <c r="E311" s="112"/>
      <c r="F311" s="44" t="s">
        <v>297</v>
      </c>
      <c r="G311" s="45" t="s">
        <v>37</v>
      </c>
      <c r="H311" s="51">
        <f t="shared" si="5"/>
        <v>0</v>
      </c>
      <c r="I311" s="47"/>
      <c r="J311" s="48">
        <f>VLOOKUP(A311,'[1]תקציב 2026'!$A$1:$M$65536,9,0)</f>
        <v>-450000</v>
      </c>
      <c r="K311" s="49">
        <v>-450000</v>
      </c>
      <c r="L311" s="50">
        <f>VLOOKUP(A311,[2]data1761205830331!$A$1:$J$65536,10,0)</f>
        <v>-438822.97</v>
      </c>
    </row>
    <row r="312" spans="1:12" ht="15.75" customHeight="1" outlineLevel="1">
      <c r="A312" s="11">
        <v>1312200921</v>
      </c>
      <c r="B312" s="40">
        <v>921</v>
      </c>
      <c r="C312" s="109">
        <v>312200</v>
      </c>
      <c r="D312" s="42">
        <v>1</v>
      </c>
      <c r="E312" s="112"/>
      <c r="F312" s="44" t="s">
        <v>298</v>
      </c>
      <c r="G312" s="45" t="s">
        <v>37</v>
      </c>
      <c r="H312" s="51">
        <f t="shared" si="5"/>
        <v>-0.19999999999999996</v>
      </c>
      <c r="I312" s="47"/>
      <c r="J312" s="48">
        <f>VLOOKUP(A312,'[1]תקציב 2026'!$A$1:$M$65536,9,0)</f>
        <v>-20000000</v>
      </c>
      <c r="K312" s="49">
        <v>-25000000</v>
      </c>
      <c r="L312" s="50">
        <f>VLOOKUP(A312,[2]data1761205830331!$A$1:$J$65536,10,0)</f>
        <v>-20818670.219999999</v>
      </c>
    </row>
    <row r="313" spans="1:12" ht="15.75" customHeight="1" outlineLevel="1" thickBot="1">
      <c r="A313" s="11">
        <v>1312200944</v>
      </c>
      <c r="B313" s="40">
        <v>944</v>
      </c>
      <c r="C313" s="109">
        <v>312200</v>
      </c>
      <c r="D313" s="42">
        <v>1</v>
      </c>
      <c r="E313" s="112"/>
      <c r="F313" s="44" t="s">
        <v>299</v>
      </c>
      <c r="G313" s="45" t="s">
        <v>37</v>
      </c>
      <c r="H313" s="130">
        <f t="shared" si="5"/>
        <v>-2.947761194029852E-2</v>
      </c>
      <c r="I313" s="47"/>
      <c r="J313" s="48">
        <f>VLOOKUP(A313,'[1]תקציב 2026'!$A$1:$M$65536,9,0)</f>
        <v>-1820700</v>
      </c>
      <c r="K313" s="49">
        <v>-1876000</v>
      </c>
      <c r="L313" s="50">
        <f>VLOOKUP(A313,[2]data1761205830331!$A$1:$J$65536,10,0)</f>
        <v>-546193.67000000004</v>
      </c>
    </row>
    <row r="314" spans="1:12" ht="16.2" thickBot="1">
      <c r="A314" s="11" t="e">
        <v>#VALUE!</v>
      </c>
      <c r="B314" s="53" t="s">
        <v>300</v>
      </c>
      <c r="C314" s="54"/>
      <c r="D314" s="55"/>
      <c r="E314" s="115"/>
      <c r="F314" s="116" t="s">
        <v>301</v>
      </c>
      <c r="G314" s="58"/>
      <c r="H314" s="71">
        <f>J314/K314-1</f>
        <v>-0.18398966370650749</v>
      </c>
      <c r="I314" s="72"/>
      <c r="J314" s="74">
        <f>SUBTOTAL(9,J310:J313)</f>
        <v>-22420700</v>
      </c>
      <c r="K314" s="92">
        <f>SUBTOTAL(9,K310:K313)</f>
        <v>-27476000</v>
      </c>
      <c r="L314" s="75">
        <f>SUBTOTAL(9,L310:L313)</f>
        <v>-21938974.859999999</v>
      </c>
    </row>
    <row r="315" spans="1:12" ht="15.75" customHeight="1" outlineLevel="1">
      <c r="A315" s="11">
        <v>13122100</v>
      </c>
      <c r="B315" s="40">
        <v>0</v>
      </c>
      <c r="C315" s="109">
        <v>312210</v>
      </c>
      <c r="D315" s="42">
        <v>1</v>
      </c>
      <c r="E315" s="112"/>
      <c r="F315" s="44" t="s">
        <v>302</v>
      </c>
      <c r="G315" s="45" t="s">
        <v>15</v>
      </c>
      <c r="H315" s="129"/>
      <c r="I315" s="47"/>
      <c r="J315" s="48"/>
      <c r="K315" s="49"/>
      <c r="L315" s="50"/>
    </row>
    <row r="316" spans="1:12" ht="15.75" customHeight="1" outlineLevel="1">
      <c r="A316" s="11">
        <v>1312210920</v>
      </c>
      <c r="B316" s="40">
        <v>920</v>
      </c>
      <c r="C316" s="109">
        <v>312210</v>
      </c>
      <c r="D316" s="42">
        <v>1</v>
      </c>
      <c r="E316" s="112"/>
      <c r="F316" s="44" t="s">
        <v>303</v>
      </c>
      <c r="G316" s="45" t="s">
        <v>37</v>
      </c>
      <c r="H316" s="51">
        <f t="shared" si="5"/>
        <v>1</v>
      </c>
      <c r="I316" s="47"/>
      <c r="J316" s="48">
        <f>VLOOKUP(A316,'[1]תקציב 2026'!$A$1:$M$65536,9,0)</f>
        <v>-40000</v>
      </c>
      <c r="K316" s="49">
        <f>VLOOKUP(A316,[3]גיליון1!$A$1:$C$7693,3,0)</f>
        <v>-20000</v>
      </c>
      <c r="L316" s="50">
        <f>VLOOKUP(A316,[2]data1761205830331!$A$1:$J$65536,10,0)</f>
        <v>-37689.43</v>
      </c>
    </row>
    <row r="317" spans="1:12" ht="15.75" customHeight="1" outlineLevel="1">
      <c r="A317" s="11">
        <v>1312210922</v>
      </c>
      <c r="B317" s="40">
        <v>922</v>
      </c>
      <c r="C317" s="109">
        <v>312210</v>
      </c>
      <c r="D317" s="42">
        <v>1</v>
      </c>
      <c r="E317" s="112"/>
      <c r="F317" s="44" t="s">
        <v>304</v>
      </c>
      <c r="G317" s="45" t="s">
        <v>37</v>
      </c>
      <c r="H317" s="51">
        <f t="shared" si="5"/>
        <v>0.26991150442477885</v>
      </c>
      <c r="I317" s="47"/>
      <c r="J317" s="48">
        <f>VLOOKUP(A317,'[1]תקציב 2026'!$A$1:$M$65536,9,0)</f>
        <v>-1148000</v>
      </c>
      <c r="K317" s="49">
        <f>VLOOKUP(A317,[3]גיליון1!$A$1:$C$7693,3,0)</f>
        <v>-904000</v>
      </c>
      <c r="L317" s="50">
        <f>VLOOKUP(A317,[2]data1761205830331!$A$1:$J$65536,10,0)</f>
        <v>-942042.77</v>
      </c>
    </row>
    <row r="318" spans="1:12" ht="15.75" customHeight="1" outlineLevel="1">
      <c r="A318" s="11">
        <v>1312210924</v>
      </c>
      <c r="B318" s="40">
        <v>924</v>
      </c>
      <c r="C318" s="109">
        <v>312210</v>
      </c>
      <c r="D318" s="42">
        <v>1</v>
      </c>
      <c r="E318" s="112"/>
      <c r="F318" s="44" t="s">
        <v>305</v>
      </c>
      <c r="G318" s="45" t="s">
        <v>37</v>
      </c>
      <c r="H318" s="51">
        <f t="shared" si="5"/>
        <v>0.20487396965714977</v>
      </c>
      <c r="I318" s="47"/>
      <c r="J318" s="48">
        <f>VLOOKUP(A318,'[1]תקציב 2026'!$A$1:$M$65536,9,0)</f>
        <v>-2017200</v>
      </c>
      <c r="K318" s="49">
        <f>VLOOKUP(A318,[3]גיליון1!$A$1:$C$7693,3,0)</f>
        <v>-1674200</v>
      </c>
      <c r="L318" s="50">
        <f>VLOOKUP(A318,[2]data1761205830331!$A$1:$J$65536,10,0)</f>
        <v>-1630819.3</v>
      </c>
    </row>
    <row r="319" spans="1:12" ht="15.75" customHeight="1" outlineLevel="1" thickBot="1">
      <c r="A319" s="11">
        <v>1312210928</v>
      </c>
      <c r="B319" s="40">
        <v>928</v>
      </c>
      <c r="C319" s="109">
        <v>312210</v>
      </c>
      <c r="D319" s="42">
        <v>1</v>
      </c>
      <c r="E319" s="112"/>
      <c r="F319" s="44" t="s">
        <v>306</v>
      </c>
      <c r="G319" s="45" t="s">
        <v>37</v>
      </c>
      <c r="H319" s="130">
        <f t="shared" si="5"/>
        <v>0.11486849168008595</v>
      </c>
      <c r="I319" s="47"/>
      <c r="J319" s="48">
        <f>VLOOKUP(A319,'[1]תקציב 2026'!$A$1:$M$65536,9,0)</f>
        <v>-415400</v>
      </c>
      <c r="K319" s="49">
        <v>-372600</v>
      </c>
      <c r="L319" s="50">
        <f>VLOOKUP(A319,[2]data1761205830331!$A$1:$J$65536,10,0)</f>
        <v>-389108</v>
      </c>
    </row>
    <row r="320" spans="1:12" ht="16.2" thickBot="1">
      <c r="A320" s="11" t="e">
        <v>#VALUE!</v>
      </c>
      <c r="B320" s="53" t="s">
        <v>307</v>
      </c>
      <c r="C320" s="54"/>
      <c r="D320" s="55"/>
      <c r="E320" s="115"/>
      <c r="F320" s="116" t="s">
        <v>302</v>
      </c>
      <c r="G320" s="58"/>
      <c r="H320" s="71">
        <f>J320/K320-1</f>
        <v>0.21872896189578572</v>
      </c>
      <c r="I320" s="72"/>
      <c r="J320" s="74">
        <f>SUBTOTAL(9,J316:J319)</f>
        <v>-3620600</v>
      </c>
      <c r="K320" s="92">
        <f>SUBTOTAL(9,K316:K319)</f>
        <v>-2970800</v>
      </c>
      <c r="L320" s="75">
        <f>SUBTOTAL(9,L316:L319)</f>
        <v>-2999659.5</v>
      </c>
    </row>
    <row r="321" spans="1:12" ht="15.75" customHeight="1" outlineLevel="1">
      <c r="A321" s="11">
        <v>13123000</v>
      </c>
      <c r="B321" s="40">
        <v>0</v>
      </c>
      <c r="C321" s="109">
        <v>312300</v>
      </c>
      <c r="D321" s="42">
        <v>1</v>
      </c>
      <c r="E321" s="112"/>
      <c r="F321" s="44" t="s">
        <v>308</v>
      </c>
      <c r="G321" s="45" t="s">
        <v>15</v>
      </c>
      <c r="H321" s="129"/>
      <c r="I321" s="47"/>
      <c r="J321" s="48"/>
      <c r="K321" s="49"/>
      <c r="L321" s="50"/>
    </row>
    <row r="322" spans="1:12" ht="15.75" customHeight="1" outlineLevel="1">
      <c r="A322" s="11">
        <v>1312300410</v>
      </c>
      <c r="B322" s="40">
        <v>410</v>
      </c>
      <c r="C322" s="109">
        <v>312300</v>
      </c>
      <c r="D322" s="42">
        <v>1</v>
      </c>
      <c r="E322" s="112"/>
      <c r="F322" s="44" t="s">
        <v>309</v>
      </c>
      <c r="G322" s="45" t="s">
        <v>37</v>
      </c>
      <c r="H322" s="51">
        <f t="shared" si="5"/>
        <v>-1</v>
      </c>
      <c r="I322" s="47"/>
      <c r="J322" s="48">
        <f>VLOOKUP(A322,'[1]תקציב 2026'!$A$1:$M$65536,9,0)</f>
        <v>0</v>
      </c>
      <c r="K322" s="49">
        <f>VLOOKUP(A322,[3]גיליון1!$A$1:$C$7693,3,0)</f>
        <v>-100000</v>
      </c>
      <c r="L322" s="50">
        <f>VLOOKUP(A322,[2]data1761205830331!$A$1:$J$65536,10,0)</f>
        <v>-69608.539999999994</v>
      </c>
    </row>
    <row r="323" spans="1:12" ht="15.75" customHeight="1" outlineLevel="1">
      <c r="A323" s="11">
        <v>1312300921</v>
      </c>
      <c r="B323" s="40">
        <v>921</v>
      </c>
      <c r="C323" s="109">
        <v>312300</v>
      </c>
      <c r="D323" s="42">
        <v>1</v>
      </c>
      <c r="E323" s="118"/>
      <c r="F323" s="44" t="s">
        <v>310</v>
      </c>
      <c r="G323" s="45" t="s">
        <v>29</v>
      </c>
      <c r="H323" s="51">
        <f t="shared" si="5"/>
        <v>-5.2238333333333387E-2</v>
      </c>
      <c r="I323" s="47"/>
      <c r="J323" s="48">
        <f>VLOOKUP(A323,'[1]תקציב 2026'!$A$1:$M$65536,9,0)</f>
        <v>-56865700</v>
      </c>
      <c r="K323" s="49">
        <v>-60000000</v>
      </c>
      <c r="L323" s="50">
        <f>VLOOKUP(A323,[2]data1761205830331!$A$1:$J$65536,10,0)</f>
        <v>-55486400.07</v>
      </c>
    </row>
    <row r="324" spans="1:12" ht="15.75" customHeight="1" outlineLevel="1">
      <c r="A324" s="11">
        <v>1312300922</v>
      </c>
      <c r="B324" s="40">
        <v>922</v>
      </c>
      <c r="C324" s="109">
        <v>312300</v>
      </c>
      <c r="D324" s="42">
        <v>1</v>
      </c>
      <c r="E324" s="112"/>
      <c r="F324" s="44" t="s">
        <v>311</v>
      </c>
      <c r="G324" s="45" t="s">
        <v>37</v>
      </c>
      <c r="H324" s="51">
        <f t="shared" si="5"/>
        <v>-0.14162857142857144</v>
      </c>
      <c r="I324" s="47"/>
      <c r="J324" s="48">
        <f>VLOOKUP(A324,'[1]תקציב 2026'!$A$1:$M$65536,9,0)</f>
        <v>-6008600</v>
      </c>
      <c r="K324" s="49">
        <v>-7000000</v>
      </c>
      <c r="L324" s="50">
        <f>VLOOKUP(A324,[2]data1761205830331!$A$1:$J$65536,10,0)</f>
        <v>-5976280.9299999997</v>
      </c>
    </row>
    <row r="325" spans="1:12" ht="15.75" customHeight="1" outlineLevel="1" thickBot="1">
      <c r="A325" s="11">
        <v>1312300923</v>
      </c>
      <c r="B325" s="40">
        <v>923</v>
      </c>
      <c r="C325" s="109">
        <v>312300</v>
      </c>
      <c r="D325" s="42">
        <v>1</v>
      </c>
      <c r="E325" s="112"/>
      <c r="F325" s="44" t="s">
        <v>312</v>
      </c>
      <c r="G325" s="45" t="s">
        <v>37</v>
      </c>
      <c r="H325" s="130">
        <f t="shared" si="5"/>
        <v>-1</v>
      </c>
      <c r="I325" s="47"/>
      <c r="J325" s="48">
        <f>VLOOKUP(A325,'[1]תקציב 2026'!$A$1:$M$65536,9,0)</f>
        <v>0</v>
      </c>
      <c r="K325" s="49">
        <f>VLOOKUP(A325,[3]גיליון1!$A$1:$C$7693,3,0)</f>
        <v>-133000</v>
      </c>
      <c r="L325" s="50">
        <f>VLOOKUP(A325,[2]data1761205830331!$A$1:$J$65536,10,0)</f>
        <v>0</v>
      </c>
    </row>
    <row r="326" spans="1:12" ht="16.2" thickBot="1">
      <c r="A326" s="11" t="e">
        <v>#VALUE!</v>
      </c>
      <c r="B326" s="53" t="s">
        <v>313</v>
      </c>
      <c r="C326" s="54"/>
      <c r="D326" s="55"/>
      <c r="E326" s="115"/>
      <c r="F326" s="116" t="s">
        <v>308</v>
      </c>
      <c r="G326" s="58"/>
      <c r="H326" s="71">
        <f>J326/K326-1</f>
        <v>-6.4829771094551791E-2</v>
      </c>
      <c r="I326" s="72"/>
      <c r="J326" s="74">
        <f>SUBTOTAL(9,J322:J325)</f>
        <v>-62874300</v>
      </c>
      <c r="K326" s="92">
        <f>SUBTOTAL(9,K322:K325)</f>
        <v>-67233000</v>
      </c>
      <c r="L326" s="75">
        <f>SUBTOTAL(9,L322:L325)</f>
        <v>-61532289.539999999</v>
      </c>
    </row>
    <row r="327" spans="1:12" ht="15.75" customHeight="1" outlineLevel="1">
      <c r="A327" s="11">
        <v>13123300</v>
      </c>
      <c r="B327" s="40">
        <v>0</v>
      </c>
      <c r="C327" s="109">
        <v>312330</v>
      </c>
      <c r="D327" s="42">
        <v>1</v>
      </c>
      <c r="E327" s="112"/>
      <c r="F327" s="44" t="s">
        <v>314</v>
      </c>
      <c r="G327" s="45" t="s">
        <v>15</v>
      </c>
      <c r="H327" s="129"/>
      <c r="I327" s="47"/>
      <c r="J327" s="48"/>
      <c r="K327" s="49"/>
      <c r="L327" s="50"/>
    </row>
    <row r="328" spans="1:12" ht="15.75" customHeight="1" outlineLevel="1" thickBot="1">
      <c r="A328" s="11">
        <v>1312330493</v>
      </c>
      <c r="B328" s="40">
        <v>493</v>
      </c>
      <c r="C328" s="109">
        <v>312330</v>
      </c>
      <c r="D328" s="42">
        <v>1</v>
      </c>
      <c r="E328" s="112"/>
      <c r="F328" s="44" t="s">
        <v>314</v>
      </c>
      <c r="G328" s="45" t="s">
        <v>37</v>
      </c>
      <c r="H328" s="130">
        <f t="shared" si="5"/>
        <v>-0.25</v>
      </c>
      <c r="I328" s="47"/>
      <c r="J328" s="48">
        <f>VLOOKUP(A328,'[1]תקציב 2026'!$A$1:$M$65536,9,0)</f>
        <v>-150000</v>
      </c>
      <c r="K328" s="49">
        <v>-200000</v>
      </c>
      <c r="L328" s="50">
        <f>VLOOKUP(A328,[2]data1761205830331!$A$1:$J$65536,10,0)</f>
        <v>-212486.25</v>
      </c>
    </row>
    <row r="329" spans="1:12" ht="16.2" thickBot="1">
      <c r="A329" s="11" t="e">
        <v>#VALUE!</v>
      </c>
      <c r="B329" s="53" t="s">
        <v>315</v>
      </c>
      <c r="C329" s="54"/>
      <c r="D329" s="55"/>
      <c r="E329" s="115"/>
      <c r="F329" s="116" t="s">
        <v>314</v>
      </c>
      <c r="G329" s="58"/>
      <c r="H329" s="71">
        <f>J329/K329-1</f>
        <v>-0.25</v>
      </c>
      <c r="I329" s="72"/>
      <c r="J329" s="74">
        <f>SUBTOTAL(9,J328)</f>
        <v>-150000</v>
      </c>
      <c r="K329" s="92">
        <f>SUBTOTAL(9,K328)</f>
        <v>-200000</v>
      </c>
      <c r="L329" s="75">
        <f>SUBTOTAL(9,L328)</f>
        <v>-212486.25</v>
      </c>
    </row>
    <row r="330" spans="1:12" ht="15.75" customHeight="1" outlineLevel="1">
      <c r="A330" s="11">
        <v>13123600</v>
      </c>
      <c r="B330" s="40">
        <v>0</v>
      </c>
      <c r="C330" s="109">
        <v>312360</v>
      </c>
      <c r="D330" s="42">
        <v>1</v>
      </c>
      <c r="E330" s="112"/>
      <c r="F330" s="44" t="s">
        <v>316</v>
      </c>
      <c r="G330" s="45" t="s">
        <v>15</v>
      </c>
      <c r="H330" s="129"/>
      <c r="I330" s="47"/>
      <c r="J330" s="48"/>
      <c r="K330" s="49"/>
      <c r="L330" s="50"/>
    </row>
    <row r="331" spans="1:12" ht="15.75" customHeight="1" outlineLevel="1" thickBot="1">
      <c r="A331" s="11">
        <v>1312360495</v>
      </c>
      <c r="B331" s="40">
        <v>495</v>
      </c>
      <c r="C331" s="109">
        <v>312360</v>
      </c>
      <c r="D331" s="42">
        <v>1</v>
      </c>
      <c r="E331" s="112"/>
      <c r="F331" s="44" t="s">
        <v>316</v>
      </c>
      <c r="G331" s="45" t="s">
        <v>37</v>
      </c>
      <c r="H331" s="51">
        <f t="shared" si="5"/>
        <v>0.17142857142857149</v>
      </c>
      <c r="I331" s="47"/>
      <c r="J331" s="48">
        <f>VLOOKUP(A331,'[1]תקציב 2026'!$A$1:$M$65536,9,0)</f>
        <v>-4100000</v>
      </c>
      <c r="K331" s="49">
        <f>VLOOKUP(A331,[3]גיליון1!$A$1:$C$7693,3,0)</f>
        <v>-3500000</v>
      </c>
      <c r="L331" s="50">
        <f>VLOOKUP(A331,[2]data1761205830331!$A$1:$J$65536,10,0)</f>
        <v>-4127928.99</v>
      </c>
    </row>
    <row r="332" spans="1:12" ht="16.2" thickBot="1">
      <c r="A332" s="11" t="e">
        <v>#VALUE!</v>
      </c>
      <c r="B332" s="53" t="s">
        <v>317</v>
      </c>
      <c r="C332" s="54"/>
      <c r="D332" s="55"/>
      <c r="E332" s="115"/>
      <c r="F332" s="116" t="s">
        <v>316</v>
      </c>
      <c r="G332" s="58"/>
      <c r="H332" s="71">
        <f>J332/K332-1</f>
        <v>0.17142857142857149</v>
      </c>
      <c r="I332" s="72"/>
      <c r="J332" s="74">
        <f>SUBTOTAL(9,J331)</f>
        <v>-4100000</v>
      </c>
      <c r="K332" s="92">
        <f>SUBTOTAL(9,K331)</f>
        <v>-3500000</v>
      </c>
      <c r="L332" s="75">
        <f>SUBTOTAL(9,L331)</f>
        <v>-4127928.99</v>
      </c>
    </row>
    <row r="333" spans="1:12" ht="15.75" customHeight="1" outlineLevel="1">
      <c r="A333" s="11">
        <v>13123700</v>
      </c>
      <c r="B333" s="40">
        <v>0</v>
      </c>
      <c r="C333" s="109">
        <v>312370</v>
      </c>
      <c r="D333" s="42">
        <v>1</v>
      </c>
      <c r="E333" s="112"/>
      <c r="F333" s="44" t="s">
        <v>318</v>
      </c>
      <c r="G333" s="45" t="s">
        <v>15</v>
      </c>
      <c r="H333" s="51"/>
      <c r="I333" s="47"/>
      <c r="J333" s="48"/>
      <c r="K333" s="49"/>
      <c r="L333" s="50"/>
    </row>
    <row r="334" spans="1:12" ht="15.75" customHeight="1" outlineLevel="1" thickBot="1">
      <c r="A334" s="11">
        <v>1312370493</v>
      </c>
      <c r="B334" s="40">
        <v>493</v>
      </c>
      <c r="C334" s="109">
        <v>312370</v>
      </c>
      <c r="D334" s="42">
        <v>1</v>
      </c>
      <c r="E334" s="112"/>
      <c r="F334" s="44" t="s">
        <v>319</v>
      </c>
      <c r="G334" s="45" t="s">
        <v>37</v>
      </c>
      <c r="H334" s="51">
        <v>1</v>
      </c>
      <c r="I334" s="47" t="s">
        <v>137</v>
      </c>
      <c r="J334" s="48">
        <f>VLOOKUP(A334,'[1]תקציב 2026'!$A$1:$M$65536,9,0)</f>
        <v>-220000</v>
      </c>
      <c r="K334" s="49">
        <v>0</v>
      </c>
      <c r="L334" s="50">
        <f>VLOOKUP(A334,[2]data1761205830331!$A$1:$J$65536,10,0)</f>
        <v>-212070.77</v>
      </c>
    </row>
    <row r="335" spans="1:12" ht="16.2" thickBot="1">
      <c r="A335" s="11" t="e">
        <v>#VALUE!</v>
      </c>
      <c r="B335" s="53" t="s">
        <v>320</v>
      </c>
      <c r="C335" s="54"/>
      <c r="D335" s="55"/>
      <c r="E335" s="115"/>
      <c r="F335" s="116" t="s">
        <v>321</v>
      </c>
      <c r="G335" s="58"/>
      <c r="H335" s="71">
        <v>1</v>
      </c>
      <c r="I335" s="72"/>
      <c r="J335" s="74">
        <f>SUBTOTAL(9,J334:J334)</f>
        <v>-220000</v>
      </c>
      <c r="K335" s="92">
        <f>SUBTOTAL(9,K334:K334)</f>
        <v>0</v>
      </c>
      <c r="L335" s="75">
        <f>SUBTOTAL(9,L334:L334)</f>
        <v>-212070.77</v>
      </c>
    </row>
    <row r="336" spans="1:12" ht="15.75" customHeight="1" outlineLevel="1">
      <c r="A336" s="11">
        <v>13130000</v>
      </c>
      <c r="B336" s="40">
        <v>0</v>
      </c>
      <c r="C336" s="109">
        <v>313000</v>
      </c>
      <c r="D336" s="42">
        <v>1</v>
      </c>
      <c r="E336" s="112"/>
      <c r="F336" s="44" t="s">
        <v>322</v>
      </c>
      <c r="G336" s="45" t="s">
        <v>15</v>
      </c>
      <c r="H336" s="51"/>
      <c r="I336" s="47"/>
      <c r="J336" s="48"/>
      <c r="K336" s="49"/>
      <c r="L336" s="50"/>
    </row>
    <row r="337" spans="1:12" ht="15.75" customHeight="1" outlineLevel="1">
      <c r="A337" s="11">
        <v>1313200312</v>
      </c>
      <c r="B337" s="40">
        <v>312</v>
      </c>
      <c r="C337" s="109">
        <v>313200</v>
      </c>
      <c r="D337" s="42">
        <v>1</v>
      </c>
      <c r="E337" s="112"/>
      <c r="F337" s="44" t="s">
        <v>296</v>
      </c>
      <c r="G337" s="45" t="s">
        <v>37</v>
      </c>
      <c r="H337" s="51">
        <f t="shared" si="5"/>
        <v>0.16666666666666674</v>
      </c>
      <c r="I337" s="47"/>
      <c r="J337" s="48">
        <f>VLOOKUP(A337,'[1]תקציב 2026'!$A$1:$M$65536,9,0)</f>
        <v>-350000</v>
      </c>
      <c r="K337" s="49">
        <f>VLOOKUP(A337,[3]גיליון1!$A$1:$C$7693,3,0)</f>
        <v>-300000</v>
      </c>
      <c r="L337" s="50">
        <f>VLOOKUP(A337,[2]data1761205830331!$A$1:$J$65536,10,0)</f>
        <v>-334792</v>
      </c>
    </row>
    <row r="338" spans="1:12" ht="15.75" customHeight="1" outlineLevel="1">
      <c r="A338" s="11">
        <v>1313200440</v>
      </c>
      <c r="B338" s="40">
        <v>440</v>
      </c>
      <c r="C338" s="109">
        <v>313200</v>
      </c>
      <c r="D338" s="42">
        <v>1</v>
      </c>
      <c r="E338" s="112"/>
      <c r="F338" s="44" t="s">
        <v>323</v>
      </c>
      <c r="G338" s="45" t="s">
        <v>37</v>
      </c>
      <c r="H338" s="51">
        <f t="shared" si="5"/>
        <v>0</v>
      </c>
      <c r="I338" s="47"/>
      <c r="J338" s="48">
        <f>VLOOKUP(A338,'[1]תקציב 2026'!$A$1:$M$65536,9,0)</f>
        <v>-1500000</v>
      </c>
      <c r="K338" s="49">
        <f>VLOOKUP(A338,[3]גיליון1!$A$1:$C$7693,3,0)</f>
        <v>-1500000</v>
      </c>
      <c r="L338" s="50">
        <f>VLOOKUP(A338,[2]data1761205830331!$A$1:$J$65536,10,0)</f>
        <v>-399225.28</v>
      </c>
    </row>
    <row r="339" spans="1:12" ht="15.75" customHeight="1" outlineLevel="1">
      <c r="A339" s="11">
        <v>1313200920</v>
      </c>
      <c r="B339" s="40">
        <v>920</v>
      </c>
      <c r="C339" s="109">
        <v>313200</v>
      </c>
      <c r="D339" s="42">
        <v>1</v>
      </c>
      <c r="E339" s="112"/>
      <c r="F339" s="44" t="s">
        <v>324</v>
      </c>
      <c r="G339" s="45" t="s">
        <v>37</v>
      </c>
      <c r="H339" s="51">
        <f t="shared" si="5"/>
        <v>0.16781893004115234</v>
      </c>
      <c r="I339" s="47"/>
      <c r="J339" s="48">
        <f>VLOOKUP(A339,'[1]תקציב 2026'!$A$1:$M$65536,9,0)</f>
        <v>-1418900</v>
      </c>
      <c r="K339" s="49">
        <f>VLOOKUP(A339,[3]גיליון1!$A$1:$C$7693,3,0)</f>
        <v>-1215000</v>
      </c>
      <c r="L339" s="50">
        <f>VLOOKUP(A339,[2]data1761205830331!$A$1:$J$65536,10,0)</f>
        <v>-1257819.3899999999</v>
      </c>
    </row>
    <row r="340" spans="1:12" ht="15.75" customHeight="1" outlineLevel="1">
      <c r="A340" s="11">
        <v>1313200921</v>
      </c>
      <c r="B340" s="40">
        <v>921</v>
      </c>
      <c r="C340" s="109">
        <v>313200</v>
      </c>
      <c r="D340" s="42">
        <v>1</v>
      </c>
      <c r="E340" s="112"/>
      <c r="F340" s="44" t="s">
        <v>325</v>
      </c>
      <c r="G340" s="45" t="s">
        <v>37</v>
      </c>
      <c r="H340" s="51">
        <f t="shared" si="5"/>
        <v>0.18556013963821005</v>
      </c>
      <c r="I340" s="47"/>
      <c r="J340" s="48">
        <f>VLOOKUP(A340,'[1]תקציב 2026'!$A$1:$M$65536,9,0)</f>
        <v>-3735700</v>
      </c>
      <c r="K340" s="49">
        <f>VLOOKUP(A340,[3]גיליון1!$A$1:$C$7693,3,0)</f>
        <v>-3151000</v>
      </c>
      <c r="L340" s="50">
        <f>VLOOKUP(A340,[2]data1761205830331!$A$1:$J$65536,10,0)</f>
        <v>-3296619.79</v>
      </c>
    </row>
    <row r="341" spans="1:12" ht="15.75" customHeight="1" outlineLevel="1">
      <c r="A341" s="11">
        <v>1313200924</v>
      </c>
      <c r="B341" s="40">
        <v>924</v>
      </c>
      <c r="C341" s="109">
        <v>313200</v>
      </c>
      <c r="D341" s="42">
        <v>1</v>
      </c>
      <c r="E341" s="112"/>
      <c r="F341" s="44" t="s">
        <v>326</v>
      </c>
      <c r="G341" s="45" t="s">
        <v>37</v>
      </c>
      <c r="H341" s="51">
        <f t="shared" si="5"/>
        <v>-0.38548527401516097</v>
      </c>
      <c r="I341" s="47"/>
      <c r="J341" s="48">
        <f>VLOOKUP(A341,'[1]תקציב 2026'!$A$1:$M$65536,9,0)</f>
        <v>-494500</v>
      </c>
      <c r="K341" s="49">
        <f>VLOOKUP(A341,[3]גיליון1!$A$1:$C$7693,3,0)</f>
        <v>-804700</v>
      </c>
      <c r="L341" s="50">
        <f>VLOOKUP(A341,[2]data1761205830331!$A$1:$J$65536,10,0)</f>
        <v>-704190.75</v>
      </c>
    </row>
    <row r="342" spans="1:12" ht="15.75" customHeight="1" outlineLevel="1">
      <c r="A342" s="11">
        <v>1313200925</v>
      </c>
      <c r="B342" s="40">
        <v>925</v>
      </c>
      <c r="C342" s="109">
        <v>313200</v>
      </c>
      <c r="D342" s="42">
        <v>1</v>
      </c>
      <c r="E342" s="112"/>
      <c r="F342" s="44" t="s">
        <v>327</v>
      </c>
      <c r="G342" s="45" t="s">
        <v>37</v>
      </c>
      <c r="H342" s="51">
        <f t="shared" si="5"/>
        <v>2.7933333333333366E-2</v>
      </c>
      <c r="I342" s="47"/>
      <c r="J342" s="48">
        <f>VLOOKUP(A342,'[1]תקציב 2026'!$A$1:$M$65536,9,0)</f>
        <v>-1541900</v>
      </c>
      <c r="K342" s="49">
        <v>-1500000</v>
      </c>
      <c r="L342" s="50">
        <f>VLOOKUP(A342,[2]data1761205830331!$A$1:$J$65536,10,0)</f>
        <v>-1394020.28</v>
      </c>
    </row>
    <row r="343" spans="1:12" ht="15.75" customHeight="1" outlineLevel="1">
      <c r="A343" s="11">
        <v>1313200927</v>
      </c>
      <c r="B343" s="40">
        <v>927</v>
      </c>
      <c r="C343" s="109">
        <v>313200</v>
      </c>
      <c r="D343" s="42">
        <v>1</v>
      </c>
      <c r="E343" s="112"/>
      <c r="F343" s="44" t="s">
        <v>328</v>
      </c>
      <c r="G343" s="45" t="s">
        <v>37</v>
      </c>
      <c r="H343" s="51">
        <f t="shared" si="5"/>
        <v>-1</v>
      </c>
      <c r="I343" s="47"/>
      <c r="J343" s="48">
        <f>VLOOKUP(A343,'[1]תקציב 2026'!$A$1:$M$65536,9,0)</f>
        <v>0</v>
      </c>
      <c r="K343" s="49">
        <f>VLOOKUP(A343,[3]גיליון1!$A$1:$C$7693,3,0)</f>
        <v>-200000</v>
      </c>
      <c r="L343" s="50">
        <f>VLOOKUP(A343,[2]data1761205830331!$A$1:$J$65536,10,0)</f>
        <v>-7576</v>
      </c>
    </row>
    <row r="344" spans="1:12" ht="15.75" customHeight="1" outlineLevel="1">
      <c r="A344" s="11">
        <v>1313200929</v>
      </c>
      <c r="B344" s="40">
        <v>929</v>
      </c>
      <c r="C344" s="109">
        <v>313200</v>
      </c>
      <c r="D344" s="42">
        <v>1</v>
      </c>
      <c r="E344" s="112"/>
      <c r="F344" s="44" t="s">
        <v>329</v>
      </c>
      <c r="G344" s="45" t="s">
        <v>37</v>
      </c>
      <c r="H344" s="51">
        <f t="shared" si="5"/>
        <v>0.33333333333333326</v>
      </c>
      <c r="I344" s="47"/>
      <c r="J344" s="48">
        <f>VLOOKUP(A344,'[1]תקציב 2026'!$A$1:$M$65536,9,0)</f>
        <v>-160000</v>
      </c>
      <c r="K344" s="49">
        <f>VLOOKUP(A344,[3]גיליון1!$A$1:$C$7693,3,0)</f>
        <v>-120000</v>
      </c>
      <c r="L344" s="50">
        <f>VLOOKUP(A344,[2]data1761205830331!$A$1:$J$65536,10,0)</f>
        <v>-159612</v>
      </c>
    </row>
    <row r="345" spans="1:12" ht="15.75" customHeight="1" outlineLevel="1">
      <c r="A345" s="11">
        <v>1313200931</v>
      </c>
      <c r="B345" s="40">
        <v>931</v>
      </c>
      <c r="C345" s="109">
        <v>313200</v>
      </c>
      <c r="D345" s="42">
        <v>1</v>
      </c>
      <c r="E345" s="112"/>
      <c r="F345" s="44" t="s">
        <v>330</v>
      </c>
      <c r="G345" s="45" t="s">
        <v>37</v>
      </c>
      <c r="H345" s="51">
        <f t="shared" si="5"/>
        <v>2.4745364324888941E-2</v>
      </c>
      <c r="I345" s="47"/>
      <c r="J345" s="48">
        <f>VLOOKUP(A345,'[1]תקציב 2026'!$A$1:$M$65536,9,0)</f>
        <v>-15695000</v>
      </c>
      <c r="K345" s="49">
        <f>VLOOKUP(A345,[3]גיליון1!$A$1:$C$7693,3,0)</f>
        <v>-15316000</v>
      </c>
      <c r="L345" s="50">
        <f>VLOOKUP(A345,[2]data1761205830331!$A$1:$J$65536,10,0)</f>
        <v>-15252336.57</v>
      </c>
    </row>
    <row r="346" spans="1:12" ht="15.75" customHeight="1" outlineLevel="1">
      <c r="A346" s="11">
        <v>1313200951</v>
      </c>
      <c r="B346" s="40">
        <v>951</v>
      </c>
      <c r="C346" s="109">
        <v>313200</v>
      </c>
      <c r="D346" s="42">
        <v>1</v>
      </c>
      <c r="E346" s="112"/>
      <c r="F346" s="44" t="s">
        <v>331</v>
      </c>
      <c r="G346" s="45" t="s">
        <v>37</v>
      </c>
      <c r="H346" s="51">
        <f t="shared" si="5"/>
        <v>-1</v>
      </c>
      <c r="I346" s="47"/>
      <c r="J346" s="48">
        <f>VLOOKUP(A346,'[1]תקציב 2026'!$A$1:$M$65536,9,0)</f>
        <v>0</v>
      </c>
      <c r="K346" s="49">
        <f>VLOOKUP(A346,[3]גיליון1!$A$1:$C$7693,3,0)</f>
        <v>-66000</v>
      </c>
      <c r="L346" s="50">
        <f>VLOOKUP(A346,[2]data1761205830331!$A$1:$J$65536,10,0)</f>
        <v>0</v>
      </c>
    </row>
    <row r="347" spans="1:12" ht="15.75" customHeight="1" outlineLevel="1" thickBot="1">
      <c r="A347" s="11">
        <v>1313200954</v>
      </c>
      <c r="B347" s="40">
        <v>954</v>
      </c>
      <c r="C347" s="109">
        <v>313200</v>
      </c>
      <c r="D347" s="42">
        <v>1</v>
      </c>
      <c r="E347" s="112"/>
      <c r="F347" s="44" t="s">
        <v>332</v>
      </c>
      <c r="G347" s="45" t="s">
        <v>37</v>
      </c>
      <c r="H347" s="51">
        <f t="shared" si="5"/>
        <v>0.14500000000000002</v>
      </c>
      <c r="I347" s="47"/>
      <c r="J347" s="48">
        <f>VLOOKUP(A347,'[1]תקציב 2026'!$A$1:$M$65536,9,0)</f>
        <v>-22900000</v>
      </c>
      <c r="K347" s="49">
        <f>VLOOKUP(A347,[3]גיליון1!$A$1:$C$7693,3,0)</f>
        <v>-20000000</v>
      </c>
      <c r="L347" s="50">
        <f>VLOOKUP(A347,[2]data1761205830331!$A$1:$J$65536,10,0)</f>
        <v>-16465579.869999999</v>
      </c>
    </row>
    <row r="348" spans="1:12" ht="16.2" thickBot="1">
      <c r="A348" s="11" t="e">
        <v>#VALUE!</v>
      </c>
      <c r="B348" s="53" t="s">
        <v>333</v>
      </c>
      <c r="C348" s="54"/>
      <c r="D348" s="55"/>
      <c r="E348" s="115"/>
      <c r="F348" s="116" t="s">
        <v>334</v>
      </c>
      <c r="G348" s="58"/>
      <c r="H348" s="71">
        <f>J348/K348-1</f>
        <v>8.2025776101528836E-2</v>
      </c>
      <c r="I348" s="72"/>
      <c r="J348" s="74">
        <f>SUBTOTAL(9,J337:J347)</f>
        <v>-47796000</v>
      </c>
      <c r="K348" s="92">
        <f>SUBTOTAL(9,K337:K347)</f>
        <v>-44172700</v>
      </c>
      <c r="L348" s="75">
        <f>SUBTOTAL(9,L337:L347)</f>
        <v>-39271771.93</v>
      </c>
    </row>
    <row r="349" spans="1:12" ht="15.75" customHeight="1" outlineLevel="1">
      <c r="A349" s="11">
        <v>13132010</v>
      </c>
      <c r="B349" s="40">
        <v>0</v>
      </c>
      <c r="C349" s="109">
        <v>313201</v>
      </c>
      <c r="D349" s="42">
        <v>1</v>
      </c>
      <c r="E349" s="112"/>
      <c r="F349" s="156" t="s">
        <v>335</v>
      </c>
      <c r="G349" s="45" t="s">
        <v>15</v>
      </c>
      <c r="H349" s="51"/>
      <c r="I349" s="47"/>
      <c r="J349" s="48"/>
      <c r="K349" s="49"/>
      <c r="L349" s="50"/>
    </row>
    <row r="350" spans="1:12" ht="15.75" customHeight="1" outlineLevel="1">
      <c r="A350" s="11">
        <v>1313201420</v>
      </c>
      <c r="B350" s="40">
        <v>420</v>
      </c>
      <c r="C350" s="109">
        <v>313201</v>
      </c>
      <c r="D350" s="42">
        <v>1</v>
      </c>
      <c r="E350" s="112"/>
      <c r="F350" s="44" t="s">
        <v>336</v>
      </c>
      <c r="G350" s="45" t="s">
        <v>37</v>
      </c>
      <c r="H350" s="51">
        <v>0</v>
      </c>
      <c r="I350" s="47"/>
      <c r="J350" s="48">
        <f>VLOOKUP(A350,'[1]תקציב 2026'!$A$1:$M$65536,9,0)</f>
        <v>0</v>
      </c>
      <c r="K350" s="49">
        <f>VLOOKUP(A350,[3]גיליון1!$A$1:$C$7693,3,0)</f>
        <v>0</v>
      </c>
      <c r="L350" s="50">
        <f>VLOOKUP(A350,[2]data1761205830331!$A$1:$J$65536,10,0)</f>
        <v>-108</v>
      </c>
    </row>
    <row r="351" spans="1:12" ht="15.75" customHeight="1" outlineLevel="1">
      <c r="A351" s="11">
        <v>1313201421</v>
      </c>
      <c r="B351" s="40">
        <v>421</v>
      </c>
      <c r="C351" s="109">
        <v>313201</v>
      </c>
      <c r="D351" s="42">
        <v>1</v>
      </c>
      <c r="E351" s="112"/>
      <c r="F351" s="44" t="s">
        <v>337</v>
      </c>
      <c r="G351" s="45" t="s">
        <v>37</v>
      </c>
      <c r="H351" s="51">
        <f t="shared" ref="H351:H401" si="6">J351/K351-1</f>
        <v>-1</v>
      </c>
      <c r="I351" s="47"/>
      <c r="J351" s="48">
        <f>VLOOKUP(A351,'[1]תקציב 2026'!$A$1:$M$65536,9,0)</f>
        <v>0</v>
      </c>
      <c r="K351" s="49">
        <f>VLOOKUP(A351,[3]גיליון1!$A$1:$C$7693,3,0)</f>
        <v>-13000000</v>
      </c>
      <c r="L351" s="50">
        <f>VLOOKUP(A351,[2]data1761205830331!$A$1:$J$65536,10,0)</f>
        <v>-8155542</v>
      </c>
    </row>
    <row r="352" spans="1:12" ht="15.75" customHeight="1" outlineLevel="1">
      <c r="A352" s="11">
        <v>1313201423</v>
      </c>
      <c r="B352" s="40">
        <v>423</v>
      </c>
      <c r="C352" s="109">
        <v>313201</v>
      </c>
      <c r="D352" s="42">
        <v>1</v>
      </c>
      <c r="E352" s="112"/>
      <c r="F352" s="44" t="s">
        <v>338</v>
      </c>
      <c r="G352" s="45" t="s">
        <v>29</v>
      </c>
      <c r="H352" s="51">
        <v>1</v>
      </c>
      <c r="I352" s="47" t="s">
        <v>86</v>
      </c>
      <c r="J352" s="48">
        <f>VLOOKUP(A352,'[1]תקציב 2026'!$A$1:$M$65536,9,0)</f>
        <v>-1402500</v>
      </c>
      <c r="K352" s="49">
        <v>0</v>
      </c>
      <c r="L352" s="50">
        <v>0</v>
      </c>
    </row>
    <row r="353" spans="1:12" ht="15.75" customHeight="1" outlineLevel="1">
      <c r="A353" s="11">
        <v>1313201920</v>
      </c>
      <c r="B353" s="40">
        <v>920</v>
      </c>
      <c r="C353" s="109">
        <v>313201</v>
      </c>
      <c r="D353" s="42">
        <v>1</v>
      </c>
      <c r="E353" s="112"/>
      <c r="F353" s="146" t="s">
        <v>339</v>
      </c>
      <c r="G353" s="45" t="s">
        <v>37</v>
      </c>
      <c r="H353" s="51">
        <f t="shared" si="6"/>
        <v>-5.5118110236220486E-2</v>
      </c>
      <c r="I353" s="47"/>
      <c r="J353" s="48">
        <f>VLOOKUP(A353,'[1]תקציב 2026'!$A$1:$M$65536,9,0)</f>
        <v>-6000000</v>
      </c>
      <c r="K353" s="49">
        <f>VLOOKUP(A353,[3]גיליון1!$A$1:$C$7693,3,0)</f>
        <v>-6350000</v>
      </c>
      <c r="L353" s="50">
        <f>VLOOKUP(A353,[2]data1761205830331!$A$1:$J$65536,10,0)</f>
        <v>-5988301.5300000003</v>
      </c>
    </row>
    <row r="354" spans="1:12" ht="15.75" customHeight="1" outlineLevel="1">
      <c r="A354" s="11">
        <v>1313201921</v>
      </c>
      <c r="B354" s="40">
        <v>921</v>
      </c>
      <c r="C354" s="109">
        <v>313201</v>
      </c>
      <c r="D354" s="42">
        <v>1</v>
      </c>
      <c r="E354" s="112"/>
      <c r="F354" s="44" t="s">
        <v>340</v>
      </c>
      <c r="G354" s="45" t="s">
        <v>37</v>
      </c>
      <c r="H354" s="51">
        <f t="shared" si="6"/>
        <v>0.60000000000000009</v>
      </c>
      <c r="I354" s="47"/>
      <c r="J354" s="48">
        <f>VLOOKUP(A354,'[1]תקציב 2026'!$A$1:$M$65536,9,0)</f>
        <v>-3600000</v>
      </c>
      <c r="K354" s="49">
        <f>VLOOKUP(A354,[3]גיליון1!$A$1:$C$7693,3,0)</f>
        <v>-2250000</v>
      </c>
      <c r="L354" s="50">
        <f>VLOOKUP(A354,[2]data1761205830331!$A$1:$J$65536,10,0)</f>
        <v>-3390654.08</v>
      </c>
    </row>
    <row r="355" spans="1:12" ht="15.75" customHeight="1" outlineLevel="1" thickBot="1">
      <c r="A355" s="11">
        <v>1313201941</v>
      </c>
      <c r="B355" s="40">
        <v>941</v>
      </c>
      <c r="C355" s="109">
        <v>313201</v>
      </c>
      <c r="D355" s="42">
        <v>1</v>
      </c>
      <c r="E355" s="112"/>
      <c r="F355" s="44" t="s">
        <v>341</v>
      </c>
      <c r="G355" s="45" t="s">
        <v>37</v>
      </c>
      <c r="H355" s="51">
        <f t="shared" si="6"/>
        <v>9.3874303898170197E-2</v>
      </c>
      <c r="I355" s="47"/>
      <c r="J355" s="48">
        <f>VLOOKUP(A355,'[1]תקציב 2026'!$A$1:$M$65536,9,0)</f>
        <v>-5500000</v>
      </c>
      <c r="K355" s="49">
        <f>VLOOKUP(A355,[3]גיליון1!$A$1:$C$7693,3,0)</f>
        <v>-5028000</v>
      </c>
      <c r="L355" s="50">
        <f>VLOOKUP(A355,[2]data1761205830331!$A$1:$J$65536,10,0)</f>
        <v>-4989250.3899999997</v>
      </c>
    </row>
    <row r="356" spans="1:12" ht="16.2" thickBot="1">
      <c r="A356" s="11" t="e">
        <v>#VALUE!</v>
      </c>
      <c r="B356" s="157" t="s">
        <v>342</v>
      </c>
      <c r="C356" s="54"/>
      <c r="D356" s="55"/>
      <c r="E356" s="115"/>
      <c r="F356" s="116" t="s">
        <v>343</v>
      </c>
      <c r="G356" s="58"/>
      <c r="H356" s="71">
        <f>J356/K356-1</f>
        <v>-0.38025762355415349</v>
      </c>
      <c r="I356" s="72"/>
      <c r="J356" s="74">
        <f>SUBTOTAL(9,J350:J355)</f>
        <v>-16502500</v>
      </c>
      <c r="K356" s="92">
        <f>SUBTOTAL(9,K350:K355)</f>
        <v>-26628000</v>
      </c>
      <c r="L356" s="75">
        <f>SUBTOTAL(9,L350:L355)</f>
        <v>-22523856</v>
      </c>
    </row>
    <row r="357" spans="1:12" ht="15.75" customHeight="1" outlineLevel="1">
      <c r="A357" s="11">
        <v>13133000</v>
      </c>
      <c r="B357" s="64">
        <v>0</v>
      </c>
      <c r="C357" s="131">
        <v>313300</v>
      </c>
      <c r="D357" s="66">
        <v>1</v>
      </c>
      <c r="E357" s="132"/>
      <c r="F357" s="68" t="s">
        <v>344</v>
      </c>
      <c r="G357" s="69" t="s">
        <v>15</v>
      </c>
      <c r="H357" s="51"/>
      <c r="I357" s="47"/>
      <c r="J357" s="48"/>
      <c r="K357" s="49"/>
      <c r="L357" s="50"/>
    </row>
    <row r="358" spans="1:12" ht="15.75" customHeight="1" outlineLevel="1">
      <c r="A358" s="11">
        <v>1313300312</v>
      </c>
      <c r="B358" s="40">
        <v>312</v>
      </c>
      <c r="C358" s="109">
        <v>313300</v>
      </c>
      <c r="D358" s="42">
        <v>1</v>
      </c>
      <c r="E358" s="112"/>
      <c r="F358" s="44" t="s">
        <v>296</v>
      </c>
      <c r="G358" s="45" t="s">
        <v>37</v>
      </c>
      <c r="H358" s="51">
        <f t="shared" si="6"/>
        <v>4.7619047619047672E-2</v>
      </c>
      <c r="I358" s="47"/>
      <c r="J358" s="48">
        <f>VLOOKUP(A358,'[1]תקציב 2026'!$A$1:$M$65536,9,0)</f>
        <v>-11000</v>
      </c>
      <c r="K358" s="49">
        <f>VLOOKUP(A358,[3]גיליון1!$A$1:$C$7693,3,0)</f>
        <v>-10500</v>
      </c>
      <c r="L358" s="50">
        <f>VLOOKUP(A358,[2]data1761205830331!$A$1:$J$65536,10,0)</f>
        <v>-10934</v>
      </c>
    </row>
    <row r="359" spans="1:12" ht="15.75" customHeight="1" outlineLevel="1">
      <c r="A359" s="11">
        <v>1313300430</v>
      </c>
      <c r="B359" s="40">
        <v>430</v>
      </c>
      <c r="C359" s="109">
        <v>313300</v>
      </c>
      <c r="D359" s="42">
        <v>1</v>
      </c>
      <c r="E359" s="112"/>
      <c r="F359" s="44" t="s">
        <v>345</v>
      </c>
      <c r="G359" s="45" t="s">
        <v>37</v>
      </c>
      <c r="H359" s="51">
        <f t="shared" si="6"/>
        <v>-7.407407407407407E-2</v>
      </c>
      <c r="I359" s="47"/>
      <c r="J359" s="48">
        <f>VLOOKUP(A359,'[1]תקציב 2026'!$A$1:$M$65536,9,0)</f>
        <v>-2500000</v>
      </c>
      <c r="K359" s="49">
        <f>VLOOKUP(A359,[3]גיליון1!$A$1:$C$7693,3,0)</f>
        <v>-2700000</v>
      </c>
      <c r="L359" s="50">
        <f>VLOOKUP(A359,[2]data1761205830331!$A$1:$J$65536,10,0)</f>
        <v>-1409722</v>
      </c>
    </row>
    <row r="360" spans="1:12" ht="15.75" customHeight="1" outlineLevel="1">
      <c r="A360" s="11">
        <v>1313300920</v>
      </c>
      <c r="B360" s="40">
        <v>920</v>
      </c>
      <c r="C360" s="109">
        <v>313300</v>
      </c>
      <c r="D360" s="42">
        <v>1</v>
      </c>
      <c r="E360" s="112"/>
      <c r="F360" s="44" t="s">
        <v>346</v>
      </c>
      <c r="G360" s="45" t="s">
        <v>37</v>
      </c>
      <c r="H360" s="51">
        <f t="shared" si="6"/>
        <v>0.16864081632653072</v>
      </c>
      <c r="I360" s="47"/>
      <c r="J360" s="48">
        <f>VLOOKUP(A360,'[1]תקציב 2026'!$A$1:$M$65536,9,0)</f>
        <v>-114526800</v>
      </c>
      <c r="K360" s="49">
        <v>-98000000</v>
      </c>
      <c r="L360" s="50">
        <f>VLOOKUP(A360,[2]data1761205830331!$A$1:$J$65536,10,0)</f>
        <v>-85071674.310000002</v>
      </c>
    </row>
    <row r="361" spans="1:12" ht="15.75" customHeight="1" outlineLevel="1">
      <c r="A361" s="11">
        <v>1313300921</v>
      </c>
      <c r="B361" s="40">
        <v>921</v>
      </c>
      <c r="C361" s="109">
        <v>313300</v>
      </c>
      <c r="D361" s="42">
        <v>1</v>
      </c>
      <c r="E361" s="112"/>
      <c r="F361" s="44" t="s">
        <v>347</v>
      </c>
      <c r="G361" s="45" t="s">
        <v>37</v>
      </c>
      <c r="H361" s="51">
        <f t="shared" si="6"/>
        <v>5.2941176470588269E-2</v>
      </c>
      <c r="I361" s="47"/>
      <c r="J361" s="48">
        <f>VLOOKUP(A361,'[1]תקציב 2026'!$A$1:$M$65536,9,0)</f>
        <v>-214800</v>
      </c>
      <c r="K361" s="49">
        <f>VLOOKUP(A361,[3]גיליון1!$A$1:$C$7693,3,0)</f>
        <v>-204000</v>
      </c>
      <c r="L361" s="50">
        <f>VLOOKUP(A361,[2]data1761205830331!$A$1:$J$65536,10,0)</f>
        <v>-206329.03</v>
      </c>
    </row>
    <row r="362" spans="1:12" ht="15.75" customHeight="1" outlineLevel="1">
      <c r="A362" s="11">
        <v>1313300922</v>
      </c>
      <c r="B362" s="40">
        <v>922</v>
      </c>
      <c r="C362" s="109">
        <v>313300</v>
      </c>
      <c r="D362" s="42">
        <v>1</v>
      </c>
      <c r="E362" s="112"/>
      <c r="F362" s="44" t="s">
        <v>348</v>
      </c>
      <c r="G362" s="45" t="s">
        <v>37</v>
      </c>
      <c r="H362" s="51">
        <f t="shared" si="6"/>
        <v>0.11007042253521138</v>
      </c>
      <c r="I362" s="47"/>
      <c r="J362" s="48">
        <f>VLOOKUP(A362,'[1]תקציב 2026'!$A$1:$M$65536,9,0)</f>
        <v>-3152600</v>
      </c>
      <c r="K362" s="49">
        <f>VLOOKUP(A362,[3]גיליון1!$A$1:$C$7693,3,0)</f>
        <v>-2840000</v>
      </c>
      <c r="L362" s="50">
        <f>VLOOKUP(A362,[2]data1761205830331!$A$1:$J$65536,10,0)</f>
        <v>-3033204.47</v>
      </c>
    </row>
    <row r="363" spans="1:12" ht="15.75" customHeight="1" outlineLevel="1">
      <c r="A363" s="11">
        <v>1313300923</v>
      </c>
      <c r="B363" s="40">
        <v>923</v>
      </c>
      <c r="C363" s="109">
        <v>313300</v>
      </c>
      <c r="D363" s="42">
        <v>1</v>
      </c>
      <c r="E363" s="112"/>
      <c r="F363" s="44" t="s">
        <v>349</v>
      </c>
      <c r="G363" s="45" t="s">
        <v>37</v>
      </c>
      <c r="H363" s="51">
        <v>0</v>
      </c>
      <c r="I363" s="47"/>
      <c r="J363" s="48">
        <f>VLOOKUP(A363,'[1]תקציב 2026'!$A$1:$M$65536,9,0)</f>
        <v>0</v>
      </c>
      <c r="K363" s="49">
        <f>VLOOKUP(A363,[3]גיליון1!$A$1:$C$7693,3,0)</f>
        <v>0</v>
      </c>
      <c r="L363" s="50">
        <f>VLOOKUP(A363,[2]data1761205830331!$A$1:$J$65536,10,0)</f>
        <v>-132313</v>
      </c>
    </row>
    <row r="364" spans="1:12" ht="15.75" customHeight="1" outlineLevel="1">
      <c r="A364" s="11">
        <v>1313300924</v>
      </c>
      <c r="B364" s="40">
        <v>924</v>
      </c>
      <c r="C364" s="109">
        <v>313300</v>
      </c>
      <c r="D364" s="42">
        <v>1</v>
      </c>
      <c r="E364" s="112"/>
      <c r="F364" s="44" t="s">
        <v>305</v>
      </c>
      <c r="G364" s="45" t="s">
        <v>37</v>
      </c>
      <c r="H364" s="51">
        <f t="shared" si="6"/>
        <v>0.21653002930593157</v>
      </c>
      <c r="I364" s="47"/>
      <c r="J364" s="48">
        <f>VLOOKUP(A364,'[1]תקציב 2026'!$A$1:$M$65536,9,0)</f>
        <v>-3279400</v>
      </c>
      <c r="K364" s="49">
        <f>VLOOKUP(A364,[3]גיליון1!$A$1:$C$7693,3,0)</f>
        <v>-2695700</v>
      </c>
      <c r="L364" s="50">
        <f>VLOOKUP(A364,[2]data1761205830331!$A$1:$J$65536,10,0)</f>
        <v>-3348536.44</v>
      </c>
    </row>
    <row r="365" spans="1:12" ht="15.75" customHeight="1" outlineLevel="1">
      <c r="A365" s="11">
        <v>1313300926</v>
      </c>
      <c r="B365" s="40">
        <v>926</v>
      </c>
      <c r="C365" s="109">
        <v>313300</v>
      </c>
      <c r="D365" s="42">
        <v>1</v>
      </c>
      <c r="E365" s="112"/>
      <c r="F365" s="44" t="s">
        <v>350</v>
      </c>
      <c r="G365" s="45" t="s">
        <v>37</v>
      </c>
      <c r="H365" s="51">
        <f t="shared" si="6"/>
        <v>6.3684210526315788E-2</v>
      </c>
      <c r="I365" s="47"/>
      <c r="J365" s="48">
        <f>VLOOKUP(A365,'[1]תקציב 2026'!$A$1:$M$65536,9,0)</f>
        <v>-404200</v>
      </c>
      <c r="K365" s="49">
        <f>VLOOKUP(A365,[3]גיליון1!$A$1:$C$7693,3,0)</f>
        <v>-380000</v>
      </c>
      <c r="L365" s="50">
        <f>VLOOKUP(A365,[2]data1761205830331!$A$1:$J$65536,10,0)</f>
        <v>-383286.2</v>
      </c>
    </row>
    <row r="366" spans="1:12" ht="15.75" customHeight="1" outlineLevel="1">
      <c r="A366" s="11">
        <v>1313300928</v>
      </c>
      <c r="B366" s="40">
        <v>928</v>
      </c>
      <c r="C366" s="109">
        <v>313300</v>
      </c>
      <c r="D366" s="42">
        <v>1</v>
      </c>
      <c r="E366" s="112"/>
      <c r="F366" s="44" t="s">
        <v>351</v>
      </c>
      <c r="G366" s="45" t="s">
        <v>37</v>
      </c>
      <c r="H366" s="51">
        <f t="shared" si="6"/>
        <v>-0.88938775510204082</v>
      </c>
      <c r="I366" s="47"/>
      <c r="J366" s="48">
        <f>VLOOKUP(A366,'[1]תקציב 2026'!$A$1:$M$65536,9,0)</f>
        <v>-27100</v>
      </c>
      <c r="K366" s="49">
        <f>VLOOKUP(A366,[3]גיליון1!$A$1:$C$7693,3,0)</f>
        <v>-245000</v>
      </c>
      <c r="L366" s="50">
        <f>VLOOKUP(A366,[2]data1761205830331!$A$1:$J$65536,10,0)</f>
        <v>-255172</v>
      </c>
    </row>
    <row r="367" spans="1:12" ht="15.75" customHeight="1" outlineLevel="1" thickBot="1">
      <c r="A367" s="11">
        <v>1313300954</v>
      </c>
      <c r="B367" s="40">
        <v>954</v>
      </c>
      <c r="C367" s="109">
        <v>313300</v>
      </c>
      <c r="D367" s="42">
        <v>1</v>
      </c>
      <c r="E367" s="112"/>
      <c r="F367" s="44" t="s">
        <v>323</v>
      </c>
      <c r="G367" s="45" t="s">
        <v>37</v>
      </c>
      <c r="H367" s="51">
        <f t="shared" si="6"/>
        <v>-5.0632911392405111E-2</v>
      </c>
      <c r="I367" s="47"/>
      <c r="J367" s="48">
        <f>VLOOKUP(A367,'[1]תקציב 2026'!$A$1:$M$65536,9,0)</f>
        <v>-750000</v>
      </c>
      <c r="K367" s="49">
        <v>-790000</v>
      </c>
      <c r="L367" s="50">
        <f>VLOOKUP(A367,[2]data1761205830331!$A$1:$J$65536,10,0)</f>
        <v>0</v>
      </c>
    </row>
    <row r="368" spans="1:12" ht="16.2" thickBot="1">
      <c r="A368" s="11" t="e">
        <v>#VALUE!</v>
      </c>
      <c r="B368" s="53" t="s">
        <v>352</v>
      </c>
      <c r="C368" s="54"/>
      <c r="D368" s="55"/>
      <c r="E368" s="115"/>
      <c r="F368" s="116" t="s">
        <v>344</v>
      </c>
      <c r="G368" s="58"/>
      <c r="H368" s="71">
        <f>J368/K368-1</f>
        <v>0.15761061028023859</v>
      </c>
      <c r="I368" s="72"/>
      <c r="J368" s="74">
        <f>SUBTOTAL(9,J358:J367)</f>
        <v>-124865900</v>
      </c>
      <c r="K368" s="92">
        <f>SUBTOTAL(9,K358:K367)</f>
        <v>-107865200</v>
      </c>
      <c r="L368" s="75">
        <f>SUBTOTAL(9,L358:L367)</f>
        <v>-93851171.450000003</v>
      </c>
    </row>
    <row r="369" spans="1:12" ht="15.75" customHeight="1" outlineLevel="1">
      <c r="A369" s="11">
        <v>13133100</v>
      </c>
      <c r="B369" s="40">
        <v>0</v>
      </c>
      <c r="C369" s="109">
        <v>313310</v>
      </c>
      <c r="D369" s="42">
        <v>1</v>
      </c>
      <c r="E369" s="112"/>
      <c r="F369" s="44" t="s">
        <v>353</v>
      </c>
      <c r="G369" s="45" t="s">
        <v>15</v>
      </c>
      <c r="H369" s="51"/>
      <c r="I369" s="47"/>
      <c r="J369" s="48"/>
      <c r="K369" s="49"/>
      <c r="L369" s="50"/>
    </row>
    <row r="370" spans="1:12" ht="15.75" customHeight="1" outlineLevel="1">
      <c r="A370" s="11">
        <v>1313310312</v>
      </c>
      <c r="B370" s="40">
        <v>312</v>
      </c>
      <c r="C370" s="109">
        <v>313310</v>
      </c>
      <c r="D370" s="42">
        <v>1</v>
      </c>
      <c r="E370" s="112"/>
      <c r="F370" s="44" t="s">
        <v>296</v>
      </c>
      <c r="G370" s="45" t="s">
        <v>37</v>
      </c>
      <c r="H370" s="51">
        <f t="shared" si="6"/>
        <v>0</v>
      </c>
      <c r="I370" s="47"/>
      <c r="J370" s="48">
        <f>VLOOKUP(A370,'[1]תקציב 2026'!$A$1:$M$65536,9,0)</f>
        <v>-2000</v>
      </c>
      <c r="K370" s="49">
        <f>VLOOKUP(A370,[3]גיליון1!$A$1:$C$7693,3,0)</f>
        <v>-2000</v>
      </c>
      <c r="L370" s="50">
        <f>VLOOKUP(A370,[2]data1761205830331!$A$1:$J$65536,10,0)</f>
        <v>-1870</v>
      </c>
    </row>
    <row r="371" spans="1:12" ht="15.75" customHeight="1" outlineLevel="1">
      <c r="A371" s="11">
        <v>1313310430</v>
      </c>
      <c r="B371" s="40">
        <v>430</v>
      </c>
      <c r="C371" s="109">
        <v>313310</v>
      </c>
      <c r="D371" s="42">
        <v>1</v>
      </c>
      <c r="E371" s="112"/>
      <c r="F371" s="44" t="s">
        <v>354</v>
      </c>
      <c r="G371" s="45" t="s">
        <v>37</v>
      </c>
      <c r="H371" s="51">
        <f t="shared" si="6"/>
        <v>-0.11111111111111116</v>
      </c>
      <c r="I371" s="47"/>
      <c r="J371" s="48">
        <f>VLOOKUP(A371,'[1]תקציב 2026'!$A$1:$M$65536,9,0)</f>
        <v>-400000</v>
      </c>
      <c r="K371" s="49">
        <f>VLOOKUP(A371,[3]גיליון1!$A$1:$C$7693,3,0)</f>
        <v>-450000</v>
      </c>
      <c r="L371" s="50">
        <f>VLOOKUP(A371,[2]data1761205830331!$A$1:$J$65536,10,0)</f>
        <v>-221590</v>
      </c>
    </row>
    <row r="372" spans="1:12" ht="15.75" customHeight="1" outlineLevel="1">
      <c r="A372" s="11">
        <v>1313310920</v>
      </c>
      <c r="B372" s="40">
        <v>920</v>
      </c>
      <c r="C372" s="109">
        <v>313310</v>
      </c>
      <c r="D372" s="42">
        <v>1</v>
      </c>
      <c r="E372" s="112"/>
      <c r="F372" s="44" t="s">
        <v>346</v>
      </c>
      <c r="G372" s="45" t="s">
        <v>37</v>
      </c>
      <c r="H372" s="51">
        <f t="shared" si="6"/>
        <v>0.45531459170013378</v>
      </c>
      <c r="I372" s="47"/>
      <c r="J372" s="48">
        <f>VLOOKUP(A372,'[1]תקציב 2026'!$A$1:$M$65536,9,0)</f>
        <v>-2717800</v>
      </c>
      <c r="K372" s="49">
        <f>VLOOKUP(A372,[3]גיליון1!$A$1:$C$7693,3,0)</f>
        <v>-1867500</v>
      </c>
      <c r="L372" s="50">
        <f>VLOOKUP(A372,[2]data1761205830331!$A$1:$J$65536,10,0)</f>
        <v>-2348806.59</v>
      </c>
    </row>
    <row r="373" spans="1:12" ht="15.75" customHeight="1" outlineLevel="1">
      <c r="A373" s="11">
        <v>1313310921</v>
      </c>
      <c r="B373" s="40">
        <v>921</v>
      </c>
      <c r="C373" s="109">
        <v>313310</v>
      </c>
      <c r="D373" s="42">
        <v>1</v>
      </c>
      <c r="E373" s="112"/>
      <c r="F373" s="44" t="s">
        <v>355</v>
      </c>
      <c r="G373" s="45" t="s">
        <v>37</v>
      </c>
      <c r="H373" s="51">
        <f t="shared" si="6"/>
        <v>5.3754940711462362E-2</v>
      </c>
      <c r="I373" s="47"/>
      <c r="J373" s="48">
        <f>VLOOKUP(A373,'[1]תקציב 2026'!$A$1:$M$65536,9,0)</f>
        <v>-399900</v>
      </c>
      <c r="K373" s="49">
        <f>VLOOKUP(A373,[3]גיליון1!$A$1:$C$7693,3,0)</f>
        <v>-379500</v>
      </c>
      <c r="L373" s="50">
        <f>VLOOKUP(A373,[2]data1761205830331!$A$1:$J$65536,10,0)</f>
        <v>-380165.14</v>
      </c>
    </row>
    <row r="374" spans="1:12" ht="15.75" customHeight="1" outlineLevel="1">
      <c r="A374" s="11">
        <v>1313310922</v>
      </c>
      <c r="B374" s="40">
        <v>922</v>
      </c>
      <c r="C374" s="109">
        <v>313310</v>
      </c>
      <c r="D374" s="42">
        <v>1</v>
      </c>
      <c r="E374" s="112"/>
      <c r="F374" s="44" t="s">
        <v>348</v>
      </c>
      <c r="G374" s="45" t="s">
        <v>37</v>
      </c>
      <c r="H374" s="51">
        <f t="shared" si="6"/>
        <v>0</v>
      </c>
      <c r="I374" s="47"/>
      <c r="J374" s="48">
        <f>VLOOKUP(A374,'[1]תקציב 2026'!$A$1:$M$65536,9,0)</f>
        <v>-330000</v>
      </c>
      <c r="K374" s="49">
        <f>VLOOKUP(A374,[3]גיליון1!$A$1:$C$7693,3,0)</f>
        <v>-330000</v>
      </c>
      <c r="L374" s="50">
        <f>VLOOKUP(A374,[2]data1761205830331!$A$1:$J$65536,10,0)</f>
        <v>-341438.41</v>
      </c>
    </row>
    <row r="375" spans="1:12" ht="15.75" customHeight="1" outlineLevel="1">
      <c r="A375" s="11">
        <v>1313310924</v>
      </c>
      <c r="B375" s="40">
        <v>924</v>
      </c>
      <c r="C375" s="109">
        <v>313310</v>
      </c>
      <c r="D375" s="42">
        <v>1</v>
      </c>
      <c r="E375" s="112"/>
      <c r="F375" s="44" t="s">
        <v>305</v>
      </c>
      <c r="G375" s="45" t="s">
        <v>37</v>
      </c>
      <c r="H375" s="51">
        <f t="shared" si="6"/>
        <v>-3.8978494623655879E-2</v>
      </c>
      <c r="I375" s="47"/>
      <c r="J375" s="48">
        <f>VLOOKUP(A375,'[1]תקציב 2026'!$A$1:$M$65536,9,0)</f>
        <v>-143000</v>
      </c>
      <c r="K375" s="49">
        <f>VLOOKUP(A375,[3]גיליון1!$A$1:$C$7693,3,0)</f>
        <v>-148800</v>
      </c>
      <c r="L375" s="50">
        <f>VLOOKUP(A375,[2]data1761205830331!$A$1:$J$65536,10,0)</f>
        <v>-136545.29999999999</v>
      </c>
    </row>
    <row r="376" spans="1:12" ht="15.75" customHeight="1" outlineLevel="1" thickBot="1">
      <c r="A376" s="11">
        <v>1313310954</v>
      </c>
      <c r="B376" s="40">
        <v>954</v>
      </c>
      <c r="C376" s="109">
        <v>313310</v>
      </c>
      <c r="D376" s="42">
        <v>1</v>
      </c>
      <c r="E376" s="112"/>
      <c r="F376" s="44" t="s">
        <v>323</v>
      </c>
      <c r="G376" s="45" t="s">
        <v>37</v>
      </c>
      <c r="H376" s="51">
        <f t="shared" si="6"/>
        <v>-2.4390243902439046E-2</v>
      </c>
      <c r="I376" s="47"/>
      <c r="J376" s="48">
        <f>VLOOKUP(A376,'[1]תקציב 2026'!$A$1:$M$65536,9,0)</f>
        <v>-120000</v>
      </c>
      <c r="K376" s="49">
        <v>-123000</v>
      </c>
      <c r="L376" s="50">
        <f>VLOOKUP(A376,[2]data1761205830331!$A$1:$J$65536,10,0)</f>
        <v>0</v>
      </c>
    </row>
    <row r="377" spans="1:12" ht="16.2" thickBot="1">
      <c r="A377" s="11" t="e">
        <v>#VALUE!</v>
      </c>
      <c r="B377" s="53" t="s">
        <v>356</v>
      </c>
      <c r="C377" s="54"/>
      <c r="D377" s="55"/>
      <c r="E377" s="115"/>
      <c r="F377" s="116" t="s">
        <v>353</v>
      </c>
      <c r="G377" s="58"/>
      <c r="H377" s="71">
        <f>J377/K377-1</f>
        <v>0.2459706737760543</v>
      </c>
      <c r="I377" s="72"/>
      <c r="J377" s="74">
        <f>SUBTOTAL(9,J370:J376)</f>
        <v>-4112700</v>
      </c>
      <c r="K377" s="92">
        <f>SUBTOTAL(9,K370:K376)</f>
        <v>-3300800</v>
      </c>
      <c r="L377" s="75">
        <f>SUBTOTAL(9,L370:L376)</f>
        <v>-3430415.44</v>
      </c>
    </row>
    <row r="378" spans="1:12" ht="15.75" customHeight="1" outlineLevel="1">
      <c r="A378" s="11">
        <v>13137000</v>
      </c>
      <c r="B378" s="40">
        <v>0</v>
      </c>
      <c r="C378" s="109">
        <v>313700</v>
      </c>
      <c r="D378" s="42">
        <v>1</v>
      </c>
      <c r="E378" s="112"/>
      <c r="F378" s="44" t="s">
        <v>357</v>
      </c>
      <c r="G378" s="45" t="s">
        <v>15</v>
      </c>
      <c r="H378" s="51"/>
      <c r="I378" s="47"/>
      <c r="J378" s="48"/>
      <c r="K378" s="49"/>
      <c r="L378" s="50"/>
    </row>
    <row r="379" spans="1:12" ht="15.75" customHeight="1" outlineLevel="1">
      <c r="A379" s="11">
        <v>1313700921</v>
      </c>
      <c r="B379" s="40">
        <v>921</v>
      </c>
      <c r="C379" s="109">
        <v>313700</v>
      </c>
      <c r="D379" s="42">
        <v>1</v>
      </c>
      <c r="E379" s="112"/>
      <c r="F379" s="44" t="s">
        <v>358</v>
      </c>
      <c r="G379" s="45" t="s">
        <v>37</v>
      </c>
      <c r="H379" s="51">
        <f t="shared" si="6"/>
        <v>-0.1428571428571429</v>
      </c>
      <c r="I379" s="47"/>
      <c r="J379" s="48">
        <f>VLOOKUP(A379,'[1]תקציב 2026'!$A$1:$M$65536,9,0)</f>
        <v>-60000</v>
      </c>
      <c r="K379" s="49">
        <f>VLOOKUP(A379,[3]גיליון1!$A$1:$C$7693,3,0)</f>
        <v>-70000</v>
      </c>
      <c r="L379" s="50">
        <f>VLOOKUP(A379,[2]data1761205830331!$A$1:$J$65536,10,0)</f>
        <v>-49317.1</v>
      </c>
    </row>
    <row r="380" spans="1:12" ht="15.75" customHeight="1" outlineLevel="1" thickBot="1">
      <c r="A380" s="11">
        <v>1313700922</v>
      </c>
      <c r="B380" s="40">
        <v>922</v>
      </c>
      <c r="C380" s="109">
        <v>313700</v>
      </c>
      <c r="D380" s="42">
        <v>1</v>
      </c>
      <c r="E380" s="112"/>
      <c r="F380" s="44" t="s">
        <v>359</v>
      </c>
      <c r="G380" s="45" t="s">
        <v>37</v>
      </c>
      <c r="H380" s="51">
        <f t="shared" si="6"/>
        <v>0.17062073448163795</v>
      </c>
      <c r="I380" s="47"/>
      <c r="J380" s="48">
        <f>VLOOKUP(A380,'[1]תקציב 2026'!$A$1:$M$65536,9,0)</f>
        <v>-360200</v>
      </c>
      <c r="K380" s="49">
        <f>VLOOKUP(A380,[3]גיליון1!$A$1:$C$7693,3,0)</f>
        <v>-307700</v>
      </c>
      <c r="L380" s="50">
        <f>VLOOKUP(A380,[2]data1761205830331!$A$1:$J$65536,10,0)</f>
        <v>-320411.71999999997</v>
      </c>
    </row>
    <row r="381" spans="1:12" ht="16.2" thickBot="1">
      <c r="A381" s="11" t="e">
        <v>#VALUE!</v>
      </c>
      <c r="B381" s="53" t="s">
        <v>360</v>
      </c>
      <c r="C381" s="54"/>
      <c r="D381" s="55"/>
      <c r="E381" s="115"/>
      <c r="F381" s="116" t="s">
        <v>357</v>
      </c>
      <c r="G381" s="58"/>
      <c r="H381" s="71">
        <f>J381/K381-1</f>
        <v>0.11252316653428651</v>
      </c>
      <c r="I381" s="72"/>
      <c r="J381" s="74">
        <f>SUBTOTAL(9,J379:J380)</f>
        <v>-420200</v>
      </c>
      <c r="K381" s="92">
        <f>SUBTOTAL(9,K379:K380)</f>
        <v>-377700</v>
      </c>
      <c r="L381" s="75">
        <f>SUBTOTAL(9,L379:L380)</f>
        <v>-369728.81999999995</v>
      </c>
    </row>
    <row r="382" spans="1:12" ht="15.75" customHeight="1" outlineLevel="1">
      <c r="A382" s="11">
        <v>13150000</v>
      </c>
      <c r="B382" s="40">
        <v>0</v>
      </c>
      <c r="C382" s="109">
        <v>315000</v>
      </c>
      <c r="D382" s="42">
        <v>1</v>
      </c>
      <c r="E382" s="112"/>
      <c r="F382" s="44" t="s">
        <v>361</v>
      </c>
      <c r="G382" s="45" t="s">
        <v>15</v>
      </c>
      <c r="H382" s="51"/>
      <c r="I382" s="47"/>
      <c r="J382" s="48"/>
      <c r="K382" s="49"/>
      <c r="L382" s="50"/>
    </row>
    <row r="383" spans="1:12" ht="15.75" customHeight="1" outlineLevel="1">
      <c r="A383" s="11">
        <v>1315100490</v>
      </c>
      <c r="B383" s="40">
        <v>490</v>
      </c>
      <c r="C383" s="109">
        <v>315100</v>
      </c>
      <c r="D383" s="42">
        <v>1</v>
      </c>
      <c r="E383" s="112"/>
      <c r="F383" s="44" t="s">
        <v>362</v>
      </c>
      <c r="G383" s="45" t="s">
        <v>37</v>
      </c>
      <c r="H383" s="51">
        <f t="shared" si="6"/>
        <v>0</v>
      </c>
      <c r="I383" s="47"/>
      <c r="J383" s="48">
        <f>VLOOKUP(A383,'[1]תקציב 2026'!$A$1:$M$65536,9,0)</f>
        <v>-237500</v>
      </c>
      <c r="K383" s="49">
        <v>-237500</v>
      </c>
      <c r="L383" s="50">
        <f>VLOOKUP(A383,[2]data1761205830331!$A$1:$J$65536,10,0)</f>
        <v>0</v>
      </c>
    </row>
    <row r="384" spans="1:12" ht="15.75" customHeight="1" outlineLevel="1">
      <c r="A384" s="11">
        <v>1315100493</v>
      </c>
      <c r="B384" s="40">
        <v>493</v>
      </c>
      <c r="C384" s="109">
        <v>315100</v>
      </c>
      <c r="D384" s="42">
        <v>1</v>
      </c>
      <c r="E384" s="112"/>
      <c r="F384" s="44" t="s">
        <v>363</v>
      </c>
      <c r="G384" s="45" t="s">
        <v>37</v>
      </c>
      <c r="H384" s="51">
        <f t="shared" si="6"/>
        <v>0</v>
      </c>
      <c r="I384" s="47"/>
      <c r="J384" s="48">
        <f>VLOOKUP(A384,'[1]תקציב 2026'!$A$1:$M$65536,9,0)</f>
        <v>-60000</v>
      </c>
      <c r="K384" s="49">
        <f>VLOOKUP(A384,[3]גיליון1!$A$1:$C$7693,3,0)</f>
        <v>-60000</v>
      </c>
      <c r="L384" s="50">
        <f>VLOOKUP(A384,[2]data1761205830331!$A$1:$J$65536,10,0)</f>
        <v>-53257.84</v>
      </c>
    </row>
    <row r="385" spans="1:12" ht="15.75" customHeight="1" outlineLevel="1">
      <c r="A385" s="11">
        <v>1315100922</v>
      </c>
      <c r="B385" s="40">
        <v>922</v>
      </c>
      <c r="C385" s="109">
        <v>315100</v>
      </c>
      <c r="D385" s="42">
        <v>1</v>
      </c>
      <c r="E385" s="112"/>
      <c r="F385" s="44" t="s">
        <v>364</v>
      </c>
      <c r="G385" s="45" t="s">
        <v>37</v>
      </c>
      <c r="H385" s="51">
        <f t="shared" si="6"/>
        <v>0</v>
      </c>
      <c r="I385" s="47"/>
      <c r="J385" s="48">
        <f>VLOOKUP(A385,'[1]תקציב 2026'!$A$1:$M$65536,9,0)</f>
        <v>-270000</v>
      </c>
      <c r="K385" s="49">
        <f>VLOOKUP(A385,[3]גיליון1!$A$1:$C$7693,3,0)</f>
        <v>-270000</v>
      </c>
      <c r="L385" s="50">
        <f>VLOOKUP(A385,[2]data1761205830331!$A$1:$J$65536,10,0)</f>
        <v>-226548</v>
      </c>
    </row>
    <row r="386" spans="1:12" ht="15.75" customHeight="1" outlineLevel="1" thickBot="1">
      <c r="A386" s="11">
        <v>1315100924</v>
      </c>
      <c r="B386" s="40">
        <v>924</v>
      </c>
      <c r="C386" s="109">
        <v>315100</v>
      </c>
      <c r="D386" s="42">
        <v>1</v>
      </c>
      <c r="E386" s="112"/>
      <c r="F386" s="44" t="s">
        <v>365</v>
      </c>
      <c r="G386" s="45" t="s">
        <v>37</v>
      </c>
      <c r="H386" s="51">
        <f t="shared" si="6"/>
        <v>-1</v>
      </c>
      <c r="I386" s="47"/>
      <c r="J386" s="48">
        <f>VLOOKUP(A386,'[1]תקציב 2026'!$A$1:$M$65536,9,0)</f>
        <v>0</v>
      </c>
      <c r="K386" s="49">
        <f>VLOOKUP(A386,[3]גיליון1!$A$1:$C$7693,3,0)</f>
        <v>-40000</v>
      </c>
      <c r="L386" s="50">
        <f>VLOOKUP(A386,[2]data1761205830331!$A$1:$J$65536,10,0)</f>
        <v>0</v>
      </c>
    </row>
    <row r="387" spans="1:12" ht="16.2" thickBot="1">
      <c r="A387" s="11" t="e">
        <v>#VALUE!</v>
      </c>
      <c r="B387" s="53" t="s">
        <v>366</v>
      </c>
      <c r="C387" s="54"/>
      <c r="D387" s="55"/>
      <c r="E387" s="115"/>
      <c r="F387" s="116" t="s">
        <v>367</v>
      </c>
      <c r="G387" s="58"/>
      <c r="H387" s="71">
        <f>J387/K387-1</f>
        <v>-6.5843621399176988E-2</v>
      </c>
      <c r="I387" s="72"/>
      <c r="J387" s="74">
        <f>SUBTOTAL(9,J383:J386)</f>
        <v>-567500</v>
      </c>
      <c r="K387" s="92">
        <f>SUBTOTAL(9,K383:K386)</f>
        <v>-607500</v>
      </c>
      <c r="L387" s="75">
        <f>SUBTOTAL(9,L383:L386)</f>
        <v>-279805.83999999997</v>
      </c>
    </row>
    <row r="388" spans="1:12" ht="15.75" customHeight="1" outlineLevel="1">
      <c r="A388" s="11">
        <v>13151100</v>
      </c>
      <c r="B388" s="40">
        <v>0</v>
      </c>
      <c r="C388" s="109">
        <v>315110</v>
      </c>
      <c r="D388" s="42">
        <v>1</v>
      </c>
      <c r="E388" s="112"/>
      <c r="F388" s="154" t="s">
        <v>368</v>
      </c>
      <c r="G388" s="45" t="s">
        <v>15</v>
      </c>
      <c r="H388" s="51"/>
      <c r="I388" s="47"/>
      <c r="J388" s="48"/>
      <c r="K388" s="49"/>
      <c r="L388" s="50"/>
    </row>
    <row r="389" spans="1:12" ht="15.75" customHeight="1" outlineLevel="1" thickBot="1">
      <c r="A389" s="11">
        <v>1315110923</v>
      </c>
      <c r="B389" s="40">
        <v>923</v>
      </c>
      <c r="C389" s="109">
        <v>315110</v>
      </c>
      <c r="D389" s="42">
        <v>1</v>
      </c>
      <c r="E389" s="112"/>
      <c r="F389" s="154" t="s">
        <v>369</v>
      </c>
      <c r="G389" s="45" t="s">
        <v>37</v>
      </c>
      <c r="H389" s="51">
        <f t="shared" si="6"/>
        <v>1</v>
      </c>
      <c r="I389" s="47"/>
      <c r="J389" s="48">
        <f>VLOOKUP(A389,'[1]תקציב 2026'!$A$1:$M$65536,9,0)</f>
        <v>-80000</v>
      </c>
      <c r="K389" s="49">
        <f>VLOOKUP(A389,[3]גיליון1!$A$1:$C$7693,3,0)</f>
        <v>-40000</v>
      </c>
      <c r="L389" s="50">
        <f>VLOOKUP(A389,[2]data1761205830331!$A$1:$J$65536,10,0)</f>
        <v>0</v>
      </c>
    </row>
    <row r="390" spans="1:12" ht="16.2" thickBot="1">
      <c r="A390" s="11" t="e">
        <v>#VALUE!</v>
      </c>
      <c r="B390" s="157" t="s">
        <v>370</v>
      </c>
      <c r="C390" s="54"/>
      <c r="D390" s="55"/>
      <c r="E390" s="115"/>
      <c r="F390" s="116" t="s">
        <v>368</v>
      </c>
      <c r="G390" s="58"/>
      <c r="H390" s="71">
        <f>J390/K390-1</f>
        <v>1</v>
      </c>
      <c r="I390" s="72"/>
      <c r="J390" s="74">
        <f>SUBTOTAL(9,J389:J389)</f>
        <v>-80000</v>
      </c>
      <c r="K390" s="92">
        <f>SUBTOTAL(9,K389:K389)</f>
        <v>-40000</v>
      </c>
      <c r="L390" s="75">
        <f>SUBTOTAL(9,L389:L389)</f>
        <v>0</v>
      </c>
    </row>
    <row r="391" spans="1:12" ht="15.75" customHeight="1" outlineLevel="1">
      <c r="A391" s="11">
        <v>13151300</v>
      </c>
      <c r="B391" s="40">
        <v>0</v>
      </c>
      <c r="C391" s="109">
        <v>315130</v>
      </c>
      <c r="D391" s="42">
        <v>1</v>
      </c>
      <c r="E391" s="112"/>
      <c r="F391" s="154" t="s">
        <v>371</v>
      </c>
      <c r="G391" s="45" t="s">
        <v>15</v>
      </c>
      <c r="H391" s="51"/>
      <c r="I391" s="47"/>
      <c r="J391" s="48"/>
      <c r="K391" s="49"/>
      <c r="L391" s="50"/>
    </row>
    <row r="392" spans="1:12" ht="15.75" customHeight="1" outlineLevel="1" thickBot="1">
      <c r="A392" s="11">
        <v>1315130923</v>
      </c>
      <c r="B392" s="40">
        <v>923</v>
      </c>
      <c r="C392" s="109">
        <v>315130</v>
      </c>
      <c r="D392" s="42">
        <v>1</v>
      </c>
      <c r="E392" s="112"/>
      <c r="F392" s="154" t="s">
        <v>369</v>
      </c>
      <c r="G392" s="45" t="s">
        <v>37</v>
      </c>
      <c r="H392" s="51">
        <f t="shared" si="6"/>
        <v>-1</v>
      </c>
      <c r="I392" s="47"/>
      <c r="J392" s="48">
        <f>VLOOKUP(A392,'[1]תקציב 2026'!$A$1:$M$65536,9,0)</f>
        <v>0</v>
      </c>
      <c r="K392" s="49">
        <v>-80000</v>
      </c>
      <c r="L392" s="50">
        <f>VLOOKUP(A392,[2]data1761205830331!$A$1:$J$65536,10,0)</f>
        <v>-29999.96</v>
      </c>
    </row>
    <row r="393" spans="1:12" ht="16.2" thickBot="1">
      <c r="A393" s="11" t="e">
        <v>#VALUE!</v>
      </c>
      <c r="B393" s="157" t="s">
        <v>372</v>
      </c>
      <c r="C393" s="54"/>
      <c r="D393" s="55"/>
      <c r="E393" s="115"/>
      <c r="F393" s="116" t="s">
        <v>371</v>
      </c>
      <c r="G393" s="58"/>
      <c r="H393" s="71">
        <f>J393/K393-1</f>
        <v>-1</v>
      </c>
      <c r="I393" s="72"/>
      <c r="J393" s="74">
        <f>SUBTOTAL(9,J392:J392)</f>
        <v>0</v>
      </c>
      <c r="K393" s="92">
        <f>SUBTOTAL(9,K392:K392)</f>
        <v>-80000</v>
      </c>
      <c r="L393" s="75">
        <f>SUBTOTAL(9,L392:L392)</f>
        <v>-29999.96</v>
      </c>
    </row>
    <row r="394" spans="1:12" ht="15.75" customHeight="1" outlineLevel="1">
      <c r="A394" s="11">
        <v>13151500</v>
      </c>
      <c r="B394" s="40">
        <v>0</v>
      </c>
      <c r="C394" s="109">
        <v>315150</v>
      </c>
      <c r="D394" s="42">
        <v>1</v>
      </c>
      <c r="E394" s="112"/>
      <c r="F394" s="154" t="s">
        <v>373</v>
      </c>
      <c r="G394" s="45" t="s">
        <v>15</v>
      </c>
      <c r="H394" s="51"/>
      <c r="I394" s="47"/>
      <c r="J394" s="48"/>
      <c r="K394" s="49"/>
      <c r="L394" s="50"/>
    </row>
    <row r="395" spans="1:12" ht="15.75" customHeight="1" outlineLevel="1" thickBot="1">
      <c r="A395" s="11">
        <v>1315150923</v>
      </c>
      <c r="B395" s="40">
        <v>923</v>
      </c>
      <c r="C395" s="109">
        <v>315150</v>
      </c>
      <c r="D395" s="42">
        <v>1</v>
      </c>
      <c r="E395" s="112"/>
      <c r="F395" s="154" t="s">
        <v>369</v>
      </c>
      <c r="G395" s="45" t="s">
        <v>37</v>
      </c>
      <c r="H395" s="51">
        <v>0</v>
      </c>
      <c r="I395" s="47"/>
      <c r="J395" s="48">
        <f>VLOOKUP(A395,'[1]תקציב 2026'!$A$1:$M$65536,9,0)</f>
        <v>0</v>
      </c>
      <c r="K395" s="49">
        <v>0</v>
      </c>
      <c r="L395" s="50">
        <f>VLOOKUP(A395,[2]data1761205830331!$A$1:$J$65536,10,0)</f>
        <v>-12599.92</v>
      </c>
    </row>
    <row r="396" spans="1:12" ht="16.2" thickBot="1">
      <c r="A396" s="11" t="e">
        <v>#VALUE!</v>
      </c>
      <c r="B396" s="157" t="s">
        <v>374</v>
      </c>
      <c r="C396" s="54"/>
      <c r="D396" s="55"/>
      <c r="E396" s="115"/>
      <c r="F396" s="116" t="s">
        <v>373</v>
      </c>
      <c r="G396" s="58"/>
      <c r="H396" s="71">
        <v>0</v>
      </c>
      <c r="I396" s="72"/>
      <c r="J396" s="74">
        <f>SUBTOTAL(9,J395:J395)</f>
        <v>0</v>
      </c>
      <c r="K396" s="92">
        <f>SUBTOTAL(9,K395:K395)</f>
        <v>0</v>
      </c>
      <c r="L396" s="75">
        <f>SUBTOTAL(9,L395:L395)</f>
        <v>-12599.92</v>
      </c>
    </row>
    <row r="397" spans="1:12" ht="15.75" customHeight="1" outlineLevel="1">
      <c r="A397" s="11">
        <v>13151600</v>
      </c>
      <c r="B397" s="40">
        <v>0</v>
      </c>
      <c r="C397" s="109">
        <v>315160</v>
      </c>
      <c r="D397" s="42">
        <v>1</v>
      </c>
      <c r="E397" s="112"/>
      <c r="F397" s="154" t="s">
        <v>375</v>
      </c>
      <c r="G397" s="45" t="s">
        <v>15</v>
      </c>
      <c r="H397" s="51"/>
      <c r="I397" s="47"/>
      <c r="J397" s="48"/>
      <c r="K397" s="49"/>
      <c r="L397" s="50"/>
    </row>
    <row r="398" spans="1:12" ht="15.75" customHeight="1" outlineLevel="1" thickBot="1">
      <c r="A398" s="11">
        <v>1315160923</v>
      </c>
      <c r="B398" s="40">
        <v>923</v>
      </c>
      <c r="C398" s="109">
        <v>315160</v>
      </c>
      <c r="D398" s="42">
        <v>1</v>
      </c>
      <c r="E398" s="112"/>
      <c r="F398" s="154" t="s">
        <v>369</v>
      </c>
      <c r="G398" s="45" t="s">
        <v>37</v>
      </c>
      <c r="H398" s="51">
        <v>1</v>
      </c>
      <c r="I398" s="47"/>
      <c r="J398" s="48">
        <f>VLOOKUP(A398,'[1]תקציב 2026'!$A$1:$M$65536,9,0)</f>
        <v>-20000</v>
      </c>
      <c r="K398" s="49">
        <v>0</v>
      </c>
      <c r="L398" s="50">
        <f>VLOOKUP(A398,[2]data1761205830331!$A$1:$J$65536,10,0)</f>
        <v>0</v>
      </c>
    </row>
    <row r="399" spans="1:12" ht="16.2" thickBot="1">
      <c r="A399" s="11" t="e">
        <v>#VALUE!</v>
      </c>
      <c r="B399" s="157" t="s">
        <v>376</v>
      </c>
      <c r="C399" s="54"/>
      <c r="D399" s="55"/>
      <c r="E399" s="115"/>
      <c r="F399" s="116" t="s">
        <v>375</v>
      </c>
      <c r="G399" s="58"/>
      <c r="H399" s="71">
        <v>1</v>
      </c>
      <c r="I399" s="72"/>
      <c r="J399" s="74">
        <f>SUBTOTAL(9,J398:J398)</f>
        <v>-20000</v>
      </c>
      <c r="K399" s="92">
        <f>SUBTOTAL(9,K398:K398)</f>
        <v>0</v>
      </c>
      <c r="L399" s="75">
        <f>SUBTOTAL(9,L398:L398)</f>
        <v>0</v>
      </c>
    </row>
    <row r="400" spans="1:12" ht="15.75" customHeight="1" outlineLevel="1">
      <c r="A400" s="11">
        <v>13151800</v>
      </c>
      <c r="B400" s="40">
        <v>0</v>
      </c>
      <c r="C400" s="109">
        <v>315180</v>
      </c>
      <c r="D400" s="42">
        <v>1</v>
      </c>
      <c r="E400" s="112"/>
      <c r="F400" s="154" t="s">
        <v>377</v>
      </c>
      <c r="G400" s="45" t="s">
        <v>15</v>
      </c>
      <c r="H400" s="51"/>
      <c r="I400" s="47"/>
      <c r="J400" s="48"/>
      <c r="K400" s="49"/>
      <c r="L400" s="50"/>
    </row>
    <row r="401" spans="1:12" ht="15.75" customHeight="1" outlineLevel="1" thickBot="1">
      <c r="A401" s="11">
        <v>1315180923</v>
      </c>
      <c r="B401" s="40">
        <v>923</v>
      </c>
      <c r="C401" s="109">
        <v>315180</v>
      </c>
      <c r="D401" s="42">
        <v>1</v>
      </c>
      <c r="E401" s="112"/>
      <c r="F401" s="154" t="s">
        <v>369</v>
      </c>
      <c r="G401" s="45" t="s">
        <v>37</v>
      </c>
      <c r="H401" s="51">
        <f t="shared" si="6"/>
        <v>1</v>
      </c>
      <c r="I401" s="47"/>
      <c r="J401" s="48">
        <f>VLOOKUP(A401,'[1]תקציב 2026'!$A$1:$M$65536,9,0)</f>
        <v>-80000</v>
      </c>
      <c r="K401" s="49">
        <f>VLOOKUP(A401,[3]גיליון1!$A$1:$C$7693,3,0)</f>
        <v>-40000</v>
      </c>
      <c r="L401" s="50">
        <f>VLOOKUP(A401,[2]data1761205830331!$A$1:$J$65536,10,0)</f>
        <v>-49099.92</v>
      </c>
    </row>
    <row r="402" spans="1:12" ht="16.2" thickBot="1">
      <c r="A402" s="11" t="e">
        <v>#VALUE!</v>
      </c>
      <c r="B402" s="157" t="s">
        <v>378</v>
      </c>
      <c r="C402" s="54"/>
      <c r="D402" s="55"/>
      <c r="E402" s="115"/>
      <c r="F402" s="116" t="s">
        <v>377</v>
      </c>
      <c r="G402" s="58"/>
      <c r="H402" s="71">
        <v>1</v>
      </c>
      <c r="I402" s="72"/>
      <c r="J402" s="74">
        <f>SUBTOTAL(9,J401:J401)</f>
        <v>-80000</v>
      </c>
      <c r="K402" s="92">
        <f>SUBTOTAL(9,K401:K401)</f>
        <v>-40000</v>
      </c>
      <c r="L402" s="75">
        <f>SUBTOTAL(9,L401:L401)</f>
        <v>-49099.92</v>
      </c>
    </row>
    <row r="403" spans="1:12" ht="15.75" customHeight="1" outlineLevel="1">
      <c r="A403" s="11">
        <v>13157000</v>
      </c>
      <c r="B403" s="40">
        <v>0</v>
      </c>
      <c r="C403" s="109">
        <v>315700</v>
      </c>
      <c r="D403" s="42">
        <v>1</v>
      </c>
      <c r="E403" s="112"/>
      <c r="F403" s="44" t="s">
        <v>379</v>
      </c>
      <c r="G403" s="45" t="s">
        <v>15</v>
      </c>
      <c r="H403" s="51"/>
      <c r="I403" s="47"/>
      <c r="J403" s="48"/>
      <c r="K403" s="49"/>
      <c r="L403" s="50"/>
    </row>
    <row r="404" spans="1:12" ht="15.75" customHeight="1" outlineLevel="1">
      <c r="A404" s="11">
        <v>1315710312</v>
      </c>
      <c r="B404" s="40">
        <v>312</v>
      </c>
      <c r="C404" s="109">
        <v>315710</v>
      </c>
      <c r="D404" s="42">
        <v>1</v>
      </c>
      <c r="E404" s="112"/>
      <c r="F404" s="44" t="s">
        <v>296</v>
      </c>
      <c r="G404" s="45" t="s">
        <v>37</v>
      </c>
      <c r="H404" s="51">
        <f t="shared" ref="H404:H467" si="7">J404/K404-1</f>
        <v>8.6956521739130377E-2</v>
      </c>
      <c r="I404" s="47"/>
      <c r="J404" s="48">
        <f>VLOOKUP(A404,'[1]תקציב 2026'!$A$1:$M$65536,9,0)</f>
        <v>-25000</v>
      </c>
      <c r="K404" s="49">
        <f>VLOOKUP(A404,[3]גיליון1!$A$1:$C$7693,3,0)</f>
        <v>-23000</v>
      </c>
      <c r="L404" s="50">
        <f>VLOOKUP(A404,[2]data1761205830331!$A$1:$J$65536,10,0)</f>
        <v>-24442</v>
      </c>
    </row>
    <row r="405" spans="1:12" ht="15.75" customHeight="1" outlineLevel="1">
      <c r="A405" s="11">
        <v>1315710416</v>
      </c>
      <c r="B405" s="40">
        <v>416</v>
      </c>
      <c r="C405" s="109">
        <v>315710</v>
      </c>
      <c r="D405" s="42">
        <v>1</v>
      </c>
      <c r="E405" s="112"/>
      <c r="F405" s="158" t="s">
        <v>380</v>
      </c>
      <c r="G405" s="45" t="s">
        <v>37</v>
      </c>
      <c r="H405" s="51">
        <f t="shared" si="7"/>
        <v>-1</v>
      </c>
      <c r="I405" s="47"/>
      <c r="J405" s="48">
        <f>VLOOKUP(A405,'[1]תקציב 2026'!$A$1:$M$65536,9,0)</f>
        <v>0</v>
      </c>
      <c r="K405" s="49">
        <f>VLOOKUP(A405,[3]גיליון1!$A$1:$C$7693,3,0)</f>
        <v>-10000</v>
      </c>
      <c r="L405" s="50">
        <f>VLOOKUP(A405,[2]data1761205830331!$A$1:$J$65536,10,0)</f>
        <v>0</v>
      </c>
    </row>
    <row r="406" spans="1:12" ht="15.75" customHeight="1" outlineLevel="1">
      <c r="A406" s="11">
        <v>1315710440</v>
      </c>
      <c r="B406" s="40">
        <v>440</v>
      </c>
      <c r="C406" s="109">
        <v>315710</v>
      </c>
      <c r="D406" s="42">
        <v>1</v>
      </c>
      <c r="E406" s="112"/>
      <c r="F406" s="44" t="s">
        <v>323</v>
      </c>
      <c r="G406" s="45" t="s">
        <v>37</v>
      </c>
      <c r="H406" s="51">
        <f t="shared" si="7"/>
        <v>-8.4249084249084283E-2</v>
      </c>
      <c r="I406" s="47"/>
      <c r="J406" s="48">
        <f>VLOOKUP(A406,'[1]תקציב 2026'!$A$1:$M$65536,9,0)</f>
        <v>-300000</v>
      </c>
      <c r="K406" s="49">
        <f>VLOOKUP(A406,[3]גיליון1!$A$1:$C$7693,3,0)</f>
        <v>-327600</v>
      </c>
      <c r="L406" s="50">
        <f>VLOOKUP(A406,[2]data1761205830331!$A$1:$J$65536,10,0)</f>
        <v>-374626</v>
      </c>
    </row>
    <row r="407" spans="1:12" ht="15.75" customHeight="1" outlineLevel="1">
      <c r="A407" s="11">
        <v>1315710452</v>
      </c>
      <c r="B407" s="40">
        <v>452</v>
      </c>
      <c r="C407" s="109">
        <v>315710</v>
      </c>
      <c r="D407" s="42">
        <v>1</v>
      </c>
      <c r="E407" s="112"/>
      <c r="F407" s="44" t="s">
        <v>381</v>
      </c>
      <c r="G407" s="45" t="s">
        <v>37</v>
      </c>
      <c r="H407" s="51">
        <f t="shared" si="7"/>
        <v>3.5920461834509254E-2</v>
      </c>
      <c r="I407" s="47"/>
      <c r="J407" s="48">
        <f>VLOOKUP(A407,'[1]תקציב 2026'!$A$1:$M$65536,9,0)</f>
        <v>-323000</v>
      </c>
      <c r="K407" s="49">
        <v>-311800</v>
      </c>
      <c r="L407" s="50">
        <f>VLOOKUP(A407,[2]data1761205830331!$A$1:$J$65536,10,0)</f>
        <v>0</v>
      </c>
    </row>
    <row r="408" spans="1:12" ht="15.75" customHeight="1" outlineLevel="1">
      <c r="A408" s="11">
        <v>1315710920</v>
      </c>
      <c r="B408" s="40">
        <v>920</v>
      </c>
      <c r="C408" s="109">
        <v>315710</v>
      </c>
      <c r="D408" s="42">
        <v>1</v>
      </c>
      <c r="E408" s="112"/>
      <c r="F408" s="44" t="s">
        <v>382</v>
      </c>
      <c r="G408" s="45" t="s">
        <v>37</v>
      </c>
      <c r="H408" s="51">
        <f t="shared" si="7"/>
        <v>5.1242921232624861E-2</v>
      </c>
      <c r="I408" s="47"/>
      <c r="J408" s="48">
        <f>VLOOKUP(A408,'[1]תקציב 2026'!$A$1:$M$65536,9,0)</f>
        <v>-11435000</v>
      </c>
      <c r="K408" s="49">
        <f>VLOOKUP(A408,[3]גיליון1!$A$1:$C$7693,3,0)</f>
        <v>-10877600</v>
      </c>
      <c r="L408" s="50">
        <f>VLOOKUP(A408,[2]data1761205830331!$A$1:$J$65536,10,0)</f>
        <v>-11641892.029999999</v>
      </c>
    </row>
    <row r="409" spans="1:12" ht="15.75" customHeight="1" outlineLevel="1">
      <c r="A409" s="11">
        <v>1315710921</v>
      </c>
      <c r="B409" s="40">
        <v>921</v>
      </c>
      <c r="C409" s="109">
        <v>315710</v>
      </c>
      <c r="D409" s="42">
        <v>1</v>
      </c>
      <c r="E409" s="112"/>
      <c r="F409" s="44" t="s">
        <v>383</v>
      </c>
      <c r="G409" s="45" t="s">
        <v>37</v>
      </c>
      <c r="H409" s="51">
        <f t="shared" si="7"/>
        <v>8.250307083390207E-2</v>
      </c>
      <c r="I409" s="47"/>
      <c r="J409" s="48">
        <f>VLOOKUP(A409,'[1]תקציב 2026'!$A$1:$M$65536,9,0)</f>
        <v>-1586300</v>
      </c>
      <c r="K409" s="49">
        <f>VLOOKUP(A409,[3]גיליון1!$A$1:$C$7693,3,0)</f>
        <v>-1465400</v>
      </c>
      <c r="L409" s="50">
        <f>VLOOKUP(A409,[2]data1761205830331!$A$1:$J$65536,10,0)</f>
        <v>-1503347.45</v>
      </c>
    </row>
    <row r="410" spans="1:12" ht="15.75" customHeight="1" outlineLevel="1">
      <c r="A410" s="11">
        <v>1315710922</v>
      </c>
      <c r="B410" s="40">
        <v>922</v>
      </c>
      <c r="C410" s="109">
        <v>315710</v>
      </c>
      <c r="D410" s="42">
        <v>1</v>
      </c>
      <c r="E410" s="112"/>
      <c r="F410" s="44" t="s">
        <v>384</v>
      </c>
      <c r="G410" s="45" t="s">
        <v>37</v>
      </c>
      <c r="H410" s="51">
        <f t="shared" si="7"/>
        <v>-0.625</v>
      </c>
      <c r="I410" s="47"/>
      <c r="J410" s="48">
        <f>VLOOKUP(A410,'[1]תקציב 2026'!$A$1:$M$65536,9,0)</f>
        <v>-45000</v>
      </c>
      <c r="K410" s="49">
        <f>VLOOKUP(A410,[3]גיליון1!$A$1:$C$7693,3,0)</f>
        <v>-120000</v>
      </c>
      <c r="L410" s="50">
        <f>VLOOKUP(A410,[2]data1761205830331!$A$1:$J$65536,10,0)</f>
        <v>-81260.67</v>
      </c>
    </row>
    <row r="411" spans="1:12" ht="15.75" customHeight="1" outlineLevel="1">
      <c r="A411" s="11">
        <v>1315710923</v>
      </c>
      <c r="B411" s="40">
        <v>923</v>
      </c>
      <c r="C411" s="109">
        <v>315710</v>
      </c>
      <c r="D411" s="42">
        <v>1</v>
      </c>
      <c r="E411" s="112"/>
      <c r="F411" s="44" t="s">
        <v>385</v>
      </c>
      <c r="G411" s="45" t="s">
        <v>37</v>
      </c>
      <c r="H411" s="51">
        <f t="shared" si="7"/>
        <v>-1</v>
      </c>
      <c r="I411" s="47"/>
      <c r="J411" s="48">
        <f>VLOOKUP(A411,'[1]תקציב 2026'!$A$1:$M$65536,9,0)</f>
        <v>0</v>
      </c>
      <c r="K411" s="49">
        <f>VLOOKUP(A411,[3]גיליון1!$A$1:$C$7693,3,0)</f>
        <v>-3600</v>
      </c>
      <c r="L411" s="50">
        <f>VLOOKUP(A411,[2]data1761205830331!$A$1:$J$65536,10,0)</f>
        <v>0</v>
      </c>
    </row>
    <row r="412" spans="1:12" ht="15.75" customHeight="1" outlineLevel="1">
      <c r="A412" s="11">
        <v>1315710925</v>
      </c>
      <c r="B412" s="40">
        <v>925</v>
      </c>
      <c r="C412" s="109">
        <v>315710</v>
      </c>
      <c r="D412" s="42">
        <v>1</v>
      </c>
      <c r="E412" s="112"/>
      <c r="F412" s="44" t="s">
        <v>386</v>
      </c>
      <c r="G412" s="45" t="s">
        <v>37</v>
      </c>
      <c r="H412" s="51">
        <f t="shared" si="7"/>
        <v>5.0319573901464798E-2</v>
      </c>
      <c r="I412" s="47"/>
      <c r="J412" s="48">
        <f>VLOOKUP(A412,'[1]תקציב 2026'!$A$1:$M$65536,9,0)</f>
        <v>-788790</v>
      </c>
      <c r="K412" s="49">
        <f>VLOOKUP(A412,[3]גיליון1!$A$1:$C$7693,3,0)</f>
        <v>-751000</v>
      </c>
      <c r="L412" s="50">
        <f>VLOOKUP(A412,[2]data1761205830331!$A$1:$J$65536,10,0)</f>
        <v>-744978.5</v>
      </c>
    </row>
    <row r="413" spans="1:12" ht="15.75" customHeight="1" outlineLevel="1">
      <c r="A413" s="11">
        <v>1315710928</v>
      </c>
      <c r="B413" s="40">
        <v>928</v>
      </c>
      <c r="C413" s="109">
        <v>315710</v>
      </c>
      <c r="D413" s="42">
        <v>1</v>
      </c>
      <c r="E413" s="112"/>
      <c r="F413" s="44" t="s">
        <v>387</v>
      </c>
      <c r="G413" s="45" t="s">
        <v>37</v>
      </c>
      <c r="H413" s="51">
        <f t="shared" si="7"/>
        <v>0.11573033707865177</v>
      </c>
      <c r="I413" s="47"/>
      <c r="J413" s="48">
        <f>VLOOKUP(A413,'[1]תקציב 2026'!$A$1:$M$65536,9,0)</f>
        <v>-198600</v>
      </c>
      <c r="K413" s="49">
        <f>VLOOKUP(A413,[3]גיליון1!$A$1:$C$7693,3,0)</f>
        <v>-178000</v>
      </c>
      <c r="L413" s="50">
        <f>VLOOKUP(A413,[2]data1761205830331!$A$1:$J$65536,10,0)</f>
        <v>-179410.44</v>
      </c>
    </row>
    <row r="414" spans="1:12" ht="15.75" customHeight="1" outlineLevel="1">
      <c r="A414" s="11">
        <v>1315710930</v>
      </c>
      <c r="B414" s="40">
        <v>930</v>
      </c>
      <c r="C414" s="109">
        <v>315710</v>
      </c>
      <c r="D414" s="42">
        <v>1</v>
      </c>
      <c r="E414" s="112"/>
      <c r="F414" s="44" t="s">
        <v>388</v>
      </c>
      <c r="G414" s="45" t="s">
        <v>37</v>
      </c>
      <c r="H414" s="51">
        <f t="shared" si="7"/>
        <v>0.11842614491507208</v>
      </c>
      <c r="I414" s="47"/>
      <c r="J414" s="48">
        <f>VLOOKUP(A414,'[1]תקציב 2026'!$A$1:$M$65536,9,0)</f>
        <v>-6242160</v>
      </c>
      <c r="K414" s="49">
        <f>VLOOKUP(A414,[3]גיליון1!$A$1:$C$7693,3,0)</f>
        <v>-5581200</v>
      </c>
      <c r="L414" s="50">
        <f>VLOOKUP(A414,[2]data1761205830331!$A$1:$J$65536,10,0)</f>
        <v>-5390673.6200000001</v>
      </c>
    </row>
    <row r="415" spans="1:12" ht="15.75" customHeight="1" outlineLevel="1">
      <c r="A415" s="11">
        <v>1315710932</v>
      </c>
      <c r="B415" s="40">
        <v>932</v>
      </c>
      <c r="C415" s="109">
        <v>315710</v>
      </c>
      <c r="D415" s="42">
        <v>1</v>
      </c>
      <c r="E415" s="112"/>
      <c r="F415" s="44" t="s">
        <v>389</v>
      </c>
      <c r="G415" s="45" t="s">
        <v>37</v>
      </c>
      <c r="H415" s="51">
        <f t="shared" si="7"/>
        <v>4.8689138576778923E-2</v>
      </c>
      <c r="I415" s="47"/>
      <c r="J415" s="48">
        <f>VLOOKUP(A415,'[1]תקציב 2026'!$A$1:$M$65536,9,0)</f>
        <v>-280000</v>
      </c>
      <c r="K415" s="49">
        <f>VLOOKUP(A415,[3]גיליון1!$A$1:$C$7693,3,0)</f>
        <v>-267000</v>
      </c>
      <c r="L415" s="50">
        <f>VLOOKUP(A415,[2]data1761205830331!$A$1:$J$65536,10,0)</f>
        <v>-281259.92</v>
      </c>
    </row>
    <row r="416" spans="1:12" ht="15.75" customHeight="1" outlineLevel="1" thickBot="1">
      <c r="A416" s="11">
        <v>1315710953</v>
      </c>
      <c r="B416" s="40">
        <v>953</v>
      </c>
      <c r="C416" s="109">
        <v>315710</v>
      </c>
      <c r="D416" s="42">
        <v>1</v>
      </c>
      <c r="E416" s="112"/>
      <c r="F416" s="44" t="s">
        <v>277</v>
      </c>
      <c r="G416" s="45" t="s">
        <v>37</v>
      </c>
      <c r="H416" s="51">
        <f t="shared" si="7"/>
        <v>9.8460551635663807E-2</v>
      </c>
      <c r="I416" s="47"/>
      <c r="J416" s="48">
        <f>VLOOKUP(A416,'[1]תקציב 2026'!$A$1:$M$65536,9,0)</f>
        <v>-1370000</v>
      </c>
      <c r="K416" s="49">
        <v>-1247200</v>
      </c>
      <c r="L416" s="50">
        <f>VLOOKUP(A416,[2]data1761205830331!$A$1:$J$65536,10,0)</f>
        <v>-1074761.3</v>
      </c>
    </row>
    <row r="417" spans="1:12" ht="16.2" thickBot="1">
      <c r="A417" s="11" t="e">
        <v>#VALUE!</v>
      </c>
      <c r="B417" s="53" t="s">
        <v>390</v>
      </c>
      <c r="C417" s="54"/>
      <c r="D417" s="55"/>
      <c r="E417" s="115"/>
      <c r="F417" s="116" t="s">
        <v>391</v>
      </c>
      <c r="G417" s="58"/>
      <c r="H417" s="71">
        <f>J417/K417-1</f>
        <v>6.7590746288403558E-2</v>
      </c>
      <c r="I417" s="72"/>
      <c r="J417" s="74">
        <f>SUBTOTAL(9,J404:J416)</f>
        <v>-22593850</v>
      </c>
      <c r="K417" s="92">
        <f>SUBTOTAL(9,K404:K416)</f>
        <v>-21163400</v>
      </c>
      <c r="L417" s="75">
        <f>SUBTOTAL(9,L404:L416)</f>
        <v>-21296651.93</v>
      </c>
    </row>
    <row r="418" spans="1:12" ht="15.75" customHeight="1" outlineLevel="1">
      <c r="A418" s="11">
        <v>13157200</v>
      </c>
      <c r="B418" s="40">
        <v>0</v>
      </c>
      <c r="C418" s="109">
        <v>315720</v>
      </c>
      <c r="D418" s="42">
        <v>1</v>
      </c>
      <c r="E418" s="112"/>
      <c r="F418" s="44" t="s">
        <v>392</v>
      </c>
      <c r="G418" s="45" t="s">
        <v>15</v>
      </c>
      <c r="H418" s="51"/>
      <c r="I418" s="47"/>
      <c r="J418" s="48"/>
      <c r="K418" s="49"/>
      <c r="L418" s="50"/>
    </row>
    <row r="419" spans="1:12" ht="15.75" customHeight="1" outlineLevel="1">
      <c r="A419" s="11">
        <v>1315720312</v>
      </c>
      <c r="B419" s="40">
        <v>312</v>
      </c>
      <c r="C419" s="109">
        <v>315720</v>
      </c>
      <c r="D419" s="42">
        <v>1</v>
      </c>
      <c r="E419" s="112"/>
      <c r="F419" s="44" t="s">
        <v>296</v>
      </c>
      <c r="G419" s="45" t="s">
        <v>37</v>
      </c>
      <c r="H419" s="51">
        <f t="shared" si="7"/>
        <v>6.8965517241379226E-2</v>
      </c>
      <c r="I419" s="47"/>
      <c r="J419" s="48">
        <f>VLOOKUP(A419,'[1]תקציב 2026'!$A$1:$M$65536,9,0)</f>
        <v>-31000</v>
      </c>
      <c r="K419" s="49">
        <f>VLOOKUP(A419,[3]גיליון1!$A$1:$C$7693,3,0)</f>
        <v>-29000</v>
      </c>
      <c r="L419" s="50">
        <f>VLOOKUP(A419,[2]data1761205830331!$A$1:$J$65536,10,0)</f>
        <v>-30822</v>
      </c>
    </row>
    <row r="420" spans="1:12" ht="15.75" customHeight="1" outlineLevel="1">
      <c r="A420" s="11">
        <v>1315720416</v>
      </c>
      <c r="B420" s="40">
        <v>416</v>
      </c>
      <c r="C420" s="109">
        <v>315720</v>
      </c>
      <c r="D420" s="42">
        <v>1</v>
      </c>
      <c r="E420" s="112"/>
      <c r="F420" s="44" t="s">
        <v>380</v>
      </c>
      <c r="G420" s="45" t="s">
        <v>37</v>
      </c>
      <c r="H420" s="51">
        <f t="shared" si="7"/>
        <v>-1</v>
      </c>
      <c r="I420" s="47"/>
      <c r="J420" s="48">
        <f>VLOOKUP(A420,'[1]תקציב 2026'!$A$1:$M$65536,9,0)</f>
        <v>0</v>
      </c>
      <c r="K420" s="49">
        <f>VLOOKUP(A420,[3]גיליון1!$A$1:$C$7693,3,0)</f>
        <v>-60000</v>
      </c>
      <c r="L420" s="50">
        <f>VLOOKUP(A420,[2]data1761205830331!$A$1:$J$65536,10,0)</f>
        <v>0</v>
      </c>
    </row>
    <row r="421" spans="1:12" ht="15.75" customHeight="1" outlineLevel="1">
      <c r="A421" s="11">
        <v>1315720440</v>
      </c>
      <c r="B421" s="40">
        <v>440</v>
      </c>
      <c r="C421" s="109">
        <v>315720</v>
      </c>
      <c r="D421" s="42">
        <v>1</v>
      </c>
      <c r="E421" s="112"/>
      <c r="F421" s="44" t="s">
        <v>323</v>
      </c>
      <c r="G421" s="45" t="s">
        <v>37</v>
      </c>
      <c r="H421" s="51">
        <f t="shared" si="7"/>
        <v>0</v>
      </c>
      <c r="I421" s="47"/>
      <c r="J421" s="48">
        <f>VLOOKUP(A421,'[1]תקציב 2026'!$A$1:$M$65536,9,0)</f>
        <v>-300000</v>
      </c>
      <c r="K421" s="49">
        <f>VLOOKUP(A421,[3]גיליון1!$A$1:$C$7693,3,0)</f>
        <v>-300000</v>
      </c>
      <c r="L421" s="50">
        <f>VLOOKUP(A421,[2]data1761205830331!$A$1:$J$65536,10,0)</f>
        <v>-369276</v>
      </c>
    </row>
    <row r="422" spans="1:12" ht="15.75" customHeight="1" outlineLevel="1">
      <c r="A422" s="11">
        <v>1315720452</v>
      </c>
      <c r="B422" s="40">
        <v>452</v>
      </c>
      <c r="C422" s="109">
        <v>315720</v>
      </c>
      <c r="D422" s="42">
        <v>1</v>
      </c>
      <c r="E422" s="112"/>
      <c r="F422" s="44" t="s">
        <v>381</v>
      </c>
      <c r="G422" s="45" t="s">
        <v>37</v>
      </c>
      <c r="H422" s="51">
        <f t="shared" si="7"/>
        <v>2.2727272727272707E-2</v>
      </c>
      <c r="I422" s="47"/>
      <c r="J422" s="48">
        <f>VLOOKUP(A422,'[1]תקציב 2026'!$A$1:$M$65536,9,0)</f>
        <v>-360000</v>
      </c>
      <c r="K422" s="49">
        <v>-352000</v>
      </c>
      <c r="L422" s="50">
        <f>VLOOKUP(A422,[2]data1761205830331!$A$1:$J$65536,10,0)</f>
        <v>0</v>
      </c>
    </row>
    <row r="423" spans="1:12" ht="15.75" customHeight="1" outlineLevel="1">
      <c r="A423" s="11">
        <v>1315720920</v>
      </c>
      <c r="B423" s="40">
        <v>920</v>
      </c>
      <c r="C423" s="109">
        <v>315720</v>
      </c>
      <c r="D423" s="42">
        <v>1</v>
      </c>
      <c r="E423" s="112"/>
      <c r="F423" s="44" t="s">
        <v>393</v>
      </c>
      <c r="G423" s="45" t="s">
        <v>37</v>
      </c>
      <c r="H423" s="51">
        <f t="shared" si="7"/>
        <v>0.11723521525398484</v>
      </c>
      <c r="I423" s="47"/>
      <c r="J423" s="48">
        <f>VLOOKUP(A423,'[1]תקציב 2026'!$A$1:$M$65536,9,0)</f>
        <v>-15000000</v>
      </c>
      <c r="K423" s="49">
        <f>VLOOKUP(A423,[3]גיליון1!$A$1:$C$7693,3,0)</f>
        <v>-13426000</v>
      </c>
      <c r="L423" s="50">
        <f>VLOOKUP(A423,[2]data1761205830331!$A$1:$J$65536,10,0)</f>
        <v>-14459203.460000001</v>
      </c>
    </row>
    <row r="424" spans="1:12" ht="15.75" customHeight="1" outlineLevel="1">
      <c r="A424" s="11">
        <v>1315720921</v>
      </c>
      <c r="B424" s="40">
        <v>921</v>
      </c>
      <c r="C424" s="109">
        <v>315720</v>
      </c>
      <c r="D424" s="42">
        <v>1</v>
      </c>
      <c r="E424" s="112"/>
      <c r="F424" s="44" t="s">
        <v>383</v>
      </c>
      <c r="G424" s="45" t="s">
        <v>37</v>
      </c>
      <c r="H424" s="51">
        <f t="shared" si="7"/>
        <v>7.9647427388094272E-3</v>
      </c>
      <c r="I424" s="47"/>
      <c r="J424" s="48">
        <f>VLOOKUP(A424,'[1]תקציב 2026'!$A$1:$M$65536,9,0)</f>
        <v>-1898300</v>
      </c>
      <c r="K424" s="49">
        <f>VLOOKUP(A424,[3]גיליון1!$A$1:$C$7693,3,0)</f>
        <v>-1883300</v>
      </c>
      <c r="L424" s="50">
        <f>VLOOKUP(A424,[2]data1761205830331!$A$1:$J$65536,10,0)</f>
        <v>-1835369.56</v>
      </c>
    </row>
    <row r="425" spans="1:12" ht="15.75" customHeight="1" outlineLevel="1">
      <c r="A425" s="11">
        <v>1315720922</v>
      </c>
      <c r="B425" s="40">
        <v>922</v>
      </c>
      <c r="C425" s="109">
        <v>315720</v>
      </c>
      <c r="D425" s="42">
        <v>1</v>
      </c>
      <c r="E425" s="112"/>
      <c r="F425" s="44" t="s">
        <v>384</v>
      </c>
      <c r="G425" s="45" t="s">
        <v>37</v>
      </c>
      <c r="H425" s="51">
        <v>0</v>
      </c>
      <c r="I425" s="47"/>
      <c r="J425" s="48">
        <f>VLOOKUP(A425,'[1]תקציב 2026'!$A$1:$M$65536,9,0)</f>
        <v>0</v>
      </c>
      <c r="K425" s="49">
        <f>VLOOKUP(A425,[3]גיליון1!$A$1:$C$7693,3,0)</f>
        <v>0</v>
      </c>
      <c r="L425" s="50">
        <f>VLOOKUP(A425,[2]data1761205830331!$A$1:$J$65536,10,0)</f>
        <v>-8956.64</v>
      </c>
    </row>
    <row r="426" spans="1:12" ht="15.75" customHeight="1" outlineLevel="1">
      <c r="A426" s="11">
        <v>1315720923</v>
      </c>
      <c r="B426" s="40">
        <v>923</v>
      </c>
      <c r="C426" s="109">
        <v>315720</v>
      </c>
      <c r="D426" s="42">
        <v>1</v>
      </c>
      <c r="E426" s="112"/>
      <c r="F426" s="44" t="s">
        <v>385</v>
      </c>
      <c r="G426" s="45" t="s">
        <v>37</v>
      </c>
      <c r="H426" s="51">
        <f t="shared" si="7"/>
        <v>-1.3157894736842146E-2</v>
      </c>
      <c r="I426" s="47"/>
      <c r="J426" s="48">
        <f>VLOOKUP(A426,'[1]תקציב 2026'!$A$1:$M$65536,9,0)</f>
        <v>-7500</v>
      </c>
      <c r="K426" s="49">
        <f>VLOOKUP(A426,[3]גיליון1!$A$1:$C$7693,3,0)</f>
        <v>-7600</v>
      </c>
      <c r="L426" s="50">
        <f>VLOOKUP(A426,[2]data1761205830331!$A$1:$J$65536,10,0)</f>
        <v>-7058.8</v>
      </c>
    </row>
    <row r="427" spans="1:12" ht="15.75" customHeight="1" outlineLevel="1">
      <c r="A427" s="11">
        <v>1315720925</v>
      </c>
      <c r="B427" s="40">
        <v>925</v>
      </c>
      <c r="C427" s="109">
        <v>315720</v>
      </c>
      <c r="D427" s="42">
        <v>1</v>
      </c>
      <c r="E427" s="112"/>
      <c r="F427" s="44" t="s">
        <v>386</v>
      </c>
      <c r="G427" s="45" t="s">
        <v>37</v>
      </c>
      <c r="H427" s="51">
        <f t="shared" si="7"/>
        <v>0.45858050847457621</v>
      </c>
      <c r="I427" s="47"/>
      <c r="J427" s="48">
        <f>VLOOKUP(A427,'[1]תקציב 2026'!$A$1:$M$65536,9,0)</f>
        <v>-1376900</v>
      </c>
      <c r="K427" s="49">
        <f>VLOOKUP(A427,[3]גיליון1!$A$1:$C$7693,3,0)</f>
        <v>-944000</v>
      </c>
      <c r="L427" s="50">
        <f>VLOOKUP(A427,[2]data1761205830331!$A$1:$J$65536,10,0)</f>
        <v>-954239.03</v>
      </c>
    </row>
    <row r="428" spans="1:12" ht="15.75" customHeight="1" outlineLevel="1">
      <c r="A428" s="11">
        <v>1315720928</v>
      </c>
      <c r="B428" s="40">
        <v>928</v>
      </c>
      <c r="C428" s="109">
        <v>315720</v>
      </c>
      <c r="D428" s="42">
        <v>1</v>
      </c>
      <c r="E428" s="112"/>
      <c r="F428" s="44" t="s">
        <v>387</v>
      </c>
      <c r="G428" s="45" t="s">
        <v>37</v>
      </c>
      <c r="H428" s="51">
        <f t="shared" si="7"/>
        <v>0.14766734279918858</v>
      </c>
      <c r="I428" s="47"/>
      <c r="J428" s="48">
        <f>VLOOKUP(A428,'[1]תקציב 2026'!$A$1:$M$65536,9,0)</f>
        <v>-282900</v>
      </c>
      <c r="K428" s="49">
        <f>VLOOKUP(A428,[3]גיליון1!$A$1:$C$7693,3,0)</f>
        <v>-246500</v>
      </c>
      <c r="L428" s="50">
        <f>VLOOKUP(A428,[2]data1761205830331!$A$1:$J$65536,10,0)</f>
        <v>-252350.37</v>
      </c>
    </row>
    <row r="429" spans="1:12" ht="15.75" customHeight="1" outlineLevel="1">
      <c r="A429" s="11">
        <v>1315720930</v>
      </c>
      <c r="B429" s="40">
        <v>930</v>
      </c>
      <c r="C429" s="109">
        <v>315720</v>
      </c>
      <c r="D429" s="42">
        <v>1</v>
      </c>
      <c r="E429" s="112"/>
      <c r="F429" s="44" t="s">
        <v>388</v>
      </c>
      <c r="G429" s="45" t="s">
        <v>37</v>
      </c>
      <c r="H429" s="51">
        <f t="shared" si="7"/>
        <v>0.17936398003058907</v>
      </c>
      <c r="I429" s="47"/>
      <c r="J429" s="48">
        <f>VLOOKUP(A429,'[1]תקציב 2026'!$A$1:$M$65536,9,0)</f>
        <v>-8173700</v>
      </c>
      <c r="K429" s="49">
        <f>VLOOKUP(A429,[3]גיליון1!$A$1:$C$7693,3,0)</f>
        <v>-6930600</v>
      </c>
      <c r="L429" s="50">
        <f>VLOOKUP(A429,[2]data1761205830331!$A$1:$J$65536,10,0)</f>
        <v>-6799680.4800000004</v>
      </c>
    </row>
    <row r="430" spans="1:12" ht="15.75" customHeight="1" outlineLevel="1">
      <c r="A430" s="11">
        <v>1315720932</v>
      </c>
      <c r="B430" s="40">
        <v>932</v>
      </c>
      <c r="C430" s="109">
        <v>315720</v>
      </c>
      <c r="D430" s="42">
        <v>1</v>
      </c>
      <c r="E430" s="112"/>
      <c r="F430" s="44" t="s">
        <v>389</v>
      </c>
      <c r="G430" s="45" t="s">
        <v>37</v>
      </c>
      <c r="H430" s="51">
        <f t="shared" si="7"/>
        <v>7.5376884422110546E-2</v>
      </c>
      <c r="I430" s="47"/>
      <c r="J430" s="48">
        <f>VLOOKUP(A430,'[1]תקציב 2026'!$A$1:$M$65536,9,0)</f>
        <v>-363800</v>
      </c>
      <c r="K430" s="49">
        <f>VLOOKUP(A430,[3]גיליון1!$A$1:$C$7693,3,0)</f>
        <v>-338300</v>
      </c>
      <c r="L430" s="50">
        <f>VLOOKUP(A430,[2]data1761205830331!$A$1:$J$65536,10,0)</f>
        <v>-368718.94</v>
      </c>
    </row>
    <row r="431" spans="1:12" ht="15.75" customHeight="1" outlineLevel="1" thickBot="1">
      <c r="A431" s="11">
        <v>1315720953</v>
      </c>
      <c r="B431" s="40">
        <v>953</v>
      </c>
      <c r="C431" s="109">
        <v>315720</v>
      </c>
      <c r="D431" s="42">
        <v>1</v>
      </c>
      <c r="E431" s="112"/>
      <c r="F431" s="44" t="s">
        <v>277</v>
      </c>
      <c r="G431" s="45" t="s">
        <v>37</v>
      </c>
      <c r="H431" s="51">
        <f t="shared" si="7"/>
        <v>3.1960227272727293E-2</v>
      </c>
      <c r="I431" s="47"/>
      <c r="J431" s="48">
        <f>VLOOKUP(A431,'[1]תקציב 2026'!$A$1:$M$65536,9,0)</f>
        <v>-1453000</v>
      </c>
      <c r="K431" s="49">
        <v>-1408000</v>
      </c>
      <c r="L431" s="50">
        <f>VLOOKUP(A431,[2]data1761205830331!$A$1:$J$65536,10,0)</f>
        <v>-1173871.79</v>
      </c>
    </row>
    <row r="432" spans="1:12" ht="16.2" thickBot="1">
      <c r="A432" s="11" t="e">
        <v>#VALUE!</v>
      </c>
      <c r="B432" s="53" t="s">
        <v>394</v>
      </c>
      <c r="C432" s="54"/>
      <c r="D432" s="55"/>
      <c r="E432" s="115"/>
      <c r="F432" s="116" t="s">
        <v>392</v>
      </c>
      <c r="G432" s="58"/>
      <c r="H432" s="71">
        <f>J432/K432-1</f>
        <v>0.12812966484476562</v>
      </c>
      <c r="I432" s="72"/>
      <c r="J432" s="74">
        <f>SUBTOTAL(9,J419:J431)</f>
        <v>-29247100</v>
      </c>
      <c r="K432" s="92">
        <f>SUBTOTAL(9,K419:K431)</f>
        <v>-25925300</v>
      </c>
      <c r="L432" s="75">
        <f>SUBTOTAL(9,L419:L431)</f>
        <v>-26259547.070000004</v>
      </c>
    </row>
    <row r="433" spans="1:12" ht="15.75" customHeight="1" outlineLevel="1">
      <c r="A433" s="11">
        <v>13157300</v>
      </c>
      <c r="B433" s="40">
        <v>0</v>
      </c>
      <c r="C433" s="109">
        <v>315730</v>
      </c>
      <c r="D433" s="42">
        <v>1</v>
      </c>
      <c r="E433" s="112"/>
      <c r="F433" s="44" t="s">
        <v>395</v>
      </c>
      <c r="G433" s="45" t="s">
        <v>15</v>
      </c>
      <c r="H433" s="51"/>
      <c r="I433" s="47"/>
      <c r="J433" s="48"/>
      <c r="K433" s="49"/>
      <c r="L433" s="50"/>
    </row>
    <row r="434" spans="1:12" ht="15.75" customHeight="1" outlineLevel="1">
      <c r="A434" s="11">
        <v>1315730312</v>
      </c>
      <c r="B434" s="40">
        <v>312</v>
      </c>
      <c r="C434" s="109">
        <v>315730</v>
      </c>
      <c r="D434" s="42">
        <v>1</v>
      </c>
      <c r="E434" s="112"/>
      <c r="F434" s="44" t="s">
        <v>296</v>
      </c>
      <c r="G434" s="45" t="s">
        <v>37</v>
      </c>
      <c r="H434" s="51">
        <f t="shared" si="7"/>
        <v>-1</v>
      </c>
      <c r="I434" s="47"/>
      <c r="J434" s="48">
        <f>VLOOKUP(A434,'[1]תקציב 2026'!$A$1:$M$65536,9,0)</f>
        <v>0</v>
      </c>
      <c r="K434" s="49">
        <f>VLOOKUP(A434,[3]גיליון1!$A$1:$C$7693,3,0)</f>
        <v>-18500</v>
      </c>
      <c r="L434" s="50">
        <f>VLOOKUP(A434,[2]data1761205830331!$A$1:$J$65536,10,0)</f>
        <v>-19690</v>
      </c>
    </row>
    <row r="435" spans="1:12" ht="15.75" customHeight="1" outlineLevel="1">
      <c r="A435" s="11">
        <v>1315730440</v>
      </c>
      <c r="B435" s="40">
        <v>440</v>
      </c>
      <c r="C435" s="109">
        <v>315730</v>
      </c>
      <c r="D435" s="42">
        <v>1</v>
      </c>
      <c r="E435" s="112"/>
      <c r="F435" s="44" t="s">
        <v>323</v>
      </c>
      <c r="G435" s="45" t="s">
        <v>37</v>
      </c>
      <c r="H435" s="51">
        <f t="shared" si="7"/>
        <v>-1</v>
      </c>
      <c r="I435" s="47"/>
      <c r="J435" s="48">
        <f>VLOOKUP(A435,'[1]תקציב 2026'!$A$1:$M$65536,9,0)</f>
        <v>0</v>
      </c>
      <c r="K435" s="49">
        <f>VLOOKUP(A435,[3]גיליון1!$A$1:$C$7693,3,0)</f>
        <v>-225000</v>
      </c>
      <c r="L435" s="50">
        <f>VLOOKUP(A435,[2]data1761205830331!$A$1:$J$65536,10,0)</f>
        <v>-225053</v>
      </c>
    </row>
    <row r="436" spans="1:12" ht="15.75" customHeight="1" outlineLevel="1">
      <c r="A436" s="11">
        <v>1315730452</v>
      </c>
      <c r="B436" s="40">
        <v>452</v>
      </c>
      <c r="C436" s="109">
        <v>315730</v>
      </c>
      <c r="D436" s="42">
        <v>1</v>
      </c>
      <c r="E436" s="112"/>
      <c r="F436" s="44" t="s">
        <v>381</v>
      </c>
      <c r="G436" s="45" t="s">
        <v>37</v>
      </c>
      <c r="H436" s="51">
        <f t="shared" si="7"/>
        <v>-1</v>
      </c>
      <c r="I436" s="47"/>
      <c r="J436" s="48">
        <f>VLOOKUP(A436,'[1]תקציב 2026'!$A$1:$M$65536,9,0)</f>
        <v>0</v>
      </c>
      <c r="K436" s="49">
        <v>-273400</v>
      </c>
      <c r="L436" s="50">
        <f>VLOOKUP(A436,[2]data1761205830331!$A$1:$J$65536,10,0)</f>
        <v>0</v>
      </c>
    </row>
    <row r="437" spans="1:12" ht="15.75" customHeight="1" outlineLevel="1">
      <c r="A437" s="11">
        <v>1315730920</v>
      </c>
      <c r="B437" s="40">
        <v>920</v>
      </c>
      <c r="C437" s="109">
        <v>315730</v>
      </c>
      <c r="D437" s="42">
        <v>1</v>
      </c>
      <c r="E437" s="112"/>
      <c r="F437" s="44" t="s">
        <v>393</v>
      </c>
      <c r="G437" s="45" t="s">
        <v>37</v>
      </c>
      <c r="H437" s="51">
        <f t="shared" si="7"/>
        <v>-0.48417876281150829</v>
      </c>
      <c r="I437" s="47"/>
      <c r="J437" s="48">
        <f>VLOOKUP(A437,'[1]תקציב 2026'!$A$1:$M$65536,9,0)</f>
        <v>-4957300</v>
      </c>
      <c r="K437" s="49">
        <f>VLOOKUP(A437,[3]גיליון1!$A$1:$C$7693,3,0)</f>
        <v>-9610500</v>
      </c>
      <c r="L437" s="50">
        <f>VLOOKUP(A437,[2]data1761205830331!$A$1:$J$65536,10,0)</f>
        <v>-9677778.9299999997</v>
      </c>
    </row>
    <row r="438" spans="1:12" ht="15.75" customHeight="1" outlineLevel="1">
      <c r="A438" s="11">
        <v>1315730921</v>
      </c>
      <c r="B438" s="40">
        <v>921</v>
      </c>
      <c r="C438" s="109">
        <v>315730</v>
      </c>
      <c r="D438" s="42">
        <v>1</v>
      </c>
      <c r="E438" s="112"/>
      <c r="F438" s="44" t="s">
        <v>383</v>
      </c>
      <c r="G438" s="45" t="s">
        <v>37</v>
      </c>
      <c r="H438" s="51">
        <f t="shared" si="7"/>
        <v>-1</v>
      </c>
      <c r="I438" s="47"/>
      <c r="J438" s="48">
        <f>VLOOKUP(A438,'[1]תקציב 2026'!$A$1:$M$65536,9,0)</f>
        <v>0</v>
      </c>
      <c r="K438" s="49">
        <f>VLOOKUP(A438,[3]גיליון1!$A$1:$C$7693,3,0)</f>
        <v>-1322400</v>
      </c>
      <c r="L438" s="50">
        <f>VLOOKUP(A438,[2]data1761205830331!$A$1:$J$65536,10,0)</f>
        <v>-1354428.96</v>
      </c>
    </row>
    <row r="439" spans="1:12" ht="15.75" customHeight="1" outlineLevel="1">
      <c r="A439" s="11">
        <v>1315730922</v>
      </c>
      <c r="B439" s="40">
        <v>922</v>
      </c>
      <c r="C439" s="109">
        <v>315730</v>
      </c>
      <c r="D439" s="42">
        <v>1</v>
      </c>
      <c r="E439" s="112"/>
      <c r="F439" s="44" t="s">
        <v>384</v>
      </c>
      <c r="G439" s="45" t="s">
        <v>37</v>
      </c>
      <c r="H439" s="51">
        <v>0</v>
      </c>
      <c r="I439" s="47"/>
      <c r="J439" s="48">
        <f>VLOOKUP(A439,'[1]תקציב 2026'!$A$1:$M$65536,9,0)</f>
        <v>0</v>
      </c>
      <c r="K439" s="49">
        <f>VLOOKUP(A439,[3]גיליון1!$A$1:$C$7693,3,0)</f>
        <v>0</v>
      </c>
      <c r="L439" s="50">
        <f>VLOOKUP(A439,[2]data1761205830331!$A$1:$J$65536,10,0)</f>
        <v>-54422.400000000001</v>
      </c>
    </row>
    <row r="440" spans="1:12" ht="15.75" customHeight="1" outlineLevel="1">
      <c r="A440" s="11">
        <v>1315730923</v>
      </c>
      <c r="B440" s="40">
        <v>923</v>
      </c>
      <c r="C440" s="109">
        <v>315730</v>
      </c>
      <c r="D440" s="42">
        <v>1</v>
      </c>
      <c r="E440" s="112"/>
      <c r="F440" s="44" t="s">
        <v>385</v>
      </c>
      <c r="G440" s="45" t="s">
        <v>37</v>
      </c>
      <c r="H440" s="51">
        <f t="shared" si="7"/>
        <v>-1</v>
      </c>
      <c r="I440" s="47"/>
      <c r="J440" s="48">
        <f>VLOOKUP(A440,'[1]תקציב 2026'!$A$1:$M$65536,9,0)</f>
        <v>0</v>
      </c>
      <c r="K440" s="49">
        <f>VLOOKUP(A440,[3]גיליון1!$A$1:$C$7693,3,0)</f>
        <v>-6000</v>
      </c>
      <c r="L440" s="50">
        <f>VLOOKUP(A440,[2]data1761205830331!$A$1:$J$65536,10,0)</f>
        <v>-2229.3000000000002</v>
      </c>
    </row>
    <row r="441" spans="1:12" ht="15.75" customHeight="1" outlineLevel="1">
      <c r="A441" s="11">
        <v>1315730925</v>
      </c>
      <c r="B441" s="40">
        <v>925</v>
      </c>
      <c r="C441" s="109">
        <v>315730</v>
      </c>
      <c r="D441" s="42">
        <v>1</v>
      </c>
      <c r="E441" s="112"/>
      <c r="F441" s="44" t="s">
        <v>386</v>
      </c>
      <c r="G441" s="45" t="s">
        <v>37</v>
      </c>
      <c r="H441" s="51">
        <f t="shared" si="7"/>
        <v>-0.50124688279301743</v>
      </c>
      <c r="I441" s="47"/>
      <c r="J441" s="48">
        <f>VLOOKUP(A441,'[1]תקציב 2026'!$A$1:$M$65536,9,0)</f>
        <v>-300000</v>
      </c>
      <c r="K441" s="49">
        <f>VLOOKUP(A441,[3]גיליון1!$A$1:$C$7693,3,0)</f>
        <v>-601500</v>
      </c>
      <c r="L441" s="50">
        <f>VLOOKUP(A441,[2]data1761205830331!$A$1:$J$65536,10,0)</f>
        <v>-640053.22</v>
      </c>
    </row>
    <row r="442" spans="1:12" ht="15.75" customHeight="1" outlineLevel="1">
      <c r="A442" s="11">
        <v>1315730926</v>
      </c>
      <c r="B442" s="40">
        <v>926</v>
      </c>
      <c r="C442" s="109">
        <v>315730</v>
      </c>
      <c r="D442" s="42">
        <v>1</v>
      </c>
      <c r="E442" s="112"/>
      <c r="F442" s="44" t="s">
        <v>396</v>
      </c>
      <c r="G442" s="45" t="s">
        <v>37</v>
      </c>
      <c r="H442" s="51">
        <f t="shared" si="7"/>
        <v>-1</v>
      </c>
      <c r="I442" s="47"/>
      <c r="J442" s="48">
        <f>VLOOKUP(A442,'[1]תקציב 2026'!$A$1:$M$65536,9,0)</f>
        <v>0</v>
      </c>
      <c r="K442" s="49">
        <f>VLOOKUP(A442,[3]גיליון1!$A$1:$C$7693,3,0)</f>
        <v>-453100</v>
      </c>
      <c r="L442" s="50">
        <f>VLOOKUP(A442,[2]data1761205830331!$A$1:$J$65536,10,0)</f>
        <v>-163676.24</v>
      </c>
    </row>
    <row r="443" spans="1:12" ht="15.75" customHeight="1" outlineLevel="1">
      <c r="A443" s="11">
        <v>1315730928</v>
      </c>
      <c r="B443" s="40">
        <v>928</v>
      </c>
      <c r="C443" s="109">
        <v>315730</v>
      </c>
      <c r="D443" s="42">
        <v>1</v>
      </c>
      <c r="E443" s="112"/>
      <c r="F443" s="44" t="s">
        <v>387</v>
      </c>
      <c r="G443" s="45" t="s">
        <v>37</v>
      </c>
      <c r="H443" s="51">
        <f t="shared" si="7"/>
        <v>-0.5535714285714286</v>
      </c>
      <c r="I443" s="47"/>
      <c r="J443" s="48">
        <f>VLOOKUP(A443,'[1]תקציב 2026'!$A$1:$M$65536,9,0)</f>
        <v>-60000</v>
      </c>
      <c r="K443" s="49">
        <f>VLOOKUP(A443,[3]גיליון1!$A$1:$C$7693,3,0)</f>
        <v>-134400</v>
      </c>
      <c r="L443" s="50">
        <f>VLOOKUP(A443,[2]data1761205830331!$A$1:$J$65536,10,0)</f>
        <v>-143865.99</v>
      </c>
    </row>
    <row r="444" spans="1:12" ht="15.75" customHeight="1" outlineLevel="1">
      <c r="A444" s="11">
        <v>1315730930</v>
      </c>
      <c r="B444" s="40">
        <v>930</v>
      </c>
      <c r="C444" s="109">
        <v>315730</v>
      </c>
      <c r="D444" s="42">
        <v>1</v>
      </c>
      <c r="E444" s="112"/>
      <c r="F444" s="44" t="s">
        <v>388</v>
      </c>
      <c r="G444" s="45" t="s">
        <v>37</v>
      </c>
      <c r="H444" s="51">
        <f t="shared" si="7"/>
        <v>-0.48578389915831022</v>
      </c>
      <c r="I444" s="47"/>
      <c r="J444" s="48">
        <f>VLOOKUP(A444,'[1]תקציב 2026'!$A$1:$M$65536,9,0)</f>
        <v>-2553700</v>
      </c>
      <c r="K444" s="49">
        <f>VLOOKUP(A444,[3]גיליון1!$A$1:$C$7693,3,0)</f>
        <v>-4966200</v>
      </c>
      <c r="L444" s="50">
        <f>VLOOKUP(A444,[2]data1761205830331!$A$1:$J$65536,10,0)</f>
        <v>-4423020.55</v>
      </c>
    </row>
    <row r="445" spans="1:12" ht="15.75" customHeight="1" outlineLevel="1">
      <c r="A445" s="11">
        <v>1315730932</v>
      </c>
      <c r="B445" s="40">
        <v>932</v>
      </c>
      <c r="C445" s="109">
        <v>315730</v>
      </c>
      <c r="D445" s="42">
        <v>1</v>
      </c>
      <c r="E445" s="112"/>
      <c r="F445" s="44" t="s">
        <v>389</v>
      </c>
      <c r="G445" s="45" t="s">
        <v>37</v>
      </c>
      <c r="H445" s="51">
        <f t="shared" si="7"/>
        <v>-0.53987730061349692</v>
      </c>
      <c r="I445" s="47"/>
      <c r="J445" s="48">
        <f>VLOOKUP(A445,'[1]תקציב 2026'!$A$1:$M$65536,9,0)</f>
        <v>-90000</v>
      </c>
      <c r="K445" s="49">
        <f>VLOOKUP(A445,[3]גיליון1!$A$1:$C$7693,3,0)</f>
        <v>-195600</v>
      </c>
      <c r="L445" s="50">
        <f>VLOOKUP(A445,[2]data1761205830331!$A$1:$J$65536,10,0)</f>
        <v>-217512.6</v>
      </c>
    </row>
    <row r="446" spans="1:12" ht="15.75" customHeight="1" outlineLevel="1" thickBot="1">
      <c r="A446" s="11">
        <v>1315730953</v>
      </c>
      <c r="B446" s="40">
        <v>953</v>
      </c>
      <c r="C446" s="109">
        <v>315730</v>
      </c>
      <c r="D446" s="42">
        <v>1</v>
      </c>
      <c r="E446" s="112"/>
      <c r="F446" s="44" t="s">
        <v>277</v>
      </c>
      <c r="G446" s="45" t="s">
        <v>37</v>
      </c>
      <c r="H446" s="51">
        <f t="shared" si="7"/>
        <v>-1</v>
      </c>
      <c r="I446" s="47"/>
      <c r="J446" s="48">
        <f>VLOOKUP(A446,'[1]תקציב 2026'!$A$1:$M$65536,9,0)</f>
        <v>0</v>
      </c>
      <c r="K446" s="49">
        <v>-1093600</v>
      </c>
      <c r="L446" s="50">
        <f>VLOOKUP(A446,[2]data1761205830331!$A$1:$J$65536,10,0)</f>
        <v>-909888.76</v>
      </c>
    </row>
    <row r="447" spans="1:12" ht="16.2" thickBot="1">
      <c r="A447" s="11" t="e">
        <v>#VALUE!</v>
      </c>
      <c r="B447" s="53" t="s">
        <v>397</v>
      </c>
      <c r="C447" s="54"/>
      <c r="D447" s="55"/>
      <c r="E447" s="115"/>
      <c r="F447" s="116" t="s">
        <v>395</v>
      </c>
      <c r="G447" s="58"/>
      <c r="H447" s="71">
        <f>J447/K447-1</f>
        <v>-0.57878752605792538</v>
      </c>
      <c r="I447" s="72"/>
      <c r="J447" s="74">
        <f>SUBTOTAL(9,J434:J446)</f>
        <v>-7961000</v>
      </c>
      <c r="K447" s="92">
        <f>SUBTOTAL(9,K434:K446)</f>
        <v>-18900200</v>
      </c>
      <c r="L447" s="75">
        <f>SUBTOTAL(9,L434:L446)</f>
        <v>-17831619.950000007</v>
      </c>
    </row>
    <row r="448" spans="1:12" ht="15.75" customHeight="1" outlineLevel="1">
      <c r="A448" s="11">
        <v>13157400</v>
      </c>
      <c r="B448" s="64">
        <v>0</v>
      </c>
      <c r="C448" s="131">
        <v>315740</v>
      </c>
      <c r="D448" s="66">
        <v>1</v>
      </c>
      <c r="E448" s="132"/>
      <c r="F448" s="68" t="s">
        <v>398</v>
      </c>
      <c r="G448" s="69" t="s">
        <v>15</v>
      </c>
      <c r="H448" s="51"/>
      <c r="I448" s="47"/>
      <c r="J448" s="48"/>
      <c r="K448" s="49"/>
      <c r="L448" s="50"/>
    </row>
    <row r="449" spans="1:12" ht="15.75" customHeight="1" outlineLevel="1">
      <c r="A449" s="11">
        <v>1315740312</v>
      </c>
      <c r="B449" s="40">
        <v>312</v>
      </c>
      <c r="C449" s="109">
        <v>315740</v>
      </c>
      <c r="D449" s="42">
        <v>1</v>
      </c>
      <c r="E449" s="112"/>
      <c r="F449" s="44" t="s">
        <v>296</v>
      </c>
      <c r="G449" s="45" t="s">
        <v>37</v>
      </c>
      <c r="H449" s="51">
        <f t="shared" si="7"/>
        <v>-0.24444444444444446</v>
      </c>
      <c r="I449" s="47"/>
      <c r="J449" s="48">
        <f>VLOOKUP(A449,'[1]תקציב 2026'!$A$1:$M$65536,9,0)</f>
        <v>-34000</v>
      </c>
      <c r="K449" s="49">
        <f>VLOOKUP(A449,[3]גיליון1!$A$1:$C$7693,3,0)</f>
        <v>-45000</v>
      </c>
      <c r="L449" s="50">
        <f>VLOOKUP(A449,[2]data1761205830331!$A$1:$J$65536,10,0)</f>
        <v>-33462</v>
      </c>
    </row>
    <row r="450" spans="1:12" ht="15.75" customHeight="1" outlineLevel="1">
      <c r="A450" s="11">
        <v>1315740416</v>
      </c>
      <c r="B450" s="40">
        <v>416</v>
      </c>
      <c r="C450" s="109">
        <v>315740</v>
      </c>
      <c r="D450" s="42">
        <v>1</v>
      </c>
      <c r="E450" s="112"/>
      <c r="F450" s="44" t="s">
        <v>380</v>
      </c>
      <c r="G450" s="45" t="s">
        <v>37</v>
      </c>
      <c r="H450" s="51">
        <f t="shared" si="7"/>
        <v>0</v>
      </c>
      <c r="I450" s="47"/>
      <c r="J450" s="48">
        <f>VLOOKUP(A450,'[1]תקציב 2026'!$A$1:$M$65536,9,0)</f>
        <v>-70000</v>
      </c>
      <c r="K450" s="49">
        <f>VLOOKUP(A450,[3]גיליון1!$A$1:$C$7693,3,0)</f>
        <v>-70000</v>
      </c>
      <c r="L450" s="50">
        <f>VLOOKUP(A450,[2]data1761205830331!$A$1:$J$65536,10,0)</f>
        <v>-46157.8</v>
      </c>
    </row>
    <row r="451" spans="1:12" ht="15.75" customHeight="1" outlineLevel="1">
      <c r="A451" s="11">
        <v>1315740440</v>
      </c>
      <c r="B451" s="40">
        <v>440</v>
      </c>
      <c r="C451" s="109">
        <v>315740</v>
      </c>
      <c r="D451" s="42">
        <v>1</v>
      </c>
      <c r="E451" s="112"/>
      <c r="F451" s="44" t="s">
        <v>323</v>
      </c>
      <c r="G451" s="45" t="s">
        <v>37</v>
      </c>
      <c r="H451" s="51">
        <f t="shared" si="7"/>
        <v>0</v>
      </c>
      <c r="I451" s="47"/>
      <c r="J451" s="48">
        <f>VLOOKUP(A451,'[1]תקציב 2026'!$A$1:$M$65536,9,0)</f>
        <v>-400000</v>
      </c>
      <c r="K451" s="49">
        <f>VLOOKUP(A451,[3]גיליון1!$A$1:$C$7693,3,0)</f>
        <v>-400000</v>
      </c>
      <c r="L451" s="50">
        <f>VLOOKUP(A451,[2]data1761205830331!$A$1:$J$65536,10,0)</f>
        <v>-708410</v>
      </c>
    </row>
    <row r="452" spans="1:12" ht="15.75" customHeight="1" outlineLevel="1">
      <c r="A452" s="11">
        <v>1315740452</v>
      </c>
      <c r="B452" s="40">
        <v>452</v>
      </c>
      <c r="C452" s="109">
        <v>315740</v>
      </c>
      <c r="D452" s="42">
        <v>1</v>
      </c>
      <c r="E452" s="112"/>
      <c r="F452" s="44" t="s">
        <v>381</v>
      </c>
      <c r="G452" s="45" t="s">
        <v>37</v>
      </c>
      <c r="H452" s="51">
        <f t="shared" si="7"/>
        <v>0.29164654756156438</v>
      </c>
      <c r="I452" s="47"/>
      <c r="J452" s="48">
        <f>VLOOKUP(A452,'[1]תקציב 2026'!$A$1:$M$65536,9,0)</f>
        <v>-535000</v>
      </c>
      <c r="K452" s="49">
        <v>-414200</v>
      </c>
      <c r="L452" s="50">
        <f>VLOOKUP(A452,[2]data1761205830331!$A$1:$J$65536,10,0)</f>
        <v>0</v>
      </c>
    </row>
    <row r="453" spans="1:12" ht="15.75" customHeight="1" outlineLevel="1">
      <c r="A453" s="11">
        <v>1315740920</v>
      </c>
      <c r="B453" s="40">
        <v>920</v>
      </c>
      <c r="C453" s="109">
        <v>315740</v>
      </c>
      <c r="D453" s="42">
        <v>1</v>
      </c>
      <c r="E453" s="112"/>
      <c r="F453" s="44" t="s">
        <v>393</v>
      </c>
      <c r="G453" s="45" t="s">
        <v>37</v>
      </c>
      <c r="H453" s="51">
        <f t="shared" si="7"/>
        <v>0.16327479448001858</v>
      </c>
      <c r="I453" s="47"/>
      <c r="J453" s="48">
        <f>VLOOKUP(A453,'[1]תקציב 2026'!$A$1:$M$65536,9,0)</f>
        <v>-22018000</v>
      </c>
      <c r="K453" s="49">
        <f>VLOOKUP(A453,[3]גיליון1!$A$1:$C$7693,3,0)</f>
        <v>-18927600</v>
      </c>
      <c r="L453" s="50">
        <f>VLOOKUP(A453,[2]data1761205830331!$A$1:$J$65536,10,0)</f>
        <v>-20536447.16</v>
      </c>
    </row>
    <row r="454" spans="1:12" ht="15.75" customHeight="1" outlineLevel="1">
      <c r="A454" s="11">
        <v>1315740921</v>
      </c>
      <c r="B454" s="40">
        <v>921</v>
      </c>
      <c r="C454" s="109">
        <v>315740</v>
      </c>
      <c r="D454" s="42">
        <v>1</v>
      </c>
      <c r="E454" s="112"/>
      <c r="F454" s="44" t="s">
        <v>383</v>
      </c>
      <c r="G454" s="45" t="s">
        <v>37</v>
      </c>
      <c r="H454" s="51">
        <f t="shared" si="7"/>
        <v>-1.3274923669188921E-2</v>
      </c>
      <c r="I454" s="47"/>
      <c r="J454" s="48">
        <f>VLOOKUP(A454,'[1]תקציב 2026'!$A$1:$M$65536,9,0)</f>
        <v>-2973200</v>
      </c>
      <c r="K454" s="49">
        <f>VLOOKUP(A454,[3]גיליון1!$A$1:$C$7693,3,0)</f>
        <v>-3013200</v>
      </c>
      <c r="L454" s="50">
        <f>VLOOKUP(A454,[2]data1761205830331!$A$1:$J$65536,10,0)</f>
        <v>-2968209.09</v>
      </c>
    </row>
    <row r="455" spans="1:12" ht="15.75" customHeight="1" outlineLevel="1">
      <c r="A455" s="11">
        <v>1315740922</v>
      </c>
      <c r="B455" s="40">
        <v>922</v>
      </c>
      <c r="C455" s="109">
        <v>315740</v>
      </c>
      <c r="D455" s="42">
        <v>1</v>
      </c>
      <c r="E455" s="112"/>
      <c r="F455" s="44" t="s">
        <v>384</v>
      </c>
      <c r="G455" s="45" t="s">
        <v>37</v>
      </c>
      <c r="H455" s="51">
        <v>1</v>
      </c>
      <c r="I455" s="47"/>
      <c r="J455" s="48">
        <f>VLOOKUP(A455,'[1]תקציב 2026'!$A$1:$M$65536,9,0)</f>
        <v>-111000</v>
      </c>
      <c r="K455" s="49">
        <f>VLOOKUP(A455,[3]גיליון1!$A$1:$C$7693,3,0)</f>
        <v>0</v>
      </c>
      <c r="L455" s="50">
        <f>VLOOKUP(A455,[2]data1761205830331!$A$1:$J$65536,10,0)</f>
        <v>-86867.14</v>
      </c>
    </row>
    <row r="456" spans="1:12" ht="15.75" customHeight="1" outlineLevel="1">
      <c r="A456" s="11">
        <v>1315740923</v>
      </c>
      <c r="B456" s="40">
        <v>923</v>
      </c>
      <c r="C456" s="109">
        <v>315740</v>
      </c>
      <c r="D456" s="42">
        <v>1</v>
      </c>
      <c r="E456" s="112"/>
      <c r="F456" s="44" t="s">
        <v>385</v>
      </c>
      <c r="G456" s="45" t="s">
        <v>37</v>
      </c>
      <c r="H456" s="51">
        <f t="shared" si="7"/>
        <v>0.5</v>
      </c>
      <c r="I456" s="47"/>
      <c r="J456" s="48">
        <f>VLOOKUP(A456,'[1]תקציב 2026'!$A$1:$M$65536,9,0)</f>
        <v>-15000</v>
      </c>
      <c r="K456" s="49">
        <f>VLOOKUP(A456,[3]גיליון1!$A$1:$C$7693,3,0)</f>
        <v>-10000</v>
      </c>
      <c r="L456" s="50">
        <f>VLOOKUP(A456,[2]data1761205830331!$A$1:$J$65536,10,0)</f>
        <v>-4235.28</v>
      </c>
    </row>
    <row r="457" spans="1:12" ht="15.75" customHeight="1" outlineLevel="1">
      <c r="A457" s="11">
        <v>1315740925</v>
      </c>
      <c r="B457" s="40">
        <v>925</v>
      </c>
      <c r="C457" s="109">
        <v>315740</v>
      </c>
      <c r="D457" s="42">
        <v>1</v>
      </c>
      <c r="E457" s="112"/>
      <c r="F457" s="44" t="s">
        <v>386</v>
      </c>
      <c r="G457" s="45" t="s">
        <v>37</v>
      </c>
      <c r="H457" s="51">
        <f t="shared" si="7"/>
        <v>0.37432188065099448</v>
      </c>
      <c r="I457" s="47"/>
      <c r="J457" s="48">
        <f>VLOOKUP(A457,'[1]תקציב 2026'!$A$1:$M$65536,9,0)</f>
        <v>-1900000</v>
      </c>
      <c r="K457" s="49">
        <f>VLOOKUP(A457,[3]גיליון1!$A$1:$C$7693,3,0)</f>
        <v>-1382500</v>
      </c>
      <c r="L457" s="50">
        <f>VLOOKUP(A457,[2]data1761205830331!$A$1:$J$65536,10,0)</f>
        <v>-1370400.4</v>
      </c>
    </row>
    <row r="458" spans="1:12" ht="15.75" customHeight="1" outlineLevel="1">
      <c r="A458" s="11">
        <v>1315740926</v>
      </c>
      <c r="B458" s="40">
        <v>926</v>
      </c>
      <c r="C458" s="109">
        <v>315740</v>
      </c>
      <c r="D458" s="42">
        <v>1</v>
      </c>
      <c r="E458" s="112"/>
      <c r="F458" s="44" t="s">
        <v>396</v>
      </c>
      <c r="G458" s="45" t="s">
        <v>37</v>
      </c>
      <c r="H458" s="51">
        <f t="shared" si="7"/>
        <v>-0.65596330275229353</v>
      </c>
      <c r="I458" s="47"/>
      <c r="J458" s="48">
        <f>VLOOKUP(A458,'[1]תקציב 2026'!$A$1:$M$65536,9,0)</f>
        <v>-120000</v>
      </c>
      <c r="K458" s="49">
        <f>VLOOKUP(A458,[3]גיליון1!$A$1:$C$7693,3,0)</f>
        <v>-348800</v>
      </c>
      <c r="L458" s="50">
        <f>VLOOKUP(A458,[2]data1761205830331!$A$1:$J$65536,10,0)</f>
        <v>-146676.66</v>
      </c>
    </row>
    <row r="459" spans="1:12" ht="15.75" customHeight="1" outlineLevel="1">
      <c r="A459" s="11">
        <v>1315740928</v>
      </c>
      <c r="B459" s="40">
        <v>928</v>
      </c>
      <c r="C459" s="109">
        <v>315740</v>
      </c>
      <c r="D459" s="42">
        <v>1</v>
      </c>
      <c r="E459" s="112"/>
      <c r="F459" s="44" t="s">
        <v>387</v>
      </c>
      <c r="G459" s="45" t="s">
        <v>37</v>
      </c>
      <c r="H459" s="51">
        <f t="shared" si="7"/>
        <v>0.1008784358175121</v>
      </c>
      <c r="I459" s="47"/>
      <c r="J459" s="48">
        <f>VLOOKUP(A459,'[1]תקציב 2026'!$A$1:$M$65536,9,0)</f>
        <v>-388500</v>
      </c>
      <c r="K459" s="49">
        <f>VLOOKUP(A459,[3]גיליון1!$A$1:$C$7693,3,0)</f>
        <v>-352900</v>
      </c>
      <c r="L459" s="50">
        <f>VLOOKUP(A459,[2]data1761205830331!$A$1:$J$65536,10,0)</f>
        <v>-360936.96000000002</v>
      </c>
    </row>
    <row r="460" spans="1:12" ht="15.75" customHeight="1" outlineLevel="1">
      <c r="A460" s="11">
        <v>1315740930</v>
      </c>
      <c r="B460" s="40">
        <v>930</v>
      </c>
      <c r="C460" s="109">
        <v>315740</v>
      </c>
      <c r="D460" s="42">
        <v>1</v>
      </c>
      <c r="E460" s="112"/>
      <c r="F460" s="44" t="s">
        <v>388</v>
      </c>
      <c r="G460" s="45" t="s">
        <v>37</v>
      </c>
      <c r="H460" s="51">
        <f t="shared" si="7"/>
        <v>0.2578456318914335</v>
      </c>
      <c r="I460" s="47"/>
      <c r="J460" s="48">
        <f>VLOOKUP(A460,'[1]תקציב 2026'!$A$1:$M$65536,9,0)</f>
        <v>-11864000</v>
      </c>
      <c r="K460" s="49">
        <f>VLOOKUP(A460,[3]גיליון1!$A$1:$C$7693,3,0)</f>
        <v>-9432000</v>
      </c>
      <c r="L460" s="50">
        <f>VLOOKUP(A460,[2]data1761205830331!$A$1:$J$65536,10,0)</f>
        <v>-9499492.8100000005</v>
      </c>
    </row>
    <row r="461" spans="1:12" ht="15.75" customHeight="1" outlineLevel="1">
      <c r="A461" s="11">
        <v>1315740932</v>
      </c>
      <c r="B461" s="40">
        <v>932</v>
      </c>
      <c r="C461" s="109">
        <v>315740</v>
      </c>
      <c r="D461" s="42">
        <v>1</v>
      </c>
      <c r="E461" s="112"/>
      <c r="F461" s="44" t="s">
        <v>389</v>
      </c>
      <c r="G461" s="45" t="s">
        <v>37</v>
      </c>
      <c r="H461" s="51">
        <f t="shared" si="7"/>
        <v>4.1297340854149933E-2</v>
      </c>
      <c r="I461" s="47"/>
      <c r="J461" s="48">
        <f>VLOOKUP(A461,'[1]תקציב 2026'!$A$1:$M$65536,9,0)</f>
        <v>-516900</v>
      </c>
      <c r="K461" s="49">
        <f>VLOOKUP(A461,[3]גיליון1!$A$1:$C$7693,3,0)</f>
        <v>-496400</v>
      </c>
      <c r="L461" s="50">
        <f>VLOOKUP(A461,[2]data1761205830331!$A$1:$J$65536,10,0)</f>
        <v>-532075.30000000005</v>
      </c>
    </row>
    <row r="462" spans="1:12" ht="15.75" customHeight="1" outlineLevel="1" thickBot="1">
      <c r="A462" s="11">
        <v>1315740953</v>
      </c>
      <c r="B462" s="40">
        <v>953</v>
      </c>
      <c r="C462" s="109">
        <v>315740</v>
      </c>
      <c r="D462" s="42">
        <v>1</v>
      </c>
      <c r="E462" s="112"/>
      <c r="F462" s="44" t="s">
        <v>277</v>
      </c>
      <c r="G462" s="45" t="s">
        <v>37</v>
      </c>
      <c r="H462" s="51">
        <f t="shared" si="7"/>
        <v>-3.4282955094157463E-2</v>
      </c>
      <c r="I462" s="47"/>
      <c r="J462" s="48">
        <f>VLOOKUP(A462,'[1]תקציב 2026'!$A$1:$M$65536,9,0)</f>
        <v>-1600000</v>
      </c>
      <c r="K462" s="49">
        <v>-1656800</v>
      </c>
      <c r="L462" s="50">
        <f>VLOOKUP(A462,[2]data1761205830331!$A$1:$J$65536,10,0)</f>
        <v>-1370950.29</v>
      </c>
    </row>
    <row r="463" spans="1:12" ht="16.2" thickBot="1">
      <c r="A463" s="11" t="e">
        <v>#VALUE!</v>
      </c>
      <c r="B463" s="53" t="s">
        <v>399</v>
      </c>
      <c r="C463" s="54"/>
      <c r="D463" s="55"/>
      <c r="E463" s="115"/>
      <c r="F463" s="116" t="s">
        <v>398</v>
      </c>
      <c r="G463" s="58"/>
      <c r="H463" s="71">
        <f>J463/K463-1</f>
        <v>0.16405741270718543</v>
      </c>
      <c r="I463" s="72"/>
      <c r="J463" s="74">
        <f>SUBTOTAL(9,J449:J462)</f>
        <v>-42545600</v>
      </c>
      <c r="K463" s="92">
        <f>SUBTOTAL(9,K449:K462)</f>
        <v>-36549400</v>
      </c>
      <c r="L463" s="75">
        <f>SUBTOTAL(9,L449:L462)</f>
        <v>-37664320.890000001</v>
      </c>
    </row>
    <row r="464" spans="1:12" ht="15.75" customHeight="1" outlineLevel="1">
      <c r="A464" s="11">
        <v>13157500</v>
      </c>
      <c r="B464" s="40">
        <v>0</v>
      </c>
      <c r="C464" s="109">
        <v>315750</v>
      </c>
      <c r="D464" s="42">
        <v>1</v>
      </c>
      <c r="E464" s="112"/>
      <c r="F464" s="44" t="s">
        <v>400</v>
      </c>
      <c r="G464" s="45" t="s">
        <v>15</v>
      </c>
      <c r="H464" s="51"/>
      <c r="I464" s="47"/>
      <c r="J464" s="48"/>
      <c r="K464" s="49"/>
      <c r="L464" s="50"/>
    </row>
    <row r="465" spans="1:12" ht="15.75" customHeight="1" outlineLevel="1">
      <c r="A465" s="11">
        <v>1315750312</v>
      </c>
      <c r="B465" s="40">
        <v>312</v>
      </c>
      <c r="C465" s="109">
        <v>315750</v>
      </c>
      <c r="D465" s="42">
        <v>1</v>
      </c>
      <c r="E465" s="112"/>
      <c r="F465" s="44" t="s">
        <v>296</v>
      </c>
      <c r="G465" s="45" t="s">
        <v>37</v>
      </c>
      <c r="H465" s="51">
        <f t="shared" si="7"/>
        <v>0</v>
      </c>
      <c r="I465" s="47"/>
      <c r="J465" s="48">
        <f>VLOOKUP(A465,'[1]תקציב 2026'!$A$1:$M$65536,9,0)</f>
        <v>-25000</v>
      </c>
      <c r="K465" s="49">
        <f>VLOOKUP(A465,[3]גיליון1!$A$1:$C$7693,3,0)</f>
        <v>-25000</v>
      </c>
      <c r="L465" s="50">
        <f>VLOOKUP(A465,[2]data1761205830331!$A$1:$J$65536,10,0)</f>
        <v>-24706</v>
      </c>
    </row>
    <row r="466" spans="1:12" ht="15.75" customHeight="1" outlineLevel="1">
      <c r="A466" s="11">
        <v>1315750416</v>
      </c>
      <c r="B466" s="40">
        <v>416</v>
      </c>
      <c r="C466" s="109">
        <v>315750</v>
      </c>
      <c r="D466" s="42">
        <v>1</v>
      </c>
      <c r="E466" s="112"/>
      <c r="F466" s="44" t="s">
        <v>380</v>
      </c>
      <c r="G466" s="45" t="s">
        <v>37</v>
      </c>
      <c r="H466" s="51">
        <f t="shared" si="7"/>
        <v>0</v>
      </c>
      <c r="I466" s="47"/>
      <c r="J466" s="48">
        <f>VLOOKUP(A466,'[1]תקציב 2026'!$A$1:$M$65536,9,0)</f>
        <v>-30000</v>
      </c>
      <c r="K466" s="49">
        <f>VLOOKUP(A466,[3]גיליון1!$A$1:$C$7693,3,0)</f>
        <v>-30000</v>
      </c>
      <c r="L466" s="50">
        <f>VLOOKUP(A466,[2]data1761205830331!$A$1:$J$65536,10,0)</f>
        <v>0</v>
      </c>
    </row>
    <row r="467" spans="1:12" ht="15.75" customHeight="1" outlineLevel="1">
      <c r="A467" s="11">
        <v>1315750440</v>
      </c>
      <c r="B467" s="40">
        <v>440</v>
      </c>
      <c r="C467" s="109">
        <v>315750</v>
      </c>
      <c r="D467" s="42">
        <v>1</v>
      </c>
      <c r="E467" s="112"/>
      <c r="F467" s="44" t="s">
        <v>323</v>
      </c>
      <c r="G467" s="45" t="s">
        <v>37</v>
      </c>
      <c r="H467" s="51">
        <f t="shared" si="7"/>
        <v>0</v>
      </c>
      <c r="I467" s="47"/>
      <c r="J467" s="48">
        <f>VLOOKUP(A467,'[1]תקציב 2026'!$A$1:$M$65536,9,0)</f>
        <v>-200000</v>
      </c>
      <c r="K467" s="49">
        <f>VLOOKUP(A467,[3]גיליון1!$A$1:$C$7693,3,0)</f>
        <v>-200000</v>
      </c>
      <c r="L467" s="50">
        <f>VLOOKUP(A467,[2]data1761205830331!$A$1:$J$65536,10,0)</f>
        <v>-316512</v>
      </c>
    </row>
    <row r="468" spans="1:12" ht="15.75" customHeight="1" outlineLevel="1">
      <c r="A468" s="11">
        <v>1315750452</v>
      </c>
      <c r="B468" s="40">
        <v>452</v>
      </c>
      <c r="C468" s="109">
        <v>315750</v>
      </c>
      <c r="D468" s="42">
        <v>1</v>
      </c>
      <c r="E468" s="112"/>
      <c r="F468" s="44" t="s">
        <v>381</v>
      </c>
      <c r="G468" s="45" t="s">
        <v>37</v>
      </c>
      <c r="H468" s="51">
        <f t="shared" ref="H468:H523" si="8">J468/K468-1</f>
        <v>-4.1533546325878579E-2</v>
      </c>
      <c r="I468" s="47"/>
      <c r="J468" s="48">
        <f>VLOOKUP(A468,'[1]תקציב 2026'!$A$1:$M$65536,9,0)</f>
        <v>-300000</v>
      </c>
      <c r="K468" s="49">
        <v>-313000</v>
      </c>
      <c r="L468" s="50">
        <f>VLOOKUP(A468,[2]data1761205830331!$A$1:$J$65536,10,0)</f>
        <v>0</v>
      </c>
    </row>
    <row r="469" spans="1:12" ht="15.75" customHeight="1" outlineLevel="1">
      <c r="A469" s="11">
        <v>1315750920</v>
      </c>
      <c r="B469" s="40">
        <v>920</v>
      </c>
      <c r="C469" s="109">
        <v>315750</v>
      </c>
      <c r="D469" s="42">
        <v>1</v>
      </c>
      <c r="E469" s="112"/>
      <c r="F469" s="44" t="s">
        <v>393</v>
      </c>
      <c r="G469" s="45" t="s">
        <v>37</v>
      </c>
      <c r="H469" s="51">
        <f t="shared" si="8"/>
        <v>0.11454658368679072</v>
      </c>
      <c r="I469" s="47"/>
      <c r="J469" s="48">
        <f>VLOOKUP(A469,'[1]תקציב 2026'!$A$1:$M$65536,9,0)</f>
        <v>-16870000</v>
      </c>
      <c r="K469" s="49">
        <f>VLOOKUP(A469,[3]גיליון1!$A$1:$C$7693,3,0)</f>
        <v>-15136200</v>
      </c>
      <c r="L469" s="50">
        <f>VLOOKUP(A469,[2]data1761205830331!$A$1:$J$65536,10,0)</f>
        <v>-16687535.699999999</v>
      </c>
    </row>
    <row r="470" spans="1:12" ht="15.75" customHeight="1" outlineLevel="1">
      <c r="A470" s="11">
        <v>1315750921</v>
      </c>
      <c r="B470" s="40">
        <v>921</v>
      </c>
      <c r="C470" s="109">
        <v>315750</v>
      </c>
      <c r="D470" s="42">
        <v>1</v>
      </c>
      <c r="E470" s="112"/>
      <c r="F470" s="44" t="s">
        <v>383</v>
      </c>
      <c r="G470" s="45" t="s">
        <v>37</v>
      </c>
      <c r="H470" s="51">
        <f t="shared" si="8"/>
        <v>-2.4248236180560268E-2</v>
      </c>
      <c r="I470" s="47"/>
      <c r="J470" s="48">
        <f>VLOOKUP(A470,'[1]תקציב 2026'!$A$1:$M$65536,9,0)</f>
        <v>-1424500</v>
      </c>
      <c r="K470" s="49">
        <f>VLOOKUP(A470,[3]גיליון1!$A$1:$C$7693,3,0)</f>
        <v>-1459900</v>
      </c>
      <c r="L470" s="50">
        <f>VLOOKUP(A470,[2]data1761205830331!$A$1:$J$65536,10,0)</f>
        <v>-1402223.68</v>
      </c>
    </row>
    <row r="471" spans="1:12" ht="15.75" customHeight="1" outlineLevel="1">
      <c r="A471" s="11">
        <v>1315750922</v>
      </c>
      <c r="B471" s="40">
        <v>922</v>
      </c>
      <c r="C471" s="109">
        <v>315750</v>
      </c>
      <c r="D471" s="42">
        <v>1</v>
      </c>
      <c r="E471" s="112"/>
      <c r="F471" s="44" t="s">
        <v>384</v>
      </c>
      <c r="G471" s="45" t="s">
        <v>37</v>
      </c>
      <c r="H471" s="51">
        <v>1</v>
      </c>
      <c r="I471" s="47"/>
      <c r="J471" s="48">
        <f>VLOOKUP(A471,'[1]תקציב 2026'!$A$1:$M$65536,9,0)</f>
        <v>-18000</v>
      </c>
      <c r="K471" s="49">
        <f>VLOOKUP(A471,[3]גיליון1!$A$1:$C$7693,3,0)</f>
        <v>0</v>
      </c>
      <c r="L471" s="50">
        <f>VLOOKUP(A471,[2]data1761205830331!$A$1:$J$65536,10,0)</f>
        <v>-8883.98</v>
      </c>
    </row>
    <row r="472" spans="1:12" ht="15.75" customHeight="1" outlineLevel="1">
      <c r="A472" s="11">
        <v>1315750925</v>
      </c>
      <c r="B472" s="40">
        <v>925</v>
      </c>
      <c r="C472" s="109">
        <v>315750</v>
      </c>
      <c r="D472" s="42">
        <v>1</v>
      </c>
      <c r="E472" s="112"/>
      <c r="F472" s="44" t="s">
        <v>386</v>
      </c>
      <c r="G472" s="45" t="s">
        <v>37</v>
      </c>
      <c r="H472" s="51">
        <f t="shared" si="8"/>
        <v>0.43157894736842106</v>
      </c>
      <c r="I472" s="47"/>
      <c r="J472" s="48">
        <f>VLOOKUP(A472,'[1]תקציב 2026'!$A$1:$M$65536,9,0)</f>
        <v>-1360000</v>
      </c>
      <c r="K472" s="49">
        <f>VLOOKUP(A472,[3]גיליון1!$A$1:$C$7693,3,0)</f>
        <v>-950000</v>
      </c>
      <c r="L472" s="50">
        <f>VLOOKUP(A472,[2]data1761205830331!$A$1:$J$65536,10,0)</f>
        <v>-983939.13</v>
      </c>
    </row>
    <row r="473" spans="1:12" ht="15.75" customHeight="1" outlineLevel="1">
      <c r="A473" s="11">
        <v>1315750926</v>
      </c>
      <c r="B473" s="40">
        <v>926</v>
      </c>
      <c r="C473" s="109">
        <v>315750</v>
      </c>
      <c r="D473" s="42">
        <v>1</v>
      </c>
      <c r="E473" s="112"/>
      <c r="F473" s="44" t="s">
        <v>396</v>
      </c>
      <c r="G473" s="45" t="s">
        <v>37</v>
      </c>
      <c r="H473" s="51">
        <f t="shared" si="8"/>
        <v>-0.47127247091998592</v>
      </c>
      <c r="I473" s="47"/>
      <c r="J473" s="48">
        <f>VLOOKUP(A473,'[1]תקציב 2026'!$A$1:$M$65536,9,0)</f>
        <v>-150000</v>
      </c>
      <c r="K473" s="49">
        <f>VLOOKUP(A473,[3]גיליון1!$A$1:$C$7693,3,0)</f>
        <v>-283700</v>
      </c>
      <c r="L473" s="50">
        <f>VLOOKUP(A473,[2]data1761205830331!$A$1:$J$65536,10,0)</f>
        <v>-104548.58</v>
      </c>
    </row>
    <row r="474" spans="1:12" ht="15.75" customHeight="1" outlineLevel="1">
      <c r="A474" s="11">
        <v>1315750928</v>
      </c>
      <c r="B474" s="40">
        <v>928</v>
      </c>
      <c r="C474" s="109">
        <v>315750</v>
      </c>
      <c r="D474" s="42">
        <v>1</v>
      </c>
      <c r="E474" s="112"/>
      <c r="F474" s="44" t="s">
        <v>387</v>
      </c>
      <c r="G474" s="45" t="s">
        <v>37</v>
      </c>
      <c r="H474" s="51">
        <f t="shared" si="8"/>
        <v>-5.8396946564885477E-2</v>
      </c>
      <c r="I474" s="47"/>
      <c r="J474" s="48">
        <f>VLOOKUP(A474,'[1]תקציב 2026'!$A$1:$M$65536,9,0)</f>
        <v>-246700</v>
      </c>
      <c r="K474" s="49">
        <f>VLOOKUP(A474,[3]גיליון1!$A$1:$C$7693,3,0)</f>
        <v>-262000</v>
      </c>
      <c r="L474" s="50">
        <f>VLOOKUP(A474,[2]data1761205830331!$A$1:$J$65536,10,0)</f>
        <v>-228829.56</v>
      </c>
    </row>
    <row r="475" spans="1:12" ht="15.75" customHeight="1" outlineLevel="1">
      <c r="A475" s="11">
        <v>1315750930</v>
      </c>
      <c r="B475" s="40">
        <v>930</v>
      </c>
      <c r="C475" s="109">
        <v>315750</v>
      </c>
      <c r="D475" s="42">
        <v>1</v>
      </c>
      <c r="E475" s="112"/>
      <c r="F475" s="44" t="s">
        <v>388</v>
      </c>
      <c r="G475" s="45" t="s">
        <v>37</v>
      </c>
      <c r="H475" s="51">
        <f t="shared" si="8"/>
        <v>0.10946369567059233</v>
      </c>
      <c r="I475" s="47"/>
      <c r="J475" s="48">
        <f>VLOOKUP(A475,'[1]תקציב 2026'!$A$1:$M$65536,9,0)</f>
        <v>-7857000</v>
      </c>
      <c r="K475" s="49">
        <f>-VLOOKUP(A475,[3]גיליון1!$A$1:$C$7693,3,0)</f>
        <v>-7081800</v>
      </c>
      <c r="L475" s="50">
        <f>VLOOKUP(A475,[2]data1761205830331!$A$1:$J$65536,10,0)</f>
        <v>-6891114.9299999997</v>
      </c>
    </row>
    <row r="476" spans="1:12" ht="15.75" customHeight="1" outlineLevel="1">
      <c r="A476" s="11">
        <v>1315750932</v>
      </c>
      <c r="B476" s="40">
        <v>932</v>
      </c>
      <c r="C476" s="109">
        <v>315750</v>
      </c>
      <c r="D476" s="42">
        <v>1</v>
      </c>
      <c r="E476" s="112"/>
      <c r="F476" s="44" t="s">
        <v>389</v>
      </c>
      <c r="G476" s="45" t="s">
        <v>37</v>
      </c>
      <c r="H476" s="51">
        <f t="shared" si="8"/>
        <v>-9.554140127389088E-4</v>
      </c>
      <c r="I476" s="47"/>
      <c r="J476" s="48">
        <f>VLOOKUP(A476,'[1]תקציב 2026'!$A$1:$M$65536,9,0)</f>
        <v>-313700</v>
      </c>
      <c r="K476" s="49">
        <f>VLOOKUP(A476,[3]גיליון1!$A$1:$C$7693,3,0)</f>
        <v>-314000</v>
      </c>
      <c r="L476" s="50">
        <f>VLOOKUP(A476,[2]data1761205830331!$A$1:$J$65536,10,0)</f>
        <v>-336578.62</v>
      </c>
    </row>
    <row r="477" spans="1:12" ht="15.75" customHeight="1" outlineLevel="1" thickBot="1">
      <c r="A477" s="11">
        <v>1315750953</v>
      </c>
      <c r="B477" s="40">
        <v>953</v>
      </c>
      <c r="C477" s="109">
        <v>315750</v>
      </c>
      <c r="D477" s="42">
        <v>1</v>
      </c>
      <c r="E477" s="112"/>
      <c r="F477" s="44" t="s">
        <v>277</v>
      </c>
      <c r="G477" s="45" t="s">
        <v>37</v>
      </c>
      <c r="H477" s="51">
        <f t="shared" si="8"/>
        <v>-9.5846645367412275E-3</v>
      </c>
      <c r="I477" s="47"/>
      <c r="J477" s="48">
        <f>VLOOKUP(A477,'[1]תקציב 2026'!$A$1:$M$65536,9,0)</f>
        <v>-1240000</v>
      </c>
      <c r="K477" s="49">
        <v>-1252000</v>
      </c>
      <c r="L477" s="50">
        <f>VLOOKUP(A477,[2]data1761205830331!$A$1:$J$65536,10,0)</f>
        <v>-1104309.6299999999</v>
      </c>
    </row>
    <row r="478" spans="1:12" ht="16.2" thickBot="1">
      <c r="A478" s="11" t="e">
        <v>#VALUE!</v>
      </c>
      <c r="B478" s="53" t="s">
        <v>401</v>
      </c>
      <c r="C478" s="54"/>
      <c r="D478" s="55"/>
      <c r="E478" s="115"/>
      <c r="F478" s="116" t="s">
        <v>400</v>
      </c>
      <c r="G478" s="58"/>
      <c r="H478" s="71">
        <f>J478/K478-1</f>
        <v>9.9873295346350366E-2</v>
      </c>
      <c r="I478" s="72"/>
      <c r="J478" s="74">
        <f>SUBTOTAL(9,J465:J477)</f>
        <v>-30034900</v>
      </c>
      <c r="K478" s="92">
        <f>SUBTOTAL(9,K465:K477)</f>
        <v>-27307600</v>
      </c>
      <c r="L478" s="75">
        <f>SUBTOTAL(9,L465:L477)</f>
        <v>-28089181.809999995</v>
      </c>
    </row>
    <row r="479" spans="1:12" ht="15.75" customHeight="1" outlineLevel="1">
      <c r="A479" s="11">
        <v>13157600</v>
      </c>
      <c r="B479" s="40">
        <v>0</v>
      </c>
      <c r="C479" s="109">
        <v>315760</v>
      </c>
      <c r="D479" s="42">
        <v>1</v>
      </c>
      <c r="E479" s="112"/>
      <c r="F479" s="44" t="s">
        <v>402</v>
      </c>
      <c r="G479" s="45" t="s">
        <v>15</v>
      </c>
      <c r="H479" s="51"/>
      <c r="I479" s="47"/>
      <c r="J479" s="48"/>
      <c r="K479" s="49"/>
      <c r="L479" s="50"/>
    </row>
    <row r="480" spans="1:12" ht="15.75" customHeight="1" outlineLevel="1">
      <c r="A480" s="11">
        <v>1315760312</v>
      </c>
      <c r="B480" s="40">
        <v>312</v>
      </c>
      <c r="C480" s="109">
        <v>315760</v>
      </c>
      <c r="D480" s="42">
        <v>1</v>
      </c>
      <c r="E480" s="112"/>
      <c r="F480" s="44" t="s">
        <v>296</v>
      </c>
      <c r="G480" s="45" t="s">
        <v>37</v>
      </c>
      <c r="H480" s="51">
        <f t="shared" si="8"/>
        <v>0.22222222222222232</v>
      </c>
      <c r="I480" s="47"/>
      <c r="J480" s="48">
        <f>VLOOKUP(A480,'[1]תקציב 2026'!$A$1:$M$65536,9,0)</f>
        <v>-11000</v>
      </c>
      <c r="K480" s="49">
        <f>VLOOKUP(A480,[3]גיליון1!$A$1:$C$7693,3,0)</f>
        <v>-9000</v>
      </c>
      <c r="L480" s="50">
        <f>VLOOKUP(A480,[2]data1761205830331!$A$1:$J$65536,10,0)</f>
        <v>-10186</v>
      </c>
    </row>
    <row r="481" spans="1:12" ht="15.75" customHeight="1" outlineLevel="1">
      <c r="A481" s="11">
        <v>1315760440</v>
      </c>
      <c r="B481" s="40">
        <v>440</v>
      </c>
      <c r="C481" s="109">
        <v>315760</v>
      </c>
      <c r="D481" s="42">
        <v>1</v>
      </c>
      <c r="E481" s="112"/>
      <c r="F481" s="44" t="s">
        <v>323</v>
      </c>
      <c r="G481" s="45" t="s">
        <v>37</v>
      </c>
      <c r="H481" s="51">
        <f t="shared" si="8"/>
        <v>5.4137664346480818E-3</v>
      </c>
      <c r="I481" s="47"/>
      <c r="J481" s="48">
        <f>VLOOKUP(A481,'[1]תקציב 2026'!$A$1:$M$65536,9,0)</f>
        <v>-130000</v>
      </c>
      <c r="K481" s="49">
        <f>VLOOKUP(A481,[3]גיליון1!$A$1:$C$7693,3,0)</f>
        <v>-129300</v>
      </c>
      <c r="L481" s="50">
        <f>VLOOKUP(A481,[2]data1761205830331!$A$1:$J$65536,10,0)</f>
        <v>-154369</v>
      </c>
    </row>
    <row r="482" spans="1:12" ht="15.75" customHeight="1" outlineLevel="1">
      <c r="A482" s="11">
        <v>1315760452</v>
      </c>
      <c r="B482" s="40">
        <v>452</v>
      </c>
      <c r="C482" s="109">
        <v>315760</v>
      </c>
      <c r="D482" s="42">
        <v>1</v>
      </c>
      <c r="E482" s="112"/>
      <c r="F482" s="44" t="s">
        <v>381</v>
      </c>
      <c r="G482" s="45" t="s">
        <v>37</v>
      </c>
      <c r="H482" s="51">
        <f t="shared" si="8"/>
        <v>3.8681948424068802E-2</v>
      </c>
      <c r="I482" s="47"/>
      <c r="J482" s="48">
        <f>VLOOKUP(A482,'[1]תקציב 2026'!$A$1:$M$65536,9,0)</f>
        <v>-145000</v>
      </c>
      <c r="K482" s="49">
        <v>-139600</v>
      </c>
      <c r="L482" s="50">
        <f>VLOOKUP(A482,[2]data1761205830331!$A$1:$J$65536,10,0)</f>
        <v>0</v>
      </c>
    </row>
    <row r="483" spans="1:12" ht="15.75" customHeight="1" outlineLevel="1">
      <c r="A483" s="11">
        <v>1315760920</v>
      </c>
      <c r="B483" s="40">
        <v>920</v>
      </c>
      <c r="C483" s="109">
        <v>315760</v>
      </c>
      <c r="D483" s="42">
        <v>1</v>
      </c>
      <c r="E483" s="112"/>
      <c r="F483" s="44" t="s">
        <v>393</v>
      </c>
      <c r="G483" s="45" t="s">
        <v>37</v>
      </c>
      <c r="H483" s="51">
        <f t="shared" si="8"/>
        <v>0.50373279552772177</v>
      </c>
      <c r="I483" s="47"/>
      <c r="J483" s="48">
        <f>VLOOKUP(A483,'[1]תקציב 2026'!$A$1:$M$65536,9,0)</f>
        <v>-4250000</v>
      </c>
      <c r="K483" s="49">
        <f>VLOOKUP(A483,[3]גיליון1!$A$1:$C$7693,3,0)</f>
        <v>-2826300</v>
      </c>
      <c r="L483" s="50">
        <f>VLOOKUP(A483,[2]data1761205830331!$A$1:$J$65536,10,0)</f>
        <v>-3194852.31</v>
      </c>
    </row>
    <row r="484" spans="1:12" ht="15.75" customHeight="1" outlineLevel="1">
      <c r="A484" s="11">
        <v>1315760921</v>
      </c>
      <c r="B484" s="40">
        <v>921</v>
      </c>
      <c r="C484" s="109">
        <v>315760</v>
      </c>
      <c r="D484" s="42">
        <v>1</v>
      </c>
      <c r="E484" s="112"/>
      <c r="F484" s="44" t="s">
        <v>383</v>
      </c>
      <c r="G484" s="45" t="s">
        <v>37</v>
      </c>
      <c r="H484" s="51">
        <f t="shared" si="8"/>
        <v>5.0835556803819681E-2</v>
      </c>
      <c r="I484" s="47"/>
      <c r="J484" s="48">
        <f>VLOOKUP(A484,'[1]תקציב 2026'!$A$1:$M$65536,9,0)</f>
        <v>-748300</v>
      </c>
      <c r="K484" s="49">
        <f>VLOOKUP(A484,[3]גיליון1!$A$1:$C$7693,3,0)</f>
        <v>-712100</v>
      </c>
      <c r="L484" s="50">
        <f>VLOOKUP(A484,[2]data1761205830331!$A$1:$J$65536,10,0)</f>
        <v>-759783.15</v>
      </c>
    </row>
    <row r="485" spans="1:12" ht="15.75" customHeight="1" outlineLevel="1">
      <c r="A485" s="11">
        <v>1315760922</v>
      </c>
      <c r="B485" s="40">
        <v>922</v>
      </c>
      <c r="C485" s="109">
        <v>315760</v>
      </c>
      <c r="D485" s="42">
        <v>1</v>
      </c>
      <c r="E485" s="112"/>
      <c r="F485" s="44" t="s">
        <v>384</v>
      </c>
      <c r="G485" s="45" t="s">
        <v>37</v>
      </c>
      <c r="H485" s="51">
        <v>1</v>
      </c>
      <c r="I485" s="47"/>
      <c r="J485" s="48">
        <f>VLOOKUP(A485,'[1]תקציב 2026'!$A$1:$M$65536,9,0)</f>
        <v>-64000</v>
      </c>
      <c r="K485" s="49">
        <f>VLOOKUP(A485,[3]גיליון1!$A$1:$C$7693,3,0)</f>
        <v>0</v>
      </c>
      <c r="L485" s="50">
        <f>VLOOKUP(A485,[2]data1761205830331!$A$1:$J$65536,10,0)</f>
        <v>-70657.34</v>
      </c>
    </row>
    <row r="486" spans="1:12" ht="15.75" customHeight="1" outlineLevel="1">
      <c r="A486" s="11">
        <v>1315760923</v>
      </c>
      <c r="B486" s="40">
        <v>923</v>
      </c>
      <c r="C486" s="109">
        <v>315760</v>
      </c>
      <c r="D486" s="42">
        <v>1</v>
      </c>
      <c r="E486" s="112"/>
      <c r="F486" s="44" t="s">
        <v>385</v>
      </c>
      <c r="G486" s="45" t="s">
        <v>37</v>
      </c>
      <c r="H486" s="51">
        <f t="shared" si="8"/>
        <v>5.0000000000000044E-2</v>
      </c>
      <c r="I486" s="47"/>
      <c r="J486" s="48">
        <f>VLOOKUP(A486,'[1]תקציב 2026'!$A$1:$M$65536,9,0)</f>
        <v>-12600</v>
      </c>
      <c r="K486" s="49">
        <f>VLOOKUP(A486,[3]גיליון1!$A$1:$C$7693,3,0)</f>
        <v>-12000</v>
      </c>
      <c r="L486" s="50">
        <f>VLOOKUP(A486,[2]data1761205830331!$A$1:$J$65536,10,0)</f>
        <v>-11517.4</v>
      </c>
    </row>
    <row r="487" spans="1:12" ht="15.75" customHeight="1" outlineLevel="1">
      <c r="A487" s="11">
        <v>1315760924</v>
      </c>
      <c r="B487" s="40">
        <v>924</v>
      </c>
      <c r="C487" s="109">
        <v>315760</v>
      </c>
      <c r="D487" s="42">
        <v>1</v>
      </c>
      <c r="E487" s="112"/>
      <c r="F487" s="44" t="s">
        <v>403</v>
      </c>
      <c r="G487" s="45" t="s">
        <v>37</v>
      </c>
      <c r="H487" s="51">
        <f t="shared" si="8"/>
        <v>-0.39130434782608692</v>
      </c>
      <c r="I487" s="47"/>
      <c r="J487" s="48">
        <f>VLOOKUP(A487,'[1]תקציב 2026'!$A$1:$M$65536,9,0)</f>
        <v>-70000</v>
      </c>
      <c r="K487" s="49">
        <f>VLOOKUP(A487,[3]גיליון1!$A$1:$C$7693,3,0)</f>
        <v>-115000</v>
      </c>
      <c r="L487" s="50">
        <f>VLOOKUP(A487,[2]data1761205830331!$A$1:$J$65536,10,0)</f>
        <v>-76443.48</v>
      </c>
    </row>
    <row r="488" spans="1:12" ht="15.75" customHeight="1" outlineLevel="1">
      <c r="A488" s="11">
        <v>1315760925</v>
      </c>
      <c r="B488" s="40">
        <v>925</v>
      </c>
      <c r="C488" s="109">
        <v>315760</v>
      </c>
      <c r="D488" s="42">
        <v>1</v>
      </c>
      <c r="E488" s="112"/>
      <c r="F488" s="44" t="s">
        <v>386</v>
      </c>
      <c r="G488" s="45" t="s">
        <v>37</v>
      </c>
      <c r="H488" s="51">
        <f t="shared" si="8"/>
        <v>0.61518727552591068</v>
      </c>
      <c r="I488" s="47"/>
      <c r="J488" s="48">
        <f>VLOOKUP(A488,'[1]תקציב 2026'!$A$1:$M$65536,9,0)</f>
        <v>-314800</v>
      </c>
      <c r="K488" s="49">
        <f>VLOOKUP(A488,[3]גיליון1!$A$1:$C$7693,3,0)</f>
        <v>-194900</v>
      </c>
      <c r="L488" s="50">
        <f>VLOOKUP(A488,[2]data1761205830331!$A$1:$J$65536,10,0)</f>
        <v>-204212</v>
      </c>
    </row>
    <row r="489" spans="1:12" ht="15.75" customHeight="1" outlineLevel="1">
      <c r="A489" s="11">
        <v>1315760926</v>
      </c>
      <c r="B489" s="40">
        <v>926</v>
      </c>
      <c r="C489" s="109">
        <v>315760</v>
      </c>
      <c r="D489" s="42">
        <v>1</v>
      </c>
      <c r="E489" s="112"/>
      <c r="F489" s="44" t="s">
        <v>396</v>
      </c>
      <c r="G489" s="45" t="s">
        <v>37</v>
      </c>
      <c r="H489" s="51">
        <f t="shared" si="8"/>
        <v>-0.70526315789473681</v>
      </c>
      <c r="I489" s="47"/>
      <c r="J489" s="48">
        <f>VLOOKUP(A489,'[1]תקציב 2026'!$A$1:$M$65536,9,0)</f>
        <v>-70000</v>
      </c>
      <c r="K489" s="49">
        <f>VLOOKUP(A489,[3]גיליון1!$A$1:$C$7693,3,0)</f>
        <v>-237500</v>
      </c>
      <c r="L489" s="50">
        <f>VLOOKUP(A489,[2]data1761205830331!$A$1:$J$65536,10,0)</f>
        <v>-5410.61</v>
      </c>
    </row>
    <row r="490" spans="1:12" ht="15.75" customHeight="1" outlineLevel="1">
      <c r="A490" s="11">
        <v>1315760928</v>
      </c>
      <c r="B490" s="40">
        <v>928</v>
      </c>
      <c r="C490" s="109">
        <v>315760</v>
      </c>
      <c r="D490" s="42">
        <v>1</v>
      </c>
      <c r="E490" s="112"/>
      <c r="F490" s="44" t="s">
        <v>387</v>
      </c>
      <c r="G490" s="45" t="s">
        <v>37</v>
      </c>
      <c r="H490" s="51">
        <f t="shared" si="8"/>
        <v>0.17520661157024797</v>
      </c>
      <c r="I490" s="47"/>
      <c r="J490" s="48">
        <f>VLOOKUP(A490,'[1]תקציב 2026'!$A$1:$M$65536,9,0)</f>
        <v>-71100</v>
      </c>
      <c r="K490" s="49">
        <f>VLOOKUP(A490,[3]גיליון1!$A$1:$C$7693,3,0)</f>
        <v>-60500</v>
      </c>
      <c r="L490" s="50">
        <f>VLOOKUP(A490,[2]data1761205830331!$A$1:$J$65536,10,0)</f>
        <v>-62608.5</v>
      </c>
    </row>
    <row r="491" spans="1:12" ht="15.75" customHeight="1" outlineLevel="1">
      <c r="A491" s="11">
        <v>1315760930</v>
      </c>
      <c r="B491" s="40">
        <v>930</v>
      </c>
      <c r="C491" s="109">
        <v>315760</v>
      </c>
      <c r="D491" s="42">
        <v>1</v>
      </c>
      <c r="E491" s="112"/>
      <c r="F491" s="44" t="s">
        <v>388</v>
      </c>
      <c r="G491" s="45" t="s">
        <v>37</v>
      </c>
      <c r="H491" s="51">
        <f t="shared" si="8"/>
        <v>0.51568049118160486</v>
      </c>
      <c r="I491" s="47"/>
      <c r="J491" s="48">
        <f>VLOOKUP(A491,'[1]תקציב 2026'!$A$1:$M$65536,9,0)</f>
        <v>-2518000</v>
      </c>
      <c r="K491" s="49">
        <f>VLOOKUP(A491,[3]גיליון1!$A$1:$C$7693,3,0)</f>
        <v>-1661300</v>
      </c>
      <c r="L491" s="50">
        <f>VLOOKUP(A491,[2]data1761205830331!$A$1:$J$65536,10,0)</f>
        <v>-1873668.55</v>
      </c>
    </row>
    <row r="492" spans="1:12" ht="15.75" customHeight="1" outlineLevel="1">
      <c r="A492" s="11">
        <v>1315760932</v>
      </c>
      <c r="B492" s="40">
        <v>932</v>
      </c>
      <c r="C492" s="109">
        <v>315760</v>
      </c>
      <c r="D492" s="42">
        <v>1</v>
      </c>
      <c r="E492" s="112"/>
      <c r="F492" s="44" t="s">
        <v>389</v>
      </c>
      <c r="G492" s="45" t="s">
        <v>37</v>
      </c>
      <c r="H492" s="51">
        <f t="shared" si="8"/>
        <v>0.13596491228070184</v>
      </c>
      <c r="I492" s="47"/>
      <c r="J492" s="48">
        <f>VLOOKUP(A492,'[1]תקציב 2026'!$A$1:$M$65536,9,0)</f>
        <v>-103600</v>
      </c>
      <c r="K492" s="49">
        <f>VLOOKUP(A492,[3]גיליון1!$A$1:$C$7693,3,0)</f>
        <v>-91200</v>
      </c>
      <c r="L492" s="50">
        <f>VLOOKUP(A492,[2]data1761205830331!$A$1:$J$65536,10,0)</f>
        <v>-100423.2</v>
      </c>
    </row>
    <row r="493" spans="1:12" ht="15.75" customHeight="1" outlineLevel="1" thickBot="1">
      <c r="A493" s="11">
        <v>1315760953</v>
      </c>
      <c r="B493" s="40">
        <v>953</v>
      </c>
      <c r="C493" s="109">
        <v>315760</v>
      </c>
      <c r="D493" s="42">
        <v>1</v>
      </c>
      <c r="E493" s="112"/>
      <c r="F493" s="44" t="s">
        <v>277</v>
      </c>
      <c r="G493" s="45" t="s">
        <v>37</v>
      </c>
      <c r="H493" s="51">
        <f t="shared" si="8"/>
        <v>2.0773638968481389E-2</v>
      </c>
      <c r="I493" s="47"/>
      <c r="J493" s="48">
        <f>VLOOKUP(A493,'[1]תקציב 2026'!$A$1:$M$65536,9,0)</f>
        <v>-570000</v>
      </c>
      <c r="K493" s="49">
        <v>-558400</v>
      </c>
      <c r="L493" s="50">
        <f>VLOOKUP(A493,[2]data1761205830331!$A$1:$J$65536,10,0)</f>
        <v>-472163.01</v>
      </c>
    </row>
    <row r="494" spans="1:12" ht="16.2" thickBot="1">
      <c r="A494" s="11" t="e">
        <v>#VALUE!</v>
      </c>
      <c r="B494" s="53" t="s">
        <v>404</v>
      </c>
      <c r="C494" s="54"/>
      <c r="D494" s="55"/>
      <c r="E494" s="115"/>
      <c r="F494" s="116" t="s">
        <v>402</v>
      </c>
      <c r="G494" s="58"/>
      <c r="H494" s="71">
        <f>J494/K494-1</f>
        <v>0.34552622608231687</v>
      </c>
      <c r="I494" s="72"/>
      <c r="J494" s="74">
        <f>SUBTOTAL(9,J480:J493)</f>
        <v>-9078400</v>
      </c>
      <c r="K494" s="92">
        <f>SUBTOTAL(9,K480:K493)</f>
        <v>-6747100</v>
      </c>
      <c r="L494" s="75">
        <f>SUBTOTAL(9,L480:L493)</f>
        <v>-6996294.5500000007</v>
      </c>
    </row>
    <row r="495" spans="1:12" ht="15.75" customHeight="1" outlineLevel="1">
      <c r="A495" s="11">
        <v>13157700</v>
      </c>
      <c r="B495" s="64">
        <v>0</v>
      </c>
      <c r="C495" s="131">
        <v>315770</v>
      </c>
      <c r="D495" s="66">
        <v>1</v>
      </c>
      <c r="E495" s="132"/>
      <c r="F495" s="68" t="s">
        <v>405</v>
      </c>
      <c r="G495" s="69" t="s">
        <v>15</v>
      </c>
      <c r="H495" s="51"/>
      <c r="I495" s="47"/>
      <c r="J495" s="48"/>
      <c r="K495" s="49"/>
      <c r="L495" s="50"/>
    </row>
    <row r="496" spans="1:12" ht="15.75" customHeight="1" outlineLevel="1">
      <c r="A496" s="11">
        <v>1315770312</v>
      </c>
      <c r="B496" s="40">
        <v>312</v>
      </c>
      <c r="C496" s="109">
        <v>315770</v>
      </c>
      <c r="D496" s="42">
        <v>1</v>
      </c>
      <c r="E496" s="112"/>
      <c r="F496" s="44" t="s">
        <v>296</v>
      </c>
      <c r="G496" s="45" t="s">
        <v>37</v>
      </c>
      <c r="H496" s="51">
        <f t="shared" si="8"/>
        <v>0.1333333333333333</v>
      </c>
      <c r="I496" s="47"/>
      <c r="J496" s="48">
        <f>VLOOKUP(A496,'[1]תקציב 2026'!$A$1:$M$65536,9,0)</f>
        <v>-34000</v>
      </c>
      <c r="K496" s="49">
        <f>VLOOKUP(A496,[3]גיליון1!$A$1:$C$7693,3,0)</f>
        <v>-30000</v>
      </c>
      <c r="L496" s="50">
        <f>VLOOKUP(A496,[2]data1761205830331!$A$1:$J$65536,10,0)</f>
        <v>-33484</v>
      </c>
    </row>
    <row r="497" spans="1:12" ht="15.75" customHeight="1" outlineLevel="1">
      <c r="A497" s="11">
        <v>1315770440</v>
      </c>
      <c r="B497" s="40">
        <v>440</v>
      </c>
      <c r="C497" s="109">
        <v>315770</v>
      </c>
      <c r="D497" s="42">
        <v>1</v>
      </c>
      <c r="E497" s="112"/>
      <c r="F497" s="44" t="s">
        <v>323</v>
      </c>
      <c r="G497" s="45" t="s">
        <v>37</v>
      </c>
      <c r="H497" s="51">
        <f t="shared" si="8"/>
        <v>-9.0909090909090939E-2</v>
      </c>
      <c r="I497" s="47"/>
      <c r="J497" s="48">
        <f>VLOOKUP(A497,'[1]תקציב 2026'!$A$1:$M$65536,9,0)</f>
        <v>-300000</v>
      </c>
      <c r="K497" s="49">
        <f>VLOOKUP(A497,[3]גיליון1!$A$1:$C$7693,3,0)</f>
        <v>-330000</v>
      </c>
      <c r="L497" s="50">
        <f>VLOOKUP(A497,[2]data1761205830331!$A$1:$J$65536,10,0)</f>
        <v>-488957</v>
      </c>
    </row>
    <row r="498" spans="1:12" ht="15.75" customHeight="1" outlineLevel="1">
      <c r="A498" s="11">
        <v>1315770452</v>
      </c>
      <c r="B498" s="40">
        <v>452</v>
      </c>
      <c r="C498" s="109">
        <v>315770</v>
      </c>
      <c r="D498" s="42">
        <v>1</v>
      </c>
      <c r="E498" s="112"/>
      <c r="F498" s="44" t="s">
        <v>381</v>
      </c>
      <c r="G498" s="45" t="s">
        <v>37</v>
      </c>
      <c r="H498" s="51">
        <f t="shared" si="8"/>
        <v>0</v>
      </c>
      <c r="I498" s="47"/>
      <c r="J498" s="48">
        <f>VLOOKUP(A498,'[1]תקציב 2026'!$A$1:$M$65536,9,0)</f>
        <v>-400000</v>
      </c>
      <c r="K498" s="49">
        <v>-400000</v>
      </c>
      <c r="L498" s="50">
        <f>VLOOKUP(A498,[2]data1761205830331!$A$1:$J$65536,10,0)</f>
        <v>0</v>
      </c>
    </row>
    <row r="499" spans="1:12" ht="15.75" customHeight="1" outlineLevel="1">
      <c r="A499" s="11">
        <v>1315770920</v>
      </c>
      <c r="B499" s="40">
        <v>920</v>
      </c>
      <c r="C499" s="109">
        <v>315770</v>
      </c>
      <c r="D499" s="42">
        <v>1</v>
      </c>
      <c r="E499" s="112"/>
      <c r="F499" s="44" t="s">
        <v>393</v>
      </c>
      <c r="G499" s="45" t="s">
        <v>37</v>
      </c>
      <c r="H499" s="51">
        <f t="shared" si="8"/>
        <v>0.19763606137884815</v>
      </c>
      <c r="I499" s="47"/>
      <c r="J499" s="48">
        <f>VLOOKUP(A499,'[1]תקציב 2026'!$A$1:$M$65536,9,0)</f>
        <v>-13760000</v>
      </c>
      <c r="K499" s="49">
        <f>VLOOKUP(A499,[3]גיליון1!$A$1:$C$7693,3,0)</f>
        <v>-11489300</v>
      </c>
      <c r="L499" s="50">
        <f>VLOOKUP(A499,[2]data1761205830331!$A$1:$J$65536,10,0)</f>
        <v>-12837836.380000001</v>
      </c>
    </row>
    <row r="500" spans="1:12" ht="15.75" customHeight="1" outlineLevel="1">
      <c r="A500" s="11">
        <v>1315770921</v>
      </c>
      <c r="B500" s="40">
        <v>921</v>
      </c>
      <c r="C500" s="109">
        <v>315770</v>
      </c>
      <c r="D500" s="42">
        <v>1</v>
      </c>
      <c r="E500" s="112"/>
      <c r="F500" s="44" t="s">
        <v>383</v>
      </c>
      <c r="G500" s="45" t="s">
        <v>37</v>
      </c>
      <c r="H500" s="51">
        <f t="shared" si="8"/>
        <v>6.2603333482282419E-2</v>
      </c>
      <c r="I500" s="47"/>
      <c r="J500" s="48">
        <f>VLOOKUP(A500,'[1]תקציב 2026'!$A$1:$M$65536,9,0)</f>
        <v>-2378000</v>
      </c>
      <c r="K500" s="49">
        <f>VLOOKUP(A500,[3]גיליון1!$A$1:$C$7693,3,0)</f>
        <v>-2237900</v>
      </c>
      <c r="L500" s="50">
        <f>VLOOKUP(A500,[2]data1761205830331!$A$1:$J$65536,10,0)</f>
        <v>-2227820.0499999998</v>
      </c>
    </row>
    <row r="501" spans="1:12" ht="15.75" customHeight="1" outlineLevel="1">
      <c r="A501" s="11">
        <v>1315770922</v>
      </c>
      <c r="B501" s="40">
        <v>922</v>
      </c>
      <c r="C501" s="109">
        <v>315770</v>
      </c>
      <c r="D501" s="42">
        <v>1</v>
      </c>
      <c r="E501" s="112"/>
      <c r="F501" s="44" t="s">
        <v>384</v>
      </c>
      <c r="G501" s="45" t="s">
        <v>37</v>
      </c>
      <c r="H501" s="51">
        <v>1</v>
      </c>
      <c r="I501" s="47"/>
      <c r="J501" s="48">
        <f>VLOOKUP(A501,'[1]תקציב 2026'!$A$1:$M$65536,9,0)</f>
        <v>-9000</v>
      </c>
      <c r="K501" s="49">
        <f>VLOOKUP(A501,[3]גיליון1!$A$1:$C$7693,3,0)</f>
        <v>0</v>
      </c>
      <c r="L501" s="50">
        <f>VLOOKUP(A501,[2]data1761205830331!$A$1:$J$65536,10,0)</f>
        <v>-2234.44</v>
      </c>
    </row>
    <row r="502" spans="1:12" ht="15.75" customHeight="1" outlineLevel="1">
      <c r="A502" s="11">
        <v>1315770923</v>
      </c>
      <c r="B502" s="40">
        <v>923</v>
      </c>
      <c r="C502" s="109">
        <v>315770</v>
      </c>
      <c r="D502" s="42">
        <v>1</v>
      </c>
      <c r="E502" s="112"/>
      <c r="F502" s="44" t="s">
        <v>385</v>
      </c>
      <c r="G502" s="45" t="s">
        <v>37</v>
      </c>
      <c r="H502" s="51">
        <v>1</v>
      </c>
      <c r="I502" s="47"/>
      <c r="J502" s="48">
        <f>VLOOKUP(A502,'[1]תקציב 2026'!$A$1:$M$65536,9,0)</f>
        <v>-4800</v>
      </c>
      <c r="K502" s="49">
        <f>VLOOKUP(A502,[3]גיליון1!$A$1:$C$7693,3,0)</f>
        <v>0</v>
      </c>
      <c r="L502" s="50">
        <f>VLOOKUP(A502,[2]data1761205830331!$A$1:$J$65536,10,0)</f>
        <v>-1411.76</v>
      </c>
    </row>
    <row r="503" spans="1:12" ht="15.75" customHeight="1" outlineLevel="1">
      <c r="A503" s="11">
        <v>1315770925</v>
      </c>
      <c r="B503" s="40">
        <v>925</v>
      </c>
      <c r="C503" s="109">
        <v>315770</v>
      </c>
      <c r="D503" s="42">
        <v>1</v>
      </c>
      <c r="E503" s="112"/>
      <c r="F503" s="44" t="s">
        <v>386</v>
      </c>
      <c r="G503" s="45" t="s">
        <v>37</v>
      </c>
      <c r="H503" s="51">
        <f t="shared" si="8"/>
        <v>0.3896656534954408</v>
      </c>
      <c r="I503" s="47"/>
      <c r="J503" s="48">
        <f>VLOOKUP(A503,'[1]תקציב 2026'!$A$1:$M$65536,9,0)</f>
        <v>-1143000</v>
      </c>
      <c r="K503" s="49">
        <f>VLOOKUP(A503,[3]גיליון1!$A$1:$C$7693,3,0)</f>
        <v>-822500</v>
      </c>
      <c r="L503" s="50">
        <f>VLOOKUP(A503,[2]data1761205830331!$A$1:$J$65536,10,0)</f>
        <v>-873577.83</v>
      </c>
    </row>
    <row r="504" spans="1:12" ht="15.75" customHeight="1" outlineLevel="1">
      <c r="A504" s="11">
        <v>1315770928</v>
      </c>
      <c r="B504" s="40">
        <v>928</v>
      </c>
      <c r="C504" s="109">
        <v>315770</v>
      </c>
      <c r="D504" s="42">
        <v>1</v>
      </c>
      <c r="E504" s="112"/>
      <c r="F504" s="44" t="s">
        <v>387</v>
      </c>
      <c r="G504" s="45" t="s">
        <v>37</v>
      </c>
      <c r="H504" s="51">
        <f t="shared" si="8"/>
        <v>8.5714285714285632E-2</v>
      </c>
      <c r="I504" s="47"/>
      <c r="J504" s="48">
        <f>VLOOKUP(A504,'[1]תקציב 2026'!$A$1:$M$65536,9,0)</f>
        <v>-247000</v>
      </c>
      <c r="K504" s="49">
        <f>VLOOKUP(A504,[3]גיליון1!$A$1:$C$7693,3,0)</f>
        <v>-227500</v>
      </c>
      <c r="L504" s="50">
        <f>VLOOKUP(A504,[2]data1761205830331!$A$1:$J$65536,10,0)</f>
        <v>-230698.51</v>
      </c>
    </row>
    <row r="505" spans="1:12" ht="15.75" customHeight="1" outlineLevel="1">
      <c r="A505" s="11">
        <v>1315770929</v>
      </c>
      <c r="B505" s="40">
        <v>929</v>
      </c>
      <c r="C505" s="109">
        <v>315770</v>
      </c>
      <c r="D505" s="42">
        <v>1</v>
      </c>
      <c r="E505" s="112"/>
      <c r="F505" s="44" t="s">
        <v>406</v>
      </c>
      <c r="G505" s="45" t="s">
        <v>37</v>
      </c>
      <c r="H505" s="51">
        <f t="shared" si="8"/>
        <v>3.4499999999999975E-2</v>
      </c>
      <c r="I505" s="47"/>
      <c r="J505" s="48">
        <f>VLOOKUP(A505,'[1]תקציב 2026'!$A$1:$M$65536,9,0)</f>
        <v>-620700</v>
      </c>
      <c r="K505" s="49">
        <f>VLOOKUP(A505,[3]גיליון1!$A$1:$C$7693,3,0)</f>
        <v>-600000</v>
      </c>
      <c r="L505" s="50">
        <f>VLOOKUP(A505,[2]data1761205830331!$A$1:$J$65536,10,0)</f>
        <v>-592619.63</v>
      </c>
    </row>
    <row r="506" spans="1:12" ht="15.75" customHeight="1" outlineLevel="1">
      <c r="A506" s="11">
        <v>1315770930</v>
      </c>
      <c r="B506" s="40">
        <v>930</v>
      </c>
      <c r="C506" s="109">
        <v>315770</v>
      </c>
      <c r="D506" s="42">
        <v>1</v>
      </c>
      <c r="E506" s="112"/>
      <c r="F506" s="44" t="s">
        <v>388</v>
      </c>
      <c r="G506" s="45" t="s">
        <v>37</v>
      </c>
      <c r="H506" s="51">
        <f t="shared" si="8"/>
        <v>0.22146606706222327</v>
      </c>
      <c r="I506" s="47"/>
      <c r="J506" s="48">
        <f>VLOOKUP(A506,'[1]תקציב 2026'!$A$1:$M$65536,9,0)</f>
        <v>-7143500</v>
      </c>
      <c r="K506" s="49">
        <f>VLOOKUP(A506,[3]גיליון1!$A$1:$C$7693,3,0)</f>
        <v>-5848300</v>
      </c>
      <c r="L506" s="50">
        <f>VLOOKUP(A506,[2]data1761205830331!$A$1:$J$65536,10,0)</f>
        <v>-5785757.4500000002</v>
      </c>
    </row>
    <row r="507" spans="1:12" ht="15.75" customHeight="1" outlineLevel="1">
      <c r="A507" s="11">
        <v>1315770932</v>
      </c>
      <c r="B507" s="40">
        <v>932</v>
      </c>
      <c r="C507" s="109">
        <v>315770</v>
      </c>
      <c r="D507" s="42">
        <v>1</v>
      </c>
      <c r="E507" s="112"/>
      <c r="F507" s="44" t="s">
        <v>389</v>
      </c>
      <c r="G507" s="45" t="s">
        <v>37</v>
      </c>
      <c r="H507" s="51">
        <f t="shared" si="8"/>
        <v>1.772616136919325E-2</v>
      </c>
      <c r="I507" s="47"/>
      <c r="J507" s="48">
        <f>VLOOKUP(A507,'[1]תקציב 2026'!$A$1:$M$65536,9,0)</f>
        <v>-333000</v>
      </c>
      <c r="K507" s="49">
        <f>VLOOKUP(A507,[3]גיליון1!$A$1:$C$7693,3,0)</f>
        <v>-327200</v>
      </c>
      <c r="L507" s="50">
        <f>VLOOKUP(A507,[2]data1761205830331!$A$1:$J$65536,10,0)</f>
        <v>-346569.99</v>
      </c>
    </row>
    <row r="508" spans="1:12" ht="15.75" customHeight="1" outlineLevel="1" thickBot="1">
      <c r="A508" s="11">
        <v>1315770953</v>
      </c>
      <c r="B508" s="40">
        <v>953</v>
      </c>
      <c r="C508" s="109">
        <v>315770</v>
      </c>
      <c r="D508" s="42">
        <v>1</v>
      </c>
      <c r="E508" s="112"/>
      <c r="F508" s="44" t="s">
        <v>277</v>
      </c>
      <c r="G508" s="45" t="s">
        <v>37</v>
      </c>
      <c r="H508" s="51">
        <f t="shared" si="8"/>
        <v>6.25E-2</v>
      </c>
      <c r="I508" s="47"/>
      <c r="J508" s="48">
        <f>VLOOKUP(A508,'[1]תקציב 2026'!$A$1:$M$65536,9,0)</f>
        <v>-1700000</v>
      </c>
      <c r="K508" s="49">
        <v>-1600000</v>
      </c>
      <c r="L508" s="50">
        <f>VLOOKUP(A508,[2]data1761205830331!$A$1:$J$65536,10,0)</f>
        <v>-1396609.28</v>
      </c>
    </row>
    <row r="509" spans="1:12" ht="16.2" thickBot="1">
      <c r="A509" s="11" t="e">
        <v>#VALUE!</v>
      </c>
      <c r="B509" s="53" t="s">
        <v>407</v>
      </c>
      <c r="C509" s="54"/>
      <c r="D509" s="55"/>
      <c r="E509" s="115"/>
      <c r="F509" s="116" t="s">
        <v>405</v>
      </c>
      <c r="G509" s="58"/>
      <c r="H509" s="71">
        <f>J509/K509-1</f>
        <v>0.1739786807846877</v>
      </c>
      <c r="I509" s="72"/>
      <c r="J509" s="74">
        <f>SUBTOTAL(9,J496:J508)</f>
        <v>-28073000</v>
      </c>
      <c r="K509" s="92">
        <f>SUBTOTAL(9,K496:K508)</f>
        <v>-23912700</v>
      </c>
      <c r="L509" s="75">
        <f>SUBTOTAL(9,L496:L508)</f>
        <v>-24817576.319999997</v>
      </c>
    </row>
    <row r="510" spans="1:12" ht="15.75" customHeight="1" outlineLevel="1">
      <c r="A510" s="11">
        <v>13158000</v>
      </c>
      <c r="B510" s="40">
        <v>0</v>
      </c>
      <c r="C510" s="109">
        <v>315800</v>
      </c>
      <c r="D510" s="42">
        <v>1</v>
      </c>
      <c r="E510" s="112"/>
      <c r="F510" s="44" t="s">
        <v>408</v>
      </c>
      <c r="G510" s="45" t="s">
        <v>15</v>
      </c>
      <c r="H510" s="51"/>
      <c r="I510" s="47"/>
      <c r="J510" s="48"/>
      <c r="K510" s="49"/>
      <c r="L510" s="50"/>
    </row>
    <row r="511" spans="1:12" ht="15.75" customHeight="1" outlineLevel="1">
      <c r="A511" s="11">
        <v>1315800312</v>
      </c>
      <c r="B511" s="40">
        <v>312</v>
      </c>
      <c r="C511" s="109">
        <v>315800</v>
      </c>
      <c r="D511" s="42">
        <v>1</v>
      </c>
      <c r="E511" s="112"/>
      <c r="F511" s="44" t="s">
        <v>296</v>
      </c>
      <c r="G511" s="45" t="s">
        <v>37</v>
      </c>
      <c r="H511" s="51">
        <f t="shared" si="8"/>
        <v>0.10000000000000009</v>
      </c>
      <c r="I511" s="47"/>
      <c r="J511" s="48">
        <f>VLOOKUP(A511,'[1]תקציב 2026'!$A$1:$M$65536,9,0)</f>
        <v>-22000</v>
      </c>
      <c r="K511" s="49">
        <f>VLOOKUP(A511,[3]גיליון1!$A$1:$C$7693,3,0)</f>
        <v>-20000</v>
      </c>
      <c r="L511" s="50">
        <f>VLOOKUP(A511,[2]data1761205830331!$A$1:$J$65536,10,0)</f>
        <v>-21164</v>
      </c>
    </row>
    <row r="512" spans="1:12" ht="15.75" customHeight="1" outlineLevel="1">
      <c r="A512" s="11">
        <v>1315800416</v>
      </c>
      <c r="B512" s="40">
        <v>416</v>
      </c>
      <c r="C512" s="109">
        <v>315800</v>
      </c>
      <c r="D512" s="42">
        <v>1</v>
      </c>
      <c r="E512" s="112"/>
      <c r="F512" s="44" t="s">
        <v>380</v>
      </c>
      <c r="G512" s="45" t="s">
        <v>37</v>
      </c>
      <c r="H512" s="51">
        <f t="shared" si="8"/>
        <v>0</v>
      </c>
      <c r="I512" s="47"/>
      <c r="J512" s="48">
        <f>VLOOKUP(A512,'[1]תקציב 2026'!$A$1:$M$65536,9,0)</f>
        <v>-30000</v>
      </c>
      <c r="K512" s="49">
        <f>VLOOKUP(A512,[3]גיליון1!$A$1:$C$7693,3,0)</f>
        <v>-30000</v>
      </c>
      <c r="L512" s="50">
        <f>VLOOKUP(A512,[2]data1761205830331!$A$1:$J$65536,10,0)</f>
        <v>-18281.59</v>
      </c>
    </row>
    <row r="513" spans="1:12" ht="15.75" customHeight="1" outlineLevel="1">
      <c r="A513" s="11">
        <v>1315800440</v>
      </c>
      <c r="B513" s="40">
        <v>440</v>
      </c>
      <c r="C513" s="109">
        <v>315800</v>
      </c>
      <c r="D513" s="42">
        <v>1</v>
      </c>
      <c r="E513" s="112"/>
      <c r="F513" s="44" t="s">
        <v>323</v>
      </c>
      <c r="G513" s="45" t="s">
        <v>37</v>
      </c>
      <c r="H513" s="51">
        <f t="shared" si="8"/>
        <v>-4.4585987261146487E-2</v>
      </c>
      <c r="I513" s="47"/>
      <c r="J513" s="48">
        <f>VLOOKUP(A513,'[1]תקציב 2026'!$A$1:$M$65536,9,0)</f>
        <v>-300000</v>
      </c>
      <c r="K513" s="49">
        <f>VLOOKUP(A513,[3]גיליון1!$A$1:$C$7693,3,0)</f>
        <v>-314000</v>
      </c>
      <c r="L513" s="50">
        <f>VLOOKUP(A513,[2]data1761205830331!$A$1:$J$65536,10,0)</f>
        <v>-330232.42</v>
      </c>
    </row>
    <row r="514" spans="1:12" ht="15.75" customHeight="1" outlineLevel="1">
      <c r="A514" s="11">
        <v>1315800452</v>
      </c>
      <c r="B514" s="40">
        <v>452</v>
      </c>
      <c r="C514" s="109">
        <v>315800</v>
      </c>
      <c r="D514" s="42">
        <v>1</v>
      </c>
      <c r="E514" s="112"/>
      <c r="F514" s="44" t="s">
        <v>381</v>
      </c>
      <c r="G514" s="45" t="s">
        <v>37</v>
      </c>
      <c r="H514" s="51">
        <f t="shared" si="8"/>
        <v>2.3299748110831242E-2</v>
      </c>
      <c r="I514" s="47"/>
      <c r="J514" s="48">
        <f>VLOOKUP(A514,'[1]תקציב 2026'!$A$1:$M$65536,9,0)</f>
        <v>-325000</v>
      </c>
      <c r="K514" s="49">
        <v>-317600</v>
      </c>
      <c r="L514" s="50">
        <f>VLOOKUP(A514,[2]data1761205830331!$A$1:$J$65536,10,0)</f>
        <v>0</v>
      </c>
    </row>
    <row r="515" spans="1:12" ht="15.75" customHeight="1" outlineLevel="1">
      <c r="A515" s="11">
        <v>1315800920</v>
      </c>
      <c r="B515" s="40">
        <v>920</v>
      </c>
      <c r="C515" s="109">
        <v>315800</v>
      </c>
      <c r="D515" s="42">
        <v>1</v>
      </c>
      <c r="E515" s="112"/>
      <c r="F515" s="44" t="s">
        <v>393</v>
      </c>
      <c r="G515" s="45" t="s">
        <v>37</v>
      </c>
      <c r="H515" s="51">
        <f t="shared" si="8"/>
        <v>0.10052306229196395</v>
      </c>
      <c r="I515" s="47"/>
      <c r="J515" s="48">
        <f>VLOOKUP(A515,'[1]תקציב 2026'!$A$1:$M$65536,9,0)</f>
        <v>-10414800</v>
      </c>
      <c r="K515" s="49">
        <f>VLOOKUP(A515,[3]גיליון1!$A$1:$C$7693,3,0)</f>
        <v>-9463500</v>
      </c>
      <c r="L515" s="50">
        <f>VLOOKUP(A515,[2]data1761205830331!$A$1:$J$65536,10,0)</f>
        <v>-9526686.6400000006</v>
      </c>
    </row>
    <row r="516" spans="1:12" ht="15.75" customHeight="1" outlineLevel="1">
      <c r="A516" s="11">
        <v>1315800921</v>
      </c>
      <c r="B516" s="40">
        <v>921</v>
      </c>
      <c r="C516" s="109">
        <v>315800</v>
      </c>
      <c r="D516" s="42">
        <v>1</v>
      </c>
      <c r="E516" s="112"/>
      <c r="F516" s="44" t="s">
        <v>409</v>
      </c>
      <c r="G516" s="45" t="s">
        <v>37</v>
      </c>
      <c r="H516" s="51">
        <f t="shared" si="8"/>
        <v>4.0814887917665299E-2</v>
      </c>
      <c r="I516" s="47"/>
      <c r="J516" s="48">
        <f>VLOOKUP(A516,'[1]תקציב 2026'!$A$1:$M$65536,9,0)</f>
        <v>-1476500</v>
      </c>
      <c r="K516" s="49">
        <f>VLOOKUP(A516,[3]גיליון1!$A$1:$C$7693,3,0)</f>
        <v>-1418600</v>
      </c>
      <c r="L516" s="50">
        <f>VLOOKUP(A516,[2]data1761205830331!$A$1:$J$65536,10,0)</f>
        <v>-1454311.15</v>
      </c>
    </row>
    <row r="517" spans="1:12" ht="15.75" customHeight="1" outlineLevel="1">
      <c r="A517" s="11">
        <v>1315800922</v>
      </c>
      <c r="B517" s="40">
        <v>922</v>
      </c>
      <c r="C517" s="109">
        <v>315800</v>
      </c>
      <c r="D517" s="42">
        <v>1</v>
      </c>
      <c r="E517" s="112"/>
      <c r="F517" s="44" t="s">
        <v>384</v>
      </c>
      <c r="G517" s="45" t="s">
        <v>37</v>
      </c>
      <c r="H517" s="51">
        <f t="shared" si="8"/>
        <v>1.2222222222222223</v>
      </c>
      <c r="I517" s="47"/>
      <c r="J517" s="48">
        <f>VLOOKUP(A517,'[1]תקציב 2026'!$A$1:$M$65536,9,0)</f>
        <v>-200000</v>
      </c>
      <c r="K517" s="49">
        <f>VLOOKUP(A517,[3]גיליון1!$A$1:$C$7693,3,0)</f>
        <v>-90000</v>
      </c>
      <c r="L517" s="50">
        <f>VLOOKUP(A517,[2]data1761205830331!$A$1:$J$65536,10,0)</f>
        <v>-117232.68</v>
      </c>
    </row>
    <row r="518" spans="1:12" ht="15.75" customHeight="1" outlineLevel="1">
      <c r="A518" s="11">
        <v>1315800925</v>
      </c>
      <c r="B518" s="40">
        <v>925</v>
      </c>
      <c r="C518" s="109">
        <v>315800</v>
      </c>
      <c r="D518" s="42">
        <v>1</v>
      </c>
      <c r="E518" s="112"/>
      <c r="F518" s="44" t="s">
        <v>386</v>
      </c>
      <c r="G518" s="45" t="s">
        <v>37</v>
      </c>
      <c r="H518" s="51">
        <f t="shared" si="8"/>
        <v>0.43801652892561993</v>
      </c>
      <c r="I518" s="47"/>
      <c r="J518" s="48">
        <f>VLOOKUP(A518,'[1]תקציב 2026'!$A$1:$M$65536,9,0)</f>
        <v>-870000</v>
      </c>
      <c r="K518" s="49">
        <f>VLOOKUP(A518,[3]גיליון1!$A$1:$C$7693,3,0)</f>
        <v>-605000</v>
      </c>
      <c r="L518" s="50">
        <f>VLOOKUP(A518,[2]data1761205830331!$A$1:$J$65536,10,0)</f>
        <v>-613606.40000000002</v>
      </c>
    </row>
    <row r="519" spans="1:12" ht="15.75" customHeight="1" outlineLevel="1">
      <c r="A519" s="11">
        <v>1315800926</v>
      </c>
      <c r="B519" s="40">
        <v>926</v>
      </c>
      <c r="C519" s="109">
        <v>315800</v>
      </c>
      <c r="D519" s="42">
        <v>1</v>
      </c>
      <c r="E519" s="112"/>
      <c r="F519" s="44" t="s">
        <v>396</v>
      </c>
      <c r="G519" s="45" t="s">
        <v>37</v>
      </c>
      <c r="H519" s="51">
        <f t="shared" si="8"/>
        <v>-0.769638332181525</v>
      </c>
      <c r="I519" s="47"/>
      <c r="J519" s="48">
        <f>VLOOKUP(A519,'[1]תקציב 2026'!$A$1:$M$65536,9,0)</f>
        <v>-100000</v>
      </c>
      <c r="K519" s="49">
        <f>VLOOKUP(A519,[3]גיליון1!$A$1:$C$7693,3,0)</f>
        <v>-434100</v>
      </c>
      <c r="L519" s="50">
        <f>VLOOKUP(A519,[2]data1761205830331!$A$1:$J$65536,10,0)</f>
        <v>-167414.89000000001</v>
      </c>
    </row>
    <row r="520" spans="1:12" ht="15.75" customHeight="1" outlineLevel="1">
      <c r="A520" s="11">
        <v>1315800928</v>
      </c>
      <c r="B520" s="40">
        <v>928</v>
      </c>
      <c r="C520" s="109">
        <v>315800</v>
      </c>
      <c r="D520" s="42">
        <v>1</v>
      </c>
      <c r="E520" s="112"/>
      <c r="F520" s="44" t="s">
        <v>387</v>
      </c>
      <c r="G520" s="45" t="s">
        <v>37</v>
      </c>
      <c r="H520" s="51">
        <f t="shared" si="8"/>
        <v>0.54385964912280693</v>
      </c>
      <c r="I520" s="47"/>
      <c r="J520" s="48">
        <f>VLOOKUP(A520,'[1]תקציב 2026'!$A$1:$M$65536,9,0)</f>
        <v>-176000</v>
      </c>
      <c r="K520" s="49">
        <f>VLOOKUP(A520,[3]גיליון1!$A$1:$C$7693,3,0)</f>
        <v>-114000</v>
      </c>
      <c r="L520" s="50">
        <f>VLOOKUP(A520,[2]data1761205830331!$A$1:$J$65536,10,0)</f>
        <v>-156680.46</v>
      </c>
    </row>
    <row r="521" spans="1:12" ht="15.75" customHeight="1" outlineLevel="1">
      <c r="A521" s="11">
        <v>1315800930</v>
      </c>
      <c r="B521" s="40">
        <v>930</v>
      </c>
      <c r="C521" s="109">
        <v>315800</v>
      </c>
      <c r="D521" s="42">
        <v>1</v>
      </c>
      <c r="E521" s="112"/>
      <c r="F521" s="44" t="s">
        <v>388</v>
      </c>
      <c r="G521" s="45" t="s">
        <v>37</v>
      </c>
      <c r="H521" s="51">
        <f t="shared" si="8"/>
        <v>0.11025591687512026</v>
      </c>
      <c r="I521" s="47"/>
      <c r="J521" s="48">
        <f>VLOOKUP(A521,'[1]תקציב 2026'!$A$1:$M$65536,9,0)</f>
        <v>-5770000</v>
      </c>
      <c r="K521" s="49">
        <f>VLOOKUP(A521,[3]גיליון1!$A$1:$C$7693,3,0)</f>
        <v>-5197000</v>
      </c>
      <c r="L521" s="50">
        <f>VLOOKUP(A521,[2]data1761205830331!$A$1:$J$65536,10,0)</f>
        <v>-4595537.95</v>
      </c>
    </row>
    <row r="522" spans="1:12" ht="15.75" customHeight="1" outlineLevel="1">
      <c r="A522" s="11">
        <v>1315800932</v>
      </c>
      <c r="B522" s="40">
        <v>932</v>
      </c>
      <c r="C522" s="109">
        <v>315800</v>
      </c>
      <c r="D522" s="42">
        <v>1</v>
      </c>
      <c r="E522" s="112"/>
      <c r="F522" s="44" t="s">
        <v>389</v>
      </c>
      <c r="G522" s="45" t="s">
        <v>37</v>
      </c>
      <c r="H522" s="51">
        <f t="shared" si="8"/>
        <v>8.2683982683982693E-2</v>
      </c>
      <c r="I522" s="47"/>
      <c r="J522" s="48">
        <f>VLOOKUP(A522,'[1]תקציב 2026'!$A$1:$M$65536,9,0)</f>
        <v>-250100</v>
      </c>
      <c r="K522" s="49">
        <f>VLOOKUP(A522,[3]גיליון1!$A$1:$C$7693,3,0)</f>
        <v>-231000</v>
      </c>
      <c r="L522" s="50">
        <f>VLOOKUP(A522,[2]data1761205830331!$A$1:$J$65536,10,0)</f>
        <v>-249696.55</v>
      </c>
    </row>
    <row r="523" spans="1:12" ht="15.75" customHeight="1" outlineLevel="1" thickBot="1">
      <c r="A523" s="11">
        <v>1315800953</v>
      </c>
      <c r="B523" s="40">
        <v>953</v>
      </c>
      <c r="C523" s="109">
        <v>315800</v>
      </c>
      <c r="D523" s="42">
        <v>1</v>
      </c>
      <c r="E523" s="112"/>
      <c r="F523" s="44" t="s">
        <v>277</v>
      </c>
      <c r="G523" s="45" t="s">
        <v>37</v>
      </c>
      <c r="H523" s="51">
        <f t="shared" si="8"/>
        <v>-3.1486146095716094E-4</v>
      </c>
      <c r="I523" s="47"/>
      <c r="J523" s="48">
        <f>VLOOKUP(A523,'[1]תקציב 2026'!$A$1:$M$65536,9,0)</f>
        <v>-1270000</v>
      </c>
      <c r="K523" s="49">
        <v>-1270400</v>
      </c>
      <c r="L523" s="50">
        <f>VLOOKUP(A523,[2]data1761205830331!$A$1:$J$65536,10,0)</f>
        <v>-1227345.31</v>
      </c>
    </row>
    <row r="524" spans="1:12" ht="16.2" thickBot="1">
      <c r="A524" s="11" t="e">
        <v>#VALUE!</v>
      </c>
      <c r="B524" s="157" t="s">
        <v>410</v>
      </c>
      <c r="C524" s="54"/>
      <c r="D524" s="55"/>
      <c r="E524" s="115"/>
      <c r="F524" s="116" t="s">
        <v>411</v>
      </c>
      <c r="G524" s="58"/>
      <c r="H524" s="71">
        <f>J524/K524-1</f>
        <v>8.7115230810245414E-2</v>
      </c>
      <c r="I524" s="72"/>
      <c r="J524" s="74">
        <f>SUBTOTAL(9,J511:J523)</f>
        <v>-21204400</v>
      </c>
      <c r="K524" s="92">
        <f>SUBTOTAL(9,K511:K523)</f>
        <v>-19505200</v>
      </c>
      <c r="L524" s="75">
        <f>SUBTOTAL(9,L511:L523)</f>
        <v>-18478190.040000003</v>
      </c>
    </row>
    <row r="525" spans="1:12" ht="15.75" customHeight="1" outlineLevel="1">
      <c r="A525" s="11">
        <v>13158100</v>
      </c>
      <c r="B525" s="40">
        <v>0</v>
      </c>
      <c r="C525" s="109">
        <v>315810</v>
      </c>
      <c r="D525" s="42">
        <v>1</v>
      </c>
      <c r="E525" s="112"/>
      <c r="F525" s="44" t="s">
        <v>412</v>
      </c>
      <c r="G525" s="45" t="s">
        <v>15</v>
      </c>
      <c r="H525" s="51"/>
      <c r="I525" s="47"/>
      <c r="J525" s="48"/>
      <c r="K525" s="49"/>
      <c r="L525" s="50"/>
    </row>
    <row r="526" spans="1:12" ht="15.75" customHeight="1" outlineLevel="1">
      <c r="A526" s="11">
        <v>1315810312</v>
      </c>
      <c r="B526" s="40">
        <v>312</v>
      </c>
      <c r="C526" s="109">
        <v>315810</v>
      </c>
      <c r="D526" s="42">
        <v>1</v>
      </c>
      <c r="E526" s="112"/>
      <c r="F526" s="44" t="s">
        <v>296</v>
      </c>
      <c r="G526" s="45" t="s">
        <v>37</v>
      </c>
      <c r="H526" s="51">
        <f t="shared" ref="H526:H598" si="9">J526/K526-1</f>
        <v>0.19999999999999996</v>
      </c>
      <c r="I526" s="47"/>
      <c r="J526" s="48">
        <f>VLOOKUP(A526,'[1]תקציב 2026'!$A$1:$M$65536,9,0)</f>
        <v>-15000</v>
      </c>
      <c r="K526" s="49">
        <f>VLOOKUP(A526,[3]גיליון1!$A$1:$C$7693,3,0)</f>
        <v>-12500</v>
      </c>
      <c r="L526" s="50">
        <f>VLOOKUP(A526,[2]data1761205830331!$A$1:$J$65536,10,0)</f>
        <v>-14520</v>
      </c>
    </row>
    <row r="527" spans="1:12" ht="15.75" customHeight="1" outlineLevel="1">
      <c r="A527" s="11">
        <v>1315810440</v>
      </c>
      <c r="B527" s="40">
        <v>440</v>
      </c>
      <c r="C527" s="109">
        <v>315810</v>
      </c>
      <c r="D527" s="42">
        <v>1</v>
      </c>
      <c r="E527" s="112"/>
      <c r="F527" s="44" t="s">
        <v>323</v>
      </c>
      <c r="G527" s="45" t="s">
        <v>37</v>
      </c>
      <c r="H527" s="51">
        <f t="shared" si="9"/>
        <v>0</v>
      </c>
      <c r="I527" s="47"/>
      <c r="J527" s="48">
        <f>VLOOKUP(A527,'[1]תקציב 2026'!$A$1:$M$65536,9,0)</f>
        <v>-143000</v>
      </c>
      <c r="K527" s="49">
        <f>VLOOKUP(A527,[3]גיליון1!$A$1:$C$7693,3,0)</f>
        <v>-143000</v>
      </c>
      <c r="L527" s="50">
        <f>VLOOKUP(A527,[2]data1761205830331!$A$1:$J$65536,10,0)</f>
        <v>-142490</v>
      </c>
    </row>
    <row r="528" spans="1:12" ht="15.75" customHeight="1" outlineLevel="1">
      <c r="A528" s="11">
        <v>1315810452</v>
      </c>
      <c r="B528" s="40">
        <v>452</v>
      </c>
      <c r="C528" s="109">
        <v>315810</v>
      </c>
      <c r="D528" s="42">
        <v>1</v>
      </c>
      <c r="E528" s="112"/>
      <c r="F528" s="44" t="s">
        <v>381</v>
      </c>
      <c r="G528" s="45" t="s">
        <v>37</v>
      </c>
      <c r="H528" s="51">
        <f t="shared" si="9"/>
        <v>5.1660516605166018E-2</v>
      </c>
      <c r="I528" s="47"/>
      <c r="J528" s="48">
        <f>VLOOKUP(A528,'[1]תקציב 2026'!$A$1:$M$65536,9,0)</f>
        <v>-171000</v>
      </c>
      <c r="K528" s="49">
        <v>-162600</v>
      </c>
      <c r="L528" s="50">
        <f>VLOOKUP(A528,[2]data1761205830331!$A$1:$J$65536,10,0)</f>
        <v>0</v>
      </c>
    </row>
    <row r="529" spans="1:12" ht="15.75" customHeight="1" outlineLevel="1">
      <c r="A529" s="11">
        <v>1315810920</v>
      </c>
      <c r="B529" s="40">
        <v>920</v>
      </c>
      <c r="C529" s="109">
        <v>315810</v>
      </c>
      <c r="D529" s="42">
        <v>1</v>
      </c>
      <c r="E529" s="112"/>
      <c r="F529" s="44" t="s">
        <v>393</v>
      </c>
      <c r="G529" s="45" t="s">
        <v>37</v>
      </c>
      <c r="H529" s="51">
        <f t="shared" si="9"/>
        <v>0.25057690303562663</v>
      </c>
      <c r="I529" s="47"/>
      <c r="J529" s="48">
        <f>VLOOKUP(A529,'[1]תקציב 2026'!$A$1:$M$65536,9,0)</f>
        <v>-8400000</v>
      </c>
      <c r="K529" s="49">
        <f>VLOOKUP(A529,[3]גיליון1!$A$1:$C$7693,3,0)</f>
        <v>-6716900</v>
      </c>
      <c r="L529" s="50">
        <f>VLOOKUP(A529,[2]data1761205830331!$A$1:$J$65536,10,0)</f>
        <v>-7742871.3499999996</v>
      </c>
    </row>
    <row r="530" spans="1:12" ht="15.75" customHeight="1" outlineLevel="1">
      <c r="A530" s="11">
        <v>1315810921</v>
      </c>
      <c r="B530" s="40">
        <v>921</v>
      </c>
      <c r="C530" s="109">
        <v>315810</v>
      </c>
      <c r="D530" s="42">
        <v>1</v>
      </c>
      <c r="E530" s="112"/>
      <c r="F530" s="44" t="s">
        <v>409</v>
      </c>
      <c r="G530" s="45" t="s">
        <v>37</v>
      </c>
      <c r="H530" s="51">
        <f t="shared" si="9"/>
        <v>4.2001042209484085E-2</v>
      </c>
      <c r="I530" s="47"/>
      <c r="J530" s="48">
        <f>VLOOKUP(A530,'[1]תקציב 2026'!$A$1:$M$65536,9,0)</f>
        <v>-999800</v>
      </c>
      <c r="K530" s="49">
        <f>VLOOKUP(A530,[3]גיליון1!$A$1:$C$7693,3,0)</f>
        <v>-959500</v>
      </c>
      <c r="L530" s="50">
        <f>VLOOKUP(A530,[2]data1761205830331!$A$1:$J$65536,10,0)</f>
        <v>-955836.59</v>
      </c>
    </row>
    <row r="531" spans="1:12" ht="15.75" customHeight="1" outlineLevel="1">
      <c r="A531" s="11">
        <v>1315810922</v>
      </c>
      <c r="B531" s="40">
        <v>922</v>
      </c>
      <c r="C531" s="109">
        <v>315810</v>
      </c>
      <c r="D531" s="42">
        <v>1</v>
      </c>
      <c r="E531" s="112"/>
      <c r="F531" s="44" t="s">
        <v>384</v>
      </c>
      <c r="G531" s="45" t="s">
        <v>37</v>
      </c>
      <c r="H531" s="51">
        <f t="shared" si="9"/>
        <v>-1</v>
      </c>
      <c r="I531" s="47"/>
      <c r="J531" s="48">
        <f>VLOOKUP(A531,'[1]תקציב 2026'!$A$1:$M$65536,9,0)</f>
        <v>0</v>
      </c>
      <c r="K531" s="49">
        <f>VLOOKUP(A531,[3]גיליון1!$A$1:$C$7693,3,0)</f>
        <v>-7000</v>
      </c>
      <c r="L531" s="50">
        <f>VLOOKUP(A531,[2]data1761205830331!$A$1:$J$65536,10,0)</f>
        <v>-7320.4</v>
      </c>
    </row>
    <row r="532" spans="1:12" ht="15.75" customHeight="1" outlineLevel="1">
      <c r="A532" s="11">
        <v>1315810925</v>
      </c>
      <c r="B532" s="40">
        <v>925</v>
      </c>
      <c r="C532" s="109">
        <v>315810</v>
      </c>
      <c r="D532" s="42">
        <v>1</v>
      </c>
      <c r="E532" s="112"/>
      <c r="F532" s="44" t="s">
        <v>386</v>
      </c>
      <c r="G532" s="45" t="s">
        <v>37</v>
      </c>
      <c r="H532" s="51">
        <f t="shared" si="9"/>
        <v>0.75991594431310738</v>
      </c>
      <c r="I532" s="47"/>
      <c r="J532" s="48">
        <f>VLOOKUP(A532,'[1]תקציב 2026'!$A$1:$M$65536,9,0)</f>
        <v>-670000</v>
      </c>
      <c r="K532" s="49">
        <f>VLOOKUP(A532,[3]גיליון1!$A$1:$C$7693,3,0)</f>
        <v>-380700</v>
      </c>
      <c r="L532" s="50">
        <f>VLOOKUP(A532,[2]data1761205830331!$A$1:$J$65536,10,0)</f>
        <v>-429348.38</v>
      </c>
    </row>
    <row r="533" spans="1:12" ht="15.75" customHeight="1" outlineLevel="1">
      <c r="A533" s="11">
        <v>1315810928</v>
      </c>
      <c r="B533" s="40">
        <v>928</v>
      </c>
      <c r="C533" s="109">
        <v>315810</v>
      </c>
      <c r="D533" s="42">
        <v>1</v>
      </c>
      <c r="E533" s="112"/>
      <c r="F533" s="44" t="s">
        <v>387</v>
      </c>
      <c r="G533" s="45" t="s">
        <v>37</v>
      </c>
      <c r="H533" s="51">
        <f t="shared" si="9"/>
        <v>0.24494382022471917</v>
      </c>
      <c r="I533" s="47"/>
      <c r="J533" s="48">
        <f>VLOOKUP(A533,'[1]תקציב 2026'!$A$1:$M$65536,9,0)</f>
        <v>-110800</v>
      </c>
      <c r="K533" s="49">
        <f>VLOOKUP(A533,[3]גיליון1!$A$1:$C$7693,3,0)</f>
        <v>-89000</v>
      </c>
      <c r="L533" s="50">
        <f>VLOOKUP(A533,[2]data1761205830331!$A$1:$J$65536,10,0)</f>
        <v>-94530.97</v>
      </c>
    </row>
    <row r="534" spans="1:12" ht="15.75" customHeight="1" outlineLevel="1">
      <c r="A534" s="11">
        <v>1315810930</v>
      </c>
      <c r="B534" s="40">
        <v>930</v>
      </c>
      <c r="C534" s="109">
        <v>315810</v>
      </c>
      <c r="D534" s="42">
        <v>1</v>
      </c>
      <c r="E534" s="112"/>
      <c r="F534" s="44" t="s">
        <v>388</v>
      </c>
      <c r="G534" s="45" t="s">
        <v>37</v>
      </c>
      <c r="H534" s="51">
        <f t="shared" si="9"/>
        <v>0.25354868939665387</v>
      </c>
      <c r="I534" s="47"/>
      <c r="J534" s="48">
        <f>VLOOKUP(A534,'[1]תקציב 2026'!$A$1:$M$65536,9,0)</f>
        <v>-4548000</v>
      </c>
      <c r="K534" s="49">
        <f>VLOOKUP(A534,[3]גיליון1!$A$1:$C$7693,3,0)</f>
        <v>-3628100</v>
      </c>
      <c r="L534" s="50">
        <f>VLOOKUP(A534,[2]data1761205830331!$A$1:$J$65536,10,0)</f>
        <v>-2452135.89</v>
      </c>
    </row>
    <row r="535" spans="1:12" ht="15.75" customHeight="1" outlineLevel="1">
      <c r="A535" s="11">
        <v>1315810932</v>
      </c>
      <c r="B535" s="40">
        <v>932</v>
      </c>
      <c r="C535" s="109">
        <v>315810</v>
      </c>
      <c r="D535" s="42">
        <v>1</v>
      </c>
      <c r="E535" s="112"/>
      <c r="F535" s="44" t="s">
        <v>389</v>
      </c>
      <c r="G535" s="45" t="s">
        <v>37</v>
      </c>
      <c r="H535" s="51">
        <f t="shared" si="9"/>
        <v>5.7770545158665643E-2</v>
      </c>
      <c r="I535" s="47"/>
      <c r="J535" s="48">
        <f>VLOOKUP(A535,'[1]תקציב 2026'!$A$1:$M$65536,9,0)</f>
        <v>-130000</v>
      </c>
      <c r="K535" s="49">
        <f>VLOOKUP(A535,[3]גיליון1!$A$1:$C$7693,3,0)</f>
        <v>-122900</v>
      </c>
      <c r="L535" s="50">
        <f>VLOOKUP(A535,[2]data1761205830331!$A$1:$J$65536,10,0)</f>
        <v>-135560.18</v>
      </c>
    </row>
    <row r="536" spans="1:12" ht="15.75" customHeight="1" outlineLevel="1" thickBot="1">
      <c r="A536" s="11">
        <v>1315810953</v>
      </c>
      <c r="B536" s="40">
        <v>953</v>
      </c>
      <c r="C536" s="109">
        <v>315810</v>
      </c>
      <c r="D536" s="42">
        <v>1</v>
      </c>
      <c r="E536" s="112"/>
      <c r="F536" s="44" t="s">
        <v>277</v>
      </c>
      <c r="G536" s="45" t="s">
        <v>37</v>
      </c>
      <c r="H536" s="51">
        <f t="shared" si="9"/>
        <v>6.0885608856088513E-2</v>
      </c>
      <c r="I536" s="47"/>
      <c r="J536" s="48">
        <f>VLOOKUP(A536,'[1]תקציב 2026'!$A$1:$M$65536,9,0)</f>
        <v>-690000</v>
      </c>
      <c r="K536" s="49">
        <v>-650400</v>
      </c>
      <c r="L536" s="50">
        <f>VLOOKUP(A536,[2]data1761205830331!$A$1:$J$65536,10,0)</f>
        <v>-713393.56</v>
      </c>
    </row>
    <row r="537" spans="1:12" ht="16.2" thickBot="1">
      <c r="A537" s="11" t="e">
        <v>#VALUE!</v>
      </c>
      <c r="B537" s="157" t="s">
        <v>413</v>
      </c>
      <c r="C537" s="54"/>
      <c r="D537" s="55"/>
      <c r="E537" s="115"/>
      <c r="F537" s="116" t="s">
        <v>412</v>
      </c>
      <c r="G537" s="58"/>
      <c r="H537" s="71">
        <f>J537/K537-1</f>
        <v>0.23344157357488005</v>
      </c>
      <c r="I537" s="72"/>
      <c r="J537" s="74">
        <f>SUBTOTAL(9,J526:J536)</f>
        <v>-15877600</v>
      </c>
      <c r="K537" s="92">
        <f>SUBTOTAL(9,K526:K536)</f>
        <v>-12872600</v>
      </c>
      <c r="L537" s="75">
        <f>SUBTOTAL(9,L526:L536)</f>
        <v>-12688007.320000002</v>
      </c>
    </row>
    <row r="538" spans="1:12" ht="15.75" customHeight="1" outlineLevel="1">
      <c r="A538" s="11">
        <v>13158200</v>
      </c>
      <c r="B538" s="64">
        <v>0</v>
      </c>
      <c r="C538" s="131">
        <v>315820</v>
      </c>
      <c r="D538" s="66">
        <v>1</v>
      </c>
      <c r="E538" s="132"/>
      <c r="F538" s="68" t="s">
        <v>414</v>
      </c>
      <c r="G538" s="69" t="s">
        <v>15</v>
      </c>
      <c r="H538" s="51"/>
      <c r="I538" s="47"/>
      <c r="J538" s="48"/>
      <c r="K538" s="49"/>
      <c r="L538" s="50"/>
    </row>
    <row r="539" spans="1:12" ht="15.75" customHeight="1" outlineLevel="1">
      <c r="A539" s="11">
        <v>1315820312</v>
      </c>
      <c r="B539" s="40">
        <v>312</v>
      </c>
      <c r="C539" s="109">
        <v>315820</v>
      </c>
      <c r="D539" s="42">
        <v>1</v>
      </c>
      <c r="E539" s="112"/>
      <c r="F539" s="44" t="s">
        <v>296</v>
      </c>
      <c r="G539" s="45" t="s">
        <v>37</v>
      </c>
      <c r="H539" s="51">
        <f t="shared" si="9"/>
        <v>-0.11111111111111116</v>
      </c>
      <c r="I539" s="47"/>
      <c r="J539" s="48">
        <f>VLOOKUP(A539,'[1]תקציב 2026'!$A$1:$M$65536,9,0)</f>
        <v>-8000</v>
      </c>
      <c r="K539" s="49">
        <f>VLOOKUP(A539,[3]גיליון1!$A$1:$C$7693,3,0)</f>
        <v>-9000</v>
      </c>
      <c r="L539" s="50">
        <f>VLOOKUP(A539,[2]data1761205830331!$A$1:$J$65536,10,0)</f>
        <v>-7524</v>
      </c>
    </row>
    <row r="540" spans="1:12" ht="15.75" customHeight="1" outlineLevel="1">
      <c r="A540" s="11">
        <v>1315820440</v>
      </c>
      <c r="B540" s="40">
        <v>440</v>
      </c>
      <c r="C540" s="109">
        <v>315820</v>
      </c>
      <c r="D540" s="42">
        <v>1</v>
      </c>
      <c r="E540" s="112"/>
      <c r="F540" s="44" t="s">
        <v>323</v>
      </c>
      <c r="G540" s="45" t="s">
        <v>37</v>
      </c>
      <c r="H540" s="51">
        <f t="shared" si="9"/>
        <v>-9.0909090909090939E-2</v>
      </c>
      <c r="I540" s="47"/>
      <c r="J540" s="48">
        <f>VLOOKUP(A540,'[1]תקציב 2026'!$A$1:$M$65536,9,0)</f>
        <v>-100000</v>
      </c>
      <c r="K540" s="49">
        <f>VLOOKUP(A540,[3]גיליון1!$A$1:$C$7693,3,0)</f>
        <v>-110000</v>
      </c>
      <c r="L540" s="50">
        <f>VLOOKUP(A540,[2]data1761205830331!$A$1:$J$65536,10,0)</f>
        <v>-106464</v>
      </c>
    </row>
    <row r="541" spans="1:12" ht="15.75" customHeight="1" outlineLevel="1">
      <c r="A541" s="11">
        <v>1315820452</v>
      </c>
      <c r="B541" s="40">
        <v>452</v>
      </c>
      <c r="C541" s="109">
        <v>315820</v>
      </c>
      <c r="D541" s="42">
        <v>1</v>
      </c>
      <c r="E541" s="112"/>
      <c r="F541" s="159" t="s">
        <v>381</v>
      </c>
      <c r="G541" s="45" t="s">
        <v>37</v>
      </c>
      <c r="H541" s="51">
        <f t="shared" si="9"/>
        <v>0.14541832669322718</v>
      </c>
      <c r="I541" s="47"/>
      <c r="J541" s="48">
        <f>VLOOKUP(A541,'[1]תקציב 2026'!$A$1:$M$65536,9,0)</f>
        <v>-115000</v>
      </c>
      <c r="K541" s="49">
        <v>-100400</v>
      </c>
      <c r="L541" s="50">
        <f>VLOOKUP(A541,[2]data1761205830331!$A$1:$J$65536,10,0)</f>
        <v>0</v>
      </c>
    </row>
    <row r="542" spans="1:12" ht="15.75" customHeight="1" outlineLevel="1">
      <c r="A542" s="11">
        <v>1315820920</v>
      </c>
      <c r="B542" s="40">
        <v>920</v>
      </c>
      <c r="C542" s="109">
        <v>315820</v>
      </c>
      <c r="D542" s="42">
        <v>1</v>
      </c>
      <c r="E542" s="112"/>
      <c r="F542" s="44" t="s">
        <v>393</v>
      </c>
      <c r="G542" s="45" t="s">
        <v>37</v>
      </c>
      <c r="H542" s="51">
        <f t="shared" si="9"/>
        <v>0.15994404290044306</v>
      </c>
      <c r="I542" s="47"/>
      <c r="J542" s="48">
        <f>VLOOKUP(A542,'[1]תקציב 2026'!$A$1:$M$65536,9,0)</f>
        <v>-5970000</v>
      </c>
      <c r="K542" s="49">
        <f>VLOOKUP(A542,[3]גיליון1!$A$1:$C$7693,3,0)</f>
        <v>-5146800</v>
      </c>
      <c r="L542" s="50">
        <f>VLOOKUP(A542,[2]data1761205830331!$A$1:$J$65536,10,0)</f>
        <v>-5550468.54</v>
      </c>
    </row>
    <row r="543" spans="1:12" ht="15.75" customHeight="1" outlineLevel="1">
      <c r="A543" s="11">
        <v>1315820923</v>
      </c>
      <c r="B543" s="40">
        <v>923</v>
      </c>
      <c r="C543" s="109">
        <v>315820</v>
      </c>
      <c r="D543" s="42">
        <v>1</v>
      </c>
      <c r="E543" s="112"/>
      <c r="F543" s="44" t="s">
        <v>415</v>
      </c>
      <c r="G543" s="45" t="s">
        <v>37</v>
      </c>
      <c r="H543" s="51">
        <f t="shared" si="9"/>
        <v>6.4935064935065512E-3</v>
      </c>
      <c r="I543" s="47"/>
      <c r="J543" s="48">
        <f>VLOOKUP(A543,'[1]תקציב 2026'!$A$1:$M$65536,9,0)</f>
        <v>-108500</v>
      </c>
      <c r="K543" s="49">
        <f>VLOOKUP(A543,[3]גיליון1!$A$1:$C$7693,3,0)</f>
        <v>-107800</v>
      </c>
      <c r="L543" s="50">
        <f>VLOOKUP(A543,[2]data1761205830331!$A$1:$J$65536,10,0)</f>
        <v>-116588.2</v>
      </c>
    </row>
    <row r="544" spans="1:12" ht="15.75" customHeight="1" outlineLevel="1">
      <c r="A544" s="11">
        <v>1315820925</v>
      </c>
      <c r="B544" s="40">
        <v>925</v>
      </c>
      <c r="C544" s="109">
        <v>315820</v>
      </c>
      <c r="D544" s="42">
        <v>1</v>
      </c>
      <c r="E544" s="112"/>
      <c r="F544" s="44" t="s">
        <v>386</v>
      </c>
      <c r="G544" s="45" t="s">
        <v>37</v>
      </c>
      <c r="H544" s="51">
        <f t="shared" si="9"/>
        <v>0.54984709480122329</v>
      </c>
      <c r="I544" s="47"/>
      <c r="J544" s="48">
        <f>VLOOKUP(A544,'[1]תקציב 2026'!$A$1:$M$65536,9,0)</f>
        <v>-506800</v>
      </c>
      <c r="K544" s="49">
        <f>VLOOKUP(A544,[3]גיליון1!$A$1:$C$7693,3,0)</f>
        <v>-327000</v>
      </c>
      <c r="L544" s="50">
        <f>VLOOKUP(A544,[2]data1761205830331!$A$1:$J$65536,10,0)</f>
        <v>-340213.38</v>
      </c>
    </row>
    <row r="545" spans="1:12" ht="15.75" customHeight="1" outlineLevel="1">
      <c r="A545" s="11">
        <v>1315820928</v>
      </c>
      <c r="B545" s="40">
        <v>928</v>
      </c>
      <c r="C545" s="109">
        <v>315820</v>
      </c>
      <c r="D545" s="42">
        <v>1</v>
      </c>
      <c r="E545" s="112"/>
      <c r="F545" s="44" t="s">
        <v>387</v>
      </c>
      <c r="G545" s="45" t="s">
        <v>37</v>
      </c>
      <c r="H545" s="51">
        <f t="shared" si="9"/>
        <v>0.26452410383189129</v>
      </c>
      <c r="I545" s="47"/>
      <c r="J545" s="48">
        <f>VLOOKUP(A545,'[1]תקציב 2026'!$A$1:$M$65536,9,0)</f>
        <v>-102300</v>
      </c>
      <c r="K545" s="49">
        <f>VLOOKUP(A545,[3]גיליון1!$A$1:$C$7693,3,0)</f>
        <v>-80900</v>
      </c>
      <c r="L545" s="50">
        <f>VLOOKUP(A545,[2]data1761205830331!$A$1:$J$65536,10,0)</f>
        <v>-86508.35</v>
      </c>
    </row>
    <row r="546" spans="1:12" ht="15.75" customHeight="1" outlineLevel="1">
      <c r="A546" s="11">
        <v>1315820930</v>
      </c>
      <c r="B546" s="40">
        <v>930</v>
      </c>
      <c r="C546" s="109">
        <v>315820</v>
      </c>
      <c r="D546" s="42">
        <v>1</v>
      </c>
      <c r="E546" s="112"/>
      <c r="F546" s="44" t="s">
        <v>388</v>
      </c>
      <c r="G546" s="45" t="s">
        <v>37</v>
      </c>
      <c r="H546" s="51">
        <f t="shared" si="9"/>
        <v>0.19905213270142186</v>
      </c>
      <c r="I546" s="47"/>
      <c r="J546" s="48">
        <f>VLOOKUP(A546,'[1]תקציב 2026'!$A$1:$M$65536,9,0)</f>
        <v>-2656500</v>
      </c>
      <c r="K546" s="49">
        <f>VLOOKUP(A546,[3]גיליון1!$A$1:$C$7693,3,0)</f>
        <v>-2215500</v>
      </c>
      <c r="L546" s="50">
        <f>VLOOKUP(A546,[2]data1761205830331!$A$1:$J$65536,10,0)</f>
        <v>-2152266.54</v>
      </c>
    </row>
    <row r="547" spans="1:12" ht="15.75" customHeight="1" outlineLevel="1">
      <c r="A547" s="11">
        <v>1315820932</v>
      </c>
      <c r="B547" s="40">
        <v>932</v>
      </c>
      <c r="C547" s="109">
        <v>315820</v>
      </c>
      <c r="D547" s="42">
        <v>1</v>
      </c>
      <c r="E547" s="112"/>
      <c r="F547" s="44" t="s">
        <v>389</v>
      </c>
      <c r="G547" s="45" t="s">
        <v>37</v>
      </c>
      <c r="H547" s="51">
        <f t="shared" si="9"/>
        <v>0.19664804469273744</v>
      </c>
      <c r="I547" s="47"/>
      <c r="J547" s="48">
        <f>VLOOKUP(A547,'[1]תקציב 2026'!$A$1:$M$65536,9,0)</f>
        <v>-107100</v>
      </c>
      <c r="K547" s="49">
        <f>VLOOKUP(A547,[3]גיליון1!$A$1:$C$7693,3,0)</f>
        <v>-89500</v>
      </c>
      <c r="L547" s="50">
        <f>VLOOKUP(A547,[2]data1761205830331!$A$1:$J$65536,10,0)</f>
        <v>-101768.99</v>
      </c>
    </row>
    <row r="548" spans="1:12" ht="15.75" customHeight="1" outlineLevel="1" thickBot="1">
      <c r="A548" s="11">
        <v>1315820953</v>
      </c>
      <c r="B548" s="40">
        <v>953</v>
      </c>
      <c r="C548" s="109">
        <v>315820</v>
      </c>
      <c r="D548" s="42">
        <v>1</v>
      </c>
      <c r="E548" s="112"/>
      <c r="F548" s="44" t="s">
        <v>277</v>
      </c>
      <c r="G548" s="45" t="s">
        <v>37</v>
      </c>
      <c r="H548" s="51">
        <f t="shared" si="9"/>
        <v>0.1777888446215139</v>
      </c>
      <c r="I548" s="47"/>
      <c r="J548" s="48">
        <f>VLOOKUP(A548,'[1]תקציב 2026'!$A$1:$M$65536,9,0)</f>
        <v>-473000</v>
      </c>
      <c r="K548" s="49">
        <v>-401600</v>
      </c>
      <c r="L548" s="50">
        <f>VLOOKUP(A548,[2]data1761205830331!$A$1:$J$65536,10,0)</f>
        <v>-319010.5</v>
      </c>
    </row>
    <row r="549" spans="1:12" ht="16.2" thickBot="1">
      <c r="A549" s="11" t="e">
        <v>#VALUE!</v>
      </c>
      <c r="B549" s="157" t="s">
        <v>416</v>
      </c>
      <c r="C549" s="54"/>
      <c r="D549" s="55"/>
      <c r="E549" s="115"/>
      <c r="F549" s="116" t="s">
        <v>414</v>
      </c>
      <c r="G549" s="58"/>
      <c r="H549" s="71">
        <f>J549/K549-1</f>
        <v>0.18148687197997315</v>
      </c>
      <c r="I549" s="72"/>
      <c r="J549" s="74">
        <f>SUBTOTAL(9,J539:J548)</f>
        <v>-10147200</v>
      </c>
      <c r="K549" s="92">
        <f>SUBTOTAL(9,K539:K548)</f>
        <v>-8588500</v>
      </c>
      <c r="L549" s="75">
        <f>SUBTOTAL(9,L539:L548)</f>
        <v>-8780812.5</v>
      </c>
    </row>
    <row r="550" spans="1:12" ht="15.75" customHeight="1" outlineLevel="1">
      <c r="A550" s="11">
        <v>13158300</v>
      </c>
      <c r="B550" s="64" t="s">
        <v>17</v>
      </c>
      <c r="C550" s="131" t="s">
        <v>417</v>
      </c>
      <c r="D550" s="66">
        <v>1</v>
      </c>
      <c r="E550" s="132"/>
      <c r="F550" s="68" t="s">
        <v>418</v>
      </c>
      <c r="G550" s="69"/>
      <c r="H550" s="51"/>
      <c r="I550" s="47"/>
      <c r="J550" s="48"/>
      <c r="K550" s="49"/>
      <c r="L550" s="50"/>
    </row>
    <row r="551" spans="1:12" ht="15.75" customHeight="1" outlineLevel="1">
      <c r="A551" s="11">
        <v>1315830312</v>
      </c>
      <c r="B551" s="40">
        <v>312</v>
      </c>
      <c r="C551" s="109" t="s">
        <v>417</v>
      </c>
      <c r="D551" s="42">
        <v>1</v>
      </c>
      <c r="E551" s="112"/>
      <c r="F551" s="44" t="s">
        <v>296</v>
      </c>
      <c r="G551" s="45" t="s">
        <v>37</v>
      </c>
      <c r="H551" s="51">
        <f t="shared" si="9"/>
        <v>0.51162790697674421</v>
      </c>
      <c r="I551" s="47"/>
      <c r="J551" s="48">
        <f>VLOOKUP(A551,'[1]תקציב 2026'!$A$1:$M$65536,9,0)</f>
        <v>-13000</v>
      </c>
      <c r="K551" s="49">
        <f>VLOOKUP(A551,[3]גיליון1!$A$1:$C$7693,3,0)</f>
        <v>-8600</v>
      </c>
      <c r="L551" s="50">
        <f>VLOOKUP(A551,[2]data1761205830331!$A$1:$J$65536,10,0)</f>
        <v>0</v>
      </c>
    </row>
    <row r="552" spans="1:12" ht="15.75" customHeight="1" outlineLevel="1">
      <c r="A552" s="11">
        <v>1315830440</v>
      </c>
      <c r="B552" s="40">
        <v>440</v>
      </c>
      <c r="C552" s="109">
        <v>315830</v>
      </c>
      <c r="D552" s="42">
        <v>1</v>
      </c>
      <c r="E552" s="112"/>
      <c r="F552" s="44" t="s">
        <v>323</v>
      </c>
      <c r="G552" s="45" t="s">
        <v>37</v>
      </c>
      <c r="H552" s="51">
        <v>1</v>
      </c>
      <c r="I552" s="47"/>
      <c r="J552" s="48">
        <f>VLOOKUP(A552,'[1]תקציב 2026'!$A$1:$M$65536,9,0)</f>
        <v>-100000</v>
      </c>
      <c r="K552" s="49">
        <v>0</v>
      </c>
      <c r="L552" s="50">
        <f>VLOOKUP(A552,[2]data1761205830331!$A$1:$J$65536,10,0)</f>
        <v>-50000</v>
      </c>
    </row>
    <row r="553" spans="1:12" ht="15.75" customHeight="1" outlineLevel="1">
      <c r="A553" s="11">
        <v>1315830452</v>
      </c>
      <c r="B553" s="40">
        <v>452</v>
      </c>
      <c r="C553" s="109">
        <v>315830</v>
      </c>
      <c r="D553" s="42">
        <v>1</v>
      </c>
      <c r="E553" s="112"/>
      <c r="F553" s="44" t="s">
        <v>381</v>
      </c>
      <c r="G553" s="45" t="s">
        <v>37</v>
      </c>
      <c r="H553" s="51">
        <v>1</v>
      </c>
      <c r="I553" s="47" t="s">
        <v>86</v>
      </c>
      <c r="J553" s="48">
        <f>VLOOKUP(A553,'[1]תקציב 2026'!$A$1:$M$65536,9,0)</f>
        <v>-120000</v>
      </c>
      <c r="K553" s="49">
        <v>0</v>
      </c>
      <c r="L553" s="50">
        <v>0</v>
      </c>
    </row>
    <row r="554" spans="1:12" ht="15.75" customHeight="1" outlineLevel="1">
      <c r="A554" s="11">
        <v>1315830920</v>
      </c>
      <c r="B554" s="40">
        <v>920</v>
      </c>
      <c r="C554" s="109">
        <v>315830</v>
      </c>
      <c r="D554" s="42">
        <v>1</v>
      </c>
      <c r="E554" s="112"/>
      <c r="F554" s="44" t="s">
        <v>393</v>
      </c>
      <c r="G554" s="45" t="s">
        <v>37</v>
      </c>
      <c r="H554" s="51">
        <v>1</v>
      </c>
      <c r="I554" s="47" t="s">
        <v>86</v>
      </c>
      <c r="J554" s="48">
        <f>VLOOKUP(A554,'[1]תקציב 2026'!$A$1:$M$65536,9,0)</f>
        <v>-3200000</v>
      </c>
      <c r="K554" s="49">
        <v>0</v>
      </c>
      <c r="L554" s="50">
        <v>0</v>
      </c>
    </row>
    <row r="555" spans="1:12" ht="15.75" customHeight="1" outlineLevel="1">
      <c r="A555" s="11">
        <v>1315830921</v>
      </c>
      <c r="B555" s="40">
        <v>921</v>
      </c>
      <c r="C555" s="109">
        <v>315830</v>
      </c>
      <c r="D555" s="42">
        <v>1</v>
      </c>
      <c r="E555" s="112"/>
      <c r="F555" s="44" t="str">
        <f>[4]גיליון1!$F$1005</f>
        <v>השתת' ממשלה-חט"ב</v>
      </c>
      <c r="G555" s="45" t="s">
        <v>37</v>
      </c>
      <c r="H555" s="51">
        <f t="shared" si="9"/>
        <v>0.57992342665709495</v>
      </c>
      <c r="I555" s="47"/>
      <c r="J555" s="48">
        <f>VLOOKUP(A555,'[1]תקציב 2026'!$A$1:$M$65536,9,0)</f>
        <v>-1320500</v>
      </c>
      <c r="K555" s="49">
        <f>VLOOKUP(A555,[3]גיליון1!$A$1:$C$7693,3,0)</f>
        <v>-835800</v>
      </c>
      <c r="L555" s="50">
        <f>VLOOKUP(A555,[2]data1761205830331!$A$1:$J$65536,10,0)</f>
        <v>-969270.94</v>
      </c>
    </row>
    <row r="556" spans="1:12" ht="15.75" customHeight="1" outlineLevel="1">
      <c r="A556" s="11">
        <v>1315830923</v>
      </c>
      <c r="B556" s="40">
        <v>923</v>
      </c>
      <c r="C556" s="109">
        <v>315830</v>
      </c>
      <c r="D556" s="42">
        <v>1</v>
      </c>
      <c r="E556" s="112"/>
      <c r="F556" s="44" t="s">
        <v>419</v>
      </c>
      <c r="G556" s="45" t="s">
        <v>37</v>
      </c>
      <c r="H556" s="51">
        <v>1</v>
      </c>
      <c r="I556" s="47" t="s">
        <v>86</v>
      </c>
      <c r="J556" s="48">
        <f>VLOOKUP(A556,'[1]תקציב 2026'!$A$1:$M$65536,9,0)</f>
        <v>-50000</v>
      </c>
      <c r="K556" s="49">
        <v>0</v>
      </c>
      <c r="L556" s="50">
        <v>0</v>
      </c>
    </row>
    <row r="557" spans="1:12" ht="15.75" customHeight="1" outlineLevel="1">
      <c r="A557" s="11">
        <v>1315830925</v>
      </c>
      <c r="B557" s="40">
        <v>925</v>
      </c>
      <c r="C557" s="109">
        <v>315830</v>
      </c>
      <c r="D557" s="42">
        <v>1</v>
      </c>
      <c r="E557" s="112"/>
      <c r="F557" s="44" t="s">
        <v>420</v>
      </c>
      <c r="G557" s="45" t="s">
        <v>37</v>
      </c>
      <c r="H557" s="51">
        <v>1</v>
      </c>
      <c r="I557" s="47" t="s">
        <v>86</v>
      </c>
      <c r="J557" s="48">
        <f>VLOOKUP(A557,'[1]תקציב 2026'!$A$1:$M$65536,9,0)</f>
        <v>-337000</v>
      </c>
      <c r="K557" s="49">
        <v>0</v>
      </c>
      <c r="L557" s="50">
        <v>0</v>
      </c>
    </row>
    <row r="558" spans="1:12" ht="15.75" customHeight="1" outlineLevel="1">
      <c r="A558" s="11">
        <v>1315830928</v>
      </c>
      <c r="B558" s="40">
        <v>928</v>
      </c>
      <c r="C558" s="109">
        <v>315830</v>
      </c>
      <c r="D558" s="42">
        <v>1</v>
      </c>
      <c r="E558" s="112"/>
      <c r="F558" s="44" t="s">
        <v>421</v>
      </c>
      <c r="G558" s="45" t="s">
        <v>37</v>
      </c>
      <c r="H558" s="51">
        <v>1</v>
      </c>
      <c r="I558" s="47" t="s">
        <v>86</v>
      </c>
      <c r="J558" s="48">
        <f>VLOOKUP(A558,'[1]תקציב 2026'!$A$1:$M$65536,9,0)</f>
        <v>-68000</v>
      </c>
      <c r="K558" s="49">
        <v>0</v>
      </c>
      <c r="L558" s="50">
        <v>0</v>
      </c>
    </row>
    <row r="559" spans="1:12" ht="15.75" customHeight="1" outlineLevel="1">
      <c r="A559" s="11">
        <v>1315830930</v>
      </c>
      <c r="B559" s="40">
        <v>930</v>
      </c>
      <c r="C559" s="109">
        <v>315830</v>
      </c>
      <c r="D559" s="42">
        <v>1</v>
      </c>
      <c r="E559" s="112"/>
      <c r="F559" s="44" t="s">
        <v>388</v>
      </c>
      <c r="G559" s="45" t="s">
        <v>37</v>
      </c>
      <c r="H559" s="51">
        <v>1</v>
      </c>
      <c r="I559" s="47" t="s">
        <v>86</v>
      </c>
      <c r="J559" s="48">
        <f>VLOOKUP(A559,'[1]תקציב 2026'!$A$1:$M$65536,9,0)</f>
        <v>-1391000</v>
      </c>
      <c r="K559" s="49">
        <v>0</v>
      </c>
      <c r="L559" s="50">
        <v>0</v>
      </c>
    </row>
    <row r="560" spans="1:12" ht="15.75" customHeight="1" outlineLevel="1">
      <c r="A560" s="11">
        <v>1315830932</v>
      </c>
      <c r="B560" s="40">
        <v>932</v>
      </c>
      <c r="C560" s="109">
        <v>315830</v>
      </c>
      <c r="D560" s="42">
        <v>1</v>
      </c>
      <c r="E560" s="112"/>
      <c r="F560" s="44" t="s">
        <v>389</v>
      </c>
      <c r="G560" s="45" t="s">
        <v>37</v>
      </c>
      <c r="H560" s="51">
        <v>1</v>
      </c>
      <c r="I560" s="47" t="s">
        <v>86</v>
      </c>
      <c r="J560" s="48">
        <f>VLOOKUP(A560,'[1]תקציב 2026'!$A$1:$M$65536,9,0)</f>
        <v>-68000</v>
      </c>
      <c r="K560" s="49">
        <v>0</v>
      </c>
      <c r="L560" s="50">
        <v>0</v>
      </c>
    </row>
    <row r="561" spans="1:12" ht="15.75" customHeight="1" outlineLevel="1" thickBot="1">
      <c r="A561" s="11">
        <v>1315830953</v>
      </c>
      <c r="B561" s="119">
        <v>953</v>
      </c>
      <c r="C561" s="120">
        <v>315830</v>
      </c>
      <c r="D561" s="121">
        <v>1</v>
      </c>
      <c r="E561" s="133"/>
      <c r="F561" s="122" t="s">
        <v>277</v>
      </c>
      <c r="G561" s="153" t="s">
        <v>37</v>
      </c>
      <c r="H561" s="124">
        <v>1</v>
      </c>
      <c r="I561" s="160"/>
      <c r="J561" s="161">
        <f>VLOOKUP(A561,'[1]תקציב 2026'!$A$1:$M$65536,9,0)</f>
        <v>-463000</v>
      </c>
      <c r="K561" s="162">
        <v>0</v>
      </c>
      <c r="L561" s="127">
        <v>0</v>
      </c>
    </row>
    <row r="562" spans="1:12" ht="16.2" thickBot="1">
      <c r="A562" s="11" t="e">
        <v>#VALUE!</v>
      </c>
      <c r="B562" s="157" t="s">
        <v>416</v>
      </c>
      <c r="C562" s="54"/>
      <c r="D562" s="55"/>
      <c r="E562" s="163"/>
      <c r="F562" s="164" t="s">
        <v>418</v>
      </c>
      <c r="G562" s="165"/>
      <c r="H562" s="166">
        <f>J562/K562-1</f>
        <v>7.4444576030317382</v>
      </c>
      <c r="I562" s="167"/>
      <c r="J562" s="74">
        <f>SUBTOTAL(9,J551:J561)</f>
        <v>-7130500</v>
      </c>
      <c r="K562" s="92">
        <f>SUBTOTAL(9,K551:K561)</f>
        <v>-844400</v>
      </c>
      <c r="L562" s="75">
        <f>SUBTOTAL(9,L551:L561)</f>
        <v>-1019270.94</v>
      </c>
    </row>
    <row r="563" spans="1:12" ht="15.75" customHeight="1" outlineLevel="1">
      <c r="A563" s="11">
        <v>13158400</v>
      </c>
      <c r="B563" s="168" t="s">
        <v>17</v>
      </c>
      <c r="C563" s="169" t="s">
        <v>422</v>
      </c>
      <c r="D563" s="121">
        <v>1</v>
      </c>
      <c r="E563" s="159"/>
      <c r="F563" s="170" t="s">
        <v>423</v>
      </c>
      <c r="G563" s="171"/>
      <c r="H563" s="51"/>
      <c r="I563" s="172"/>
      <c r="J563" s="48"/>
      <c r="K563" s="172"/>
      <c r="L563" s="50"/>
    </row>
    <row r="564" spans="1:12" ht="15.75" customHeight="1" outlineLevel="1">
      <c r="A564" s="11">
        <v>1315840312</v>
      </c>
      <c r="B564" s="173" t="s">
        <v>424</v>
      </c>
      <c r="C564" s="41" t="s">
        <v>422</v>
      </c>
      <c r="D564" s="42">
        <v>1</v>
      </c>
      <c r="E564" s="174"/>
      <c r="F564" s="175" t="s">
        <v>296</v>
      </c>
      <c r="G564" s="46" t="s">
        <v>37</v>
      </c>
      <c r="H564" s="51">
        <v>1</v>
      </c>
      <c r="I564" s="176"/>
      <c r="J564" s="48">
        <f>VLOOKUP(A564,'[1]תקציב 2026'!$A$1:$M$65536,9,0)</f>
        <v>-2000</v>
      </c>
      <c r="K564" s="176">
        <v>0</v>
      </c>
      <c r="L564" s="50">
        <v>0</v>
      </c>
    </row>
    <row r="565" spans="1:12" ht="15.75" customHeight="1" outlineLevel="1">
      <c r="A565" s="11">
        <v>1315840440</v>
      </c>
      <c r="B565" s="173" t="s">
        <v>425</v>
      </c>
      <c r="C565" s="41" t="s">
        <v>422</v>
      </c>
      <c r="D565" s="42">
        <v>1</v>
      </c>
      <c r="E565" s="174"/>
      <c r="F565" s="175" t="s">
        <v>323</v>
      </c>
      <c r="G565" s="46" t="s">
        <v>37</v>
      </c>
      <c r="H565" s="51">
        <v>1</v>
      </c>
      <c r="I565" s="176" t="s">
        <v>86</v>
      </c>
      <c r="J565" s="48">
        <f>VLOOKUP(A565,'[1]תקציב 2026'!$A$1:$M$65536,9,0)</f>
        <v>-10000</v>
      </c>
      <c r="K565" s="176">
        <v>0</v>
      </c>
      <c r="L565" s="50">
        <v>0</v>
      </c>
    </row>
    <row r="566" spans="1:12" ht="15.75" customHeight="1" outlineLevel="1">
      <c r="A566" s="11">
        <v>1315840452</v>
      </c>
      <c r="B566" s="173" t="s">
        <v>426</v>
      </c>
      <c r="C566" s="41" t="s">
        <v>422</v>
      </c>
      <c r="D566" s="42">
        <v>1</v>
      </c>
      <c r="E566" s="174"/>
      <c r="F566" s="175" t="s">
        <v>381</v>
      </c>
      <c r="G566" s="46" t="s">
        <v>37</v>
      </c>
      <c r="H566" s="51">
        <v>1</v>
      </c>
      <c r="I566" s="176" t="s">
        <v>86</v>
      </c>
      <c r="J566" s="48">
        <f>VLOOKUP(A566,'[1]תקציב 2026'!$A$1:$M$65536,9,0)</f>
        <v>6800</v>
      </c>
      <c r="K566" s="176">
        <v>0</v>
      </c>
      <c r="L566" s="50">
        <v>0</v>
      </c>
    </row>
    <row r="567" spans="1:12" ht="15.75" customHeight="1" outlineLevel="1">
      <c r="A567" s="11">
        <v>1315840920</v>
      </c>
      <c r="B567" s="173" t="s">
        <v>427</v>
      </c>
      <c r="C567" s="41" t="s">
        <v>422</v>
      </c>
      <c r="D567" s="42">
        <v>1</v>
      </c>
      <c r="E567" s="174"/>
      <c r="F567" s="175" t="s">
        <v>393</v>
      </c>
      <c r="G567" s="46" t="s">
        <v>37</v>
      </c>
      <c r="H567" s="51">
        <f t="shared" si="9"/>
        <v>0.32585365853658543</v>
      </c>
      <c r="I567" s="176"/>
      <c r="J567" s="48">
        <f>VLOOKUP(A567,'[1]תקציב 2026'!$A$1:$M$65536,9,0)</f>
        <v>-1359000</v>
      </c>
      <c r="K567" s="176">
        <v>-1025000</v>
      </c>
      <c r="L567" s="50">
        <f>VLOOKUP(A567,[2]data1761205830331!$A$1:$J$65536,10,0)</f>
        <v>0</v>
      </c>
    </row>
    <row r="568" spans="1:12" ht="15.75" customHeight="1" outlineLevel="1">
      <c r="A568" s="11">
        <v>1315840923</v>
      </c>
      <c r="B568" s="173" t="s">
        <v>428</v>
      </c>
      <c r="C568" s="41" t="s">
        <v>422</v>
      </c>
      <c r="D568" s="42">
        <v>1</v>
      </c>
      <c r="E568" s="174"/>
      <c r="F568" s="175" t="s">
        <v>429</v>
      </c>
      <c r="G568" s="46" t="s">
        <v>37</v>
      </c>
      <c r="H568" s="51">
        <f t="shared" si="9"/>
        <v>-1</v>
      </c>
      <c r="I568" s="176"/>
      <c r="J568" s="48">
        <f>VLOOKUP(A568,'[1]תקציב 2026'!$A$1:$M$65536,9,0)</f>
        <v>0</v>
      </c>
      <c r="K568" s="176">
        <v>-32000</v>
      </c>
      <c r="L568" s="50">
        <f>VLOOKUP(A568,[2]data1761205830331!$A$1:$J$65536,10,0)</f>
        <v>0</v>
      </c>
    </row>
    <row r="569" spans="1:12" ht="15.75" customHeight="1" outlineLevel="1">
      <c r="A569" s="11">
        <v>1315840925</v>
      </c>
      <c r="B569" s="173" t="s">
        <v>430</v>
      </c>
      <c r="C569" s="41" t="s">
        <v>422</v>
      </c>
      <c r="D569" s="42">
        <v>1</v>
      </c>
      <c r="E569" s="174"/>
      <c r="F569" s="175" t="s">
        <v>386</v>
      </c>
      <c r="G569" s="46" t="s">
        <v>37</v>
      </c>
      <c r="H569" s="51">
        <f t="shared" si="9"/>
        <v>1.34375</v>
      </c>
      <c r="I569" s="176"/>
      <c r="J569" s="48">
        <f>VLOOKUP(A569,'[1]תקציב 2026'!$A$1:$M$65536,9,0)</f>
        <v>-150000</v>
      </c>
      <c r="K569" s="176">
        <v>-64000</v>
      </c>
      <c r="L569" s="50">
        <f>VLOOKUP(A569,[2]data1761205830331!$A$1:$J$65536,10,0)</f>
        <v>0</v>
      </c>
    </row>
    <row r="570" spans="1:12" ht="15.75" customHeight="1" outlineLevel="1">
      <c r="A570" s="11">
        <v>1315840928</v>
      </c>
      <c r="B570" s="173" t="s">
        <v>431</v>
      </c>
      <c r="C570" s="41" t="s">
        <v>422</v>
      </c>
      <c r="D570" s="42">
        <v>1</v>
      </c>
      <c r="E570" s="174"/>
      <c r="F570" s="175" t="s">
        <v>387</v>
      </c>
      <c r="G570" s="46" t="s">
        <v>37</v>
      </c>
      <c r="H570" s="51">
        <f t="shared" si="9"/>
        <v>0.55000000000000004</v>
      </c>
      <c r="I570" s="176"/>
      <c r="J570" s="48">
        <f>VLOOKUP(A570,'[1]תקציב 2026'!$A$1:$M$65536,9,0)</f>
        <v>-31000</v>
      </c>
      <c r="K570" s="176">
        <v>-20000</v>
      </c>
      <c r="L570" s="50">
        <f>VLOOKUP(A570,[2]data1761205830331!$A$1:$J$65536,10,0)</f>
        <v>0</v>
      </c>
    </row>
    <row r="571" spans="1:12" ht="15.75" customHeight="1" outlineLevel="1">
      <c r="A571" s="11">
        <v>1315840930</v>
      </c>
      <c r="B571" s="173" t="s">
        <v>432</v>
      </c>
      <c r="C571" s="41" t="s">
        <v>422</v>
      </c>
      <c r="D571" s="42">
        <v>1</v>
      </c>
      <c r="E571" s="174"/>
      <c r="F571" s="175" t="s">
        <v>388</v>
      </c>
      <c r="G571" s="46" t="s">
        <v>37</v>
      </c>
      <c r="H571" s="51">
        <f t="shared" si="9"/>
        <v>4.1666666666666741E-2</v>
      </c>
      <c r="I571" s="176"/>
      <c r="J571" s="48">
        <f>VLOOKUP(A571,'[1]תקציב 2026'!$A$1:$M$65536,9,0)</f>
        <v>-450000</v>
      </c>
      <c r="K571" s="176">
        <v>-432000</v>
      </c>
      <c r="L571" s="50">
        <f>VLOOKUP(A571,[2]data1761205830331!$A$1:$J$65536,10,0)</f>
        <v>0</v>
      </c>
    </row>
    <row r="572" spans="1:12" ht="15.75" customHeight="1" outlineLevel="1">
      <c r="A572" s="11">
        <v>1315840932</v>
      </c>
      <c r="B572" s="173" t="s">
        <v>433</v>
      </c>
      <c r="C572" s="41" t="s">
        <v>422</v>
      </c>
      <c r="D572" s="42">
        <v>1</v>
      </c>
      <c r="E572" s="174"/>
      <c r="F572" s="175" t="s">
        <v>389</v>
      </c>
      <c r="G572" s="46" t="s">
        <v>37</v>
      </c>
      <c r="H572" s="51">
        <f t="shared" si="9"/>
        <v>0.55000000000000004</v>
      </c>
      <c r="I572" s="176"/>
      <c r="J572" s="48">
        <f>VLOOKUP(A572,'[1]תקציב 2026'!$A$1:$M$65536,9,0)</f>
        <v>-31000</v>
      </c>
      <c r="K572" s="176">
        <v>-20000</v>
      </c>
      <c r="L572" s="50">
        <f>VLOOKUP(A572,[2]data1761205830331!$A$1:$J$65536,10,0)</f>
        <v>0</v>
      </c>
    </row>
    <row r="573" spans="1:12" ht="15.75" customHeight="1" outlineLevel="1" thickBot="1">
      <c r="A573" s="11">
        <v>1315840953</v>
      </c>
      <c r="B573" s="177" t="s">
        <v>434</v>
      </c>
      <c r="C573" s="178" t="s">
        <v>422</v>
      </c>
      <c r="D573" s="179">
        <v>1</v>
      </c>
      <c r="E573" s="180"/>
      <c r="F573" s="181" t="s">
        <v>277</v>
      </c>
      <c r="G573" s="182" t="s">
        <v>37</v>
      </c>
      <c r="H573" s="51">
        <v>1</v>
      </c>
      <c r="I573" s="183" t="s">
        <v>86</v>
      </c>
      <c r="J573" s="48">
        <f>VLOOKUP(A573,'[1]תקציב 2026'!$A$1:$M$65536,9,0)</f>
        <v>-31000</v>
      </c>
      <c r="K573" s="183">
        <v>0</v>
      </c>
      <c r="L573" s="50">
        <v>0</v>
      </c>
    </row>
    <row r="574" spans="1:12" ht="16.2" thickBot="1">
      <c r="A574" s="184" t="e">
        <v>#VALUE!</v>
      </c>
      <c r="B574" s="310" t="s">
        <v>435</v>
      </c>
      <c r="C574" s="311"/>
      <c r="D574" s="55"/>
      <c r="E574" s="185"/>
      <c r="F574" s="164" t="s">
        <v>423</v>
      </c>
      <c r="G574" s="165"/>
      <c r="H574" s="166">
        <f>J574/K574-1</f>
        <v>0.29139987445072202</v>
      </c>
      <c r="I574" s="92"/>
      <c r="J574" s="74">
        <f>SUBTOTAL(9,J564:J573)</f>
        <v>-2057200</v>
      </c>
      <c r="K574" s="92">
        <f>SUBTOTAL(9,K564:K573)</f>
        <v>-1593000</v>
      </c>
      <c r="L574" s="75">
        <f>SUBTOTAL(9,L564:L573)</f>
        <v>0</v>
      </c>
    </row>
    <row r="575" spans="1:12" ht="15.75" customHeight="1" outlineLevel="1">
      <c r="A575" s="11">
        <v>13170000</v>
      </c>
      <c r="B575" s="64">
        <v>0</v>
      </c>
      <c r="C575" s="131">
        <v>317000</v>
      </c>
      <c r="D575" s="66">
        <v>1</v>
      </c>
      <c r="E575" s="132"/>
      <c r="F575" s="68" t="s">
        <v>436</v>
      </c>
      <c r="G575" s="69" t="s">
        <v>15</v>
      </c>
      <c r="H575" s="51"/>
      <c r="I575" s="70"/>
      <c r="J575" s="48"/>
      <c r="K575" s="186"/>
      <c r="L575" s="50"/>
    </row>
    <row r="576" spans="1:12" ht="15.75" customHeight="1" outlineLevel="1">
      <c r="A576" s="11">
        <v>1317000221</v>
      </c>
      <c r="B576" s="40">
        <v>221</v>
      </c>
      <c r="C576" s="109">
        <v>317000</v>
      </c>
      <c r="D576" s="42">
        <v>1</v>
      </c>
      <c r="E576" s="112"/>
      <c r="F576" s="44" t="s">
        <v>437</v>
      </c>
      <c r="G576" s="45" t="s">
        <v>37</v>
      </c>
      <c r="H576" s="51">
        <v>0</v>
      </c>
      <c r="I576" s="47"/>
      <c r="J576" s="48">
        <f>VLOOKUP(A576,'[1]תקציב 2026'!$A$1:$M$65536,9,0)</f>
        <v>0</v>
      </c>
      <c r="K576" s="49">
        <f>VLOOKUP(A576,[3]גיליון1!$A$1:$C$7693,3,0)</f>
        <v>0</v>
      </c>
      <c r="L576" s="50">
        <f>VLOOKUP(A576,[2]data1761205830331!$A$1:$J$65536,10,0)</f>
        <v>-576906.18999999994</v>
      </c>
    </row>
    <row r="577" spans="1:12" ht="15.75" customHeight="1" outlineLevel="1">
      <c r="A577" s="11">
        <v>1317000223</v>
      </c>
      <c r="B577" s="40">
        <v>223</v>
      </c>
      <c r="C577" s="109">
        <v>317000</v>
      </c>
      <c r="D577" s="42">
        <v>1</v>
      </c>
      <c r="E577" s="112"/>
      <c r="F577" s="44" t="s">
        <v>438</v>
      </c>
      <c r="G577" s="45" t="s">
        <v>37</v>
      </c>
      <c r="H577" s="51">
        <f t="shared" si="9"/>
        <v>-1</v>
      </c>
      <c r="I577" s="47"/>
      <c r="J577" s="48">
        <f>VLOOKUP(A577,'[1]תקציב 2026'!$A$1:$M$65536,9,0)</f>
        <v>0</v>
      </c>
      <c r="K577" s="49">
        <f>VLOOKUP(A577,[3]גיליון1!$A$1:$C$7693,3,0)</f>
        <v>-4112700</v>
      </c>
      <c r="L577" s="50">
        <f>VLOOKUP(A577,[2]data1761205830331!$A$1:$J$65536,10,0)</f>
        <v>-3420743.11</v>
      </c>
    </row>
    <row r="578" spans="1:12" ht="15.75" customHeight="1" outlineLevel="1">
      <c r="A578" s="11">
        <v>1317000420</v>
      </c>
      <c r="B578" s="40">
        <v>420</v>
      </c>
      <c r="C578" s="109">
        <v>317000</v>
      </c>
      <c r="D578" s="42">
        <v>1</v>
      </c>
      <c r="E578" s="112"/>
      <c r="F578" s="44" t="s">
        <v>439</v>
      </c>
      <c r="G578" s="45" t="s">
        <v>37</v>
      </c>
      <c r="H578" s="51">
        <f t="shared" si="9"/>
        <v>1.4</v>
      </c>
      <c r="I578" s="47"/>
      <c r="J578" s="48">
        <f>VLOOKUP(A578,'[1]תקציב 2026'!$A$1:$M$65536,9,0)</f>
        <v>-1800000</v>
      </c>
      <c r="K578" s="49">
        <v>-750000</v>
      </c>
      <c r="L578" s="50">
        <f>VLOOKUP(A578,[2]data1761205830331!$A$1:$J$65536,10,0)</f>
        <v>-745234</v>
      </c>
    </row>
    <row r="579" spans="1:12" ht="15.75" customHeight="1" outlineLevel="1">
      <c r="A579" s="11">
        <v>1317000421</v>
      </c>
      <c r="B579" s="40">
        <v>421</v>
      </c>
      <c r="C579" s="109">
        <v>317000</v>
      </c>
      <c r="D579" s="42">
        <v>1</v>
      </c>
      <c r="E579" s="112"/>
      <c r="F579" s="44" t="s">
        <v>440</v>
      </c>
      <c r="G579" s="45" t="s">
        <v>37</v>
      </c>
      <c r="H579" s="51">
        <v>1</v>
      </c>
      <c r="I579" s="47" t="s">
        <v>137</v>
      </c>
      <c r="J579" s="48">
        <f>VLOOKUP(A579,'[1]תקציב 2026'!$A$1:$M$65536,9,0)</f>
        <v>-3253000</v>
      </c>
      <c r="K579" s="49">
        <v>0</v>
      </c>
      <c r="L579" s="50">
        <f>VLOOKUP(A579,[2]data1761205830331!$A$1:$J$65536,10,0)</f>
        <v>0</v>
      </c>
    </row>
    <row r="580" spans="1:12" ht="15.75" customHeight="1" outlineLevel="1">
      <c r="A580" s="11">
        <v>1317000490</v>
      </c>
      <c r="B580" s="40">
        <v>490</v>
      </c>
      <c r="C580" s="109">
        <v>317000</v>
      </c>
      <c r="D580" s="42">
        <v>1</v>
      </c>
      <c r="E580" s="112"/>
      <c r="F580" s="44" t="s">
        <v>441</v>
      </c>
      <c r="G580" s="45" t="s">
        <v>37</v>
      </c>
      <c r="H580" s="51">
        <v>0</v>
      </c>
      <c r="I580" s="47"/>
      <c r="J580" s="48">
        <f>VLOOKUP(A580,'[1]תקציב 2026'!$A$1:$M$65536,9,0)</f>
        <v>0</v>
      </c>
      <c r="K580" s="49">
        <f>VLOOKUP(A580,[3]גיליון1!$A$1:$C$7693,3,0)</f>
        <v>0</v>
      </c>
      <c r="L580" s="50">
        <f>VLOOKUP(A580,[2]data1761205830331!$A$1:$J$65536,10,0)</f>
        <v>-1457065.87</v>
      </c>
    </row>
    <row r="581" spans="1:12" ht="15.75" customHeight="1" outlineLevel="1">
      <c r="A581" s="11">
        <v>1317000921</v>
      </c>
      <c r="B581" s="40">
        <v>921</v>
      </c>
      <c r="C581" s="109">
        <v>317000</v>
      </c>
      <c r="D581" s="42">
        <v>1</v>
      </c>
      <c r="E581" s="112"/>
      <c r="F581" s="44" t="s">
        <v>442</v>
      </c>
      <c r="G581" s="45" t="s">
        <v>37</v>
      </c>
      <c r="H581" s="51">
        <v>0</v>
      </c>
      <c r="I581" s="47"/>
      <c r="J581" s="48">
        <f>VLOOKUP(A581,'[1]תקציב 2026'!$A$1:$M$65536,9,0)</f>
        <v>0</v>
      </c>
      <c r="K581" s="49">
        <f>VLOOKUP(A581,[3]גיליון1!$A$1:$C$7693,3,0)</f>
        <v>0</v>
      </c>
      <c r="L581" s="50">
        <f>VLOOKUP(A581,[2]data1761205830331!$A$1:$J$65536,10,0)</f>
        <v>-65768.759999999995</v>
      </c>
    </row>
    <row r="582" spans="1:12" ht="15.75" customHeight="1" outlineLevel="1">
      <c r="A582" s="11">
        <v>1317000922</v>
      </c>
      <c r="B582" s="40">
        <v>922</v>
      </c>
      <c r="C582" s="109">
        <v>317000</v>
      </c>
      <c r="D582" s="42">
        <v>1</v>
      </c>
      <c r="E582" s="112"/>
      <c r="F582" s="44" t="s">
        <v>443</v>
      </c>
      <c r="G582" s="45" t="s">
        <v>37</v>
      </c>
      <c r="H582" s="51">
        <f t="shared" si="9"/>
        <v>-0.42528735632183912</v>
      </c>
      <c r="I582" s="47"/>
      <c r="J582" s="48">
        <f>VLOOKUP(A582,'[1]תקציב 2026'!$A$1:$M$65536,9,0)</f>
        <v>-100000</v>
      </c>
      <c r="K582" s="49">
        <v>-174000</v>
      </c>
      <c r="L582" s="50">
        <f>VLOOKUP(A582,[2]data1761205830331!$A$1:$J$65536,10,0)</f>
        <v>-98285.16</v>
      </c>
    </row>
    <row r="583" spans="1:12" ht="15.75" customHeight="1" outlineLevel="1">
      <c r="A583" s="11">
        <v>1317000926</v>
      </c>
      <c r="B583" s="40">
        <v>926</v>
      </c>
      <c r="C583" s="109">
        <v>317000</v>
      </c>
      <c r="D583" s="42">
        <v>1</v>
      </c>
      <c r="E583" s="112"/>
      <c r="F583" s="44" t="s">
        <v>444</v>
      </c>
      <c r="G583" s="45" t="s">
        <v>37</v>
      </c>
      <c r="H583" s="51">
        <f t="shared" si="9"/>
        <v>0</v>
      </c>
      <c r="I583" s="47"/>
      <c r="J583" s="48">
        <f>VLOOKUP(A583,'[1]תקציב 2026'!$A$1:$M$65536,9,0)</f>
        <v>-135000</v>
      </c>
      <c r="K583" s="49">
        <f>VLOOKUP(A583,[3]גיליון1!$A$1:$C$7693,3,0)</f>
        <v>-135000</v>
      </c>
      <c r="L583" s="50">
        <f>VLOOKUP(A583,[2]data1761205830331!$A$1:$J$65536,10,0)</f>
        <v>-105968.12</v>
      </c>
    </row>
    <row r="584" spans="1:12" ht="15.75" customHeight="1" outlineLevel="1" thickBot="1">
      <c r="A584" s="11">
        <v>1317000990</v>
      </c>
      <c r="B584" s="40">
        <v>990</v>
      </c>
      <c r="C584" s="109">
        <v>317000</v>
      </c>
      <c r="D584" s="42">
        <v>1</v>
      </c>
      <c r="E584" s="112"/>
      <c r="F584" s="44" t="s">
        <v>445</v>
      </c>
      <c r="G584" s="45" t="s">
        <v>37</v>
      </c>
      <c r="H584" s="51">
        <f t="shared" si="9"/>
        <v>-2.8182701652089359E-2</v>
      </c>
      <c r="I584" s="47"/>
      <c r="J584" s="48">
        <f>VLOOKUP(A584,'[1]תקציב 2026'!$A$1:$M$65536,9,0)</f>
        <v>-8000000</v>
      </c>
      <c r="K584" s="49">
        <f>VLOOKUP(A584,[3]גיליון1!$A$1:$C$7693,3,0)</f>
        <v>-8232000</v>
      </c>
      <c r="L584" s="50">
        <f>VLOOKUP(A584,[2]data1761205830331!$A$1:$J$65536,10,0)</f>
        <v>-7683514.1600000001</v>
      </c>
    </row>
    <row r="585" spans="1:12" ht="16.2" thickBot="1">
      <c r="A585" s="11" t="e">
        <v>#VALUE!</v>
      </c>
      <c r="B585" s="53" t="s">
        <v>446</v>
      </c>
      <c r="C585" s="54"/>
      <c r="D585" s="55"/>
      <c r="E585" s="115"/>
      <c r="F585" s="116" t="s">
        <v>436</v>
      </c>
      <c r="G585" s="58"/>
      <c r="H585" s="71">
        <f>J585/K585-1</f>
        <v>-8.6319449107336021E-3</v>
      </c>
      <c r="I585" s="72"/>
      <c r="J585" s="74">
        <f>SUBTOTAL(9,J576:J584)</f>
        <v>-13288000</v>
      </c>
      <c r="K585" s="92">
        <f>SUBTOTAL(9,K576:K584)</f>
        <v>-13403700</v>
      </c>
      <c r="L585" s="75">
        <f>SUBTOTAL(9,L576:L584)</f>
        <v>-14153485.370000001</v>
      </c>
    </row>
    <row r="586" spans="1:12" ht="15.75" customHeight="1" outlineLevel="2">
      <c r="A586" s="11">
        <v>13172100</v>
      </c>
      <c r="B586" s="40">
        <v>0</v>
      </c>
      <c r="C586" s="109">
        <v>317210</v>
      </c>
      <c r="D586" s="42">
        <v>1</v>
      </c>
      <c r="E586" s="112"/>
      <c r="F586" s="44" t="s">
        <v>447</v>
      </c>
      <c r="G586" s="45" t="s">
        <v>15</v>
      </c>
      <c r="H586" s="51"/>
      <c r="I586" s="47"/>
      <c r="J586" s="48"/>
      <c r="K586" s="49"/>
      <c r="L586" s="50"/>
    </row>
    <row r="587" spans="1:12" ht="15.75" customHeight="1" outlineLevel="2" thickBot="1">
      <c r="A587" s="11">
        <v>1317210920</v>
      </c>
      <c r="B587" s="40">
        <v>920</v>
      </c>
      <c r="C587" s="109">
        <v>317210</v>
      </c>
      <c r="D587" s="42">
        <v>1</v>
      </c>
      <c r="E587" s="112"/>
      <c r="F587" s="44" t="s">
        <v>448</v>
      </c>
      <c r="G587" s="45" t="s">
        <v>37</v>
      </c>
      <c r="H587" s="51">
        <f t="shared" si="9"/>
        <v>0</v>
      </c>
      <c r="I587" s="47"/>
      <c r="J587" s="48">
        <f>VLOOKUP(A587,'[1]תקציב 2026'!$A$1:$M$65536,9,0)</f>
        <v>-15000</v>
      </c>
      <c r="K587" s="49">
        <v>-15000</v>
      </c>
      <c r="L587" s="50">
        <f>VLOOKUP(A587,[2]data1761205830331!$A$1:$J$65536,10,0)</f>
        <v>-5408</v>
      </c>
    </row>
    <row r="588" spans="1:12" ht="16.2" thickBot="1">
      <c r="A588" s="11" t="e">
        <v>#VALUE!</v>
      </c>
      <c r="B588" s="53" t="s">
        <v>449</v>
      </c>
      <c r="C588" s="54"/>
      <c r="D588" s="55"/>
      <c r="E588" s="115"/>
      <c r="F588" s="116" t="s">
        <v>447</v>
      </c>
      <c r="G588" s="58"/>
      <c r="H588" s="71">
        <v>0</v>
      </c>
      <c r="I588" s="72"/>
      <c r="J588" s="74">
        <f>SUBTOTAL(9,J587:J587)</f>
        <v>-15000</v>
      </c>
      <c r="K588" s="92">
        <f>SUBTOTAL(9,K587:K587)</f>
        <v>-15000</v>
      </c>
      <c r="L588" s="75">
        <f>SUBTOTAL(9,L587:L587)</f>
        <v>-5408</v>
      </c>
    </row>
    <row r="589" spans="1:12" ht="15.75" customHeight="1" outlineLevel="1">
      <c r="A589" s="11">
        <v>13173000</v>
      </c>
      <c r="B589" s="40">
        <v>0</v>
      </c>
      <c r="C589" s="109">
        <v>317300</v>
      </c>
      <c r="D589" s="42">
        <v>1</v>
      </c>
      <c r="E589" s="112"/>
      <c r="F589" s="44" t="s">
        <v>450</v>
      </c>
      <c r="G589" s="45" t="s">
        <v>15</v>
      </c>
      <c r="H589" s="51"/>
      <c r="I589" s="47"/>
      <c r="J589" s="48"/>
      <c r="K589" s="49"/>
      <c r="L589" s="50"/>
    </row>
    <row r="590" spans="1:12" ht="15.75" customHeight="1" outlineLevel="1">
      <c r="A590" s="11">
        <v>1317300420</v>
      </c>
      <c r="B590" s="40">
        <v>420</v>
      </c>
      <c r="C590" s="109">
        <v>317300</v>
      </c>
      <c r="D590" s="42">
        <v>1</v>
      </c>
      <c r="E590" s="112"/>
      <c r="F590" s="44" t="s">
        <v>451</v>
      </c>
      <c r="G590" s="45" t="s">
        <v>37</v>
      </c>
      <c r="H590" s="51">
        <f t="shared" si="9"/>
        <v>0</v>
      </c>
      <c r="I590" s="47"/>
      <c r="J590" s="48">
        <f>VLOOKUP(A590,'[1]תקציב 2026'!$A$1:$M$65536,9,0)</f>
        <v>-30000</v>
      </c>
      <c r="K590" s="49">
        <f>VLOOKUP(A590,[3]גיליון1!$A$1:$C$7693,3,0)</f>
        <v>-30000</v>
      </c>
      <c r="L590" s="50">
        <f>VLOOKUP(A590,[2]data1761205830331!$A$1:$J$65536,10,0)</f>
        <v>-65500</v>
      </c>
    </row>
    <row r="591" spans="1:12" ht="15.75" customHeight="1" outlineLevel="1">
      <c r="A591" s="11">
        <v>1317300421</v>
      </c>
      <c r="B591" s="40">
        <v>421</v>
      </c>
      <c r="C591" s="109">
        <v>317300</v>
      </c>
      <c r="D591" s="42">
        <v>1</v>
      </c>
      <c r="E591" s="112"/>
      <c r="F591" s="44" t="s">
        <v>452</v>
      </c>
      <c r="G591" s="45" t="s">
        <v>37</v>
      </c>
      <c r="H591" s="51">
        <f t="shared" si="9"/>
        <v>0.22222222222222232</v>
      </c>
      <c r="I591" s="47"/>
      <c r="J591" s="48">
        <f>VLOOKUP(A591,'[1]תקציב 2026'!$A$1:$M$65536,9,0)</f>
        <v>-550000</v>
      </c>
      <c r="K591" s="49">
        <f>VLOOKUP(A591,[3]גיליון1!$A$1:$C$7693,3,0)</f>
        <v>-450000</v>
      </c>
      <c r="L591" s="50">
        <f>VLOOKUP(A591,[2]data1761205830331!$A$1:$J$65536,10,0)</f>
        <v>-422362.5</v>
      </c>
    </row>
    <row r="592" spans="1:12" ht="15.75" customHeight="1" outlineLevel="1">
      <c r="A592" s="11">
        <v>1317300422</v>
      </c>
      <c r="B592" s="40">
        <v>422</v>
      </c>
      <c r="C592" s="109">
        <v>317300</v>
      </c>
      <c r="D592" s="42">
        <v>1</v>
      </c>
      <c r="E592" s="112"/>
      <c r="F592" s="44" t="s">
        <v>453</v>
      </c>
      <c r="G592" s="45" t="s">
        <v>37</v>
      </c>
      <c r="H592" s="51">
        <f t="shared" si="9"/>
        <v>0.19999999999999996</v>
      </c>
      <c r="I592" s="47"/>
      <c r="J592" s="48">
        <f>VLOOKUP(A592,'[1]תקציב 2026'!$A$1:$M$65536,9,0)</f>
        <v>-600000</v>
      </c>
      <c r="K592" s="49">
        <f>-VLOOKUP(A592,[3]גיליון1!$A$1:$C$7693,3,0)</f>
        <v>-500000</v>
      </c>
      <c r="L592" s="50">
        <f>VLOOKUP(A592,[2]data1761205830331!$A$1:$J$65536,10,0)</f>
        <v>-410997</v>
      </c>
    </row>
    <row r="593" spans="1:12" ht="15.75" customHeight="1" outlineLevel="1">
      <c r="A593" s="11">
        <v>1317300423</v>
      </c>
      <c r="B593" s="40">
        <v>423</v>
      </c>
      <c r="C593" s="109">
        <v>317300</v>
      </c>
      <c r="D593" s="42">
        <v>1</v>
      </c>
      <c r="E593" s="112"/>
      <c r="F593" s="44" t="s">
        <v>454</v>
      </c>
      <c r="G593" s="45" t="s">
        <v>37</v>
      </c>
      <c r="H593" s="51">
        <v>1</v>
      </c>
      <c r="I593" s="47" t="s">
        <v>86</v>
      </c>
      <c r="J593" s="48">
        <f>VLOOKUP(A593,'[1]תקציב 2026'!$A$1:$M$65536,9,0)</f>
        <v>-50000</v>
      </c>
      <c r="K593" s="49">
        <v>0</v>
      </c>
      <c r="L593" s="50">
        <f>VLOOKUP(A593,[2]data1761205830331!$A$1:$J$65536,10,0)</f>
        <v>0</v>
      </c>
    </row>
    <row r="594" spans="1:12" ht="15.75" customHeight="1" outlineLevel="1">
      <c r="A594" s="11">
        <v>1317300920</v>
      </c>
      <c r="B594" s="40">
        <v>920</v>
      </c>
      <c r="C594" s="109">
        <v>317300</v>
      </c>
      <c r="D594" s="42">
        <v>1</v>
      </c>
      <c r="E594" s="112"/>
      <c r="F594" s="44" t="s">
        <v>455</v>
      </c>
      <c r="G594" s="45" t="s">
        <v>37</v>
      </c>
      <c r="H594" s="51">
        <f t="shared" si="9"/>
        <v>6.373394286936418E-2</v>
      </c>
      <c r="I594" s="47"/>
      <c r="J594" s="48">
        <f>VLOOKUP(A594,'[1]תקציב 2026'!$A$1:$M$65536,9,0)</f>
        <v>-7957900</v>
      </c>
      <c r="K594" s="49">
        <f>VLOOKUP(A594,[3]גיליון1!$A$1:$C$7693,3,0)</f>
        <v>-7481100</v>
      </c>
      <c r="L594" s="50">
        <f>VLOOKUP(A594,[2]data1761205830331!$A$1:$J$65536,10,0)</f>
        <v>-7581380.7000000002</v>
      </c>
    </row>
    <row r="595" spans="1:12" ht="15.75" customHeight="1" outlineLevel="1">
      <c r="A595" s="11">
        <v>1317300922</v>
      </c>
      <c r="B595" s="40">
        <v>922</v>
      </c>
      <c r="C595" s="109">
        <v>317300</v>
      </c>
      <c r="D595" s="42">
        <v>1</v>
      </c>
      <c r="E595" s="112"/>
      <c r="F595" s="44" t="s">
        <v>456</v>
      </c>
      <c r="G595" s="45" t="s">
        <v>37</v>
      </c>
      <c r="H595" s="51">
        <f t="shared" si="9"/>
        <v>1.5</v>
      </c>
      <c r="I595" s="47"/>
      <c r="J595" s="48">
        <f>VLOOKUP(A595,'[1]תקציב 2026'!$A$1:$M$65536,9,0)</f>
        <v>-100000</v>
      </c>
      <c r="K595" s="49">
        <f>VLOOKUP(A595,[3]גיליון1!$A$1:$C$7693,3,0)</f>
        <v>-40000</v>
      </c>
      <c r="L595" s="50">
        <f>VLOOKUP(A595,[2]data1761205830331!$A$1:$J$65536,10,0)</f>
        <v>-128910</v>
      </c>
    </row>
    <row r="596" spans="1:12" ht="15.75" customHeight="1" outlineLevel="1">
      <c r="A596" s="11">
        <v>1317300923</v>
      </c>
      <c r="B596" s="40">
        <v>923</v>
      </c>
      <c r="C596" s="109">
        <v>317300</v>
      </c>
      <c r="D596" s="42">
        <v>1</v>
      </c>
      <c r="E596" s="112"/>
      <c r="F596" s="44" t="s">
        <v>457</v>
      </c>
      <c r="G596" s="45" t="s">
        <v>37</v>
      </c>
      <c r="H596" s="51">
        <f t="shared" si="9"/>
        <v>0.10033821871476878</v>
      </c>
      <c r="I596" s="47"/>
      <c r="J596" s="48">
        <f>VLOOKUP(A596,'[1]תקציב 2026'!$A$1:$M$65536,9,0)</f>
        <v>-195200</v>
      </c>
      <c r="K596" s="49">
        <f>VLOOKUP(A596,[3]גיליון1!$A$1:$C$7693,3,0)</f>
        <v>-177400</v>
      </c>
      <c r="L596" s="50">
        <f>VLOOKUP(A596,[2]data1761205830331!$A$1:$J$65536,10,0)</f>
        <v>-378518.25</v>
      </c>
    </row>
    <row r="597" spans="1:12" ht="15.75" customHeight="1" outlineLevel="1">
      <c r="A597" s="11">
        <v>1317300925</v>
      </c>
      <c r="B597" s="40">
        <v>925</v>
      </c>
      <c r="C597" s="109">
        <v>317300</v>
      </c>
      <c r="D597" s="42">
        <v>1</v>
      </c>
      <c r="E597" s="112"/>
      <c r="F597" s="44" t="s">
        <v>458</v>
      </c>
      <c r="G597" s="45" t="s">
        <v>37</v>
      </c>
      <c r="H597" s="51">
        <f t="shared" si="9"/>
        <v>-0.11993033092809158</v>
      </c>
      <c r="I597" s="47"/>
      <c r="J597" s="48">
        <f>VLOOKUP(A597,'[1]תקציב 2026'!$A$1:$M$65536,9,0)</f>
        <v>-707400</v>
      </c>
      <c r="K597" s="49">
        <v>-803800</v>
      </c>
      <c r="L597" s="50">
        <f>VLOOKUP(A597,[2]data1761205830331!$A$1:$J$65536,10,0)</f>
        <v>-116868</v>
      </c>
    </row>
    <row r="598" spans="1:12" ht="15.75" customHeight="1" outlineLevel="1" thickBot="1">
      <c r="A598" s="11">
        <v>1317300926</v>
      </c>
      <c r="B598" s="187">
        <v>926</v>
      </c>
      <c r="C598" s="188">
        <v>317300</v>
      </c>
      <c r="D598" s="189">
        <v>1</v>
      </c>
      <c r="E598" s="190"/>
      <c r="F598" s="191" t="s">
        <v>459</v>
      </c>
      <c r="G598" s="153" t="s">
        <v>37</v>
      </c>
      <c r="H598" s="51">
        <f t="shared" si="9"/>
        <v>0</v>
      </c>
      <c r="I598" s="160"/>
      <c r="J598" s="48">
        <f>VLOOKUP(A598,'[1]תקציב 2026'!$A$1:$M$65536,9,0)</f>
        <v>-123000</v>
      </c>
      <c r="K598" s="162">
        <v>-123000</v>
      </c>
      <c r="L598" s="50">
        <f>VLOOKUP(A598,[2]data1761205830331!$A$1:$J$65536,10,0)</f>
        <v>0</v>
      </c>
    </row>
    <row r="599" spans="1:12" ht="16.2" thickBot="1">
      <c r="A599" s="11" t="e">
        <v>#VALUE!</v>
      </c>
      <c r="B599" s="53" t="s">
        <v>460</v>
      </c>
      <c r="C599" s="54"/>
      <c r="D599" s="55"/>
      <c r="E599" s="115"/>
      <c r="F599" s="116" t="s">
        <v>450</v>
      </c>
      <c r="G599" s="58"/>
      <c r="H599" s="71">
        <f>J599/K599-1</f>
        <v>7.3730128158412622E-2</v>
      </c>
      <c r="I599" s="72"/>
      <c r="J599" s="74">
        <f>SUBTOTAL(9,J590:J598)</f>
        <v>-10313500</v>
      </c>
      <c r="K599" s="92">
        <f>SUBTOTAL(9,K590:K598)</f>
        <v>-9605300</v>
      </c>
      <c r="L599" s="75">
        <f>SUBTOTAL(9,L590:L598)</f>
        <v>-9104536.4499999993</v>
      </c>
    </row>
    <row r="600" spans="1:12" ht="15.75" customHeight="1" outlineLevel="1">
      <c r="A600" s="11">
        <v>13176000</v>
      </c>
      <c r="B600" s="40">
        <v>0</v>
      </c>
      <c r="C600" s="109">
        <v>317600</v>
      </c>
      <c r="D600" s="42">
        <v>1</v>
      </c>
      <c r="E600" s="112"/>
      <c r="F600" s="44" t="s">
        <v>461</v>
      </c>
      <c r="G600" s="45" t="s">
        <v>15</v>
      </c>
      <c r="H600" s="51"/>
      <c r="I600" s="47"/>
      <c r="J600" s="48"/>
      <c r="K600" s="49"/>
      <c r="L600" s="50"/>
    </row>
    <row r="601" spans="1:12" ht="15.75" customHeight="1" outlineLevel="1" thickBot="1">
      <c r="A601" s="11">
        <v>1317600923</v>
      </c>
      <c r="B601" s="40">
        <v>923</v>
      </c>
      <c r="C601" s="109">
        <v>317600</v>
      </c>
      <c r="D601" s="42">
        <v>1</v>
      </c>
      <c r="E601" s="112"/>
      <c r="F601" s="44" t="s">
        <v>462</v>
      </c>
      <c r="G601" s="45" t="s">
        <v>37</v>
      </c>
      <c r="H601" s="51">
        <f>J601/K601-1</f>
        <v>-1</v>
      </c>
      <c r="I601" s="47"/>
      <c r="J601" s="48">
        <f>VLOOKUP(A601,'[1]תקציב 2026'!$A$1:$M$65536,9,0)</f>
        <v>0</v>
      </c>
      <c r="K601" s="49">
        <f>VLOOKUP(A601,[3]גיליון1!$A$1:$C$7693,3,0)</f>
        <v>-60000</v>
      </c>
      <c r="L601" s="50">
        <f>VLOOKUP(A601,[2]data1761205830331!$A$1:$J$65536,10,0)</f>
        <v>0</v>
      </c>
    </row>
    <row r="602" spans="1:12" ht="16.2" thickBot="1">
      <c r="A602" s="11" t="e">
        <v>#VALUE!</v>
      </c>
      <c r="B602" s="53" t="s">
        <v>463</v>
      </c>
      <c r="C602" s="54"/>
      <c r="D602" s="55"/>
      <c r="E602" s="115"/>
      <c r="F602" s="116" t="s">
        <v>461</v>
      </c>
      <c r="G602" s="58"/>
      <c r="H602" s="71">
        <f>J602/K602-1</f>
        <v>-1</v>
      </c>
      <c r="I602" s="72"/>
      <c r="J602" s="74">
        <f>SUBTOTAL(9,J601:J601)</f>
        <v>0</v>
      </c>
      <c r="K602" s="92">
        <f>SUBTOTAL(9,K601:K601)</f>
        <v>-60000</v>
      </c>
      <c r="L602" s="75">
        <f>SUBTOTAL(9,L601:L601)</f>
        <v>0</v>
      </c>
    </row>
    <row r="603" spans="1:12" ht="15.75" customHeight="1" outlineLevel="1">
      <c r="A603" s="11">
        <v>13178000</v>
      </c>
      <c r="B603" s="40">
        <v>0</v>
      </c>
      <c r="C603" s="109">
        <v>317800</v>
      </c>
      <c r="D603" s="42">
        <v>1</v>
      </c>
      <c r="E603" s="112"/>
      <c r="F603" s="44" t="s">
        <v>464</v>
      </c>
      <c r="G603" s="45" t="s">
        <v>15</v>
      </c>
      <c r="H603" s="51"/>
      <c r="I603" s="47"/>
      <c r="J603" s="48"/>
      <c r="K603" s="49"/>
      <c r="L603" s="50"/>
    </row>
    <row r="604" spans="1:12" ht="15.75" customHeight="1" outlineLevel="1">
      <c r="A604" s="11">
        <v>1317800420</v>
      </c>
      <c r="B604" s="40">
        <v>420</v>
      </c>
      <c r="C604" s="109">
        <v>317800</v>
      </c>
      <c r="D604" s="42">
        <v>1</v>
      </c>
      <c r="E604" s="112"/>
      <c r="F604" s="44" t="s">
        <v>465</v>
      </c>
      <c r="G604" s="45" t="s">
        <v>37</v>
      </c>
      <c r="H604" s="51">
        <f>J604/K604-1</f>
        <v>0</v>
      </c>
      <c r="I604" s="47"/>
      <c r="J604" s="48">
        <f>VLOOKUP(A604,'[1]תקציב 2026'!$A$1:$M$65536,9,0)</f>
        <v>-200000</v>
      </c>
      <c r="K604" s="49">
        <f>VLOOKUP(A604,[3]גיליון1!$A$1:$C$7693,3,0)</f>
        <v>-200000</v>
      </c>
      <c r="L604" s="50">
        <f>VLOOKUP(A604,[2]data1761205830331!$A$1:$J$65536,10,0)</f>
        <v>-162785</v>
      </c>
    </row>
    <row r="605" spans="1:12" ht="15.75" customHeight="1" outlineLevel="1">
      <c r="A605" s="11">
        <v>1317800920</v>
      </c>
      <c r="B605" s="40">
        <v>920</v>
      </c>
      <c r="C605" s="109">
        <v>317800</v>
      </c>
      <c r="D605" s="42">
        <v>1</v>
      </c>
      <c r="E605" s="112"/>
      <c r="F605" s="44" t="s">
        <v>466</v>
      </c>
      <c r="G605" s="45" t="s">
        <v>37</v>
      </c>
      <c r="H605" s="51">
        <f>J605/K605-1</f>
        <v>-6.6666666666666652E-2</v>
      </c>
      <c r="I605" s="47"/>
      <c r="J605" s="48">
        <f>VLOOKUP(A605,'[1]תקציב 2026'!$A$1:$M$65536,9,0)</f>
        <v>-7000000</v>
      </c>
      <c r="K605" s="49">
        <v>-7500000</v>
      </c>
      <c r="L605" s="50">
        <f>VLOOKUP(A605,[2]data1761205830331!$A$1:$J$65536,10,0)</f>
        <v>-6968619.9299999997</v>
      </c>
    </row>
    <row r="606" spans="1:12" ht="15.75" customHeight="1" outlineLevel="1">
      <c r="A606" s="11">
        <v>1317800922</v>
      </c>
      <c r="B606" s="40">
        <v>922</v>
      </c>
      <c r="C606" s="109">
        <v>317800</v>
      </c>
      <c r="D606" s="42">
        <v>1</v>
      </c>
      <c r="E606" s="112"/>
      <c r="F606" s="44" t="s">
        <v>467</v>
      </c>
      <c r="G606" s="45" t="s">
        <v>37</v>
      </c>
      <c r="H606" s="51">
        <f>J606/K606-1</f>
        <v>0</v>
      </c>
      <c r="I606" s="47"/>
      <c r="J606" s="48">
        <f>VLOOKUP(A606,'[1]תקציב 2026'!$A$1:$M$65536,9,0)</f>
        <v>-13500000</v>
      </c>
      <c r="K606" s="49">
        <v>-13500000</v>
      </c>
      <c r="L606" s="50">
        <f>VLOOKUP(A606,[2]data1761205830331!$A$1:$J$65536,10,0)</f>
        <v>-10209128.65</v>
      </c>
    </row>
    <row r="607" spans="1:12" ht="15.75" customHeight="1" outlineLevel="1" thickBot="1">
      <c r="A607" s="11">
        <v>1317800924</v>
      </c>
      <c r="B607" s="40">
        <v>924</v>
      </c>
      <c r="C607" s="109">
        <v>317800</v>
      </c>
      <c r="D607" s="42">
        <v>1</v>
      </c>
      <c r="E607" s="112"/>
      <c r="F607" s="44" t="s">
        <v>468</v>
      </c>
      <c r="G607" s="45" t="s">
        <v>37</v>
      </c>
      <c r="H607" s="51">
        <f>J607/K607-1</f>
        <v>0</v>
      </c>
      <c r="I607" s="47"/>
      <c r="J607" s="48">
        <f>VLOOKUP(A607,'[1]תקציב 2026'!$A$1:$M$65536,9,0)</f>
        <v>-20000</v>
      </c>
      <c r="K607" s="49">
        <f>VLOOKUP(A607,[3]גיליון1!$A$1:$C$7693,3,0)</f>
        <v>-20000</v>
      </c>
      <c r="L607" s="50">
        <f>VLOOKUP(A607,[2]data1761205830331!$A$1:$J$65536,10,0)</f>
        <v>-15788.76</v>
      </c>
    </row>
    <row r="608" spans="1:12" ht="16.2" thickBot="1">
      <c r="A608" s="11" t="e">
        <v>#VALUE!</v>
      </c>
      <c r="B608" s="53" t="s">
        <v>469</v>
      </c>
      <c r="C608" s="54"/>
      <c r="D608" s="55"/>
      <c r="E608" s="115"/>
      <c r="F608" s="116" t="s">
        <v>464</v>
      </c>
      <c r="G608" s="58"/>
      <c r="H608" s="71">
        <f>J608/K608-1</f>
        <v>-2.3562676720075393E-2</v>
      </c>
      <c r="I608" s="72"/>
      <c r="J608" s="74">
        <f>SUBTOTAL(9,J604:J607)</f>
        <v>-20720000</v>
      </c>
      <c r="K608" s="92">
        <f>SUBTOTAL(9,K604:K607)</f>
        <v>-21220000</v>
      </c>
      <c r="L608" s="75">
        <f>SUBTOTAL(9,L604:L607)</f>
        <v>-17356322.34</v>
      </c>
    </row>
    <row r="609" spans="1:12" ht="15.75" customHeight="1" outlineLevel="1">
      <c r="A609" s="11">
        <v>13179300</v>
      </c>
      <c r="B609" s="40">
        <v>0</v>
      </c>
      <c r="C609" s="109">
        <v>317930</v>
      </c>
      <c r="D609" s="42">
        <v>1</v>
      </c>
      <c r="E609" s="112"/>
      <c r="F609" s="44" t="s">
        <v>470</v>
      </c>
      <c r="G609" s="45" t="s">
        <v>15</v>
      </c>
      <c r="H609" s="51"/>
      <c r="I609" s="47"/>
      <c r="J609" s="48"/>
      <c r="K609" s="49"/>
      <c r="L609" s="50"/>
    </row>
    <row r="610" spans="1:12" ht="15.75" customHeight="1" outlineLevel="1" thickBot="1">
      <c r="A610" s="11">
        <v>1317930424</v>
      </c>
      <c r="B610" s="40">
        <v>424</v>
      </c>
      <c r="C610" s="109">
        <v>317930</v>
      </c>
      <c r="D610" s="42">
        <v>1</v>
      </c>
      <c r="E610" s="112"/>
      <c r="F610" s="44" t="s">
        <v>471</v>
      </c>
      <c r="G610" s="45" t="s">
        <v>37</v>
      </c>
      <c r="H610" s="51">
        <f>J610/K610-1</f>
        <v>0</v>
      </c>
      <c r="I610" s="47"/>
      <c r="J610" s="48">
        <f>VLOOKUP(A610,'[1]תקציב 2026'!$A$1:$M$65536,9,0)</f>
        <v>-2000000</v>
      </c>
      <c r="K610" s="49">
        <f>VLOOKUP(A610,[3]גיליון1!$A$1:$C$7693,3,0)</f>
        <v>-2000000</v>
      </c>
      <c r="L610" s="50">
        <f>VLOOKUP(A610,[2]data1761205830331!$A$1:$J$65536,10,0)</f>
        <v>-1506927.23</v>
      </c>
    </row>
    <row r="611" spans="1:12" ht="16.2" thickBot="1">
      <c r="A611" s="11" t="e">
        <v>#VALUE!</v>
      </c>
      <c r="B611" s="53" t="s">
        <v>472</v>
      </c>
      <c r="C611" s="54"/>
      <c r="D611" s="55"/>
      <c r="E611" s="115"/>
      <c r="F611" s="116" t="s">
        <v>470</v>
      </c>
      <c r="G611" s="58"/>
      <c r="H611" s="71">
        <v>0</v>
      </c>
      <c r="I611" s="72"/>
      <c r="J611" s="74">
        <f>SUBTOTAL(9,J610)</f>
        <v>-2000000</v>
      </c>
      <c r="K611" s="92">
        <f>SUBTOTAL(9,K610)</f>
        <v>-2000000</v>
      </c>
      <c r="L611" s="75">
        <f>SUBTOTAL(9,L610)</f>
        <v>-1506927.23</v>
      </c>
    </row>
    <row r="612" spans="1:12" ht="15" customHeight="1" outlineLevel="1">
      <c r="A612" s="11">
        <v>13180000</v>
      </c>
      <c r="B612" s="40">
        <v>0</v>
      </c>
      <c r="C612" s="109">
        <v>322200</v>
      </c>
      <c r="D612" s="42">
        <v>1</v>
      </c>
      <c r="E612" s="112"/>
      <c r="F612" s="44" t="s">
        <v>473</v>
      </c>
      <c r="G612" s="45" t="s">
        <v>15</v>
      </c>
      <c r="H612" s="51"/>
      <c r="I612" s="47"/>
      <c r="J612" s="48"/>
      <c r="K612" s="49"/>
      <c r="L612" s="50"/>
    </row>
    <row r="613" spans="1:12" ht="15.75" customHeight="1" outlineLevel="1">
      <c r="A613" s="11">
        <v>1322200421</v>
      </c>
      <c r="B613" s="40">
        <v>421</v>
      </c>
      <c r="C613" s="109">
        <v>322200</v>
      </c>
      <c r="D613" s="42">
        <v>1</v>
      </c>
      <c r="E613" s="112"/>
      <c r="F613" s="44" t="s">
        <v>474</v>
      </c>
      <c r="G613" s="45" t="s">
        <v>37</v>
      </c>
      <c r="H613" s="51">
        <f>J613/K613-1</f>
        <v>-1</v>
      </c>
      <c r="I613" s="47"/>
      <c r="J613" s="48">
        <f>VLOOKUP(A613,'[1]תקציב 2026'!$A$1:$M$65536,9,0)</f>
        <v>0</v>
      </c>
      <c r="K613" s="49">
        <v>-50000</v>
      </c>
      <c r="L613" s="50">
        <f>VLOOKUP(A613,[2]data1761205830331!$A$1:$J$65536,10,0)</f>
        <v>-29392</v>
      </c>
    </row>
    <row r="614" spans="1:12" ht="15.75" customHeight="1" outlineLevel="1">
      <c r="A614" s="11">
        <v>1322200424</v>
      </c>
      <c r="B614" s="40">
        <v>424</v>
      </c>
      <c r="C614" s="109">
        <v>322200</v>
      </c>
      <c r="D614" s="42">
        <v>1</v>
      </c>
      <c r="E614" s="112"/>
      <c r="F614" s="44" t="s">
        <v>475</v>
      </c>
      <c r="G614" s="45" t="s">
        <v>37</v>
      </c>
      <c r="H614" s="51">
        <v>0</v>
      </c>
      <c r="I614" s="47"/>
      <c r="J614" s="48">
        <f>VLOOKUP(A614,'[1]תקציב 2026'!$A$1:$M$65536,9,0)</f>
        <v>0</v>
      </c>
      <c r="K614" s="49">
        <f>VLOOKUP(A614,[3]גיליון1!$A$1:$C$7693,3,0)</f>
        <v>0</v>
      </c>
      <c r="L614" s="50">
        <f>VLOOKUP(A614,[2]data1761205830331!$A$1:$J$65536,10,0)</f>
        <v>-4650</v>
      </c>
    </row>
    <row r="615" spans="1:12" ht="15.75" customHeight="1" outlineLevel="1" thickBot="1">
      <c r="A615" s="11">
        <v>1322200920</v>
      </c>
      <c r="B615" s="40">
        <v>920</v>
      </c>
      <c r="C615" s="109">
        <v>322200</v>
      </c>
      <c r="D615" s="42">
        <v>1</v>
      </c>
      <c r="E615" s="112"/>
      <c r="F615" s="44" t="s">
        <v>476</v>
      </c>
      <c r="G615" s="45" t="s">
        <v>37</v>
      </c>
      <c r="H615" s="51">
        <f>J615/K615-1</f>
        <v>-1</v>
      </c>
      <c r="I615" s="47"/>
      <c r="J615" s="48">
        <f>VLOOKUP(A615,'[1]תקציב 2026'!$A$1:$M$65536,9,0)</f>
        <v>0</v>
      </c>
      <c r="K615" s="49">
        <v>-100000</v>
      </c>
      <c r="L615" s="50">
        <f>VLOOKUP(A615,[2]data1761205830331!$A$1:$J$65536,10,0)</f>
        <v>-113048.4</v>
      </c>
    </row>
    <row r="616" spans="1:12" ht="16.2" thickBot="1">
      <c r="A616" s="11" t="e">
        <v>#VALUE!</v>
      </c>
      <c r="B616" s="53" t="s">
        <v>477</v>
      </c>
      <c r="C616" s="54"/>
      <c r="D616" s="55"/>
      <c r="E616" s="115"/>
      <c r="F616" s="116" t="s">
        <v>478</v>
      </c>
      <c r="G616" s="58"/>
      <c r="H616" s="71">
        <f>J616/K616-1</f>
        <v>-1</v>
      </c>
      <c r="I616" s="72"/>
      <c r="J616" s="74">
        <f>SUBTOTAL(9,J613:J615)</f>
        <v>0</v>
      </c>
      <c r="K616" s="92">
        <f>SUBTOTAL(9,K613:K615)</f>
        <v>-150000</v>
      </c>
      <c r="L616" s="75">
        <f>SUBTOTAL(9,L613:L615)</f>
        <v>-147090.4</v>
      </c>
    </row>
    <row r="617" spans="1:12" ht="15.75" customHeight="1" outlineLevel="1">
      <c r="A617" s="11">
        <v>13230000</v>
      </c>
      <c r="B617" s="192">
        <v>0</v>
      </c>
      <c r="C617" s="131">
        <v>323000</v>
      </c>
      <c r="D617" s="193">
        <v>1</v>
      </c>
      <c r="E617" s="152"/>
      <c r="F617" s="194" t="s">
        <v>479</v>
      </c>
      <c r="G617" s="195" t="s">
        <v>15</v>
      </c>
      <c r="H617" s="51"/>
      <c r="I617" s="47"/>
      <c r="J617" s="48"/>
      <c r="K617" s="49"/>
      <c r="L617" s="50"/>
    </row>
    <row r="618" spans="1:12" ht="15.75" customHeight="1" outlineLevel="1" thickBot="1">
      <c r="A618" s="11">
        <v>1323000641</v>
      </c>
      <c r="B618" s="40">
        <v>641</v>
      </c>
      <c r="C618" s="109">
        <v>323000</v>
      </c>
      <c r="D618" s="42">
        <v>1</v>
      </c>
      <c r="E618" s="112"/>
      <c r="F618" s="44" t="s">
        <v>480</v>
      </c>
      <c r="G618" s="45" t="s">
        <v>37</v>
      </c>
      <c r="H618" s="51">
        <f>J618/K618-1</f>
        <v>0</v>
      </c>
      <c r="I618" s="47"/>
      <c r="J618" s="48">
        <f>VLOOKUP(A618,'[1]תקציב 2026'!$A$1:$M$65536,9,0)</f>
        <v>-20600</v>
      </c>
      <c r="K618" s="49">
        <f>VLOOKUP(A618,[3]גיליון1!$A$1:$C$7693,3,0)</f>
        <v>-20600</v>
      </c>
      <c r="L618" s="50">
        <f>VLOOKUP(A618,[2]data1761205830331!$A$1:$J$65536,10,0)</f>
        <v>-20600</v>
      </c>
    </row>
    <row r="619" spans="1:12" ht="16.2" thickBot="1">
      <c r="A619" s="11" t="e">
        <v>#VALUE!</v>
      </c>
      <c r="B619" s="53" t="s">
        <v>481</v>
      </c>
      <c r="C619" s="54"/>
      <c r="D619" s="55"/>
      <c r="E619" s="115"/>
      <c r="F619" s="116" t="s">
        <v>479</v>
      </c>
      <c r="G619" s="58"/>
      <c r="H619" s="71">
        <v>0</v>
      </c>
      <c r="I619" s="72"/>
      <c r="J619" s="74">
        <f>SUBTOTAL(9,J618:J618)</f>
        <v>-20600</v>
      </c>
      <c r="K619" s="92">
        <f>SUBTOTAL(9,K618:K618)</f>
        <v>-20600</v>
      </c>
      <c r="L619" s="75">
        <f>SUBTOTAL(9,L618:L618)</f>
        <v>-20600</v>
      </c>
    </row>
    <row r="620" spans="1:12" ht="15.75" customHeight="1" outlineLevel="1">
      <c r="A620" s="11">
        <v>13261000</v>
      </c>
      <c r="B620" s="40">
        <v>0</v>
      </c>
      <c r="C620" s="109">
        <v>326100</v>
      </c>
      <c r="D620" s="42">
        <v>1</v>
      </c>
      <c r="E620" s="112"/>
      <c r="F620" s="44" t="s">
        <v>482</v>
      </c>
      <c r="G620" s="45" t="s">
        <v>15</v>
      </c>
      <c r="H620" s="51"/>
      <c r="I620" s="47"/>
      <c r="J620" s="48"/>
      <c r="K620" s="49"/>
      <c r="L620" s="50"/>
    </row>
    <row r="621" spans="1:12" ht="15.75" customHeight="1" outlineLevel="1" thickBot="1">
      <c r="A621" s="11">
        <v>1326100641</v>
      </c>
      <c r="B621" s="40">
        <v>641</v>
      </c>
      <c r="C621" s="109">
        <v>326100</v>
      </c>
      <c r="D621" s="42">
        <v>1</v>
      </c>
      <c r="E621" s="112"/>
      <c r="F621" s="44" t="s">
        <v>483</v>
      </c>
      <c r="G621" s="45" t="s">
        <v>37</v>
      </c>
      <c r="H621" s="51">
        <f>J621/K621-1</f>
        <v>0</v>
      </c>
      <c r="I621" s="47"/>
      <c r="J621" s="48">
        <f>VLOOKUP(A621,'[1]תקציב 2026'!$A$1:$M$65536,9,0)</f>
        <v>-29400</v>
      </c>
      <c r="K621" s="49">
        <f>VLOOKUP(A621,[3]גיליון1!$A$1:$C$7693,3,0)</f>
        <v>-29400</v>
      </c>
      <c r="L621" s="50">
        <f>VLOOKUP(A621,[2]data1761205830331!$A$1:$J$65536,10,0)</f>
        <v>-29400</v>
      </c>
    </row>
    <row r="622" spans="1:12" ht="16.2" thickBot="1">
      <c r="A622" s="11" t="e">
        <v>#VALUE!</v>
      </c>
      <c r="B622" s="53" t="s">
        <v>484</v>
      </c>
      <c r="C622" s="54"/>
      <c r="D622" s="55"/>
      <c r="E622" s="115"/>
      <c r="F622" s="116" t="s">
        <v>482</v>
      </c>
      <c r="G622" s="58"/>
      <c r="H622" s="71">
        <v>0</v>
      </c>
      <c r="I622" s="72"/>
      <c r="J622" s="74">
        <f>SUBTOTAL(9,J621:J621)</f>
        <v>-29400</v>
      </c>
      <c r="K622" s="92">
        <f>SUBTOTAL(9,K621:K621)</f>
        <v>-29400</v>
      </c>
      <c r="L622" s="75">
        <f>SUBTOTAL(9,L621:L621)</f>
        <v>-29400</v>
      </c>
    </row>
    <row r="623" spans="1:12" ht="15.75" customHeight="1" outlineLevel="1">
      <c r="A623" s="11">
        <v>13263000</v>
      </c>
      <c r="B623" s="40">
        <v>0</v>
      </c>
      <c r="C623" s="109">
        <v>326300</v>
      </c>
      <c r="D623" s="42">
        <v>1</v>
      </c>
      <c r="E623" s="112"/>
      <c r="F623" s="44" t="s">
        <v>485</v>
      </c>
      <c r="G623" s="45" t="s">
        <v>15</v>
      </c>
      <c r="H623" s="51"/>
      <c r="I623" s="47"/>
      <c r="J623" s="48"/>
      <c r="K623" s="49"/>
      <c r="L623" s="50"/>
    </row>
    <row r="624" spans="1:12" ht="15.75" customHeight="1" outlineLevel="1">
      <c r="A624" s="11">
        <v>1326300640</v>
      </c>
      <c r="B624" s="40">
        <v>640</v>
      </c>
      <c r="C624" s="109">
        <v>326300</v>
      </c>
      <c r="D624" s="42">
        <v>1</v>
      </c>
      <c r="E624" s="112"/>
      <c r="F624" s="154" t="s">
        <v>486</v>
      </c>
      <c r="G624" s="45" t="s">
        <v>37</v>
      </c>
      <c r="H624" s="51">
        <f>J624/K624-1</f>
        <v>-1</v>
      </c>
      <c r="I624" s="47"/>
      <c r="J624" s="48">
        <f>VLOOKUP(A624,'[1]תקציב 2026'!$A$1:$M$65536,9,0)</f>
        <v>0</v>
      </c>
      <c r="K624" s="49">
        <f>VLOOKUP(A624,[3]גיליון1!$A$1:$C$7693,3,0)</f>
        <v>-40000</v>
      </c>
      <c r="L624" s="50">
        <f>VLOOKUP(A624,[2]data1761205830331!$A$1:$J$65536,10,0)</f>
        <v>-40000</v>
      </c>
    </row>
    <row r="625" spans="1:12" ht="15.75" customHeight="1" outlineLevel="1" thickBot="1">
      <c r="A625" s="11">
        <v>1326300641</v>
      </c>
      <c r="B625" s="40">
        <v>641</v>
      </c>
      <c r="C625" s="109">
        <v>326300</v>
      </c>
      <c r="D625" s="42">
        <v>1</v>
      </c>
      <c r="E625" s="112"/>
      <c r="F625" s="44" t="s">
        <v>483</v>
      </c>
      <c r="G625" s="45" t="s">
        <v>37</v>
      </c>
      <c r="H625" s="51">
        <f>J625/K625-1</f>
        <v>0</v>
      </c>
      <c r="I625" s="47"/>
      <c r="J625" s="48">
        <f>VLOOKUP(A625,'[1]תקציב 2026'!$A$1:$M$65536,9,0)</f>
        <v>-45500</v>
      </c>
      <c r="K625" s="49">
        <f>VLOOKUP(A625,[3]גיליון1!$A$1:$C$7693,3,0)</f>
        <v>-45500</v>
      </c>
      <c r="L625" s="50">
        <f>VLOOKUP(A625,[2]data1761205830331!$A$1:$J$65536,10,0)</f>
        <v>-40500</v>
      </c>
    </row>
    <row r="626" spans="1:12" ht="16.2" thickBot="1">
      <c r="A626" s="11" t="e">
        <v>#VALUE!</v>
      </c>
      <c r="B626" s="53" t="s">
        <v>487</v>
      </c>
      <c r="C626" s="54"/>
      <c r="D626" s="55"/>
      <c r="E626" s="115"/>
      <c r="F626" s="116" t="s">
        <v>485</v>
      </c>
      <c r="G626" s="58"/>
      <c r="H626" s="71">
        <f>J626/K626-1</f>
        <v>-0.46783625730994149</v>
      </c>
      <c r="I626" s="72"/>
      <c r="J626" s="74">
        <f>SUBTOTAL(9,J624:J625)</f>
        <v>-45500</v>
      </c>
      <c r="K626" s="92">
        <f>SUBTOTAL(9,K624:K625)</f>
        <v>-85500</v>
      </c>
      <c r="L626" s="75">
        <f>SUBTOTAL(9,L624:L625)</f>
        <v>-80500</v>
      </c>
    </row>
    <row r="627" spans="1:12" ht="15.75" customHeight="1" outlineLevel="1">
      <c r="A627" s="11">
        <v>13264000</v>
      </c>
      <c r="B627" s="40">
        <v>0</v>
      </c>
      <c r="C627" s="109">
        <v>326400</v>
      </c>
      <c r="D627" s="42">
        <v>1</v>
      </c>
      <c r="E627" s="112"/>
      <c r="F627" s="44" t="s">
        <v>488</v>
      </c>
      <c r="G627" s="45" t="s">
        <v>15</v>
      </c>
      <c r="H627" s="51"/>
      <c r="I627" s="47"/>
      <c r="J627" s="48"/>
      <c r="K627" s="49"/>
      <c r="L627" s="50"/>
    </row>
    <row r="628" spans="1:12" ht="15.75" customHeight="1" outlineLevel="1" thickBot="1">
      <c r="A628" s="11">
        <v>1326400641</v>
      </c>
      <c r="B628" s="40">
        <v>641</v>
      </c>
      <c r="C628" s="109">
        <v>326400</v>
      </c>
      <c r="D628" s="42">
        <v>1</v>
      </c>
      <c r="E628" s="112"/>
      <c r="F628" s="44" t="s">
        <v>483</v>
      </c>
      <c r="G628" s="45" t="s">
        <v>37</v>
      </c>
      <c r="H628" s="51">
        <f>J628/K628-1</f>
        <v>0</v>
      </c>
      <c r="I628" s="47"/>
      <c r="J628" s="48">
        <f>VLOOKUP(A628,'[1]תקציב 2026'!$A$1:$M$65536,9,0)</f>
        <v>-13500</v>
      </c>
      <c r="K628" s="49">
        <f>VLOOKUP(A628,[3]גיליון1!$A$1:$C$7693,3,0)</f>
        <v>-13500</v>
      </c>
      <c r="L628" s="50">
        <f>VLOOKUP(A628,[2]data1761205830331!$A$1:$J$65536,10,0)</f>
        <v>-13500</v>
      </c>
    </row>
    <row r="629" spans="1:12" ht="16.2" thickBot="1">
      <c r="A629" s="11" t="e">
        <v>#VALUE!</v>
      </c>
      <c r="B629" s="53" t="s">
        <v>489</v>
      </c>
      <c r="C629" s="54"/>
      <c r="D629" s="55"/>
      <c r="E629" s="115"/>
      <c r="F629" s="116" t="s">
        <v>488</v>
      </c>
      <c r="G629" s="58"/>
      <c r="H629" s="71">
        <v>0</v>
      </c>
      <c r="I629" s="72"/>
      <c r="J629" s="74">
        <f>SUBTOTAL(9,J628:J628)</f>
        <v>-13500</v>
      </c>
      <c r="K629" s="92">
        <f>SUBTOTAL(9,K628:K628)</f>
        <v>-13500</v>
      </c>
      <c r="L629" s="75">
        <f>SUBTOTAL(9,L628:L628)</f>
        <v>-13500</v>
      </c>
    </row>
    <row r="630" spans="1:12" ht="15.75" customHeight="1" outlineLevel="1">
      <c r="A630" s="11">
        <v>13265000</v>
      </c>
      <c r="B630" s="40">
        <v>0</v>
      </c>
      <c r="C630" s="109">
        <v>326500</v>
      </c>
      <c r="D630" s="42">
        <v>1</v>
      </c>
      <c r="E630" s="112"/>
      <c r="F630" s="44" t="s">
        <v>490</v>
      </c>
      <c r="G630" s="45" t="s">
        <v>15</v>
      </c>
      <c r="H630" s="51"/>
      <c r="I630" s="47"/>
      <c r="J630" s="48"/>
      <c r="K630" s="49"/>
      <c r="L630" s="50"/>
    </row>
    <row r="631" spans="1:12" ht="15.75" customHeight="1" outlineLevel="1">
      <c r="A631" s="11">
        <v>1326500491</v>
      </c>
      <c r="B631" s="40">
        <v>491</v>
      </c>
      <c r="C631" s="109">
        <v>326500</v>
      </c>
      <c r="D631" s="42">
        <v>1</v>
      </c>
      <c r="E631" s="112"/>
      <c r="F631" s="44" t="s">
        <v>491</v>
      </c>
      <c r="G631" s="45" t="s">
        <v>37</v>
      </c>
      <c r="H631" s="51">
        <f>J631/K631-1</f>
        <v>-1</v>
      </c>
      <c r="I631" s="47"/>
      <c r="J631" s="48">
        <f>VLOOKUP(A631,'[1]תקציב 2026'!$A$1:$M$65536,9,0)</f>
        <v>0</v>
      </c>
      <c r="K631" s="49">
        <v>-1000000</v>
      </c>
      <c r="L631" s="50">
        <f>VLOOKUP(A631,[2]data1761205830331!$A$1:$J$65536,10,0)</f>
        <v>-1030066.55</v>
      </c>
    </row>
    <row r="632" spans="1:12" ht="15.75" customHeight="1" outlineLevel="1">
      <c r="A632" s="11">
        <v>1326500788</v>
      </c>
      <c r="B632" s="40">
        <v>788</v>
      </c>
      <c r="C632" s="109">
        <v>326500</v>
      </c>
      <c r="D632" s="42">
        <v>1</v>
      </c>
      <c r="E632" s="112"/>
      <c r="F632" s="44" t="s">
        <v>492</v>
      </c>
      <c r="G632" s="45" t="s">
        <v>37</v>
      </c>
      <c r="H632" s="51">
        <v>1</v>
      </c>
      <c r="I632" s="47" t="s">
        <v>86</v>
      </c>
      <c r="J632" s="48">
        <f>VLOOKUP(A632,'[1]תקציב 2026'!$A$1:$M$65536,9,0)</f>
        <v>-250000</v>
      </c>
      <c r="K632" s="49">
        <v>0</v>
      </c>
      <c r="L632" s="50">
        <v>0</v>
      </c>
    </row>
    <row r="633" spans="1:12" ht="15.75" customHeight="1" outlineLevel="1" thickBot="1">
      <c r="A633" s="11">
        <v>1326500920</v>
      </c>
      <c r="B633" s="40">
        <v>920</v>
      </c>
      <c r="C633" s="109">
        <v>326500</v>
      </c>
      <c r="D633" s="42">
        <v>1</v>
      </c>
      <c r="E633" s="112"/>
      <c r="F633" s="44" t="s">
        <v>493</v>
      </c>
      <c r="G633" s="45" t="s">
        <v>37</v>
      </c>
      <c r="H633" s="51">
        <f>J633/K633-1</f>
        <v>0</v>
      </c>
      <c r="I633" s="47"/>
      <c r="J633" s="48">
        <f>VLOOKUP(A633,'[1]תקציב 2026'!$A$1:$M$65536,9,0)</f>
        <v>-200000</v>
      </c>
      <c r="K633" s="49">
        <f>-VLOOKUP(A633,[3]גיליון1!$A$1:$C$7693,3,0)</f>
        <v>-200000</v>
      </c>
      <c r="L633" s="50">
        <f>VLOOKUP(A633,[2]data1761205830331!$A$1:$J$65536,10,0)</f>
        <v>-506303.31</v>
      </c>
    </row>
    <row r="634" spans="1:12" ht="16.2" thickBot="1">
      <c r="A634" s="11" t="e">
        <v>#VALUE!</v>
      </c>
      <c r="B634" s="53" t="s">
        <v>494</v>
      </c>
      <c r="C634" s="54"/>
      <c r="D634" s="55"/>
      <c r="E634" s="115"/>
      <c r="F634" s="116" t="s">
        <v>490</v>
      </c>
      <c r="G634" s="58"/>
      <c r="H634" s="71">
        <f>J634/K634-1</f>
        <v>-0.625</v>
      </c>
      <c r="I634" s="72"/>
      <c r="J634" s="74">
        <f>SUBTOTAL(9,J631:J633)</f>
        <v>-450000</v>
      </c>
      <c r="K634" s="92">
        <f>SUBTOTAL(9,K631:K633)</f>
        <v>-1200000</v>
      </c>
      <c r="L634" s="75">
        <f>SUBTOTAL(9,L631:L633)</f>
        <v>-1536369.86</v>
      </c>
    </row>
    <row r="635" spans="1:12" ht="15.75" customHeight="1" outlineLevel="1">
      <c r="A635" s="11">
        <v>13267000</v>
      </c>
      <c r="B635" s="196">
        <v>0</v>
      </c>
      <c r="C635" s="151">
        <v>326700</v>
      </c>
      <c r="D635" s="193">
        <v>1</v>
      </c>
      <c r="E635" s="150"/>
      <c r="F635" s="194" t="s">
        <v>495</v>
      </c>
      <c r="G635" s="86" t="s">
        <v>15</v>
      </c>
      <c r="H635" s="51"/>
      <c r="I635" s="47"/>
      <c r="J635" s="48"/>
      <c r="K635" s="49"/>
      <c r="L635" s="50"/>
    </row>
    <row r="636" spans="1:12" ht="15.75" customHeight="1" outlineLevel="1" thickBot="1">
      <c r="A636" s="11">
        <v>1326700990</v>
      </c>
      <c r="B636" s="40">
        <v>990</v>
      </c>
      <c r="C636" s="109">
        <v>326700</v>
      </c>
      <c r="D636" s="42">
        <v>1</v>
      </c>
      <c r="E636" s="197"/>
      <c r="F636" s="191" t="s">
        <v>496</v>
      </c>
      <c r="G636" s="198" t="s">
        <v>37</v>
      </c>
      <c r="H636" s="51">
        <f>J636/K636-1</f>
        <v>-1</v>
      </c>
      <c r="I636" s="47"/>
      <c r="J636" s="48">
        <f>VLOOKUP(A636,'[1]תקציב 2026'!$A$1:$M$65536,9,0)</f>
        <v>0</v>
      </c>
      <c r="K636" s="49">
        <v>-390000</v>
      </c>
      <c r="L636" s="50">
        <f>VLOOKUP(A636,[2]data1761205830331!$A$1:$J$65536,10,0)</f>
        <v>-180823</v>
      </c>
    </row>
    <row r="637" spans="1:12" ht="16.2" thickBot="1">
      <c r="A637" s="11" t="e">
        <v>#VALUE!</v>
      </c>
      <c r="B637" s="53" t="s">
        <v>497</v>
      </c>
      <c r="C637" s="54"/>
      <c r="D637" s="55"/>
      <c r="E637" s="133"/>
      <c r="F637" s="116" t="s">
        <v>495</v>
      </c>
      <c r="G637" s="58"/>
      <c r="H637" s="199">
        <f>J637/K637-1</f>
        <v>-1</v>
      </c>
      <c r="I637" s="72"/>
      <c r="J637" s="74">
        <f>SUBTOTAL(9,J636:J636)</f>
        <v>0</v>
      </c>
      <c r="K637" s="92">
        <f>SUBTOTAL(9,K636:K636)</f>
        <v>-390000</v>
      </c>
      <c r="L637" s="75">
        <f>SUBTOTAL(9,L636:L636)</f>
        <v>-180823</v>
      </c>
    </row>
    <row r="638" spans="1:12" ht="15.75" customHeight="1" outlineLevel="1">
      <c r="A638" s="11">
        <v>13268000</v>
      </c>
      <c r="B638" s="40">
        <v>0</v>
      </c>
      <c r="C638" s="109">
        <v>326800</v>
      </c>
      <c r="D638" s="42">
        <v>1</v>
      </c>
      <c r="E638" s="152"/>
      <c r="F638" s="44" t="s">
        <v>498</v>
      </c>
      <c r="G638" s="45"/>
      <c r="H638" s="51"/>
      <c r="I638" s="47"/>
      <c r="J638" s="48"/>
      <c r="K638" s="49"/>
      <c r="L638" s="50"/>
    </row>
    <row r="639" spans="1:12" ht="15.75" customHeight="1" outlineLevel="1" thickBot="1">
      <c r="A639" s="11">
        <v>1326800641</v>
      </c>
      <c r="B639" s="40">
        <v>641</v>
      </c>
      <c r="C639" s="109">
        <v>326800</v>
      </c>
      <c r="D639" s="42">
        <v>1</v>
      </c>
      <c r="E639" s="133"/>
      <c r="F639" s="44" t="s">
        <v>480</v>
      </c>
      <c r="G639" s="45" t="s">
        <v>37</v>
      </c>
      <c r="H639" s="51">
        <f>J639/K639-1</f>
        <v>0</v>
      </c>
      <c r="I639" s="47"/>
      <c r="J639" s="48">
        <f>VLOOKUP(A639,'[1]תקציב 2026'!$A$1:$M$65536,9,0)</f>
        <v>-45000</v>
      </c>
      <c r="K639" s="49">
        <f>VLOOKUP(A639,[3]גיליון1!$A$1:$C$7693,3,0)</f>
        <v>-45000</v>
      </c>
      <c r="L639" s="50">
        <f>VLOOKUP(A639,[2]data1761205830331!$A$1:$J$65536,10,0)</f>
        <v>-45000</v>
      </c>
    </row>
    <row r="640" spans="1:12" ht="16.2" thickBot="1">
      <c r="A640" s="11" t="e">
        <v>#VALUE!</v>
      </c>
      <c r="B640" s="53" t="s">
        <v>499</v>
      </c>
      <c r="C640" s="54"/>
      <c r="D640" s="55"/>
      <c r="E640" s="84"/>
      <c r="F640" s="116" t="s">
        <v>498</v>
      </c>
      <c r="G640" s="58"/>
      <c r="H640" s="166">
        <v>0</v>
      </c>
      <c r="I640" s="72"/>
      <c r="J640" s="74">
        <f>SUBTOTAL(9,J639:J639)</f>
        <v>-45000</v>
      </c>
      <c r="K640" s="92">
        <f>SUBTOTAL(9,K639:K639)</f>
        <v>-45000</v>
      </c>
      <c r="L640" s="75">
        <f>SUBTOTAL(9,L639:L639)</f>
        <v>-45000</v>
      </c>
    </row>
    <row r="641" spans="1:12" ht="15.75" customHeight="1" outlineLevel="1">
      <c r="A641" s="11">
        <v>13280000</v>
      </c>
      <c r="B641" s="40">
        <v>0</v>
      </c>
      <c r="C641" s="109">
        <v>328000</v>
      </c>
      <c r="D641" s="42">
        <v>1</v>
      </c>
      <c r="E641" s="152"/>
      <c r="F641" s="44" t="s">
        <v>500</v>
      </c>
      <c r="G641" s="45" t="s">
        <v>15</v>
      </c>
      <c r="H641" s="51"/>
      <c r="I641" s="47"/>
      <c r="J641" s="48"/>
      <c r="K641" s="49"/>
      <c r="L641" s="50"/>
    </row>
    <row r="642" spans="1:12" ht="15.75" customHeight="1" outlineLevel="1">
      <c r="A642" s="11">
        <v>1328100493</v>
      </c>
      <c r="B642" s="40">
        <v>493</v>
      </c>
      <c r="C642" s="109">
        <v>328100</v>
      </c>
      <c r="D642" s="42">
        <v>1</v>
      </c>
      <c r="E642" s="67"/>
      <c r="F642" s="44" t="s">
        <v>501</v>
      </c>
      <c r="G642" s="45" t="s">
        <v>29</v>
      </c>
      <c r="H642" s="51">
        <v>1</v>
      </c>
      <c r="I642" s="47" t="s">
        <v>86</v>
      </c>
      <c r="J642" s="48">
        <f>VLOOKUP(A642,'[1]תקציב 2026'!$A$1:$M$65536,9,0)</f>
        <v>-135000</v>
      </c>
      <c r="K642" s="49">
        <v>0</v>
      </c>
      <c r="L642" s="50">
        <v>0</v>
      </c>
    </row>
    <row r="643" spans="1:12" ht="15.75" customHeight="1" outlineLevel="1">
      <c r="A643" s="11">
        <v>1328100510</v>
      </c>
      <c r="B643" s="40">
        <v>510</v>
      </c>
      <c r="C643" s="109">
        <v>328100</v>
      </c>
      <c r="D643" s="42">
        <v>1</v>
      </c>
      <c r="E643" s="67"/>
      <c r="F643" s="44" t="s">
        <v>502</v>
      </c>
      <c r="G643" s="45" t="s">
        <v>37</v>
      </c>
      <c r="H643" s="51">
        <v>1</v>
      </c>
      <c r="I643" s="47" t="s">
        <v>86</v>
      </c>
      <c r="J643" s="48">
        <f>VLOOKUP(A643,'[1]תקציב 2026'!$A$1:$M$65536,9,0)</f>
        <v>-500000</v>
      </c>
      <c r="K643" s="49">
        <v>0</v>
      </c>
      <c r="L643" s="50">
        <v>0</v>
      </c>
    </row>
    <row r="644" spans="1:12" ht="15.75" customHeight="1" outlineLevel="1">
      <c r="A644" s="11">
        <v>1328100790</v>
      </c>
      <c r="B644" s="40">
        <v>790</v>
      </c>
      <c r="C644" s="109">
        <v>328100</v>
      </c>
      <c r="D644" s="42">
        <v>1</v>
      </c>
      <c r="E644" s="43"/>
      <c r="F644" s="44" t="s">
        <v>503</v>
      </c>
      <c r="G644" s="45" t="s">
        <v>37</v>
      </c>
      <c r="H644" s="51">
        <v>1</v>
      </c>
      <c r="I644" s="47"/>
      <c r="J644" s="48">
        <f>VLOOKUP(A644,'[1]תקציב 2026'!$A$1:$M$65536,9,0)</f>
        <v>-36000</v>
      </c>
      <c r="K644" s="49">
        <f>VLOOKUP(A644,[3]גיליון1!$A$1:$C$7693,3,0)</f>
        <v>0</v>
      </c>
      <c r="L644" s="50">
        <f>VLOOKUP(A644,[2]data1761205830331!$A$1:$J$65536,10,0)</f>
        <v>-22540</v>
      </c>
    </row>
    <row r="645" spans="1:12" ht="15.75" customHeight="1" outlineLevel="1" thickBot="1">
      <c r="A645" s="11">
        <v>1328100929</v>
      </c>
      <c r="B645" s="40">
        <v>929</v>
      </c>
      <c r="C645" s="109">
        <v>328100</v>
      </c>
      <c r="D645" s="42">
        <v>1</v>
      </c>
      <c r="E645" s="133"/>
      <c r="F645" s="44" t="s">
        <v>504</v>
      </c>
      <c r="G645" s="45" t="s">
        <v>37</v>
      </c>
      <c r="H645" s="51">
        <f>J645/K645-1</f>
        <v>0</v>
      </c>
      <c r="I645" s="47"/>
      <c r="J645" s="48">
        <f>VLOOKUP(A645,'[1]תקציב 2026'!$A$1:$M$65536,9,0)</f>
        <v>-167000</v>
      </c>
      <c r="K645" s="49">
        <v>-167000</v>
      </c>
      <c r="L645" s="50">
        <f>VLOOKUP(A645,[2]data1761205830331!$A$1:$J$65536,10,0)</f>
        <v>-388390</v>
      </c>
    </row>
    <row r="646" spans="1:12" ht="16.2" thickBot="1">
      <c r="A646" s="11" t="e">
        <v>#VALUE!</v>
      </c>
      <c r="B646" s="53" t="s">
        <v>505</v>
      </c>
      <c r="C646" s="54"/>
      <c r="D646" s="55"/>
      <c r="E646" s="84"/>
      <c r="F646" s="116" t="s">
        <v>506</v>
      </c>
      <c r="G646" s="58"/>
      <c r="H646" s="166">
        <f>J646/K646-1</f>
        <v>4.0179640718562872</v>
      </c>
      <c r="I646" s="72"/>
      <c r="J646" s="74">
        <f>SUBTOTAL(9,J642:J645)</f>
        <v>-838000</v>
      </c>
      <c r="K646" s="92">
        <f>SUBTOTAL(9,K642:K645)</f>
        <v>-167000</v>
      </c>
      <c r="L646" s="75">
        <f>SUBTOTAL(9,L642:L645)</f>
        <v>-410930</v>
      </c>
    </row>
    <row r="647" spans="1:12" ht="15.75" customHeight="1" outlineLevel="1">
      <c r="A647" s="11">
        <v>13281200</v>
      </c>
      <c r="B647" s="40">
        <v>0</v>
      </c>
      <c r="C647" s="109">
        <v>328120</v>
      </c>
      <c r="D647" s="42">
        <v>1</v>
      </c>
      <c r="E647" s="152"/>
      <c r="F647" s="44" t="s">
        <v>507</v>
      </c>
      <c r="G647" s="45" t="s">
        <v>15</v>
      </c>
      <c r="H647" s="51"/>
      <c r="I647" s="47"/>
      <c r="J647" s="48"/>
      <c r="K647" s="49"/>
      <c r="L647" s="50"/>
    </row>
    <row r="648" spans="1:12" ht="15.75" customHeight="1" outlineLevel="1" thickBot="1">
      <c r="A648" s="11">
        <v>1328120929</v>
      </c>
      <c r="B648" s="40">
        <v>929</v>
      </c>
      <c r="C648" s="109">
        <v>328120</v>
      </c>
      <c r="D648" s="42">
        <v>1</v>
      </c>
      <c r="E648" s="200"/>
      <c r="F648" s="44" t="s">
        <v>504</v>
      </c>
      <c r="G648" s="45" t="s">
        <v>37</v>
      </c>
      <c r="H648" s="51">
        <f>J648/K648-1</f>
        <v>0</v>
      </c>
      <c r="I648" s="47"/>
      <c r="J648" s="48">
        <f>VLOOKUP(A648,'[1]תקציב 2026'!$A$1:$M$65536,9,0)</f>
        <v>-500000</v>
      </c>
      <c r="K648" s="49">
        <f>VLOOKUP(A648,[3]גיליון1!$A$1:$C$7693,3,0)</f>
        <v>-500000</v>
      </c>
      <c r="L648" s="50">
        <f>VLOOKUP(A648,[2]data1761205830331!$A$1:$J$65536,10,0)</f>
        <v>-450169</v>
      </c>
    </row>
    <row r="649" spans="1:12" ht="16.2" thickBot="1">
      <c r="A649" s="11" t="e">
        <v>#VALUE!</v>
      </c>
      <c r="B649" s="53" t="s">
        <v>508</v>
      </c>
      <c r="C649" s="54"/>
      <c r="D649" s="55"/>
      <c r="E649" s="84"/>
      <c r="F649" s="116" t="s">
        <v>507</v>
      </c>
      <c r="G649" s="58"/>
      <c r="H649" s="166">
        <v>0</v>
      </c>
      <c r="I649" s="72"/>
      <c r="J649" s="74">
        <f>SUBTOTAL(9,J648:J648)</f>
        <v>-500000</v>
      </c>
      <c r="K649" s="92">
        <f>SUBTOTAL(9,K648:K648)</f>
        <v>-500000</v>
      </c>
      <c r="L649" s="75">
        <f>SUBTOTAL(9,L648:L648)</f>
        <v>-450169</v>
      </c>
    </row>
    <row r="650" spans="1:12" ht="15.75" customHeight="1" outlineLevel="1">
      <c r="A650" s="11">
        <v>13281300</v>
      </c>
      <c r="B650" s="40">
        <v>0</v>
      </c>
      <c r="C650" s="109">
        <v>328130</v>
      </c>
      <c r="D650" s="42">
        <v>1</v>
      </c>
      <c r="E650" s="152"/>
      <c r="F650" s="44" t="s">
        <v>509</v>
      </c>
      <c r="G650" s="45" t="s">
        <v>15</v>
      </c>
      <c r="H650" s="51"/>
      <c r="I650" s="47"/>
      <c r="J650" s="48"/>
      <c r="K650" s="49"/>
      <c r="L650" s="50"/>
    </row>
    <row r="651" spans="1:12" ht="15.75" customHeight="1" outlineLevel="1">
      <c r="A651" s="11">
        <v>1328130421</v>
      </c>
      <c r="B651" s="40">
        <v>421</v>
      </c>
      <c r="C651" s="109">
        <v>328130</v>
      </c>
      <c r="D651" s="42">
        <v>1</v>
      </c>
      <c r="E651" s="201"/>
      <c r="F651" s="44" t="s">
        <v>510</v>
      </c>
      <c r="G651" s="45" t="s">
        <v>37</v>
      </c>
      <c r="H651" s="51">
        <v>1</v>
      </c>
      <c r="I651" s="47"/>
      <c r="J651" s="48">
        <f>VLOOKUP(A651,'[1]תקציב 2026'!$A$1:$M$65536,9,0)</f>
        <v>-40000</v>
      </c>
      <c r="K651" s="49">
        <v>0</v>
      </c>
      <c r="L651" s="50">
        <f>VLOOKUP(A651,[2]data1761205830331!$A$1:$J$65536,10,0)</f>
        <v>-23446</v>
      </c>
    </row>
    <row r="652" spans="1:12" ht="15.75" customHeight="1" outlineLevel="1">
      <c r="A652" s="11">
        <v>1328130691</v>
      </c>
      <c r="B652" s="40">
        <v>691</v>
      </c>
      <c r="C652" s="109">
        <v>328130</v>
      </c>
      <c r="D652" s="42">
        <v>1</v>
      </c>
      <c r="E652" s="200"/>
      <c r="F652" s="44" t="s">
        <v>511</v>
      </c>
      <c r="G652" s="45" t="s">
        <v>37</v>
      </c>
      <c r="H652" s="51">
        <f>J652/K652-1</f>
        <v>0</v>
      </c>
      <c r="I652" s="47"/>
      <c r="J652" s="48">
        <f>VLOOKUP(A652,'[1]תקציב 2026'!$A$1:$M$65536,9,0)</f>
        <v>-10000</v>
      </c>
      <c r="K652" s="49">
        <v>-10000</v>
      </c>
      <c r="L652" s="50">
        <f>VLOOKUP(A652,[2]data1761205830331!$A$1:$J$65536,10,0)</f>
        <v>0</v>
      </c>
    </row>
    <row r="653" spans="1:12" ht="15.75" customHeight="1" outlineLevel="1" thickBot="1">
      <c r="A653" s="11">
        <v>1328130970</v>
      </c>
      <c r="B653" s="40">
        <v>970</v>
      </c>
      <c r="C653" s="109">
        <v>328130</v>
      </c>
      <c r="D653" s="42">
        <v>1</v>
      </c>
      <c r="E653" s="200"/>
      <c r="F653" s="44" t="s">
        <v>512</v>
      </c>
      <c r="G653" s="45" t="s">
        <v>37</v>
      </c>
      <c r="H653" s="51">
        <v>0</v>
      </c>
      <c r="I653" s="47"/>
      <c r="J653" s="48">
        <f>VLOOKUP(A653,'[1]תקציב 2026'!$A$1:$M$65536,9,0)</f>
        <v>0</v>
      </c>
      <c r="K653" s="49">
        <f>VLOOKUP(A653,[3]גיליון1!$A$1:$C$7693,3,0)</f>
        <v>0</v>
      </c>
      <c r="L653" s="50">
        <f>VLOOKUP(A653,[2]data1761205830331!$A$1:$J$65536,10,0)</f>
        <v>-96000</v>
      </c>
    </row>
    <row r="654" spans="1:12" ht="16.2" thickBot="1">
      <c r="A654" s="11" t="e">
        <v>#VALUE!</v>
      </c>
      <c r="B654" s="53" t="s">
        <v>513</v>
      </c>
      <c r="C654" s="54"/>
      <c r="D654" s="55"/>
      <c r="E654" s="56"/>
      <c r="F654" s="116" t="s">
        <v>509</v>
      </c>
      <c r="G654" s="58"/>
      <c r="H654" s="166">
        <f>J654/K654-1</f>
        <v>4</v>
      </c>
      <c r="I654" s="72"/>
      <c r="J654" s="74">
        <f>SUBTOTAL(9,J651:J653)</f>
        <v>-50000</v>
      </c>
      <c r="K654" s="202">
        <f>SUBTOTAL(9,K651:K653)</f>
        <v>-10000</v>
      </c>
      <c r="L654" s="75">
        <f>SUBTOTAL(9,L651:L653)</f>
        <v>-119446</v>
      </c>
    </row>
    <row r="655" spans="1:12" ht="15.75" customHeight="1" outlineLevel="1">
      <c r="A655" s="11">
        <v>13282000</v>
      </c>
      <c r="B655" s="40">
        <v>0</v>
      </c>
      <c r="C655" s="109">
        <v>328200</v>
      </c>
      <c r="D655" s="42">
        <v>1</v>
      </c>
      <c r="E655" s="133"/>
      <c r="F655" s="44" t="s">
        <v>514</v>
      </c>
      <c r="G655" s="45" t="s">
        <v>15</v>
      </c>
      <c r="H655" s="51"/>
      <c r="I655" s="47"/>
      <c r="J655" s="48"/>
      <c r="K655" s="49"/>
      <c r="L655" s="50"/>
    </row>
    <row r="656" spans="1:12" ht="15.75" customHeight="1" outlineLevel="1">
      <c r="A656" s="11">
        <v>1328200420</v>
      </c>
      <c r="B656" s="40">
        <v>420</v>
      </c>
      <c r="C656" s="109">
        <v>328200</v>
      </c>
      <c r="D656" s="42">
        <v>1</v>
      </c>
      <c r="E656" s="43"/>
      <c r="F656" s="44" t="s">
        <v>515</v>
      </c>
      <c r="G656" s="45" t="s">
        <v>37</v>
      </c>
      <c r="H656" s="51">
        <v>0</v>
      </c>
      <c r="I656" s="47"/>
      <c r="J656" s="48">
        <f>VLOOKUP(A656,'[1]תקציב 2026'!$A$1:$M$65536,9,0)</f>
        <v>0</v>
      </c>
      <c r="K656" s="49">
        <f>VLOOKUP(A656,[3]גיליון1!$A$1:$C$7693,3,0)</f>
        <v>0</v>
      </c>
      <c r="L656" s="50">
        <f>VLOOKUP(A656,[2]data1761205830331!$A$1:$J$65536,10,0)</f>
        <v>-296432.14</v>
      </c>
    </row>
    <row r="657" spans="1:12" ht="15.75" customHeight="1" outlineLevel="1" thickBot="1">
      <c r="A657" s="11">
        <v>1328200641</v>
      </c>
      <c r="B657" s="40">
        <v>641</v>
      </c>
      <c r="C657" s="109">
        <v>328200</v>
      </c>
      <c r="D657" s="42">
        <v>1</v>
      </c>
      <c r="E657" s="200"/>
      <c r="F657" s="44" t="s">
        <v>483</v>
      </c>
      <c r="G657" s="203" t="s">
        <v>37</v>
      </c>
      <c r="H657" s="51">
        <f>J657/K657-1</f>
        <v>0</v>
      </c>
      <c r="I657" s="47"/>
      <c r="J657" s="48">
        <f>VLOOKUP(A657,'[1]תקציב 2026'!$A$1:$M$65536,9,0)</f>
        <v>-35300</v>
      </c>
      <c r="K657" s="49">
        <f>VLOOKUP(A657,[3]גיליון1!$A$1:$C$7693,3,0)</f>
        <v>-35300</v>
      </c>
      <c r="L657" s="50">
        <f>VLOOKUP(A657,[2]data1761205830331!$A$1:$J$65536,10,0)</f>
        <v>-35300</v>
      </c>
    </row>
    <row r="658" spans="1:12" ht="16.2" thickBot="1">
      <c r="A658" s="11" t="e">
        <v>#VALUE!</v>
      </c>
      <c r="B658" s="53" t="s">
        <v>516</v>
      </c>
      <c r="C658" s="54"/>
      <c r="D658" s="55"/>
      <c r="E658" s="56"/>
      <c r="F658" s="116" t="s">
        <v>514</v>
      </c>
      <c r="G658" s="58"/>
      <c r="H658" s="166">
        <v>0</v>
      </c>
      <c r="I658" s="72"/>
      <c r="J658" s="74">
        <f>SUBTOTAL(9,J656:J657)</f>
        <v>-35300</v>
      </c>
      <c r="K658" s="92">
        <f>SUBTOTAL(9,K656:K657)</f>
        <v>-35300</v>
      </c>
      <c r="L658" s="75">
        <f>SUBTOTAL(9,L656:L657)</f>
        <v>-331732.14</v>
      </c>
    </row>
    <row r="659" spans="1:12" ht="15.75" customHeight="1" outlineLevel="1">
      <c r="A659" s="11">
        <v>13282400</v>
      </c>
      <c r="B659" s="40">
        <v>0</v>
      </c>
      <c r="C659" s="109">
        <v>328240</v>
      </c>
      <c r="D659" s="42">
        <v>1</v>
      </c>
      <c r="E659" s="152"/>
      <c r="F659" s="194" t="s">
        <v>517</v>
      </c>
      <c r="G659" s="45" t="s">
        <v>15</v>
      </c>
      <c r="H659" s="51"/>
      <c r="I659" s="47"/>
      <c r="J659" s="48"/>
      <c r="K659" s="49"/>
      <c r="L659" s="50"/>
    </row>
    <row r="660" spans="1:12" ht="15.75" customHeight="1" outlineLevel="1">
      <c r="A660" s="11">
        <v>1328240431</v>
      </c>
      <c r="B660" s="40">
        <v>431</v>
      </c>
      <c r="C660" s="109">
        <v>328240</v>
      </c>
      <c r="D660" s="42">
        <v>1</v>
      </c>
      <c r="E660" s="200"/>
      <c r="F660" s="44" t="s">
        <v>518</v>
      </c>
      <c r="G660" s="45" t="s">
        <v>29</v>
      </c>
      <c r="H660" s="51">
        <v>1</v>
      </c>
      <c r="I660" s="47"/>
      <c r="J660" s="48">
        <f>VLOOKUP(A660,'[1]תקציב 2026'!$A$1:$M$65536,9,0)</f>
        <v>-17000</v>
      </c>
      <c r="K660" s="49">
        <f>VLOOKUP(A660,[3]גיליון1!$A$1:$C$7693,3,0)</f>
        <v>0</v>
      </c>
      <c r="L660" s="50">
        <f>VLOOKUP(A660,[2]data1761205830331!$A$1:$J$65536,10,0)</f>
        <v>-17385.11</v>
      </c>
    </row>
    <row r="661" spans="1:12" ht="15.75" customHeight="1" outlineLevel="1" thickBot="1">
      <c r="A661" s="11">
        <v>1328240641</v>
      </c>
      <c r="B661" s="40">
        <v>641</v>
      </c>
      <c r="C661" s="109">
        <v>328240</v>
      </c>
      <c r="D661" s="42">
        <v>1</v>
      </c>
      <c r="E661" s="200"/>
      <c r="F661" s="44" t="s">
        <v>483</v>
      </c>
      <c r="G661" s="45" t="s">
        <v>37</v>
      </c>
      <c r="H661" s="51">
        <f>J661/K661-1</f>
        <v>0</v>
      </c>
      <c r="I661" s="47"/>
      <c r="J661" s="48">
        <f>VLOOKUP(A661,'[1]תקציב 2026'!$A$1:$M$65536,9,0)</f>
        <v>-4400</v>
      </c>
      <c r="K661" s="49">
        <f>VLOOKUP(A661,[3]גיליון1!$A$1:$C$7693,3,0)</f>
        <v>-4400</v>
      </c>
      <c r="L661" s="50">
        <f>VLOOKUP(A661,[2]data1761205830331!$A$1:$J$65536,10,0)</f>
        <v>-4400</v>
      </c>
    </row>
    <row r="662" spans="1:12" ht="16.2" thickBot="1">
      <c r="A662" s="11" t="e">
        <v>#VALUE!</v>
      </c>
      <c r="B662" s="53" t="s">
        <v>519</v>
      </c>
      <c r="C662" s="54"/>
      <c r="D662" s="55"/>
      <c r="E662" s="84"/>
      <c r="F662" s="116" t="s">
        <v>517</v>
      </c>
      <c r="G662" s="58"/>
      <c r="H662" s="166">
        <f>J662/K662-1</f>
        <v>3.8636363636363633</v>
      </c>
      <c r="I662" s="72"/>
      <c r="J662" s="74">
        <f>SUBTOTAL(9,J660:J661)</f>
        <v>-21400</v>
      </c>
      <c r="K662" s="92">
        <f>SUBTOTAL(9,K660:K661)</f>
        <v>-4400</v>
      </c>
      <c r="L662" s="75">
        <f>SUBTOTAL(9,L660:L661)</f>
        <v>-21785.11</v>
      </c>
    </row>
    <row r="663" spans="1:12" ht="15.75" customHeight="1" outlineLevel="1">
      <c r="A663" s="11">
        <v>13290000</v>
      </c>
      <c r="B663" s="40">
        <v>0</v>
      </c>
      <c r="C663" s="109">
        <v>329000</v>
      </c>
      <c r="D663" s="42">
        <v>1</v>
      </c>
      <c r="E663" s="152"/>
      <c r="F663" s="68" t="s">
        <v>520</v>
      </c>
      <c r="G663" s="69" t="s">
        <v>15</v>
      </c>
      <c r="H663" s="51"/>
      <c r="I663" s="47"/>
      <c r="J663" s="48"/>
      <c r="K663" s="49"/>
      <c r="L663" s="50"/>
    </row>
    <row r="664" spans="1:12" ht="15.75" customHeight="1" outlineLevel="1">
      <c r="A664" s="11">
        <v>1329100641</v>
      </c>
      <c r="B664" s="40">
        <v>641</v>
      </c>
      <c r="C664" s="109">
        <v>329100</v>
      </c>
      <c r="D664" s="42">
        <v>1</v>
      </c>
      <c r="E664" s="200"/>
      <c r="F664" s="44" t="s">
        <v>483</v>
      </c>
      <c r="G664" s="45" t="s">
        <v>37</v>
      </c>
      <c r="H664" s="51">
        <f t="shared" ref="H664:H725" si="10">J664/K664-1</f>
        <v>0</v>
      </c>
      <c r="I664" s="47"/>
      <c r="J664" s="48">
        <f>VLOOKUP(A664,'[1]תקציב 2026'!$A$1:$M$65536,9,0)</f>
        <v>-43900</v>
      </c>
      <c r="K664" s="49">
        <f>VLOOKUP(A664,[3]גיליון1!$A$1:$C$7693,3,0)</f>
        <v>-43900</v>
      </c>
      <c r="L664" s="50">
        <f>VLOOKUP(A664,[2]data1761205830331!$A$1:$J$65536,10,0)</f>
        <v>-43900</v>
      </c>
    </row>
    <row r="665" spans="1:12" ht="15.75" customHeight="1" outlineLevel="1">
      <c r="A665" s="11">
        <v>1329100652</v>
      </c>
      <c r="B665" s="40">
        <v>652</v>
      </c>
      <c r="C665" s="109">
        <v>329100</v>
      </c>
      <c r="D665" s="42">
        <v>1</v>
      </c>
      <c r="E665" s="43"/>
      <c r="F665" s="44" t="s">
        <v>521</v>
      </c>
      <c r="G665" s="45" t="s">
        <v>37</v>
      </c>
      <c r="H665" s="51">
        <f t="shared" si="10"/>
        <v>0</v>
      </c>
      <c r="I665" s="47"/>
      <c r="J665" s="48">
        <f>VLOOKUP(A665,'[1]תקציב 2026'!$A$1:$M$65536,9,0)</f>
        <v>-795000</v>
      </c>
      <c r="K665" s="49">
        <f>VLOOKUP(A665,[3]גיליון1!$A$1:$C$7693,3,0)</f>
        <v>-795000</v>
      </c>
      <c r="L665" s="50">
        <f>VLOOKUP(A665,[2]data1761205830331!$A$1:$J$65536,10,0)</f>
        <v>-795000</v>
      </c>
    </row>
    <row r="666" spans="1:12" ht="15.75" customHeight="1" outlineLevel="1">
      <c r="A666" s="11">
        <v>1329100922</v>
      </c>
      <c r="B666" s="40">
        <v>922</v>
      </c>
      <c r="C666" s="109">
        <v>329100</v>
      </c>
      <c r="D666" s="42">
        <v>1</v>
      </c>
      <c r="E666" s="133"/>
      <c r="F666" s="44" t="s">
        <v>522</v>
      </c>
      <c r="G666" s="45" t="s">
        <v>37</v>
      </c>
      <c r="H666" s="51">
        <v>0</v>
      </c>
      <c r="I666" s="47"/>
      <c r="J666" s="48">
        <f>VLOOKUP(A666,'[1]תקציב 2026'!$A$1:$M$65536,9,0)</f>
        <v>0</v>
      </c>
      <c r="K666" s="49">
        <f>VLOOKUP(A666,[3]גיליון1!$A$1:$C$7693,3,0)</f>
        <v>0</v>
      </c>
      <c r="L666" s="50">
        <f>VLOOKUP(A666,[2]data1761205830331!$A$1:$J$65536,10,0)</f>
        <v>-85000</v>
      </c>
    </row>
    <row r="667" spans="1:12" ht="15.75" customHeight="1" outlineLevel="1">
      <c r="A667" s="11">
        <v>1329100990</v>
      </c>
      <c r="B667" s="40">
        <v>990</v>
      </c>
      <c r="C667" s="109">
        <v>329100</v>
      </c>
      <c r="D667" s="42">
        <v>1</v>
      </c>
      <c r="E667" s="43"/>
      <c r="F667" s="44" t="s">
        <v>523</v>
      </c>
      <c r="G667" s="45" t="s">
        <v>37</v>
      </c>
      <c r="H667" s="51">
        <f t="shared" si="10"/>
        <v>0</v>
      </c>
      <c r="I667" s="47"/>
      <c r="J667" s="48">
        <f>VLOOKUP(A667,'[1]תקציב 2026'!$A$1:$M$65536,9,0)</f>
        <v>-300700</v>
      </c>
      <c r="K667" s="49">
        <f>VLOOKUP(A667,[3]גיליון1!$A$1:$C$7693,3,0)</f>
        <v>-300700</v>
      </c>
      <c r="L667" s="50">
        <f>VLOOKUP(A667,[2]data1761205830331!$A$1:$J$65536,10,0)</f>
        <v>-372653</v>
      </c>
    </row>
    <row r="668" spans="1:12" ht="15.75" customHeight="1" outlineLevel="1">
      <c r="A668" s="11">
        <v>1329100991</v>
      </c>
      <c r="B668" s="40">
        <v>991</v>
      </c>
      <c r="C668" s="109">
        <v>329100</v>
      </c>
      <c r="D668" s="42">
        <v>1</v>
      </c>
      <c r="E668" s="133"/>
      <c r="F668" s="44" t="s">
        <v>522</v>
      </c>
      <c r="G668" s="45" t="s">
        <v>37</v>
      </c>
      <c r="H668" s="51">
        <f t="shared" si="10"/>
        <v>-1</v>
      </c>
      <c r="I668" s="47"/>
      <c r="J668" s="48">
        <f>VLOOKUP(A668,'[1]תקציב 2026'!$A$1:$M$65536,9,0)</f>
        <v>0</v>
      </c>
      <c r="K668" s="49">
        <f>VLOOKUP(A668,[3]גיליון1!$A$1:$C$7693,3,0)</f>
        <v>-155000</v>
      </c>
      <c r="L668" s="50">
        <f>VLOOKUP(A668,[2]data1761205830331!$A$1:$J$65536,10,0)</f>
        <v>0</v>
      </c>
    </row>
    <row r="669" spans="1:12" ht="15.75" customHeight="1" outlineLevel="1" thickBot="1">
      <c r="A669" s="11">
        <v>1329100992</v>
      </c>
      <c r="B669" s="40">
        <v>992</v>
      </c>
      <c r="C669" s="109">
        <v>329100</v>
      </c>
      <c r="D669" s="42">
        <v>1</v>
      </c>
      <c r="E669" s="43"/>
      <c r="F669" s="44" t="s">
        <v>524</v>
      </c>
      <c r="G669" s="45" t="s">
        <v>37</v>
      </c>
      <c r="H669" s="51">
        <f t="shared" si="10"/>
        <v>-1</v>
      </c>
      <c r="I669" s="47"/>
      <c r="J669" s="48">
        <f>VLOOKUP(A669,'[1]תקציב 2026'!$A$1:$M$65536,9,0)</f>
        <v>0</v>
      </c>
      <c r="K669" s="49">
        <f>VLOOKUP(A669,[3]גיליון1!$A$1:$C$7693,3,0)</f>
        <v>-110000</v>
      </c>
      <c r="L669" s="50">
        <f>VLOOKUP(A669,[2]data1761205830331!$A$1:$J$65536,10,0)</f>
        <v>0</v>
      </c>
    </row>
    <row r="670" spans="1:12" ht="16.2" thickBot="1">
      <c r="A670" s="11" t="e">
        <v>#VALUE!</v>
      </c>
      <c r="B670" s="53" t="s">
        <v>525</v>
      </c>
      <c r="C670" s="54"/>
      <c r="D670" s="55"/>
      <c r="E670" s="56"/>
      <c r="F670" s="116" t="s">
        <v>526</v>
      </c>
      <c r="G670" s="58"/>
      <c r="H670" s="166">
        <f>J670/K670-1</f>
        <v>-0.18866581233091273</v>
      </c>
      <c r="I670" s="72"/>
      <c r="J670" s="74">
        <f>SUBTOTAL(9,J664:J669)</f>
        <v>-1139600</v>
      </c>
      <c r="K670" s="92">
        <f>SUBTOTAL(9,K664:K669)</f>
        <v>-1404600</v>
      </c>
      <c r="L670" s="75">
        <f>SUBTOTAL(9,L664:L669)</f>
        <v>-1296553</v>
      </c>
    </row>
    <row r="671" spans="1:12" ht="15.75" customHeight="1" outlineLevel="1">
      <c r="A671" s="11">
        <v>13400000</v>
      </c>
      <c r="B671" s="40">
        <v>0</v>
      </c>
      <c r="C671" s="109">
        <v>340000</v>
      </c>
      <c r="D671" s="42">
        <v>1</v>
      </c>
      <c r="E671" s="133"/>
      <c r="F671" s="44" t="s">
        <v>527</v>
      </c>
      <c r="G671" s="45" t="s">
        <v>15</v>
      </c>
      <c r="H671" s="51"/>
      <c r="I671" s="47"/>
      <c r="J671" s="48"/>
      <c r="K671" s="49"/>
      <c r="L671" s="50"/>
    </row>
    <row r="672" spans="1:12" ht="15.75" customHeight="1" outlineLevel="1">
      <c r="A672" s="11">
        <v>1341000421</v>
      </c>
      <c r="B672" s="40">
        <v>421</v>
      </c>
      <c r="C672" s="109">
        <v>341000</v>
      </c>
      <c r="D672" s="42">
        <v>1</v>
      </c>
      <c r="E672" s="200"/>
      <c r="F672" s="44" t="s">
        <v>528</v>
      </c>
      <c r="G672" s="45" t="s">
        <v>37</v>
      </c>
      <c r="H672" s="51">
        <f t="shared" si="10"/>
        <v>0</v>
      </c>
      <c r="I672" s="47"/>
      <c r="J672" s="48">
        <f>VLOOKUP(A672,'[1]תקציב 2026'!$A$1:$M$65536,9,0)</f>
        <v>-80000</v>
      </c>
      <c r="K672" s="49">
        <f>VLOOKUP(A672,[3]גיליון1!$A$1:$C$7693,3,0)</f>
        <v>-80000</v>
      </c>
      <c r="L672" s="50">
        <f>VLOOKUP(A672,[2]data1761205830331!$A$1:$J$65536,10,0)</f>
        <v>-99553</v>
      </c>
    </row>
    <row r="673" spans="1:12" ht="15.75" customHeight="1" outlineLevel="1">
      <c r="A673" s="11">
        <v>1341000690</v>
      </c>
      <c r="B673" s="40">
        <v>690</v>
      </c>
      <c r="C673" s="109">
        <v>341000</v>
      </c>
      <c r="D673" s="42">
        <v>1</v>
      </c>
      <c r="E673" s="200"/>
      <c r="F673" s="44" t="s">
        <v>529</v>
      </c>
      <c r="G673" s="45" t="s">
        <v>29</v>
      </c>
      <c r="H673" s="51">
        <f t="shared" si="10"/>
        <v>-1</v>
      </c>
      <c r="I673" s="47"/>
      <c r="J673" s="48">
        <f>VLOOKUP(A673,'[1]תקציב 2026'!$A$1:$M$65536,9,0)</f>
        <v>0</v>
      </c>
      <c r="K673" s="49">
        <f>VLOOKUP(A673,[3]גיליון1!$A$1:$C$7693,3,0)</f>
        <v>-35000</v>
      </c>
      <c r="L673" s="50">
        <f>VLOOKUP(A673,[2]data1761205830331!$A$1:$J$65536,10,0)</f>
        <v>-34956</v>
      </c>
    </row>
    <row r="674" spans="1:12" s="204" customFormat="1" ht="15.75" customHeight="1" outlineLevel="1">
      <c r="A674" s="11">
        <v>1341000696</v>
      </c>
      <c r="B674" s="40">
        <v>696</v>
      </c>
      <c r="C674" s="109">
        <v>341000</v>
      </c>
      <c r="D674" s="42">
        <v>1</v>
      </c>
      <c r="E674" s="43"/>
      <c r="F674" s="68" t="s">
        <v>211</v>
      </c>
      <c r="G674" s="45" t="s">
        <v>37</v>
      </c>
      <c r="H674" s="51">
        <v>0</v>
      </c>
      <c r="I674" s="51"/>
      <c r="J674" s="48">
        <f>VLOOKUP(A674,'[1]תקציב 2026'!$A$1:$M$65536,9,0)</f>
        <v>0</v>
      </c>
      <c r="K674" s="49">
        <f>VLOOKUP(A674,[3]גיליון1!$A$1:$C$7693,3,0)</f>
        <v>0</v>
      </c>
      <c r="L674" s="50">
        <f>VLOOKUP(A674,[2]data1761205830331!$A$1:$J$65536,10,0)</f>
        <v>-41118</v>
      </c>
    </row>
    <row r="675" spans="1:12" s="204" customFormat="1" ht="15.75" customHeight="1" outlineLevel="1">
      <c r="A675" s="11">
        <v>1341000930</v>
      </c>
      <c r="B675" s="40">
        <v>930</v>
      </c>
      <c r="C675" s="109">
        <v>341000</v>
      </c>
      <c r="D675" s="42">
        <v>1</v>
      </c>
      <c r="E675" s="133"/>
      <c r="F675" s="68" t="s">
        <v>530</v>
      </c>
      <c r="G675" s="45" t="s">
        <v>37</v>
      </c>
      <c r="H675" s="51">
        <v>0</v>
      </c>
      <c r="I675" s="51"/>
      <c r="J675" s="48">
        <f>VLOOKUP(A675,'[1]תקציב 2026'!$A$1:$M$65536,9,0)</f>
        <v>0</v>
      </c>
      <c r="K675" s="49">
        <v>0</v>
      </c>
      <c r="L675" s="50">
        <f>VLOOKUP(A675,[2]data1761205830331!$A$1:$J$65536,10,0)</f>
        <v>-90773</v>
      </c>
    </row>
    <row r="676" spans="1:12" ht="15.75" customHeight="1" outlineLevel="1">
      <c r="A676" s="11">
        <v>1341000934</v>
      </c>
      <c r="B676" s="40">
        <v>934</v>
      </c>
      <c r="C676" s="109">
        <v>341000</v>
      </c>
      <c r="D676" s="42">
        <v>1</v>
      </c>
      <c r="E676" s="200"/>
      <c r="F676" s="44" t="s">
        <v>531</v>
      </c>
      <c r="G676" s="45" t="s">
        <v>37</v>
      </c>
      <c r="H676" s="51">
        <f t="shared" si="10"/>
        <v>1.551724137931032E-2</v>
      </c>
      <c r="I676" s="47"/>
      <c r="J676" s="48">
        <f>VLOOKUP(A676,'[1]תקציב 2026'!$A$1:$M$65536,9,0)</f>
        <v>-1767000</v>
      </c>
      <c r="K676" s="49">
        <v>-1740000</v>
      </c>
      <c r="L676" s="50">
        <f>VLOOKUP(A676,[2]data1761205830331!$A$1:$J$65536,10,0)</f>
        <v>-1746309</v>
      </c>
    </row>
    <row r="677" spans="1:12" ht="15.75" customHeight="1" outlineLevel="1">
      <c r="A677" s="11">
        <v>1341000935</v>
      </c>
      <c r="B677" s="40">
        <v>935</v>
      </c>
      <c r="C677" s="109">
        <v>341000</v>
      </c>
      <c r="D677" s="42">
        <v>1</v>
      </c>
      <c r="E677" s="200"/>
      <c r="F677" s="44" t="s">
        <v>532</v>
      </c>
      <c r="G677" s="45" t="s">
        <v>37</v>
      </c>
      <c r="H677" s="51">
        <f t="shared" si="10"/>
        <v>0.24916147580258752</v>
      </c>
      <c r="I677" s="47"/>
      <c r="J677" s="48">
        <f>VLOOKUP(A677,'[1]תקציב 2026'!$A$1:$M$65536,9,0)</f>
        <v>-521400</v>
      </c>
      <c r="K677" s="49">
        <f>VLOOKUP(A677,[3]גיליון1!$A$1:$C$7693,3,0)-177300</f>
        <v>-417400</v>
      </c>
      <c r="L677" s="50">
        <f>VLOOKUP(A677,[2]data1761205830331!$A$1:$J$65536,10,0)</f>
        <v>-290379</v>
      </c>
    </row>
    <row r="678" spans="1:12" ht="15.75" customHeight="1" outlineLevel="1">
      <c r="A678" s="11">
        <v>1341000937</v>
      </c>
      <c r="B678" s="40">
        <v>937</v>
      </c>
      <c r="C678" s="109">
        <v>341000</v>
      </c>
      <c r="D678" s="42">
        <v>1</v>
      </c>
      <c r="E678" s="200"/>
      <c r="F678" s="44" t="s">
        <v>533</v>
      </c>
      <c r="G678" s="45" t="s">
        <v>37</v>
      </c>
      <c r="H678" s="51">
        <f t="shared" si="10"/>
        <v>0</v>
      </c>
      <c r="I678" s="47"/>
      <c r="J678" s="48">
        <f>VLOOKUP(A678,'[1]תקציב 2026'!$A$1:$M$65536,9,0)</f>
        <v>-57000</v>
      </c>
      <c r="K678" s="49">
        <f>VLOOKUP(A678,[3]גיליון1!$A$1:$C$7693,3,0)</f>
        <v>-57000</v>
      </c>
      <c r="L678" s="50">
        <f>VLOOKUP(A678,[2]data1761205830331!$A$1:$J$65536,10,0)</f>
        <v>0</v>
      </c>
    </row>
    <row r="679" spans="1:12" ht="15.75" customHeight="1" outlineLevel="1" thickBot="1">
      <c r="A679" s="11">
        <v>1341000938</v>
      </c>
      <c r="B679" s="40">
        <v>938</v>
      </c>
      <c r="C679" s="109">
        <v>341000</v>
      </c>
      <c r="D679" s="42">
        <v>1</v>
      </c>
      <c r="E679" s="200"/>
      <c r="F679" s="44" t="s">
        <v>534</v>
      </c>
      <c r="G679" s="45" t="s">
        <v>29</v>
      </c>
      <c r="H679" s="51">
        <f t="shared" si="10"/>
        <v>0</v>
      </c>
      <c r="I679" s="47"/>
      <c r="J679" s="48">
        <f>VLOOKUP(A679,'[1]תקציב 2026'!$A$1:$M$65536,9,0)</f>
        <v>-60000</v>
      </c>
      <c r="K679" s="49">
        <f>VLOOKUP(A679,[3]גיליון1!$A$1:$C$7693,3,0)</f>
        <v>-60000</v>
      </c>
      <c r="L679" s="50">
        <f>VLOOKUP(A679,[2]data1761205830331!$A$1:$J$65536,10,0)</f>
        <v>-56178</v>
      </c>
    </row>
    <row r="680" spans="1:12" ht="16.2" thickBot="1">
      <c r="A680" s="11" t="e">
        <v>#VALUE!</v>
      </c>
      <c r="B680" s="53" t="s">
        <v>535</v>
      </c>
      <c r="C680" s="54"/>
      <c r="D680" s="55"/>
      <c r="E680" s="56"/>
      <c r="F680" s="116" t="s">
        <v>536</v>
      </c>
      <c r="G680" s="58"/>
      <c r="H680" s="166">
        <f>J680/K680-1</f>
        <v>4.0177450405959547E-2</v>
      </c>
      <c r="I680" s="72"/>
      <c r="J680" s="74">
        <f>SUBTOTAL(9,J672:J679)</f>
        <v>-2485400</v>
      </c>
      <c r="K680" s="92">
        <f>SUBTOTAL(9,K672:K679)</f>
        <v>-2389400</v>
      </c>
      <c r="L680" s="75">
        <f>SUBTOTAL(9,L672:L679)</f>
        <v>-2359266</v>
      </c>
    </row>
    <row r="681" spans="1:12" ht="15.75" customHeight="1" outlineLevel="1">
      <c r="A681" s="11">
        <v>13420000</v>
      </c>
      <c r="B681" s="40">
        <v>0</v>
      </c>
      <c r="C681" s="109">
        <v>342000</v>
      </c>
      <c r="D681" s="42">
        <v>1</v>
      </c>
      <c r="E681" s="133"/>
      <c r="F681" s="44" t="s">
        <v>537</v>
      </c>
      <c r="G681" s="45" t="s">
        <v>15</v>
      </c>
      <c r="H681" s="51"/>
      <c r="I681" s="47"/>
      <c r="J681" s="48"/>
      <c r="K681" s="49"/>
      <c r="L681" s="50"/>
    </row>
    <row r="682" spans="1:12" ht="15.75" customHeight="1" outlineLevel="1">
      <c r="A682" s="11">
        <v>1342500421</v>
      </c>
      <c r="B682" s="40">
        <v>421</v>
      </c>
      <c r="C682" s="109">
        <v>342500</v>
      </c>
      <c r="D682" s="42">
        <v>1</v>
      </c>
      <c r="E682" s="200"/>
      <c r="F682" s="44" t="s">
        <v>538</v>
      </c>
      <c r="G682" s="45" t="s">
        <v>37</v>
      </c>
      <c r="H682" s="51">
        <f t="shared" si="10"/>
        <v>-1</v>
      </c>
      <c r="I682" s="47"/>
      <c r="J682" s="48">
        <f>VLOOKUP(A682,'[1]תקציב 2026'!$A$1:$M$65536,9,0)</f>
        <v>0</v>
      </c>
      <c r="K682" s="49">
        <f>VLOOKUP(A682,[3]גיליון1!$A$1:$C$7693,3,0)</f>
        <v>-5000</v>
      </c>
      <c r="L682" s="50">
        <f>VLOOKUP(A682,[2]data1761205830331!$A$1:$J$65536,10,0)</f>
        <v>-33359</v>
      </c>
    </row>
    <row r="683" spans="1:12" ht="15.75" customHeight="1" outlineLevel="1">
      <c r="A683" s="11">
        <v>1342500423</v>
      </c>
      <c r="B683" s="40">
        <v>423</v>
      </c>
      <c r="C683" s="109">
        <v>342500</v>
      </c>
      <c r="D683" s="42">
        <v>1</v>
      </c>
      <c r="E683" s="200"/>
      <c r="F683" s="44" t="s">
        <v>539</v>
      </c>
      <c r="G683" s="45" t="s">
        <v>37</v>
      </c>
      <c r="H683" s="51">
        <f t="shared" si="10"/>
        <v>-0.43478260869565222</v>
      </c>
      <c r="I683" s="47"/>
      <c r="J683" s="48">
        <f>VLOOKUP(A683,'[1]תקציב 2026'!$A$1:$M$65536,9,0)</f>
        <v>-26000</v>
      </c>
      <c r="K683" s="49">
        <v>-46000</v>
      </c>
      <c r="L683" s="50">
        <f>VLOOKUP(A683,[2]data1761205830331!$A$1:$J$65536,10,0)</f>
        <v>-23410</v>
      </c>
    </row>
    <row r="684" spans="1:12" ht="15.75" customHeight="1" outlineLevel="1">
      <c r="A684" s="11">
        <v>1342500791</v>
      </c>
      <c r="B684" s="40">
        <v>791</v>
      </c>
      <c r="C684" s="109">
        <v>342500</v>
      </c>
      <c r="D684" s="42">
        <v>1</v>
      </c>
      <c r="E684" s="200"/>
      <c r="F684" s="154" t="s">
        <v>540</v>
      </c>
      <c r="G684" s="45" t="s">
        <v>37</v>
      </c>
      <c r="H684" s="51">
        <f t="shared" si="10"/>
        <v>0.19999999999999996</v>
      </c>
      <c r="I684" s="47"/>
      <c r="J684" s="48">
        <f>VLOOKUP(A684,'[1]תקציב 2026'!$A$1:$M$65536,9,0)</f>
        <v>-135000</v>
      </c>
      <c r="K684" s="49">
        <f>VLOOKUP(A684,[3]גיליון1!$A$1:$C$7693,3,0)</f>
        <v>-112500</v>
      </c>
      <c r="L684" s="50">
        <f>VLOOKUP(A684,[2]data1761205830331!$A$1:$J$65536,10,0)</f>
        <v>-135000</v>
      </c>
    </row>
    <row r="685" spans="1:12" ht="15.75" customHeight="1" outlineLevel="1">
      <c r="A685" s="11">
        <v>1342500931</v>
      </c>
      <c r="B685" s="40">
        <v>931</v>
      </c>
      <c r="C685" s="109">
        <v>342500</v>
      </c>
      <c r="D685" s="42">
        <v>1</v>
      </c>
      <c r="E685" s="43"/>
      <c r="F685" s="44" t="s">
        <v>541</v>
      </c>
      <c r="G685" s="45" t="s">
        <v>37</v>
      </c>
      <c r="H685" s="51">
        <f t="shared" si="10"/>
        <v>5.6170886075949333E-2</v>
      </c>
      <c r="I685" s="47"/>
      <c r="J685" s="48">
        <f>VLOOKUP(A685,'[1]תקציב 2026'!$A$1:$M$65536,9,0)</f>
        <v>-267000</v>
      </c>
      <c r="K685" s="49">
        <v>-252800</v>
      </c>
      <c r="L685" s="50">
        <f>VLOOKUP(A685,[2]data1761205830331!$A$1:$J$65536,10,0)</f>
        <v>-352976</v>
      </c>
    </row>
    <row r="686" spans="1:12" ht="15.75" customHeight="1" outlineLevel="1">
      <c r="A686" s="11">
        <v>1342500932</v>
      </c>
      <c r="B686" s="40">
        <v>932</v>
      </c>
      <c r="C686" s="109">
        <v>342500</v>
      </c>
      <c r="D686" s="42">
        <v>1</v>
      </c>
      <c r="E686" s="43"/>
      <c r="F686" s="44" t="s">
        <v>542</v>
      </c>
      <c r="G686" s="45" t="s">
        <v>37</v>
      </c>
      <c r="H686" s="51">
        <f t="shared" si="10"/>
        <v>-0.25</v>
      </c>
      <c r="I686" s="47"/>
      <c r="J686" s="48">
        <f>VLOOKUP(A686,'[1]תקציב 2026'!$A$1:$M$65536,9,0)</f>
        <v>-45000</v>
      </c>
      <c r="K686" s="49">
        <f>VLOOKUP(A686,[3]גיליון1!$A$1:$C$7693,3,0)</f>
        <v>-60000</v>
      </c>
      <c r="L686" s="50">
        <f>VLOOKUP(A686,[2]data1761205830331!$A$1:$J$65536,10,0)</f>
        <v>-32820</v>
      </c>
    </row>
    <row r="687" spans="1:12" ht="15.75" customHeight="1" outlineLevel="1">
      <c r="A687" s="11">
        <v>1342500933</v>
      </c>
      <c r="B687" s="40">
        <v>933</v>
      </c>
      <c r="C687" s="109">
        <v>342500</v>
      </c>
      <c r="D687" s="42">
        <v>1</v>
      </c>
      <c r="E687" s="133"/>
      <c r="F687" s="44" t="s">
        <v>543</v>
      </c>
      <c r="G687" s="45" t="s">
        <v>37</v>
      </c>
      <c r="H687" s="51">
        <f t="shared" si="10"/>
        <v>1.0577482876712327</v>
      </c>
      <c r="I687" s="47"/>
      <c r="J687" s="48">
        <f>VLOOKUP(A687,'[1]תקציב 2026'!$A$1:$M$65536,9,0)</f>
        <v>-480690</v>
      </c>
      <c r="K687" s="49">
        <f>VLOOKUP(A687,[3]גיליון1!$A$1:$C$7693,3,0)</f>
        <v>-233600</v>
      </c>
      <c r="L687" s="50">
        <f>VLOOKUP(A687,[2]data1761205830331!$A$1:$J$65536,10,0)</f>
        <v>-269748</v>
      </c>
    </row>
    <row r="688" spans="1:12" ht="15.75" customHeight="1" outlineLevel="1">
      <c r="A688" s="11">
        <v>1342500934</v>
      </c>
      <c r="B688" s="40">
        <v>934</v>
      </c>
      <c r="C688" s="109">
        <v>342500</v>
      </c>
      <c r="D688" s="42">
        <v>1</v>
      </c>
      <c r="E688" s="43"/>
      <c r="F688" s="44" t="s">
        <v>544</v>
      </c>
      <c r="G688" s="45" t="s">
        <v>37</v>
      </c>
      <c r="H688" s="51">
        <f t="shared" si="10"/>
        <v>1.5281720430107448E-2</v>
      </c>
      <c r="I688" s="47"/>
      <c r="J688" s="48">
        <f>VLOOKUP(A688,'[1]תקציב 2026'!$A$1:$M$65536,9,0)</f>
        <v>-18884240</v>
      </c>
      <c r="K688" s="49">
        <v>-18600000</v>
      </c>
      <c r="L688" s="50">
        <f>VLOOKUP(A688,[2]data1761205830331!$A$1:$J$65536,10,0)</f>
        <v>-16328575</v>
      </c>
    </row>
    <row r="689" spans="1:12" ht="15.75" customHeight="1" outlineLevel="1">
      <c r="A689" s="11">
        <v>1342500936</v>
      </c>
      <c r="B689" s="40">
        <v>936</v>
      </c>
      <c r="C689" s="109">
        <v>342500</v>
      </c>
      <c r="D689" s="42">
        <v>1</v>
      </c>
      <c r="E689" s="43"/>
      <c r="F689" s="44" t="s">
        <v>545</v>
      </c>
      <c r="G689" s="45" t="s">
        <v>37</v>
      </c>
      <c r="H689" s="51">
        <f t="shared" si="10"/>
        <v>0.4285714285714286</v>
      </c>
      <c r="I689" s="47"/>
      <c r="J689" s="48">
        <f>VLOOKUP(A689,'[1]תקציב 2026'!$A$1:$M$65536,9,0)</f>
        <v>-200000</v>
      </c>
      <c r="K689" s="49">
        <f>VLOOKUP(A689,[3]גיליון1!$A$1:$C$7693,3,0)</f>
        <v>-140000</v>
      </c>
      <c r="L689" s="50">
        <f>VLOOKUP(A689,[2]data1761205830331!$A$1:$J$65536,10,0)</f>
        <v>-40739</v>
      </c>
    </row>
    <row r="690" spans="1:12" ht="15.75" customHeight="1" outlineLevel="1">
      <c r="A690" s="11">
        <v>1342500937</v>
      </c>
      <c r="B690" s="40">
        <v>937</v>
      </c>
      <c r="C690" s="109">
        <v>342500</v>
      </c>
      <c r="D690" s="42">
        <v>1</v>
      </c>
      <c r="E690" s="133"/>
      <c r="F690" s="44" t="s">
        <v>546</v>
      </c>
      <c r="G690" s="45" t="s">
        <v>37</v>
      </c>
      <c r="H690" s="51">
        <f t="shared" si="10"/>
        <v>0</v>
      </c>
      <c r="I690" s="47"/>
      <c r="J690" s="48">
        <f>VLOOKUP(A690,'[1]תקציב 2026'!$A$1:$M$65536,9,0)</f>
        <v>-192800</v>
      </c>
      <c r="K690" s="49">
        <f>VLOOKUP(A690,[3]גיליון1!$A$1:$C$7693,3,0)</f>
        <v>-192800</v>
      </c>
      <c r="L690" s="50">
        <f>VLOOKUP(A690,[2]data1761205830331!$A$1:$J$65536,10,0)</f>
        <v>-210320</v>
      </c>
    </row>
    <row r="691" spans="1:12" ht="15.75" customHeight="1" outlineLevel="1">
      <c r="A691" s="11">
        <v>1342500939</v>
      </c>
      <c r="B691" s="40">
        <v>939</v>
      </c>
      <c r="C691" s="109">
        <v>342500</v>
      </c>
      <c r="D691" s="42">
        <v>1</v>
      </c>
      <c r="E691" s="200"/>
      <c r="F691" s="44" t="s">
        <v>547</v>
      </c>
      <c r="G691" s="45" t="s">
        <v>37</v>
      </c>
      <c r="H691" s="51">
        <f t="shared" si="10"/>
        <v>0</v>
      </c>
      <c r="I691" s="47"/>
      <c r="J691" s="48">
        <f>VLOOKUP(A691,'[1]תקציב 2026'!$A$1:$M$65536,9,0)</f>
        <v>-330500</v>
      </c>
      <c r="K691" s="49">
        <f>-434000+103500</f>
        <v>-330500</v>
      </c>
      <c r="L691" s="50">
        <f>VLOOKUP(A691,[2]data1761205830331!$A$1:$J$65536,10,0)</f>
        <v>-155376</v>
      </c>
    </row>
    <row r="692" spans="1:12" ht="15.75" customHeight="1" outlineLevel="1">
      <c r="A692" s="11">
        <v>1342500940</v>
      </c>
      <c r="B692" s="40">
        <v>940</v>
      </c>
      <c r="C692" s="109">
        <v>342500</v>
      </c>
      <c r="D692" s="42">
        <v>1</v>
      </c>
      <c r="E692" s="43"/>
      <c r="F692" s="44" t="s">
        <v>548</v>
      </c>
      <c r="G692" s="45" t="s">
        <v>37</v>
      </c>
      <c r="H692" s="51">
        <f t="shared" si="10"/>
        <v>-1</v>
      </c>
      <c r="I692" s="47"/>
      <c r="J692" s="48">
        <f>VLOOKUP(A692,'[1]תקציב 2026'!$A$1:$M$65536,9,0)</f>
        <v>0</v>
      </c>
      <c r="K692" s="49">
        <f>VLOOKUP(A692,[3]גיליון1!$A$1:$C$7693,3,0)</f>
        <v>-375000</v>
      </c>
      <c r="L692" s="50">
        <f>VLOOKUP(A692,[2]data1761205830331!$A$1:$J$65536,10,0)</f>
        <v>-536617</v>
      </c>
    </row>
    <row r="693" spans="1:12" ht="15.75" customHeight="1" outlineLevel="1">
      <c r="A693" s="11">
        <v>1342500941</v>
      </c>
      <c r="B693" s="40">
        <v>941</v>
      </c>
      <c r="C693" s="109">
        <v>342500</v>
      </c>
      <c r="D693" s="42">
        <v>1</v>
      </c>
      <c r="E693" s="133"/>
      <c r="F693" s="44" t="s">
        <v>549</v>
      </c>
      <c r="G693" s="45" t="s">
        <v>37</v>
      </c>
      <c r="H693" s="51">
        <f t="shared" si="10"/>
        <v>0</v>
      </c>
      <c r="I693" s="47"/>
      <c r="J693" s="48">
        <f>VLOOKUP(A693,'[1]תקציב 2026'!$A$1:$M$65536,9,0)</f>
        <v>-206800</v>
      </c>
      <c r="K693" s="49">
        <v>-206800</v>
      </c>
      <c r="L693" s="50">
        <f>VLOOKUP(A693,[2]data1761205830331!$A$1:$J$65536,10,0)</f>
        <v>-262384</v>
      </c>
    </row>
    <row r="694" spans="1:12" ht="15.75" customHeight="1" outlineLevel="1">
      <c r="A694" s="11">
        <v>1342500942</v>
      </c>
      <c r="B694" s="40">
        <v>942</v>
      </c>
      <c r="C694" s="109">
        <v>342500</v>
      </c>
      <c r="D694" s="42">
        <v>1</v>
      </c>
      <c r="E694" s="200"/>
      <c r="F694" s="44" t="s">
        <v>550</v>
      </c>
      <c r="G694" s="45" t="s">
        <v>37</v>
      </c>
      <c r="H694" s="51">
        <f t="shared" si="10"/>
        <v>0</v>
      </c>
      <c r="I694" s="47"/>
      <c r="J694" s="48">
        <f>VLOOKUP(A694,'[1]תקציב 2026'!$A$1:$M$65536,9,0)</f>
        <v>-600000</v>
      </c>
      <c r="K694" s="49">
        <v>-600000</v>
      </c>
      <c r="L694" s="50">
        <f>VLOOKUP(A694,[2]data1761205830331!$A$1:$J$65536,10,0)</f>
        <v>-533005</v>
      </c>
    </row>
    <row r="695" spans="1:12" ht="15.75" customHeight="1" outlineLevel="1">
      <c r="A695" s="11">
        <v>1342500945</v>
      </c>
      <c r="B695" s="40">
        <v>945</v>
      </c>
      <c r="C695" s="109">
        <v>342500</v>
      </c>
      <c r="D695" s="42">
        <v>1</v>
      </c>
      <c r="E695" s="200"/>
      <c r="F695" s="154" t="s">
        <v>551</v>
      </c>
      <c r="G695" s="45" t="s">
        <v>37</v>
      </c>
      <c r="H695" s="51">
        <f t="shared" si="10"/>
        <v>-0.9</v>
      </c>
      <c r="I695" s="47"/>
      <c r="J695" s="48">
        <f>VLOOKUP(A695,'[1]תקציב 2026'!$A$1:$M$65536,9,0)</f>
        <v>-3750</v>
      </c>
      <c r="K695" s="49">
        <f>VLOOKUP(A695,[3]גיליון1!$A$1:$C$7693,3,0)</f>
        <v>-37500</v>
      </c>
      <c r="L695" s="50">
        <f>VLOOKUP(A695,[2]data1761205830331!$A$1:$J$65536,10,0)</f>
        <v>-310</v>
      </c>
    </row>
    <row r="696" spans="1:12" ht="15.75" customHeight="1" outlineLevel="1">
      <c r="A696" s="11">
        <v>1342500946</v>
      </c>
      <c r="B696" s="40">
        <v>946</v>
      </c>
      <c r="C696" s="109">
        <v>342500</v>
      </c>
      <c r="D696" s="42">
        <v>1</v>
      </c>
      <c r="E696" s="200"/>
      <c r="F696" s="44" t="s">
        <v>552</v>
      </c>
      <c r="G696" s="45" t="s">
        <v>37</v>
      </c>
      <c r="H696" s="51">
        <f t="shared" si="10"/>
        <v>-0.41304347826086951</v>
      </c>
      <c r="I696" s="47"/>
      <c r="J696" s="48">
        <f>VLOOKUP(A696,'[1]תקציב 2026'!$A$1:$M$65536,9,0)</f>
        <v>-108000</v>
      </c>
      <c r="K696" s="49">
        <f>VLOOKUP(A696,[3]גיליון1!$A$1:$C$7693,3,0)</f>
        <v>-184000</v>
      </c>
      <c r="L696" s="50">
        <f>VLOOKUP(A696,[2]data1761205830331!$A$1:$J$65536,10,0)</f>
        <v>-160126</v>
      </c>
    </row>
    <row r="697" spans="1:12" ht="15.75" customHeight="1" outlineLevel="1" thickBot="1">
      <c r="A697" s="11">
        <v>1342500949</v>
      </c>
      <c r="B697" s="40">
        <v>949</v>
      </c>
      <c r="C697" s="109">
        <v>342500</v>
      </c>
      <c r="D697" s="42">
        <v>1</v>
      </c>
      <c r="E697" s="200"/>
      <c r="F697" s="44" t="s">
        <v>553</v>
      </c>
      <c r="G697" s="45" t="s">
        <v>37</v>
      </c>
      <c r="H697" s="51">
        <f t="shared" si="10"/>
        <v>-0.31034482758620685</v>
      </c>
      <c r="I697" s="47"/>
      <c r="J697" s="48">
        <f>VLOOKUP(A697,'[1]תקציב 2026'!$A$1:$M$65536,9,0)</f>
        <v>-60000</v>
      </c>
      <c r="K697" s="49">
        <f>VLOOKUP(A697,[3]גיליון1!$A$1:$C$7693,3,0)</f>
        <v>-87000</v>
      </c>
      <c r="L697" s="50">
        <f>VLOOKUP(A697,[2]data1761205830331!$A$1:$J$65536,10,0)</f>
        <v>-58371</v>
      </c>
    </row>
    <row r="698" spans="1:12" ht="16.2" thickBot="1">
      <c r="A698" s="11" t="e">
        <v>#VALUE!</v>
      </c>
      <c r="B698" s="53" t="s">
        <v>554</v>
      </c>
      <c r="C698" s="54"/>
      <c r="D698" s="55"/>
      <c r="E698" s="56"/>
      <c r="F698" s="116" t="s">
        <v>555</v>
      </c>
      <c r="G698" s="58"/>
      <c r="H698" s="166">
        <f>J698/K698-1</f>
        <v>3.5539404104643069E-3</v>
      </c>
      <c r="I698" s="72"/>
      <c r="J698" s="74">
        <f>SUBTOTAL(9,J682:J697)</f>
        <v>-21539780</v>
      </c>
      <c r="K698" s="92">
        <f>SUBTOTAL(9,K682:K697)</f>
        <v>-21463500</v>
      </c>
      <c r="L698" s="75">
        <f>SUBTOTAL(9,L682:L697)</f>
        <v>-19133136</v>
      </c>
    </row>
    <row r="699" spans="1:12" ht="15.75" customHeight="1" outlineLevel="1">
      <c r="A699" s="11">
        <v>13430000</v>
      </c>
      <c r="B699" s="40">
        <v>0</v>
      </c>
      <c r="C699" s="109">
        <v>343000</v>
      </c>
      <c r="D699" s="42">
        <v>1</v>
      </c>
      <c r="E699" s="152"/>
      <c r="F699" s="44" t="s">
        <v>556</v>
      </c>
      <c r="G699" s="45" t="s">
        <v>15</v>
      </c>
      <c r="H699" s="51"/>
      <c r="I699" s="47"/>
      <c r="J699" s="48"/>
      <c r="K699" s="49"/>
      <c r="L699" s="50"/>
    </row>
    <row r="700" spans="1:12" ht="15.75" customHeight="1" outlineLevel="1">
      <c r="A700" s="11">
        <v>1343800421</v>
      </c>
      <c r="B700" s="40">
        <v>421</v>
      </c>
      <c r="C700" s="109">
        <v>343800</v>
      </c>
      <c r="D700" s="42">
        <v>1</v>
      </c>
      <c r="E700" s="43"/>
      <c r="F700" s="44" t="s">
        <v>557</v>
      </c>
      <c r="G700" s="45" t="s">
        <v>37</v>
      </c>
      <c r="H700" s="51">
        <f t="shared" si="10"/>
        <v>0</v>
      </c>
      <c r="I700" s="47"/>
      <c r="J700" s="48">
        <f>VLOOKUP(A700,'[1]תקציב 2026'!$A$1:$M$65536,9,0)</f>
        <v>-315000</v>
      </c>
      <c r="K700" s="49">
        <f>VLOOKUP(A700,[3]גיליון1!$A$1:$C$7693,3,0)</f>
        <v>-315000</v>
      </c>
      <c r="L700" s="50">
        <f>VLOOKUP(A700,[2]data1761205830331!$A$1:$J$65536,10,0)</f>
        <v>-367979.6</v>
      </c>
    </row>
    <row r="701" spans="1:12" ht="15.75" customHeight="1" outlineLevel="1">
      <c r="A701" s="11">
        <v>1343800422</v>
      </c>
      <c r="B701" s="40">
        <v>422</v>
      </c>
      <c r="C701" s="109">
        <v>343800</v>
      </c>
      <c r="D701" s="42">
        <v>1</v>
      </c>
      <c r="E701" s="133"/>
      <c r="F701" s="44" t="s">
        <v>558</v>
      </c>
      <c r="G701" s="45" t="s">
        <v>37</v>
      </c>
      <c r="H701" s="51">
        <f t="shared" si="10"/>
        <v>0</v>
      </c>
      <c r="I701" s="47"/>
      <c r="J701" s="48">
        <f>VLOOKUP(A701,'[1]תקציב 2026'!$A$1:$M$65536,9,0)</f>
        <v>-70000</v>
      </c>
      <c r="K701" s="49">
        <f>VLOOKUP(A701,[3]גיליון1!$A$1:$C$7693,3,0)</f>
        <v>-70000</v>
      </c>
      <c r="L701" s="50">
        <f>VLOOKUP(A701,[2]data1761205830331!$A$1:$J$65536,10,0)</f>
        <v>-79230</v>
      </c>
    </row>
    <row r="702" spans="1:12" ht="15.75" customHeight="1" outlineLevel="1">
      <c r="A702" s="11">
        <v>1343800920</v>
      </c>
      <c r="B702" s="40">
        <v>920</v>
      </c>
      <c r="C702" s="109">
        <v>343800</v>
      </c>
      <c r="D702" s="42">
        <v>1</v>
      </c>
      <c r="E702" s="200"/>
      <c r="F702" s="44" t="s">
        <v>559</v>
      </c>
      <c r="G702" s="45" t="s">
        <v>37</v>
      </c>
      <c r="H702" s="51">
        <f t="shared" si="10"/>
        <v>6.3829787234042534E-2</v>
      </c>
      <c r="I702" s="47"/>
      <c r="J702" s="48">
        <f>VLOOKUP(A702,'[1]תקציב 2026'!$A$1:$M$65536,9,0)</f>
        <v>-500000</v>
      </c>
      <c r="K702" s="49">
        <f>VLOOKUP(A702,[3]גיליון1!$A$1:$C$7693,3,0)</f>
        <v>-470000</v>
      </c>
      <c r="L702" s="50">
        <f>VLOOKUP(A702,[2]data1761205830331!$A$1:$J$65536,10,0)</f>
        <v>-482888</v>
      </c>
    </row>
    <row r="703" spans="1:12" ht="15.75" customHeight="1" outlineLevel="1">
      <c r="A703" s="11">
        <v>1343800931</v>
      </c>
      <c r="B703" s="40">
        <v>931</v>
      </c>
      <c r="C703" s="109">
        <v>343800</v>
      </c>
      <c r="D703" s="42">
        <v>1</v>
      </c>
      <c r="E703" s="200"/>
      <c r="F703" s="44" t="s">
        <v>557</v>
      </c>
      <c r="G703" s="45" t="s">
        <v>37</v>
      </c>
      <c r="H703" s="51">
        <f t="shared" si="10"/>
        <v>0.29595588235294112</v>
      </c>
      <c r="I703" s="47"/>
      <c r="J703" s="48">
        <f>VLOOKUP(A703,'[1]תקציב 2026'!$A$1:$M$65536,9,0)</f>
        <v>-17625000</v>
      </c>
      <c r="K703" s="49">
        <f>VLOOKUP(A703,[3]גיליון1!$A$1:$C$7693,3,0)</f>
        <v>-13600000</v>
      </c>
      <c r="L703" s="50">
        <f>VLOOKUP(A703,[2]data1761205830331!$A$1:$J$65536,10,0)</f>
        <v>-13911123</v>
      </c>
    </row>
    <row r="704" spans="1:12" ht="15.75" customHeight="1" outlineLevel="1">
      <c r="A704" s="11">
        <v>1343800932</v>
      </c>
      <c r="B704" s="40">
        <v>932</v>
      </c>
      <c r="C704" s="109">
        <v>343800</v>
      </c>
      <c r="D704" s="42">
        <v>1</v>
      </c>
      <c r="E704" s="200"/>
      <c r="F704" s="68" t="s">
        <v>560</v>
      </c>
      <c r="G704" s="69" t="s">
        <v>37</v>
      </c>
      <c r="H704" s="51">
        <f t="shared" si="10"/>
        <v>-0.4285714285714286</v>
      </c>
      <c r="I704" s="47" t="s">
        <v>137</v>
      </c>
      <c r="J704" s="48">
        <f>VLOOKUP(A704,'[1]תקציב 2026'!$A$1:$M$65536,9,0)</f>
        <v>-300000</v>
      </c>
      <c r="K704" s="49">
        <v>-525000</v>
      </c>
      <c r="L704" s="50">
        <f>VLOOKUP(A704,[2]data1761205830331!$A$1:$J$65536,10,0)</f>
        <v>-359946</v>
      </c>
    </row>
    <row r="705" spans="1:12" ht="15.75" customHeight="1" outlineLevel="1">
      <c r="A705" s="11">
        <v>1343800935</v>
      </c>
      <c r="B705" s="40">
        <v>935</v>
      </c>
      <c r="C705" s="109">
        <v>343800</v>
      </c>
      <c r="D705" s="42">
        <v>1</v>
      </c>
      <c r="E705" s="133"/>
      <c r="F705" s="44" t="s">
        <v>561</v>
      </c>
      <c r="G705" s="45" t="s">
        <v>37</v>
      </c>
      <c r="H705" s="51">
        <f t="shared" si="10"/>
        <v>3.4296296296296269E-2</v>
      </c>
      <c r="I705" s="47"/>
      <c r="J705" s="48">
        <f>VLOOKUP(A705,'[1]תקציב 2026'!$A$1:$M$65536,9,0)</f>
        <v>-4188900</v>
      </c>
      <c r="K705" s="49">
        <f>VLOOKUP(A705,[3]גיליון1!$A$1:$C$7693,3,0)+600000</f>
        <v>-4050000</v>
      </c>
      <c r="L705" s="50">
        <f>VLOOKUP(A705,[2]data1761205830331!$A$1:$J$65536,10,0)</f>
        <v>-4145185</v>
      </c>
    </row>
    <row r="706" spans="1:12" ht="15.75" customHeight="1" outlineLevel="1">
      <c r="A706" s="11">
        <v>1343800937</v>
      </c>
      <c r="B706" s="40">
        <v>937</v>
      </c>
      <c r="C706" s="109">
        <v>343800</v>
      </c>
      <c r="D706" s="42">
        <v>1</v>
      </c>
      <c r="E706" s="43"/>
      <c r="F706" s="44" t="s">
        <v>562</v>
      </c>
      <c r="G706" s="45" t="s">
        <v>37</v>
      </c>
      <c r="H706" s="51">
        <f t="shared" si="10"/>
        <v>0</v>
      </c>
      <c r="I706" s="47"/>
      <c r="J706" s="48">
        <f>VLOOKUP(A706,'[1]תקציב 2026'!$A$1:$M$65536,9,0)</f>
        <v>-2447000</v>
      </c>
      <c r="K706" s="49">
        <v>-2447000</v>
      </c>
      <c r="L706" s="50">
        <f>VLOOKUP(A706,[2]data1761205830331!$A$1:$J$65536,10,0)</f>
        <v>-2409249</v>
      </c>
    </row>
    <row r="707" spans="1:12" ht="15.75" customHeight="1" outlineLevel="1">
      <c r="A707" s="11">
        <v>1343800939</v>
      </c>
      <c r="B707" s="40">
        <v>939</v>
      </c>
      <c r="C707" s="109">
        <v>343800</v>
      </c>
      <c r="D707" s="42">
        <v>1</v>
      </c>
      <c r="E707" s="133"/>
      <c r="F707" s="44" t="s">
        <v>563</v>
      </c>
      <c r="G707" s="45" t="s">
        <v>37</v>
      </c>
      <c r="H707" s="51">
        <f t="shared" si="10"/>
        <v>-0.2857142857142857</v>
      </c>
      <c r="I707" s="47"/>
      <c r="J707" s="48">
        <f>VLOOKUP(A707,'[1]תקציב 2026'!$A$1:$M$65536,9,0)</f>
        <v>-150000</v>
      </c>
      <c r="K707" s="49">
        <f>VLOOKUP(A707,[3]גיליון1!$A$1:$C$7693,3,0)</f>
        <v>-210000</v>
      </c>
      <c r="L707" s="50">
        <f>VLOOKUP(A707,[2]data1761205830331!$A$1:$J$65536,10,0)</f>
        <v>-139412</v>
      </c>
    </row>
    <row r="708" spans="1:12" ht="15.75" customHeight="1" outlineLevel="1">
      <c r="A708" s="11">
        <v>1343800941</v>
      </c>
      <c r="B708" s="40">
        <v>941</v>
      </c>
      <c r="C708" s="109">
        <v>343800</v>
      </c>
      <c r="D708" s="42">
        <v>1</v>
      </c>
      <c r="E708" s="43"/>
      <c r="F708" s="44" t="s">
        <v>564</v>
      </c>
      <c r="G708" s="45" t="s">
        <v>37</v>
      </c>
      <c r="H708" s="51">
        <f t="shared" si="10"/>
        <v>-0.16936957514846962</v>
      </c>
      <c r="I708" s="47"/>
      <c r="J708" s="48">
        <f>VLOOKUP(A708,'[1]תקציב 2026'!$A$1:$M$65536,9,0)</f>
        <v>-2181900</v>
      </c>
      <c r="K708" s="49">
        <f>VLOOKUP(A708,[3]גיליון1!$A$1:$C$7693,3,0)</f>
        <v>-2626800</v>
      </c>
      <c r="L708" s="50">
        <f>VLOOKUP(A708,[2]data1761205830331!$A$1:$J$65536,10,0)</f>
        <v>-2558209</v>
      </c>
    </row>
    <row r="709" spans="1:12" ht="15.75" customHeight="1" outlineLevel="1">
      <c r="A709" s="11">
        <v>1343800943</v>
      </c>
      <c r="B709" s="40">
        <v>943</v>
      </c>
      <c r="C709" s="109">
        <v>343800</v>
      </c>
      <c r="D709" s="42">
        <v>1</v>
      </c>
      <c r="E709" s="67"/>
      <c r="F709" s="44" t="s">
        <v>565</v>
      </c>
      <c r="G709" s="45" t="s">
        <v>37</v>
      </c>
      <c r="H709" s="51">
        <f t="shared" si="10"/>
        <v>0</v>
      </c>
      <c r="I709" s="47"/>
      <c r="J709" s="48">
        <f>VLOOKUP(A709,'[1]תקציב 2026'!$A$1:$M$65536,9,0)</f>
        <v>-1300000</v>
      </c>
      <c r="K709" s="49">
        <f>VLOOKUP(A709,[3]גיליון1!$A$1:$C$7693,3,0)</f>
        <v>-1300000</v>
      </c>
      <c r="L709" s="50">
        <f>VLOOKUP(A709,[2]data1761205830331!$A$1:$J$65536,10,0)</f>
        <v>-1517520</v>
      </c>
    </row>
    <row r="710" spans="1:12" ht="15.75" customHeight="1" outlineLevel="1">
      <c r="A710" s="11">
        <v>1343800944</v>
      </c>
      <c r="B710" s="40">
        <v>944</v>
      </c>
      <c r="C710" s="109">
        <v>343800</v>
      </c>
      <c r="D710" s="42">
        <v>1</v>
      </c>
      <c r="E710" s="67"/>
      <c r="F710" s="44" t="s">
        <v>566</v>
      </c>
      <c r="G710" s="45" t="s">
        <v>37</v>
      </c>
      <c r="H710" s="51">
        <v>1</v>
      </c>
      <c r="I710" s="47" t="s">
        <v>86</v>
      </c>
      <c r="J710" s="48">
        <f>VLOOKUP(A710,'[1]תקציב 2026'!$A$1:$M$65536,9,0)</f>
        <v>-49800</v>
      </c>
      <c r="K710" s="49">
        <v>0</v>
      </c>
      <c r="L710" s="50">
        <v>0</v>
      </c>
    </row>
    <row r="711" spans="1:12" ht="15.75" customHeight="1" outlineLevel="1">
      <c r="A711" s="11">
        <v>1343800988</v>
      </c>
      <c r="B711" s="40">
        <v>988</v>
      </c>
      <c r="C711" s="109">
        <v>343800</v>
      </c>
      <c r="D711" s="42">
        <v>1</v>
      </c>
      <c r="E711" s="67"/>
      <c r="F711" s="44" t="s">
        <v>567</v>
      </c>
      <c r="G711" s="45" t="s">
        <v>37</v>
      </c>
      <c r="H711" s="51">
        <f t="shared" si="10"/>
        <v>-1</v>
      </c>
      <c r="I711" s="47"/>
      <c r="J711" s="48">
        <f>VLOOKUP(A711,'[1]תקציב 2026'!$A$1:$M$65536,9,0)</f>
        <v>0</v>
      </c>
      <c r="K711" s="49">
        <f>VLOOKUP(A711,[3]גיליון1!$A$1:$C$7693,3,0)</f>
        <v>-177000</v>
      </c>
      <c r="L711" s="50">
        <f>VLOOKUP(A711,[2]data1761205830331!$A$1:$J$65536,10,0)</f>
        <v>0</v>
      </c>
    </row>
    <row r="712" spans="1:12" ht="15.75" customHeight="1" outlineLevel="1">
      <c r="A712" s="11">
        <v>1343800994</v>
      </c>
      <c r="B712" s="40">
        <v>994</v>
      </c>
      <c r="C712" s="109">
        <v>343800</v>
      </c>
      <c r="D712" s="42">
        <v>1</v>
      </c>
      <c r="E712" s="67"/>
      <c r="F712" s="44" t="s">
        <v>568</v>
      </c>
      <c r="G712" s="45" t="s">
        <v>37</v>
      </c>
      <c r="H712" s="51">
        <f t="shared" si="10"/>
        <v>0</v>
      </c>
      <c r="I712" s="47"/>
      <c r="J712" s="48">
        <f>VLOOKUP(A712,'[1]תקציב 2026'!$A$1:$M$65536,9,0)</f>
        <v>-750000</v>
      </c>
      <c r="K712" s="49">
        <f>VLOOKUP(A712,[3]גיליון1!$A$1:$C$7693,3,0)</f>
        <v>-750000</v>
      </c>
      <c r="L712" s="50">
        <f>VLOOKUP(A712,[2]data1761205830331!$A$1:$J$65536,10,0)</f>
        <v>-728423</v>
      </c>
    </row>
    <row r="713" spans="1:12" ht="15.75" customHeight="1" outlineLevel="1">
      <c r="A713" s="11">
        <v>1343800995</v>
      </c>
      <c r="B713" s="40">
        <v>995</v>
      </c>
      <c r="C713" s="109">
        <v>343800</v>
      </c>
      <c r="D713" s="42">
        <v>1</v>
      </c>
      <c r="E713" s="133"/>
      <c r="F713" s="154" t="s">
        <v>569</v>
      </c>
      <c r="G713" s="45" t="s">
        <v>37</v>
      </c>
      <c r="H713" s="51">
        <f t="shared" si="10"/>
        <v>0</v>
      </c>
      <c r="I713" s="47"/>
      <c r="J713" s="48">
        <f>VLOOKUP(A713,'[1]תקציב 2026'!$A$1:$M$65536,9,0)</f>
        <v>-972000</v>
      </c>
      <c r="K713" s="49">
        <f>VLOOKUP(A713,[3]גיליון1!$A$1:$C$7693,3,0)+300000</f>
        <v>-972000</v>
      </c>
      <c r="L713" s="50">
        <f>VLOOKUP(A713,[2]data1761205830331!$A$1:$J$65536,10,0)</f>
        <v>-1023742</v>
      </c>
    </row>
    <row r="714" spans="1:12" ht="15.75" customHeight="1" outlineLevel="1">
      <c r="A714" s="11">
        <v>1343800996</v>
      </c>
      <c r="B714" s="40">
        <v>996</v>
      </c>
      <c r="C714" s="109">
        <v>343800</v>
      </c>
      <c r="D714" s="42">
        <v>1</v>
      </c>
      <c r="E714" s="43"/>
      <c r="F714" s="44" t="s">
        <v>570</v>
      </c>
      <c r="G714" s="45" t="s">
        <v>37</v>
      </c>
      <c r="H714" s="51">
        <f t="shared" si="10"/>
        <v>0</v>
      </c>
      <c r="I714" s="47"/>
      <c r="J714" s="48">
        <f>VLOOKUP(A714,'[1]תקציב 2026'!$A$1:$M$65536,9,0)</f>
        <v>-1323100</v>
      </c>
      <c r="K714" s="49">
        <f>VLOOKUP(A714,[3]גיליון1!$A$1:$C$7693,3,0)</f>
        <v>-1323100</v>
      </c>
      <c r="L714" s="50">
        <f>VLOOKUP(A714,[2]data1761205830331!$A$1:$J$65536,10,0)</f>
        <v>-1324053</v>
      </c>
    </row>
    <row r="715" spans="1:12" ht="15.75" customHeight="1" outlineLevel="1" thickBot="1">
      <c r="A715" s="11">
        <v>1343800999</v>
      </c>
      <c r="B715" s="40">
        <v>999</v>
      </c>
      <c r="C715" s="109">
        <v>343800</v>
      </c>
      <c r="D715" s="42">
        <v>1</v>
      </c>
      <c r="E715" s="133"/>
      <c r="F715" s="122" t="s">
        <v>571</v>
      </c>
      <c r="G715" s="153" t="s">
        <v>37</v>
      </c>
      <c r="H715" s="51">
        <f t="shared" si="10"/>
        <v>0.66666666666666674</v>
      </c>
      <c r="I715" s="52"/>
      <c r="J715" s="48">
        <f>VLOOKUP(A715,'[1]תקציב 2026'!$A$1:$M$65536,9,0)</f>
        <v>-1100000</v>
      </c>
      <c r="K715" s="49">
        <f>VLOOKUP(A715,[3]גיליון1!$A$1:$C$7693,3,0)</f>
        <v>-660000</v>
      </c>
      <c r="L715" s="50">
        <f>VLOOKUP(A715,[2]data1761205830331!$A$1:$J$65536,10,0)</f>
        <v>-802900</v>
      </c>
    </row>
    <row r="716" spans="1:12" ht="16.2" thickBot="1">
      <c r="A716" s="11" t="e">
        <v>#VALUE!</v>
      </c>
      <c r="B716" s="53" t="s">
        <v>572</v>
      </c>
      <c r="C716" s="54"/>
      <c r="D716" s="55"/>
      <c r="E716" s="84"/>
      <c r="F716" s="116" t="s">
        <v>573</v>
      </c>
      <c r="G716" s="58"/>
      <c r="H716" s="166">
        <f>J716/K716-1</f>
        <v>0.12804491471696067</v>
      </c>
      <c r="I716" s="72"/>
      <c r="J716" s="74">
        <f>SUBTOTAL(9,J700:J715)</f>
        <v>-33272700</v>
      </c>
      <c r="K716" s="92">
        <f>SUBTOTAL(9,K700:K715)</f>
        <v>-29495900</v>
      </c>
      <c r="L716" s="75">
        <f>SUBTOTAL(9,L700:L715)</f>
        <v>-29849859.600000001</v>
      </c>
    </row>
    <row r="717" spans="1:12" ht="15.75" customHeight="1" outlineLevel="1">
      <c r="A717" s="11">
        <v>13440000</v>
      </c>
      <c r="B717" s="64">
        <v>0</v>
      </c>
      <c r="C717" s="131">
        <v>344000</v>
      </c>
      <c r="D717" s="66">
        <v>1</v>
      </c>
      <c r="E717" s="152"/>
      <c r="F717" s="68" t="s">
        <v>574</v>
      </c>
      <c r="G717" s="69" t="s">
        <v>15</v>
      </c>
      <c r="H717" s="51"/>
      <c r="I717" s="47"/>
      <c r="J717" s="48"/>
      <c r="K717" s="49"/>
      <c r="L717" s="50"/>
    </row>
    <row r="718" spans="1:12" ht="15.75" customHeight="1" outlineLevel="1">
      <c r="A718" s="11">
        <v>1344300421</v>
      </c>
      <c r="B718" s="40">
        <v>421</v>
      </c>
      <c r="C718" s="109">
        <v>344300</v>
      </c>
      <c r="D718" s="42">
        <v>1</v>
      </c>
      <c r="E718" s="133"/>
      <c r="F718" s="44" t="s">
        <v>575</v>
      </c>
      <c r="G718" s="45" t="s">
        <v>37</v>
      </c>
      <c r="H718" s="51">
        <f t="shared" si="10"/>
        <v>0</v>
      </c>
      <c r="I718" s="47"/>
      <c r="J718" s="48">
        <f>VLOOKUP(A718,'[1]תקציב 2026'!$A$1:$M$65536,9,0)</f>
        <v>-5000</v>
      </c>
      <c r="K718" s="49">
        <f>VLOOKUP(A718,[3]גיליון1!$A$1:$C$7693,3,0)</f>
        <v>-5000</v>
      </c>
      <c r="L718" s="50">
        <f>VLOOKUP(A718,[2]data1761205830331!$A$1:$J$65536,10,0)</f>
        <v>-14692.99</v>
      </c>
    </row>
    <row r="719" spans="1:12" ht="15.75" customHeight="1" outlineLevel="1">
      <c r="A719" s="11">
        <v>1344300424</v>
      </c>
      <c r="B719" s="40">
        <v>424</v>
      </c>
      <c r="C719" s="109">
        <v>344300</v>
      </c>
      <c r="D719" s="42">
        <v>1</v>
      </c>
      <c r="E719" s="43"/>
      <c r="F719" s="44" t="s">
        <v>576</v>
      </c>
      <c r="G719" s="45" t="s">
        <v>37</v>
      </c>
      <c r="H719" s="51">
        <v>0</v>
      </c>
      <c r="I719" s="47"/>
      <c r="J719" s="48">
        <f>VLOOKUP(A719,'[1]תקציב 2026'!$A$1:$M$65536,9,0)</f>
        <v>0</v>
      </c>
      <c r="K719" s="49">
        <f>VLOOKUP(A719,[3]גיליון1!$A$1:$C$7693,3,0)</f>
        <v>0</v>
      </c>
      <c r="L719" s="50">
        <f>VLOOKUP(A719,[2]data1761205830331!$A$1:$J$65536,10,0)</f>
        <v>-69581</v>
      </c>
    </row>
    <row r="720" spans="1:12" ht="15.75" customHeight="1" outlineLevel="1">
      <c r="A720" s="11">
        <v>1344300426</v>
      </c>
      <c r="B720" s="40">
        <v>426</v>
      </c>
      <c r="C720" s="109">
        <v>344300</v>
      </c>
      <c r="D720" s="42">
        <v>1</v>
      </c>
      <c r="E720" s="200"/>
      <c r="F720" s="44" t="s">
        <v>577</v>
      </c>
      <c r="G720" s="45" t="s">
        <v>37</v>
      </c>
      <c r="H720" s="51">
        <f t="shared" si="10"/>
        <v>-0.1875</v>
      </c>
      <c r="I720" s="47"/>
      <c r="J720" s="48">
        <f>VLOOKUP(A720,'[1]תקציב 2026'!$A$1:$M$65536,9,0)</f>
        <v>-650000</v>
      </c>
      <c r="K720" s="49">
        <f>VLOOKUP(A720,[3]גיליון1!$A$1:$C$7693,3,0)</f>
        <v>-800000</v>
      </c>
      <c r="L720" s="50">
        <f>VLOOKUP(A720,[2]data1761205830331!$A$1:$J$65536,10,0)</f>
        <v>-592849.28</v>
      </c>
    </row>
    <row r="721" spans="1:12" ht="15.75" customHeight="1" outlineLevel="1">
      <c r="A721" s="11">
        <v>1344300523</v>
      </c>
      <c r="B721" s="40">
        <v>523</v>
      </c>
      <c r="C721" s="109">
        <v>344300</v>
      </c>
      <c r="D721" s="42">
        <v>1</v>
      </c>
      <c r="E721" s="43"/>
      <c r="F721" s="44" t="s">
        <v>578</v>
      </c>
      <c r="G721" s="45" t="s">
        <v>37</v>
      </c>
      <c r="H721" s="51">
        <f t="shared" si="10"/>
        <v>0</v>
      </c>
      <c r="I721" s="47"/>
      <c r="J721" s="48">
        <f>VLOOKUP(A721,'[1]תקציב 2026'!$A$1:$M$65536,9,0)</f>
        <v>-675200</v>
      </c>
      <c r="K721" s="49">
        <f>VLOOKUP(A721,[3]גיליון1!$A$1:$C$7693,3,0)</f>
        <v>-675200</v>
      </c>
      <c r="L721" s="50">
        <f>VLOOKUP(A721,[2]data1761205830331!$A$1:$J$65536,10,0)</f>
        <v>-567186</v>
      </c>
    </row>
    <row r="722" spans="1:12" ht="15.75" customHeight="1" outlineLevel="1">
      <c r="A722" s="11">
        <v>1344300931</v>
      </c>
      <c r="B722" s="40">
        <v>931</v>
      </c>
      <c r="C722" s="109">
        <v>344300</v>
      </c>
      <c r="D722" s="42">
        <v>1</v>
      </c>
      <c r="E722" s="43"/>
      <c r="F722" s="44" t="s">
        <v>579</v>
      </c>
      <c r="G722" s="45" t="s">
        <v>37</v>
      </c>
      <c r="H722" s="51">
        <f t="shared" si="10"/>
        <v>0</v>
      </c>
      <c r="I722" s="47"/>
      <c r="J722" s="48">
        <f>VLOOKUP(A722,'[1]תקציב 2026'!$A$1:$M$65536,9,0)</f>
        <v>-225000</v>
      </c>
      <c r="K722" s="49">
        <f>VLOOKUP(A722,[3]גיליון1!$A$1:$C$7693,3,0)</f>
        <v>-225000</v>
      </c>
      <c r="L722" s="50">
        <f>VLOOKUP(A722,[2]data1761205830331!$A$1:$J$65536,10,0)</f>
        <v>-70053</v>
      </c>
    </row>
    <row r="723" spans="1:12" ht="15.75" customHeight="1" outlineLevel="1">
      <c r="A723" s="11">
        <v>1344300937</v>
      </c>
      <c r="B723" s="40">
        <v>937</v>
      </c>
      <c r="C723" s="109">
        <v>344300</v>
      </c>
      <c r="D723" s="42">
        <v>1</v>
      </c>
      <c r="E723" s="43"/>
      <c r="F723" s="44" t="s">
        <v>580</v>
      </c>
      <c r="G723" s="45" t="s">
        <v>37</v>
      </c>
      <c r="H723" s="51">
        <f t="shared" si="10"/>
        <v>0.11068702290076327</v>
      </c>
      <c r="I723" s="47"/>
      <c r="J723" s="48">
        <f>VLOOKUP(A723,'[1]תקציב 2026'!$A$1:$M$65536,9,0)</f>
        <v>-7275000</v>
      </c>
      <c r="K723" s="49">
        <f>VLOOKUP(A723,[3]גיליון1!$A$1:$C$7693,3,0)</f>
        <v>-6550000</v>
      </c>
      <c r="L723" s="50">
        <f>VLOOKUP(A723,[2]data1761205830331!$A$1:$J$65536,10,0)</f>
        <v>-7342699</v>
      </c>
    </row>
    <row r="724" spans="1:12" ht="15.75" customHeight="1" outlineLevel="1">
      <c r="A724" s="11">
        <v>1344300938</v>
      </c>
      <c r="B724" s="40">
        <v>938</v>
      </c>
      <c r="C724" s="109">
        <v>344300</v>
      </c>
      <c r="D724" s="42">
        <v>1</v>
      </c>
      <c r="E724" s="67"/>
      <c r="F724" s="44" t="s">
        <v>581</v>
      </c>
      <c r="G724" s="45" t="s">
        <v>37</v>
      </c>
      <c r="H724" s="51">
        <f t="shared" si="10"/>
        <v>-0.5</v>
      </c>
      <c r="I724" s="47"/>
      <c r="J724" s="48">
        <f>VLOOKUP(A724,'[1]תקציב 2026'!$A$1:$M$65536,9,0)</f>
        <v>-675000</v>
      </c>
      <c r="K724" s="49">
        <f>VLOOKUP(A724,[3]גיליון1!$A$1:$C$7693,3,0)</f>
        <v>-1350000</v>
      </c>
      <c r="L724" s="50">
        <f>VLOOKUP(A724,[2]data1761205830331!$A$1:$J$65536,10,0)</f>
        <v>-449661</v>
      </c>
    </row>
    <row r="725" spans="1:12" ht="15.75" customHeight="1" outlineLevel="1" thickBot="1">
      <c r="A725" s="11">
        <v>1344300940</v>
      </c>
      <c r="B725" s="40">
        <v>940</v>
      </c>
      <c r="C725" s="109">
        <v>344300</v>
      </c>
      <c r="D725" s="42">
        <v>1</v>
      </c>
      <c r="E725" s="43"/>
      <c r="F725" s="44" t="s">
        <v>582</v>
      </c>
      <c r="G725" s="45" t="s">
        <v>37</v>
      </c>
      <c r="H725" s="51">
        <f t="shared" si="10"/>
        <v>0</v>
      </c>
      <c r="I725" s="47"/>
      <c r="J725" s="48">
        <f>VLOOKUP(A725,'[1]תקציב 2026'!$A$1:$M$65536,9,0)</f>
        <v>-1173000</v>
      </c>
      <c r="K725" s="49">
        <f>VLOOKUP(A725,[3]גיליון1!$A$1:$C$7693,3,0)</f>
        <v>-1173000</v>
      </c>
      <c r="L725" s="50">
        <f>VLOOKUP(A725,[2]data1761205830331!$A$1:$J$65536,10,0)</f>
        <v>-977734</v>
      </c>
    </row>
    <row r="726" spans="1:12" ht="16.2" thickBot="1">
      <c r="A726" s="11" t="e">
        <v>#VALUE!</v>
      </c>
      <c r="B726" s="53" t="s">
        <v>583</v>
      </c>
      <c r="C726" s="54"/>
      <c r="D726" s="55"/>
      <c r="E726" s="84"/>
      <c r="F726" s="116" t="s">
        <v>584</v>
      </c>
      <c r="G726" s="58"/>
      <c r="H726" s="166">
        <f>J726/K726-1</f>
        <v>-9.2779870479300364E-3</v>
      </c>
      <c r="I726" s="72"/>
      <c r="J726" s="74">
        <f>SUBTOTAL(9,J718:J725)</f>
        <v>-10678200</v>
      </c>
      <c r="K726" s="92">
        <f>SUBTOTAL(9,K718:K725)</f>
        <v>-10778200</v>
      </c>
      <c r="L726" s="75">
        <f>SUBTOTAL(9,L718:L725)</f>
        <v>-10084456.27</v>
      </c>
    </row>
    <row r="727" spans="1:12" ht="15.75" customHeight="1" outlineLevel="1">
      <c r="A727" s="11">
        <v>13445000</v>
      </c>
      <c r="B727" s="40">
        <v>0</v>
      </c>
      <c r="C727" s="109">
        <v>344500</v>
      </c>
      <c r="D727" s="42">
        <v>1</v>
      </c>
      <c r="E727" s="152"/>
      <c r="F727" s="44" t="s">
        <v>585</v>
      </c>
      <c r="G727" s="45" t="s">
        <v>15</v>
      </c>
      <c r="H727" s="51"/>
      <c r="I727" s="47"/>
      <c r="J727" s="48"/>
      <c r="K727" s="49"/>
      <c r="L727" s="50"/>
    </row>
    <row r="728" spans="1:12" ht="15.75" customHeight="1" outlineLevel="1" thickBot="1">
      <c r="A728" s="11">
        <v>1344500931</v>
      </c>
      <c r="B728" s="40">
        <v>931</v>
      </c>
      <c r="C728" s="109">
        <v>344500</v>
      </c>
      <c r="D728" s="42">
        <v>1</v>
      </c>
      <c r="E728" s="133"/>
      <c r="F728" s="44" t="s">
        <v>586</v>
      </c>
      <c r="G728" s="45" t="s">
        <v>37</v>
      </c>
      <c r="H728" s="51">
        <f t="shared" ref="H728:H780" si="11">J728/K728-1</f>
        <v>0</v>
      </c>
      <c r="I728" s="47"/>
      <c r="J728" s="48">
        <f>VLOOKUP(A728,'[1]תקציב 2026'!$A$1:$M$65536,9,0)</f>
        <v>-250000</v>
      </c>
      <c r="K728" s="49">
        <f>VLOOKUP(A728,[3]גיליון1!$A$1:$C$7693,3,0)</f>
        <v>-250000</v>
      </c>
      <c r="L728" s="50">
        <f>VLOOKUP(A728,[2]data1761205830331!$A$1:$J$65536,10,0)</f>
        <v>-207668</v>
      </c>
    </row>
    <row r="729" spans="1:12" ht="16.2" thickBot="1">
      <c r="A729" s="11" t="e">
        <v>#VALUE!</v>
      </c>
      <c r="B729" s="53" t="s">
        <v>587</v>
      </c>
      <c r="C729" s="54"/>
      <c r="D729" s="55"/>
      <c r="E729" s="84"/>
      <c r="F729" s="116" t="s">
        <v>585</v>
      </c>
      <c r="G729" s="58"/>
      <c r="H729" s="166">
        <v>0</v>
      </c>
      <c r="I729" s="72"/>
      <c r="J729" s="74">
        <f>SUBTOTAL(9,J728)</f>
        <v>-250000</v>
      </c>
      <c r="K729" s="92">
        <f>SUBTOTAL(9,K728)</f>
        <v>-250000</v>
      </c>
      <c r="L729" s="75">
        <f>SUBTOTAL(9,L728)</f>
        <v>-207668</v>
      </c>
    </row>
    <row r="730" spans="1:12" ht="15.75" customHeight="1" outlineLevel="1">
      <c r="A730" s="11">
        <v>13453000</v>
      </c>
      <c r="B730" s="40">
        <v>0</v>
      </c>
      <c r="C730" s="109">
        <v>345300</v>
      </c>
      <c r="D730" s="42">
        <v>1</v>
      </c>
      <c r="E730" s="152"/>
      <c r="F730" s="44" t="s">
        <v>588</v>
      </c>
      <c r="G730" s="45" t="s">
        <v>15</v>
      </c>
      <c r="H730" s="51"/>
      <c r="I730" s="47"/>
      <c r="J730" s="48"/>
      <c r="K730" s="49"/>
      <c r="L730" s="50"/>
    </row>
    <row r="731" spans="1:12" ht="15.75" customHeight="1" outlineLevel="1">
      <c r="A731" s="11">
        <v>1345300421</v>
      </c>
      <c r="B731" s="40">
        <v>421</v>
      </c>
      <c r="C731" s="109">
        <v>345300</v>
      </c>
      <c r="D731" s="42">
        <v>1</v>
      </c>
      <c r="E731" s="133"/>
      <c r="F731" s="44" t="s">
        <v>589</v>
      </c>
      <c r="G731" s="45" t="s">
        <v>37</v>
      </c>
      <c r="H731" s="51">
        <f t="shared" si="11"/>
        <v>0</v>
      </c>
      <c r="I731" s="47"/>
      <c r="J731" s="48">
        <f>VLOOKUP(A731,'[1]תקציב 2026'!$A$1:$M$65536,9,0)</f>
        <v>-610000</v>
      </c>
      <c r="K731" s="49">
        <f>VLOOKUP(A731,[3]גיליון1!$A$1:$C$7693,3,0)</f>
        <v>-610000</v>
      </c>
      <c r="L731" s="50">
        <f>VLOOKUP(A731,[2]data1761205830331!$A$1:$J$65536,10,0)</f>
        <v>-598466</v>
      </c>
    </row>
    <row r="732" spans="1:12" ht="15.75" customHeight="1" outlineLevel="1">
      <c r="A732" s="11">
        <v>1345300931</v>
      </c>
      <c r="B732" s="40">
        <v>931</v>
      </c>
      <c r="C732" s="109">
        <v>345300</v>
      </c>
      <c r="D732" s="42">
        <v>1</v>
      </c>
      <c r="E732" s="133"/>
      <c r="F732" s="44" t="s">
        <v>590</v>
      </c>
      <c r="G732" s="45" t="s">
        <v>37</v>
      </c>
      <c r="H732" s="51">
        <f t="shared" si="11"/>
        <v>-0.5</v>
      </c>
      <c r="I732" s="47"/>
      <c r="J732" s="48">
        <f>VLOOKUP(A732,'[1]תקציב 2026'!$A$1:$M$65536,9,0)</f>
        <v>-37500</v>
      </c>
      <c r="K732" s="49">
        <f>VLOOKUP(A732,[3]גיליון1!$A$1:$C$7693,3,0)</f>
        <v>-75000</v>
      </c>
      <c r="L732" s="50">
        <f>VLOOKUP(A732,[2]data1761205830331!$A$1:$J$65536,10,0)</f>
        <v>-33898</v>
      </c>
    </row>
    <row r="733" spans="1:12" ht="15.75" customHeight="1" outlineLevel="1">
      <c r="A733" s="11">
        <v>1345300932</v>
      </c>
      <c r="B733" s="40">
        <v>932</v>
      </c>
      <c r="C733" s="109">
        <v>345300</v>
      </c>
      <c r="D733" s="42">
        <v>1</v>
      </c>
      <c r="E733" s="43"/>
      <c r="F733" s="44" t="s">
        <v>591</v>
      </c>
      <c r="G733" s="45" t="s">
        <v>37</v>
      </c>
      <c r="H733" s="51">
        <f t="shared" si="11"/>
        <v>0.5481845835221022</v>
      </c>
      <c r="I733" s="47"/>
      <c r="J733" s="48">
        <f>VLOOKUP(A733,'[1]תקציב 2026'!$A$1:$M$65536,9,0)</f>
        <v>-7176300</v>
      </c>
      <c r="K733" s="49">
        <f>VLOOKUP(A733,[3]גיליון1!$A$1:$C$7693,3,0)</f>
        <v>-4635300</v>
      </c>
      <c r="L733" s="50">
        <f>VLOOKUP(A733,[2]data1761205830331!$A$1:$J$65536,10,0)</f>
        <v>-5731178</v>
      </c>
    </row>
    <row r="734" spans="1:12" ht="15.75" customHeight="1" outlineLevel="1">
      <c r="A734" s="11">
        <v>1345300936</v>
      </c>
      <c r="B734" s="40">
        <v>936</v>
      </c>
      <c r="C734" s="109">
        <v>345300</v>
      </c>
      <c r="D734" s="42">
        <v>1</v>
      </c>
      <c r="E734" s="133"/>
      <c r="F734" s="44" t="s">
        <v>592</v>
      </c>
      <c r="G734" s="45" t="s">
        <v>37</v>
      </c>
      <c r="H734" s="51">
        <f t="shared" si="11"/>
        <v>0.66828675577156749</v>
      </c>
      <c r="I734" s="47"/>
      <c r="J734" s="48">
        <f>VLOOKUP(A734,'[1]תקציב 2026'!$A$1:$M$65536,9,0)</f>
        <v>-2059500</v>
      </c>
      <c r="K734" s="49">
        <f>VLOOKUP(A734,[3]גיליון1!$A$1:$C$7693,3,0)</f>
        <v>-1234500</v>
      </c>
      <c r="L734" s="50">
        <f>VLOOKUP(A734,[2]data1761205830331!$A$1:$J$65536,10,0)</f>
        <v>-1186345</v>
      </c>
    </row>
    <row r="735" spans="1:12" ht="15.75" customHeight="1" outlineLevel="1">
      <c r="A735" s="11">
        <v>1345300937</v>
      </c>
      <c r="B735" s="40">
        <v>937</v>
      </c>
      <c r="C735" s="109">
        <v>345300</v>
      </c>
      <c r="D735" s="42">
        <v>1</v>
      </c>
      <c r="E735" s="43"/>
      <c r="F735" s="44" t="s">
        <v>593</v>
      </c>
      <c r="G735" s="45" t="s">
        <v>37</v>
      </c>
      <c r="H735" s="51">
        <f t="shared" si="11"/>
        <v>0.11570247933884303</v>
      </c>
      <c r="I735" s="47"/>
      <c r="J735" s="48">
        <f>VLOOKUP(A735,'[1]תקציב 2026'!$A$1:$M$65536,9,0)</f>
        <v>-40500000</v>
      </c>
      <c r="K735" s="49">
        <f>VLOOKUP(A735,[3]גיליון1!$A$1:$C$7693,3,0)</f>
        <v>-36300000</v>
      </c>
      <c r="L735" s="50">
        <f>VLOOKUP(A735,[2]data1761205830331!$A$1:$J$65536,10,0)</f>
        <v>-37283699</v>
      </c>
    </row>
    <row r="736" spans="1:12" ht="15.75" customHeight="1" outlineLevel="1">
      <c r="A736" s="11">
        <v>1345300938</v>
      </c>
      <c r="B736" s="40">
        <v>938</v>
      </c>
      <c r="C736" s="109">
        <v>345300</v>
      </c>
      <c r="D736" s="42">
        <v>1</v>
      </c>
      <c r="E736" s="67"/>
      <c r="F736" s="44" t="s">
        <v>594</v>
      </c>
      <c r="G736" s="45" t="s">
        <v>37</v>
      </c>
      <c r="H736" s="51">
        <f t="shared" si="11"/>
        <v>9.565217391304337E-2</v>
      </c>
      <c r="I736" s="47"/>
      <c r="J736" s="48">
        <f>VLOOKUP(A736,'[1]תקציב 2026'!$A$1:$M$65536,9,0)</f>
        <v>-6300000</v>
      </c>
      <c r="K736" s="49">
        <f>VLOOKUP(A736,[3]גיליון1!$A$1:$C$7693,3,0)</f>
        <v>-5750000</v>
      </c>
      <c r="L736" s="50">
        <f>VLOOKUP(A736,[2]data1761205830331!$A$1:$J$65536,10,0)</f>
        <v>-6177738</v>
      </c>
    </row>
    <row r="737" spans="1:12" ht="15.75" customHeight="1" outlineLevel="1" thickBot="1">
      <c r="A737" s="11">
        <v>1345300939</v>
      </c>
      <c r="B737" s="40">
        <v>939</v>
      </c>
      <c r="C737" s="109">
        <v>345300</v>
      </c>
      <c r="D737" s="42">
        <v>1</v>
      </c>
      <c r="E737" s="67"/>
      <c r="F737" s="44" t="s">
        <v>595</v>
      </c>
      <c r="G737" s="45" t="s">
        <v>37</v>
      </c>
      <c r="H737" s="51">
        <f t="shared" si="11"/>
        <v>0</v>
      </c>
      <c r="I737" s="47"/>
      <c r="J737" s="48">
        <f>VLOOKUP(A737,'[1]תקציב 2026'!$A$1:$M$65536,9,0)</f>
        <v>-180000</v>
      </c>
      <c r="K737" s="49">
        <f>VLOOKUP(A737,[3]גיליון1!$A$1:$C$7693,3,0)</f>
        <v>-180000</v>
      </c>
      <c r="L737" s="50">
        <f>VLOOKUP(A737,[2]data1761205830331!$A$1:$J$65536,10,0)</f>
        <v>-212435</v>
      </c>
    </row>
    <row r="738" spans="1:12" ht="16.2" thickBot="1">
      <c r="A738" s="11" t="e">
        <v>#VALUE!</v>
      </c>
      <c r="B738" s="53" t="s">
        <v>596</v>
      </c>
      <c r="C738" s="54"/>
      <c r="D738" s="55"/>
      <c r="E738" s="84"/>
      <c r="F738" s="116" t="s">
        <v>597</v>
      </c>
      <c r="G738" s="58"/>
      <c r="H738" s="166">
        <f>J738/K738-1</f>
        <v>0.16559461143634913</v>
      </c>
      <c r="I738" s="72"/>
      <c r="J738" s="74">
        <f>SUBTOTAL(9,J731:J737)</f>
        <v>-56863300</v>
      </c>
      <c r="K738" s="92">
        <f>SUBTOTAL(9,K731:K737)</f>
        <v>-48784800</v>
      </c>
      <c r="L738" s="75">
        <f>SUBTOTAL(9,L731:L737)</f>
        <v>-51223759</v>
      </c>
    </row>
    <row r="739" spans="1:12" ht="15.75" customHeight="1" outlineLevel="1">
      <c r="A739" s="11">
        <v>13454000</v>
      </c>
      <c r="B739" s="40">
        <v>0</v>
      </c>
      <c r="C739" s="109">
        <v>345400</v>
      </c>
      <c r="D739" s="42">
        <v>1</v>
      </c>
      <c r="E739" s="152"/>
      <c r="F739" s="44" t="s">
        <v>598</v>
      </c>
      <c r="G739" s="45" t="s">
        <v>15</v>
      </c>
      <c r="H739" s="51"/>
      <c r="I739" s="47"/>
      <c r="J739" s="48"/>
      <c r="K739" s="49"/>
      <c r="L739" s="50"/>
    </row>
    <row r="740" spans="1:12" ht="15.75" customHeight="1" outlineLevel="1">
      <c r="A740" s="11">
        <v>1345400421</v>
      </c>
      <c r="B740" s="40">
        <v>421</v>
      </c>
      <c r="C740" s="109">
        <v>345400</v>
      </c>
      <c r="D740" s="42">
        <v>1</v>
      </c>
      <c r="E740" s="133"/>
      <c r="F740" s="44" t="s">
        <v>599</v>
      </c>
      <c r="G740" s="45" t="s">
        <v>37</v>
      </c>
      <c r="H740" s="51">
        <f t="shared" si="11"/>
        <v>0</v>
      </c>
      <c r="I740" s="47"/>
      <c r="J740" s="48">
        <f>VLOOKUP(A740,'[1]תקציב 2026'!$A$1:$M$65536,9,0)</f>
        <v>-140000</v>
      </c>
      <c r="K740" s="49">
        <f>VLOOKUP(A740,[3]גיליון1!$A$1:$C$7693,3,0)</f>
        <v>-140000</v>
      </c>
      <c r="L740" s="50">
        <f>VLOOKUP(A740,[2]data1761205830331!$A$1:$J$65536,10,0)</f>
        <v>-143677</v>
      </c>
    </row>
    <row r="741" spans="1:12" ht="15.75" customHeight="1" outlineLevel="1">
      <c r="A741" s="11">
        <v>1345400423</v>
      </c>
      <c r="B741" s="40">
        <v>423</v>
      </c>
      <c r="C741" s="109">
        <v>345400</v>
      </c>
      <c r="D741" s="42">
        <v>1</v>
      </c>
      <c r="E741" s="43"/>
      <c r="F741" s="44" t="s">
        <v>600</v>
      </c>
      <c r="G741" s="45" t="s">
        <v>37</v>
      </c>
      <c r="H741" s="51">
        <f t="shared" si="11"/>
        <v>0</v>
      </c>
      <c r="I741" s="47"/>
      <c r="J741" s="48">
        <f>VLOOKUP(A741,'[1]תקציב 2026'!$A$1:$M$65536,9,0)</f>
        <v>-40000</v>
      </c>
      <c r="K741" s="49">
        <v>-40000</v>
      </c>
      <c r="L741" s="50">
        <f>VLOOKUP(A741,[2]data1761205830331!$A$1:$J$65536,10,0)</f>
        <v>-40419.5</v>
      </c>
    </row>
    <row r="742" spans="1:12" ht="15.75" customHeight="1" outlineLevel="1" thickBot="1">
      <c r="A742" s="11">
        <v>1345400931</v>
      </c>
      <c r="B742" s="40">
        <v>931</v>
      </c>
      <c r="C742" s="109">
        <v>345400</v>
      </c>
      <c r="D742" s="42">
        <v>1</v>
      </c>
      <c r="E742" s="43"/>
      <c r="F742" s="44" t="s">
        <v>601</v>
      </c>
      <c r="G742" s="45" t="s">
        <v>37</v>
      </c>
      <c r="H742" s="51">
        <f t="shared" si="11"/>
        <v>0</v>
      </c>
      <c r="I742" s="47"/>
      <c r="J742" s="48">
        <f>VLOOKUP(A742,'[1]תקציב 2026'!$A$1:$M$65536,9,0)</f>
        <v>-1548800</v>
      </c>
      <c r="K742" s="49">
        <f>VLOOKUP(A742,[3]גיליון1!$A$1:$C$7693,3,0)</f>
        <v>-1548800</v>
      </c>
      <c r="L742" s="50">
        <f>VLOOKUP(A742,[2]data1761205830331!$A$1:$J$65536,10,0)</f>
        <v>-1372151</v>
      </c>
    </row>
    <row r="743" spans="1:12" ht="16.2" thickBot="1">
      <c r="A743" s="11" t="e">
        <v>#VALUE!</v>
      </c>
      <c r="B743" s="53" t="s">
        <v>602</v>
      </c>
      <c r="C743" s="54"/>
      <c r="D743" s="55"/>
      <c r="E743" s="84"/>
      <c r="F743" s="116" t="s">
        <v>598</v>
      </c>
      <c r="G743" s="58"/>
      <c r="H743" s="166">
        <v>0</v>
      </c>
      <c r="I743" s="72"/>
      <c r="J743" s="74">
        <f>SUBTOTAL(9,J740:J742)</f>
        <v>-1728800</v>
      </c>
      <c r="K743" s="92">
        <f>SUBTOTAL(9,K740:K742)</f>
        <v>-1728800</v>
      </c>
      <c r="L743" s="75">
        <f>SUBTOTAL(9,L740:L742)</f>
        <v>-1556247.5</v>
      </c>
    </row>
    <row r="744" spans="1:12" ht="15.75" customHeight="1" outlineLevel="1">
      <c r="A744" s="11">
        <v>13460000</v>
      </c>
      <c r="B744" s="192">
        <v>0</v>
      </c>
      <c r="C744" s="151">
        <v>346000</v>
      </c>
      <c r="D744" s="139">
        <v>1</v>
      </c>
      <c r="E744" s="152"/>
      <c r="F744" s="194" t="s">
        <v>603</v>
      </c>
      <c r="G744" s="203" t="s">
        <v>15</v>
      </c>
      <c r="H744" s="51"/>
      <c r="I744" s="47"/>
      <c r="J744" s="48"/>
      <c r="K744" s="49"/>
      <c r="L744" s="50"/>
    </row>
    <row r="745" spans="1:12" ht="15.75" customHeight="1" outlineLevel="1">
      <c r="A745" s="11">
        <v>1346200932</v>
      </c>
      <c r="B745" s="205">
        <v>932</v>
      </c>
      <c r="C745" s="109">
        <v>346200</v>
      </c>
      <c r="D745" s="42">
        <v>1</v>
      </c>
      <c r="E745" s="43"/>
      <c r="F745" s="44" t="s">
        <v>604</v>
      </c>
      <c r="G745" s="45" t="s">
        <v>37</v>
      </c>
      <c r="H745" s="51">
        <f t="shared" si="11"/>
        <v>0</v>
      </c>
      <c r="I745" s="47"/>
      <c r="J745" s="48">
        <f>VLOOKUP(A745,'[1]תקציב 2026'!$A$1:$M$65536,9,0)</f>
        <v>-525000</v>
      </c>
      <c r="K745" s="49">
        <f>VLOOKUP(A745,[3]גיליון1!$A$1:$C$7693,3,0)</f>
        <v>-525000</v>
      </c>
      <c r="L745" s="50">
        <f>VLOOKUP(A745,[2]data1761205830331!$A$1:$J$65536,10,0)</f>
        <v>-488603</v>
      </c>
    </row>
    <row r="746" spans="1:12" ht="15.75" customHeight="1" outlineLevel="1">
      <c r="A746" s="11">
        <v>1346200938</v>
      </c>
      <c r="B746" s="40">
        <v>938</v>
      </c>
      <c r="C746" s="109">
        <v>346200</v>
      </c>
      <c r="D746" s="42">
        <v>1</v>
      </c>
      <c r="E746" s="67"/>
      <c r="F746" s="44" t="s">
        <v>605</v>
      </c>
      <c r="G746" s="45" t="s">
        <v>37</v>
      </c>
      <c r="H746" s="51">
        <f t="shared" si="11"/>
        <v>0</v>
      </c>
      <c r="I746" s="47"/>
      <c r="J746" s="48">
        <f>VLOOKUP(A746,'[1]תקציב 2026'!$A$1:$M$65536,9,0)</f>
        <v>-474800</v>
      </c>
      <c r="K746" s="49">
        <f>VLOOKUP(A746,[3]גיליון1!$A$1:$C$7693,3,0)</f>
        <v>-474800</v>
      </c>
      <c r="L746" s="50">
        <f>VLOOKUP(A746,[2]data1761205830331!$A$1:$J$65536,10,0)</f>
        <v>-413874</v>
      </c>
    </row>
    <row r="747" spans="1:12" ht="15.75" customHeight="1" outlineLevel="1" thickBot="1">
      <c r="A747" s="11">
        <v>1346200939</v>
      </c>
      <c r="B747" s="40">
        <v>939</v>
      </c>
      <c r="C747" s="109">
        <v>346200</v>
      </c>
      <c r="D747" s="42">
        <v>1</v>
      </c>
      <c r="E747" s="133"/>
      <c r="F747" s="44" t="s">
        <v>606</v>
      </c>
      <c r="G747" s="45" t="s">
        <v>37</v>
      </c>
      <c r="H747" s="51">
        <f t="shared" si="11"/>
        <v>0</v>
      </c>
      <c r="I747" s="47"/>
      <c r="J747" s="48">
        <f>VLOOKUP(A747,'[1]תקציב 2026'!$A$1:$M$65536,9,0)</f>
        <v>-210000</v>
      </c>
      <c r="K747" s="49">
        <f>VLOOKUP(A747,[3]גיליון1!$A$1:$C$7693,3,0)</f>
        <v>-210000</v>
      </c>
      <c r="L747" s="50">
        <f>VLOOKUP(A747,[2]data1761205830331!$A$1:$J$65536,10,0)</f>
        <v>-167016</v>
      </c>
    </row>
    <row r="748" spans="1:12" ht="16.2" thickBot="1">
      <c r="A748" s="11" t="e">
        <v>#VALUE!</v>
      </c>
      <c r="B748" s="53" t="s">
        <v>607</v>
      </c>
      <c r="C748" s="54"/>
      <c r="D748" s="55"/>
      <c r="E748" s="84"/>
      <c r="F748" s="116" t="s">
        <v>608</v>
      </c>
      <c r="G748" s="58"/>
      <c r="H748" s="166">
        <v>0</v>
      </c>
      <c r="I748" s="72"/>
      <c r="J748" s="74">
        <f>SUBTOTAL(9,J745:J747)</f>
        <v>-1209800</v>
      </c>
      <c r="K748" s="92">
        <f>SUBTOTAL(9,K745:K747)</f>
        <v>-1209800</v>
      </c>
      <c r="L748" s="75">
        <f>SUBTOTAL(9,L745:L747)</f>
        <v>-1069493</v>
      </c>
    </row>
    <row r="749" spans="1:12" ht="15.75" customHeight="1" outlineLevel="1">
      <c r="A749" s="11">
        <v>13465000</v>
      </c>
      <c r="B749" s="64">
        <v>0</v>
      </c>
      <c r="C749" s="131">
        <v>346500</v>
      </c>
      <c r="D749" s="66">
        <v>1</v>
      </c>
      <c r="E749" s="152"/>
      <c r="F749" s="194" t="s">
        <v>609</v>
      </c>
      <c r="G749" s="153" t="s">
        <v>15</v>
      </c>
      <c r="H749" s="51"/>
      <c r="I749" s="47"/>
      <c r="J749" s="48"/>
      <c r="K749" s="49"/>
      <c r="L749" s="50"/>
    </row>
    <row r="750" spans="1:12" ht="15.75" customHeight="1" outlineLevel="1">
      <c r="A750" s="11">
        <v>1346500421</v>
      </c>
      <c r="B750" s="40">
        <v>421</v>
      </c>
      <c r="C750" s="109">
        <v>346500</v>
      </c>
      <c r="D750" s="42">
        <v>1</v>
      </c>
      <c r="E750" s="43"/>
      <c r="F750" s="68" t="s">
        <v>589</v>
      </c>
      <c r="G750" s="45" t="s">
        <v>37</v>
      </c>
      <c r="H750" s="51">
        <f t="shared" si="11"/>
        <v>0</v>
      </c>
      <c r="I750" s="47"/>
      <c r="J750" s="48">
        <f>VLOOKUP(A750,'[1]תקציב 2026'!$A$1:$M$65536,9,0)</f>
        <v>-1450000</v>
      </c>
      <c r="K750" s="49">
        <f>VLOOKUP(A750,[3]גיליון1!$A$1:$C$7693,3,0)</f>
        <v>-1450000</v>
      </c>
      <c r="L750" s="50">
        <f>VLOOKUP(A750,[2]data1761205830331!$A$1:$J$65536,10,0)</f>
        <v>-1313472.7</v>
      </c>
    </row>
    <row r="751" spans="1:12" ht="15.75" customHeight="1" outlineLevel="1">
      <c r="A751" s="11">
        <v>1346500423</v>
      </c>
      <c r="B751" s="40">
        <v>423</v>
      </c>
      <c r="C751" s="109">
        <v>346500</v>
      </c>
      <c r="D751" s="42">
        <v>1</v>
      </c>
      <c r="E751" s="43"/>
      <c r="F751" s="68" t="s">
        <v>538</v>
      </c>
      <c r="G751" s="45" t="s">
        <v>37</v>
      </c>
      <c r="H751" s="51">
        <v>1</v>
      </c>
      <c r="I751" s="47" t="s">
        <v>86</v>
      </c>
      <c r="J751" s="48">
        <f>VLOOKUP(A751,'[1]תקציב 2026'!$A$1:$M$65536,9,0)</f>
        <v>-15000</v>
      </c>
      <c r="K751" s="49">
        <v>0</v>
      </c>
      <c r="L751" s="50">
        <v>0</v>
      </c>
    </row>
    <row r="752" spans="1:12" ht="15.75" customHeight="1" outlineLevel="1">
      <c r="A752" s="11">
        <v>1346500931</v>
      </c>
      <c r="B752" s="40">
        <v>931</v>
      </c>
      <c r="C752" s="109">
        <v>346500</v>
      </c>
      <c r="D752" s="42">
        <v>1</v>
      </c>
      <c r="E752" s="43"/>
      <c r="F752" s="155" t="s">
        <v>610</v>
      </c>
      <c r="G752" s="45" t="s">
        <v>37</v>
      </c>
      <c r="H752" s="51">
        <v>1</v>
      </c>
      <c r="I752" s="47"/>
      <c r="J752" s="48">
        <f>VLOOKUP(A752,'[1]תקציב 2026'!$A$1:$M$65536,9,0)</f>
        <v>-32250</v>
      </c>
      <c r="K752" s="49">
        <v>0</v>
      </c>
      <c r="L752" s="50">
        <f>VLOOKUP(A752,[2]data1761205830331!$A$1:$J$65536,10,0)</f>
        <v>-2457</v>
      </c>
    </row>
    <row r="753" spans="1:12" ht="15.75" customHeight="1" outlineLevel="1">
      <c r="A753" s="11">
        <v>1346500932</v>
      </c>
      <c r="B753" s="40">
        <v>932</v>
      </c>
      <c r="C753" s="109">
        <v>346500</v>
      </c>
      <c r="D753" s="42">
        <v>1</v>
      </c>
      <c r="E753" s="43"/>
      <c r="F753" s="44" t="s">
        <v>611</v>
      </c>
      <c r="G753" s="45" t="s">
        <v>37</v>
      </c>
      <c r="H753" s="51">
        <f t="shared" si="11"/>
        <v>-1</v>
      </c>
      <c r="I753" s="47"/>
      <c r="J753" s="48">
        <f>VLOOKUP(A753,'[1]תקציב 2026'!$A$1:$M$65536,9,0)</f>
        <v>0</v>
      </c>
      <c r="K753" s="49">
        <f>VLOOKUP(A753,[3]גיליון1!$A$1:$C$7693,3,0)</f>
        <v>-37500</v>
      </c>
      <c r="L753" s="50">
        <f>VLOOKUP(A753,[2]data1761205830331!$A$1:$J$65536,10,0)</f>
        <v>-134483</v>
      </c>
    </row>
    <row r="754" spans="1:12" ht="15.75" customHeight="1" outlineLevel="1">
      <c r="A754" s="11">
        <v>1346500933</v>
      </c>
      <c r="B754" s="40">
        <v>933</v>
      </c>
      <c r="C754" s="109">
        <v>346500</v>
      </c>
      <c r="D754" s="42">
        <v>1</v>
      </c>
      <c r="E754" s="43"/>
      <c r="F754" s="155" t="s">
        <v>612</v>
      </c>
      <c r="G754" s="45" t="s">
        <v>37</v>
      </c>
      <c r="H754" s="51">
        <f t="shared" si="11"/>
        <v>7.1428571428571397E-2</v>
      </c>
      <c r="I754" s="47"/>
      <c r="J754" s="48">
        <f>VLOOKUP(A754,'[1]תקציב 2026'!$A$1:$M$65536,9,0)</f>
        <v>-562500</v>
      </c>
      <c r="K754" s="49">
        <f>VLOOKUP(A754,[3]גיליון1!$A$1:$C$7693,3,0)</f>
        <v>-525000</v>
      </c>
      <c r="L754" s="50">
        <f>VLOOKUP(A754,[2]data1761205830331!$A$1:$J$65536,10,0)</f>
        <v>-368460</v>
      </c>
    </row>
    <row r="755" spans="1:12" ht="15.75" customHeight="1" outlineLevel="1">
      <c r="A755" s="11">
        <v>1346500935</v>
      </c>
      <c r="B755" s="40">
        <v>935</v>
      </c>
      <c r="C755" s="109">
        <v>346500</v>
      </c>
      <c r="D755" s="42">
        <v>1</v>
      </c>
      <c r="E755" s="67"/>
      <c r="F755" s="44" t="s">
        <v>613</v>
      </c>
      <c r="G755" s="45" t="s">
        <v>37</v>
      </c>
      <c r="H755" s="51">
        <f t="shared" si="11"/>
        <v>-1</v>
      </c>
      <c r="I755" s="47"/>
      <c r="J755" s="48">
        <f>VLOOKUP(A755,'[1]תקציב 2026'!$A$1:$M$65536,9,0)</f>
        <v>0</v>
      </c>
      <c r="K755" s="49">
        <f>VLOOKUP(A755,[3]גיליון1!$A$1:$C$7693,3,0)</f>
        <v>-117000</v>
      </c>
      <c r="L755" s="50">
        <f>VLOOKUP(A755,[2]data1761205830331!$A$1:$J$65536,10,0)</f>
        <v>-48750</v>
      </c>
    </row>
    <row r="756" spans="1:12" ht="15.75" customHeight="1" outlineLevel="1">
      <c r="A756" s="11">
        <v>1346500936</v>
      </c>
      <c r="B756" s="40">
        <v>936</v>
      </c>
      <c r="C756" s="109">
        <v>346500</v>
      </c>
      <c r="D756" s="42">
        <v>1</v>
      </c>
      <c r="E756" s="133"/>
      <c r="F756" s="44" t="s">
        <v>614</v>
      </c>
      <c r="G756" s="45" t="s">
        <v>37</v>
      </c>
      <c r="H756" s="51">
        <f t="shared" si="11"/>
        <v>0</v>
      </c>
      <c r="I756" s="47"/>
      <c r="J756" s="48">
        <f>VLOOKUP(A756,'[1]תקציב 2026'!$A$1:$M$65536,9,0)</f>
        <v>-375000</v>
      </c>
      <c r="K756" s="49">
        <f>VLOOKUP(A756,[3]גיליון1!$A$1:$C$7693,3,0)</f>
        <v>-375000</v>
      </c>
      <c r="L756" s="50">
        <f>VLOOKUP(A756,[2]data1761205830331!$A$1:$J$65536,10,0)</f>
        <v>-354709</v>
      </c>
    </row>
    <row r="757" spans="1:12" ht="15.75" customHeight="1" outlineLevel="1">
      <c r="A757" s="11">
        <v>1346500937</v>
      </c>
      <c r="B757" s="40">
        <v>937</v>
      </c>
      <c r="C757" s="109">
        <v>346500</v>
      </c>
      <c r="D757" s="42">
        <v>1</v>
      </c>
      <c r="E757" s="200"/>
      <c r="F757" s="44" t="s">
        <v>615</v>
      </c>
      <c r="G757" s="45" t="s">
        <v>37</v>
      </c>
      <c r="H757" s="51">
        <f t="shared" si="11"/>
        <v>0</v>
      </c>
      <c r="I757" s="47"/>
      <c r="J757" s="48">
        <f>VLOOKUP(A757,'[1]תקציב 2026'!$A$1:$M$65536,9,0)</f>
        <v>-165000</v>
      </c>
      <c r="K757" s="49">
        <f>VLOOKUP(A757,[3]גיליון1!$A$1:$C$7693,3,0)</f>
        <v>-165000</v>
      </c>
      <c r="L757" s="50">
        <f>VLOOKUP(A757,[2]data1761205830331!$A$1:$J$65536,10,0)</f>
        <v>-58575</v>
      </c>
    </row>
    <row r="758" spans="1:12" ht="15.75" customHeight="1" outlineLevel="1">
      <c r="A758" s="11">
        <v>1346500938</v>
      </c>
      <c r="B758" s="40">
        <v>938</v>
      </c>
      <c r="C758" s="109">
        <v>346500</v>
      </c>
      <c r="D758" s="42">
        <v>1</v>
      </c>
      <c r="E758" s="43"/>
      <c r="F758" s="44" t="s">
        <v>616</v>
      </c>
      <c r="G758" s="45" t="s">
        <v>37</v>
      </c>
      <c r="H758" s="51">
        <f t="shared" si="11"/>
        <v>0.16514360313315923</v>
      </c>
      <c r="I758" s="47"/>
      <c r="J758" s="48">
        <f>VLOOKUP(A758,'[1]תקציב 2026'!$A$1:$M$65536,9,0)</f>
        <v>-1338750</v>
      </c>
      <c r="K758" s="49">
        <f>VLOOKUP(A758,[3]גיליון1!$A$1:$C$7693,3,0)</f>
        <v>-1149000</v>
      </c>
      <c r="L758" s="50">
        <f>VLOOKUP(A758,[2]data1761205830331!$A$1:$J$65536,10,0)</f>
        <v>-1226294</v>
      </c>
    </row>
    <row r="759" spans="1:12" ht="15.75" customHeight="1" outlineLevel="1">
      <c r="A759" s="11">
        <v>1346500939</v>
      </c>
      <c r="B759" s="40">
        <v>939</v>
      </c>
      <c r="C759" s="109">
        <v>346500</v>
      </c>
      <c r="D759" s="42">
        <v>1</v>
      </c>
      <c r="E759" s="43"/>
      <c r="F759" s="44" t="s">
        <v>617</v>
      </c>
      <c r="G759" s="45" t="s">
        <v>37</v>
      </c>
      <c r="H759" s="51">
        <f t="shared" si="11"/>
        <v>-0.13419913419913421</v>
      </c>
      <c r="I759" s="47"/>
      <c r="J759" s="48">
        <f>VLOOKUP(A759,'[1]תקציב 2026'!$A$1:$M$65536,9,0)</f>
        <v>-1800000</v>
      </c>
      <c r="K759" s="49">
        <f>VLOOKUP(A759,[3]גיליון1!$A$1:$C$7693,3,0)</f>
        <v>-2079000</v>
      </c>
      <c r="L759" s="50">
        <f>VLOOKUP(A759,[2]data1761205830331!$A$1:$J$65536,10,0)</f>
        <v>-883257</v>
      </c>
    </row>
    <row r="760" spans="1:12" ht="15.75" customHeight="1" outlineLevel="1">
      <c r="A760" s="11">
        <v>1346500941</v>
      </c>
      <c r="B760" s="40">
        <v>941</v>
      </c>
      <c r="C760" s="109">
        <v>346500</v>
      </c>
      <c r="D760" s="42">
        <v>1</v>
      </c>
      <c r="E760" s="133"/>
      <c r="F760" s="44" t="s">
        <v>618</v>
      </c>
      <c r="G760" s="45" t="s">
        <v>37</v>
      </c>
      <c r="H760" s="51">
        <f t="shared" si="11"/>
        <v>0.36250000000000004</v>
      </c>
      <c r="I760" s="47"/>
      <c r="J760" s="48">
        <f>VLOOKUP(A760,'[1]תקציב 2026'!$A$1:$M$65536,9,0)</f>
        <v>-327000</v>
      </c>
      <c r="K760" s="49">
        <f>VLOOKUP(A760,[3]גיליון1!$A$1:$C$7693,3,0)</f>
        <v>-240000</v>
      </c>
      <c r="L760" s="50">
        <f>VLOOKUP(A760,[2]data1761205830331!$A$1:$J$65536,10,0)</f>
        <v>-318039</v>
      </c>
    </row>
    <row r="761" spans="1:12" ht="15.75" customHeight="1" outlineLevel="1">
      <c r="A761" s="11">
        <v>1346500942</v>
      </c>
      <c r="B761" s="40">
        <v>942</v>
      </c>
      <c r="C761" s="109">
        <v>346500</v>
      </c>
      <c r="D761" s="42">
        <v>1</v>
      </c>
      <c r="E761" s="43"/>
      <c r="F761" s="44" t="s">
        <v>619</v>
      </c>
      <c r="G761" s="45" t="s">
        <v>37</v>
      </c>
      <c r="H761" s="51">
        <f t="shared" si="11"/>
        <v>0.4375</v>
      </c>
      <c r="I761" s="47"/>
      <c r="J761" s="48">
        <f>VLOOKUP(A761,'[1]תקציב 2026'!$A$1:$M$65536,9,0)</f>
        <v>-1725000</v>
      </c>
      <c r="K761" s="49">
        <f>VLOOKUP(A761,[3]גיליון1!$A$1:$C$7693,3,0)</f>
        <v>-1200000</v>
      </c>
      <c r="L761" s="50">
        <f>VLOOKUP(A761,[2]data1761205830331!$A$1:$J$65536,10,0)</f>
        <v>-604575</v>
      </c>
    </row>
    <row r="762" spans="1:12" ht="15.75" customHeight="1" outlineLevel="1">
      <c r="A762" s="11">
        <v>1346500947</v>
      </c>
      <c r="B762" s="40">
        <v>947</v>
      </c>
      <c r="C762" s="109">
        <v>346500</v>
      </c>
      <c r="D762" s="42">
        <v>1</v>
      </c>
      <c r="E762" s="43"/>
      <c r="F762" s="11" t="s">
        <v>620</v>
      </c>
      <c r="G762" s="45" t="s">
        <v>37</v>
      </c>
      <c r="H762" s="51">
        <f t="shared" si="11"/>
        <v>0</v>
      </c>
      <c r="I762" s="47"/>
      <c r="J762" s="48">
        <f>VLOOKUP(A762,'[1]תקציב 2026'!$A$1:$M$65536,9,0)</f>
        <v>-450000</v>
      </c>
      <c r="K762" s="49">
        <f>VLOOKUP(A762,[3]גיליון1!$A$1:$C$7693,3,0)</f>
        <v>-450000</v>
      </c>
      <c r="L762" s="50">
        <f>VLOOKUP(A762,[2]data1761205830331!$A$1:$J$65536,10,0)</f>
        <v>-420758</v>
      </c>
    </row>
    <row r="763" spans="1:12" ht="15.75" customHeight="1" outlineLevel="1">
      <c r="A763" s="11">
        <v>1346500982</v>
      </c>
      <c r="B763" s="40">
        <v>982</v>
      </c>
      <c r="C763" s="109">
        <v>346500</v>
      </c>
      <c r="D763" s="42">
        <v>1</v>
      </c>
      <c r="E763" s="133"/>
      <c r="F763" s="44" t="s">
        <v>621</v>
      </c>
      <c r="G763" s="45" t="s">
        <v>37</v>
      </c>
      <c r="H763" s="51">
        <f t="shared" si="11"/>
        <v>0.22476190476190472</v>
      </c>
      <c r="I763" s="47"/>
      <c r="J763" s="48">
        <f>VLOOKUP(A763,'[1]תקציב 2026'!$A$1:$M$65536,9,0)</f>
        <v>-1286000</v>
      </c>
      <c r="K763" s="49">
        <f>VLOOKUP(A763,[3]גיליון1!$A$1:$C$7693,3,0)</f>
        <v>-1050000</v>
      </c>
      <c r="L763" s="50">
        <f>VLOOKUP(A763,[2]data1761205830331!$A$1:$J$65536,10,0)</f>
        <v>-973948</v>
      </c>
    </row>
    <row r="764" spans="1:12" ht="15.75" customHeight="1" outlineLevel="1">
      <c r="A764" s="11">
        <v>1346500987</v>
      </c>
      <c r="B764" s="40">
        <v>987</v>
      </c>
      <c r="C764" s="109">
        <v>346500</v>
      </c>
      <c r="D764" s="42">
        <v>1</v>
      </c>
      <c r="E764" s="67"/>
      <c r="F764" s="44" t="s">
        <v>622</v>
      </c>
      <c r="G764" s="45" t="s">
        <v>37</v>
      </c>
      <c r="H764" s="51">
        <f t="shared" si="11"/>
        <v>0.20523415977961434</v>
      </c>
      <c r="I764" s="47"/>
      <c r="J764" s="48">
        <f>VLOOKUP(A764,'[1]תקציב 2026'!$A$1:$M$65536,9,0)</f>
        <v>-7000000</v>
      </c>
      <c r="K764" s="49">
        <f>VLOOKUP(A764,[3]גיליון1!$A$1:$C$7693,3,0)</f>
        <v>-5808000</v>
      </c>
      <c r="L764" s="50">
        <f>VLOOKUP(A764,[2]data1761205830331!$A$1:$J$65536,10,0)</f>
        <v>-6461774</v>
      </c>
    </row>
    <row r="765" spans="1:12" ht="15.75" customHeight="1" outlineLevel="1">
      <c r="A765" s="11">
        <f>[4]גיליון1!$A$1403</f>
        <v>1346500988</v>
      </c>
      <c r="B765" s="40">
        <f>[4]גיליון1!$B$1403</f>
        <v>988</v>
      </c>
      <c r="C765" s="109">
        <v>346500</v>
      </c>
      <c r="D765" s="42">
        <v>1</v>
      </c>
      <c r="E765" s="133"/>
      <c r="F765" s="44" t="str">
        <f>[4]גיליון1!$F$1403</f>
        <v>מעטפת מגורים בקהילה</v>
      </c>
      <c r="G765" s="45" t="str">
        <f>[4]גיליון1!$H$1403</f>
        <v>גמיש</v>
      </c>
      <c r="H765" s="51">
        <f t="shared" si="11"/>
        <v>0.9189723320158103</v>
      </c>
      <c r="I765" s="47"/>
      <c r="J765" s="48">
        <f>VLOOKUP(A765,'[1]תקציב 2026'!$A$1:$M$65536,9,0)</f>
        <v>-48550</v>
      </c>
      <c r="K765" s="49">
        <f>VLOOKUP(A765,[3]גיליון1!$A$1:$C$7693,3,0)</f>
        <v>-25300</v>
      </c>
      <c r="L765" s="50">
        <f>VLOOKUP(A765,[2]data1761205830331!$A$1:$J$65536,10,0)</f>
        <v>-21938</v>
      </c>
    </row>
    <row r="766" spans="1:12" ht="15.75" customHeight="1" outlineLevel="1">
      <c r="A766" s="11">
        <v>1346500990</v>
      </c>
      <c r="B766" s="40">
        <v>990</v>
      </c>
      <c r="C766" s="109">
        <v>346500</v>
      </c>
      <c r="D766" s="42">
        <v>1</v>
      </c>
      <c r="E766" s="43"/>
      <c r="F766" s="44" t="s">
        <v>623</v>
      </c>
      <c r="G766" s="45" t="s">
        <v>37</v>
      </c>
      <c r="H766" s="51">
        <f t="shared" si="11"/>
        <v>-0.375</v>
      </c>
      <c r="I766" s="47"/>
      <c r="J766" s="48">
        <f>VLOOKUP(A766,'[1]תקציב 2026'!$A$1:$M$65536,9,0)</f>
        <v>-225000</v>
      </c>
      <c r="K766" s="49">
        <f>VLOOKUP(A766,[3]גיליון1!$A$1:$C$7693,3,0)</f>
        <v>-360000</v>
      </c>
      <c r="L766" s="50">
        <f>VLOOKUP(A766,[2]data1761205830331!$A$1:$J$65536,10,0)</f>
        <v>-204888</v>
      </c>
    </row>
    <row r="767" spans="1:12" ht="15.75" customHeight="1" outlineLevel="1">
      <c r="A767" s="11">
        <v>1346500991</v>
      </c>
      <c r="B767" s="40">
        <v>991</v>
      </c>
      <c r="C767" s="109">
        <v>346500</v>
      </c>
      <c r="D767" s="42">
        <v>1</v>
      </c>
      <c r="E767" s="67"/>
      <c r="F767" s="44" t="s">
        <v>624</v>
      </c>
      <c r="G767" s="45" t="s">
        <v>37</v>
      </c>
      <c r="H767" s="51">
        <f t="shared" si="11"/>
        <v>0.31725888324873086</v>
      </c>
      <c r="I767" s="47" t="s">
        <v>137</v>
      </c>
      <c r="J767" s="48">
        <f>VLOOKUP(A767,'[1]תקציב 2026'!$A$1:$M$65536,9,0)</f>
        <v>-544950</v>
      </c>
      <c r="K767" s="49">
        <f>VLOOKUP(A767,[3]גיליון1!$A$1:$C$7693,3,0)</f>
        <v>-413700</v>
      </c>
      <c r="L767" s="50">
        <f>VLOOKUP(A767,[2]data1761205830331!$A$1:$J$65536,10,0)</f>
        <v>-433381</v>
      </c>
    </row>
    <row r="768" spans="1:12" ht="15.75" customHeight="1" outlineLevel="1">
      <c r="A768" s="11">
        <v>1346500992</v>
      </c>
      <c r="B768" s="40">
        <v>992</v>
      </c>
      <c r="C768" s="109">
        <v>346500</v>
      </c>
      <c r="D768" s="42">
        <v>1</v>
      </c>
      <c r="E768" s="67"/>
      <c r="F768" s="44" t="s">
        <v>625</v>
      </c>
      <c r="G768" s="45" t="s">
        <v>37</v>
      </c>
      <c r="H768" s="51">
        <f t="shared" si="11"/>
        <v>0.79333333333333322</v>
      </c>
      <c r="I768" s="47"/>
      <c r="J768" s="48">
        <f>VLOOKUP(A768,'[1]תקציב 2026'!$A$1:$M$65536,9,0)</f>
        <v>-403500</v>
      </c>
      <c r="K768" s="49">
        <f>VLOOKUP(A768,[3]גיליון1!$A$1:$C$7693,3,0)</f>
        <v>-225000</v>
      </c>
      <c r="L768" s="50">
        <f>VLOOKUP(A768,[2]data1761205830331!$A$1:$J$65536,10,0)</f>
        <v>-238190</v>
      </c>
    </row>
    <row r="769" spans="1:12" s="204" customFormat="1" ht="15.75" customHeight="1" outlineLevel="1">
      <c r="A769" s="11">
        <v>1346500994</v>
      </c>
      <c r="B769" s="40">
        <v>994</v>
      </c>
      <c r="C769" s="109">
        <v>346500</v>
      </c>
      <c r="D769" s="42">
        <v>1</v>
      </c>
      <c r="E769" s="67"/>
      <c r="F769" s="44" t="s">
        <v>626</v>
      </c>
      <c r="G769" s="45" t="s">
        <v>37</v>
      </c>
      <c r="H769" s="51">
        <f t="shared" si="11"/>
        <v>0.22473803164166828</v>
      </c>
      <c r="I769" s="51"/>
      <c r="J769" s="48">
        <f>VLOOKUP(A769,'[1]תקציב 2026'!$A$1:$M$65536,9,0)</f>
        <v>-29804000</v>
      </c>
      <c r="K769" s="49">
        <f>VLOOKUP(A769,[3]גיליון1!$A$1:$C$7693,3,0)</f>
        <v>-24335000</v>
      </c>
      <c r="L769" s="50">
        <f>VLOOKUP(A769,[2]data1761205830331!$A$1:$J$65536,10,0)</f>
        <v>-29401616</v>
      </c>
    </row>
    <row r="770" spans="1:12" ht="15.75" customHeight="1" outlineLevel="1">
      <c r="A770" s="11">
        <v>1346500995</v>
      </c>
      <c r="B770" s="40">
        <v>995</v>
      </c>
      <c r="C770" s="109">
        <v>346500</v>
      </c>
      <c r="D770" s="42">
        <v>1</v>
      </c>
      <c r="E770" s="67"/>
      <c r="F770" s="155" t="s">
        <v>627</v>
      </c>
      <c r="G770" s="45" t="s">
        <v>37</v>
      </c>
      <c r="H770" s="51">
        <f t="shared" si="11"/>
        <v>0.60000000000000009</v>
      </c>
      <c r="I770" s="47"/>
      <c r="J770" s="48">
        <f>VLOOKUP(A770,'[1]תקציב 2026'!$A$1:$M$65536,9,0)</f>
        <v>-312000</v>
      </c>
      <c r="K770" s="49">
        <f>VLOOKUP(A770,[3]גיליון1!$A$1:$C$7693,3,0)</f>
        <v>-195000</v>
      </c>
      <c r="L770" s="50">
        <f>VLOOKUP(A770,[2]data1761205830331!$A$1:$J$65536,10,0)</f>
        <v>-145738</v>
      </c>
    </row>
    <row r="771" spans="1:12" ht="15.75" customHeight="1" outlineLevel="1">
      <c r="A771" s="11">
        <v>1346500996</v>
      </c>
      <c r="B771" s="40">
        <v>996</v>
      </c>
      <c r="C771" s="109">
        <v>346500</v>
      </c>
      <c r="D771" s="42">
        <v>1</v>
      </c>
      <c r="E771" s="133"/>
      <c r="F771" s="44" t="s">
        <v>628</v>
      </c>
      <c r="G771" s="45" t="s">
        <v>37</v>
      </c>
      <c r="H771" s="51">
        <f t="shared" si="11"/>
        <v>0</v>
      </c>
      <c r="I771" s="47"/>
      <c r="J771" s="48">
        <f>VLOOKUP(A771,'[1]תקציב 2026'!$A$1:$M$65536,9,0)</f>
        <v>-207400</v>
      </c>
      <c r="K771" s="49">
        <f>VLOOKUP(A771,[3]גיליון1!$A$1:$C$7693,3,0)</f>
        <v>-207400</v>
      </c>
      <c r="L771" s="50">
        <f>VLOOKUP(A771,[2]data1761205830331!$A$1:$J$65536,10,0)</f>
        <v>-220226</v>
      </c>
    </row>
    <row r="772" spans="1:12" ht="15.75" customHeight="1" outlineLevel="1">
      <c r="A772" s="11">
        <v>1346500997</v>
      </c>
      <c r="B772" s="40">
        <v>997</v>
      </c>
      <c r="C772" s="109">
        <v>346500</v>
      </c>
      <c r="D772" s="42">
        <v>1</v>
      </c>
      <c r="E772" s="43"/>
      <c r="F772" s="44" t="s">
        <v>629</v>
      </c>
      <c r="G772" s="45" t="s">
        <v>37</v>
      </c>
      <c r="H772" s="51">
        <f t="shared" si="11"/>
        <v>6.2453806356245423E-2</v>
      </c>
      <c r="I772" s="47"/>
      <c r="J772" s="48">
        <f>VLOOKUP(A772,'[1]תקציב 2026'!$A$1:$M$65536,9,0)</f>
        <v>-13800000</v>
      </c>
      <c r="K772" s="49">
        <f>VLOOKUP(A772,[3]גיליון1!$A$1:$C$7693,3,0)</f>
        <v>-12988800</v>
      </c>
      <c r="L772" s="50">
        <f>VLOOKUP(A772,[2]data1761205830331!$A$1:$J$65536,10,0)</f>
        <v>-13157353</v>
      </c>
    </row>
    <row r="773" spans="1:12" ht="15.75" customHeight="1" outlineLevel="1" thickBot="1">
      <c r="A773" s="11">
        <v>1346500998</v>
      </c>
      <c r="B773" s="40">
        <v>998</v>
      </c>
      <c r="C773" s="109">
        <v>346500</v>
      </c>
      <c r="D773" s="42">
        <v>1</v>
      </c>
      <c r="E773" s="197"/>
      <c r="F773" s="44" t="s">
        <v>630</v>
      </c>
      <c r="G773" s="45" t="s">
        <v>37</v>
      </c>
      <c r="H773" s="51">
        <f t="shared" si="11"/>
        <v>-0.40740740740740744</v>
      </c>
      <c r="I773" s="47"/>
      <c r="J773" s="48">
        <f>VLOOKUP(A773,'[1]תקציב 2026'!$A$1:$M$65536,9,0)</f>
        <v>-240000</v>
      </c>
      <c r="K773" s="49">
        <f>VLOOKUP(A773,[3]גיליון1!$A$1:$C$7693,3,0)</f>
        <v>-405000</v>
      </c>
      <c r="L773" s="50">
        <f>VLOOKUP(A773,[2]data1761205830331!$A$1:$J$65536,10,0)</f>
        <v>-235412</v>
      </c>
    </row>
    <row r="774" spans="1:12" ht="16.2" thickBot="1">
      <c r="A774" s="11" t="e">
        <v>#VALUE!</v>
      </c>
      <c r="B774" s="53" t="s">
        <v>631</v>
      </c>
      <c r="C774" s="54"/>
      <c r="D774" s="55"/>
      <c r="E774" s="133"/>
      <c r="F774" s="116" t="s">
        <v>609</v>
      </c>
      <c r="G774" s="58"/>
      <c r="H774" s="166">
        <f>J774/K774-1</f>
        <v>0.1544812613962272</v>
      </c>
      <c r="I774" s="72"/>
      <c r="J774" s="74">
        <f>SUBTOTAL(9,J750:J773)</f>
        <v>-62111900</v>
      </c>
      <c r="K774" s="92">
        <f>SUBTOTAL(9,K750:K773)</f>
        <v>-53800700</v>
      </c>
      <c r="L774" s="75">
        <f>SUBTOTAL(9,L750:L773)</f>
        <v>-57228293.700000003</v>
      </c>
    </row>
    <row r="775" spans="1:12" ht="15.75" customHeight="1" outlineLevel="1">
      <c r="A775" s="11">
        <v>13470000</v>
      </c>
      <c r="B775" s="40">
        <v>0</v>
      </c>
      <c r="C775" s="109">
        <v>347000</v>
      </c>
      <c r="D775" s="193">
        <v>1</v>
      </c>
      <c r="E775" s="152"/>
      <c r="F775" s="44" t="s">
        <v>632</v>
      </c>
      <c r="G775" s="45" t="s">
        <v>15</v>
      </c>
      <c r="H775" s="51"/>
      <c r="I775" s="47"/>
      <c r="J775" s="48"/>
      <c r="K775" s="49"/>
      <c r="L775" s="50"/>
    </row>
    <row r="776" spans="1:12" ht="15.75" customHeight="1" outlineLevel="1">
      <c r="A776" s="11">
        <v>1347100933</v>
      </c>
      <c r="B776" s="40">
        <v>933</v>
      </c>
      <c r="C776" s="109">
        <v>347100</v>
      </c>
      <c r="D776" s="42">
        <v>1</v>
      </c>
      <c r="E776" s="133"/>
      <c r="F776" s="44" t="s">
        <v>633</v>
      </c>
      <c r="G776" s="45" t="s">
        <v>37</v>
      </c>
      <c r="H776" s="51">
        <f t="shared" si="11"/>
        <v>0</v>
      </c>
      <c r="I776" s="47"/>
      <c r="J776" s="48">
        <f>VLOOKUP(A776,'[1]תקציב 2026'!$A$1:$M$65536,9,0)</f>
        <v>-1456500</v>
      </c>
      <c r="K776" s="49">
        <f>VLOOKUP(A776,[3]גיליון1!$A$1:$C$7693,3,0)</f>
        <v>-1456500</v>
      </c>
      <c r="L776" s="50">
        <f>VLOOKUP(A776,[2]data1761205830331!$A$1:$J$65536,10,0)</f>
        <v>-1553111</v>
      </c>
    </row>
    <row r="777" spans="1:12" ht="15.75" customHeight="1" outlineLevel="1">
      <c r="A777" s="11">
        <v>1347100937</v>
      </c>
      <c r="B777" s="40">
        <v>937</v>
      </c>
      <c r="C777" s="109">
        <v>347100</v>
      </c>
      <c r="D777" s="42">
        <v>1</v>
      </c>
      <c r="E777" s="43"/>
      <c r="F777" s="44" t="s">
        <v>634</v>
      </c>
      <c r="G777" s="45" t="s">
        <v>37</v>
      </c>
      <c r="H777" s="51">
        <f t="shared" si="11"/>
        <v>-0.41277795176949572</v>
      </c>
      <c r="I777" s="47"/>
      <c r="J777" s="48">
        <f>VLOOKUP(A777,'[1]תקציב 2026'!$A$1:$M$65536,9,0)</f>
        <v>-750000</v>
      </c>
      <c r="K777" s="49">
        <f>VLOOKUP(A777,[3]גיליון1!$A$1:$C$7693,3,0)</f>
        <v>-1277200</v>
      </c>
      <c r="L777" s="50">
        <f>VLOOKUP(A777,[2]data1761205830331!$A$1:$J$65536,10,0)</f>
        <v>-669153</v>
      </c>
    </row>
    <row r="778" spans="1:12" ht="15.75" customHeight="1" outlineLevel="1">
      <c r="A778" s="11">
        <v>1347100938</v>
      </c>
      <c r="B778" s="40">
        <v>938</v>
      </c>
      <c r="C778" s="109">
        <v>347100</v>
      </c>
      <c r="D778" s="42">
        <v>1</v>
      </c>
      <c r="E778" s="133"/>
      <c r="F778" s="44" t="s">
        <v>635</v>
      </c>
      <c r="G778" s="45" t="s">
        <v>37</v>
      </c>
      <c r="H778" s="51">
        <f t="shared" si="11"/>
        <v>-1</v>
      </c>
      <c r="I778" s="47"/>
      <c r="J778" s="48">
        <f>VLOOKUP(A778,'[1]תקציב 2026'!$A$1:$M$65536,9,0)</f>
        <v>0</v>
      </c>
      <c r="K778" s="49">
        <f>VLOOKUP(A778,[3]גיליון1!$A$1:$C$7693,3,0)</f>
        <v>-187500</v>
      </c>
      <c r="L778" s="50">
        <f>VLOOKUP(A778,[2]data1761205830331!$A$1:$J$65536,10,0)</f>
        <v>0</v>
      </c>
    </row>
    <row r="779" spans="1:12" ht="15.75" customHeight="1" outlineLevel="1">
      <c r="A779" s="11">
        <v>1347100940</v>
      </c>
      <c r="B779" s="40">
        <v>940</v>
      </c>
      <c r="C779" s="109">
        <v>347100</v>
      </c>
      <c r="D779" s="42">
        <v>1</v>
      </c>
      <c r="E779" s="43"/>
      <c r="F779" s="44" t="s">
        <v>636</v>
      </c>
      <c r="G779" s="45" t="s">
        <v>37</v>
      </c>
      <c r="H779" s="51">
        <f t="shared" si="11"/>
        <v>0</v>
      </c>
      <c r="I779" s="47"/>
      <c r="J779" s="48">
        <f>VLOOKUP(A779,'[1]תקציב 2026'!$A$1:$M$65536,9,0)</f>
        <v>-980000</v>
      </c>
      <c r="K779" s="49">
        <f>VLOOKUP(A779,[3]גיליון1!$A$1:$C$7693,3,0)</f>
        <v>-980000</v>
      </c>
      <c r="L779" s="50">
        <f>VLOOKUP(A779,[2]data1761205830331!$A$1:$J$65536,10,0)</f>
        <v>-907032</v>
      </c>
    </row>
    <row r="780" spans="1:12" ht="15.75" customHeight="1" outlineLevel="1">
      <c r="A780" s="11">
        <v>1347100941</v>
      </c>
      <c r="B780" s="40">
        <v>941</v>
      </c>
      <c r="C780" s="109">
        <v>347100</v>
      </c>
      <c r="D780" s="42">
        <v>1</v>
      </c>
      <c r="E780" s="43"/>
      <c r="F780" s="44" t="s">
        <v>637</v>
      </c>
      <c r="G780" s="45" t="s">
        <v>37</v>
      </c>
      <c r="H780" s="51">
        <f t="shared" si="11"/>
        <v>0.18518518518518512</v>
      </c>
      <c r="I780" s="47"/>
      <c r="J780" s="48">
        <f>VLOOKUP(A780,'[1]תקציב 2026'!$A$1:$M$65536,9,0)</f>
        <v>-672000</v>
      </c>
      <c r="K780" s="49">
        <f>VLOOKUP(A780,[3]גיליון1!$A$1:$C$7693,3,0)</f>
        <v>-567000</v>
      </c>
      <c r="L780" s="50">
        <f>VLOOKUP(A780,[2]data1761205830331!$A$1:$J$65536,10,0)</f>
        <v>-609900</v>
      </c>
    </row>
    <row r="781" spans="1:12" ht="15.75" customHeight="1" outlineLevel="1" thickBot="1">
      <c r="A781" s="11">
        <v>1347100942</v>
      </c>
      <c r="B781" s="40">
        <v>942</v>
      </c>
      <c r="C781" s="109">
        <v>347100</v>
      </c>
      <c r="D781" s="42">
        <v>1</v>
      </c>
      <c r="E781" s="67"/>
      <c r="F781" s="44" t="s">
        <v>638</v>
      </c>
      <c r="G781" s="45" t="s">
        <v>37</v>
      </c>
      <c r="H781" s="51">
        <v>0</v>
      </c>
      <c r="I781" s="47"/>
      <c r="J781" s="48">
        <f>VLOOKUP(A781,'[1]תקציב 2026'!$A$1:$M$65536,9,0)</f>
        <v>0</v>
      </c>
      <c r="K781" s="49">
        <f>VLOOKUP(A781,[3]גיליון1!$A$1:$C$7693,3,0)</f>
        <v>0</v>
      </c>
      <c r="L781" s="50">
        <f>VLOOKUP(A781,[2]data1761205830331!$A$1:$J$65536,10,0)</f>
        <v>-261338</v>
      </c>
    </row>
    <row r="782" spans="1:12" ht="16.2" thickBot="1">
      <c r="A782" s="11" t="e">
        <v>#VALUE!</v>
      </c>
      <c r="B782" s="53" t="s">
        <v>639</v>
      </c>
      <c r="C782" s="54"/>
      <c r="D782" s="55"/>
      <c r="E782" s="56"/>
      <c r="F782" s="116" t="s">
        <v>640</v>
      </c>
      <c r="G782" s="58"/>
      <c r="H782" s="166">
        <f>J782/K782-1</f>
        <v>-0.13645315787117851</v>
      </c>
      <c r="I782" s="72"/>
      <c r="J782" s="74">
        <f>SUBTOTAL(9,J776:J781)</f>
        <v>-3858500</v>
      </c>
      <c r="K782" s="92">
        <f>SUBTOTAL(9,K776:K781)</f>
        <v>-4468200</v>
      </c>
      <c r="L782" s="75">
        <f>SUBTOTAL(9,L776:L781)</f>
        <v>-4000534</v>
      </c>
    </row>
    <row r="783" spans="1:12" ht="15.75" customHeight="1" outlineLevel="1">
      <c r="A783" s="11">
        <v>13472000</v>
      </c>
      <c r="B783" s="40">
        <v>0</v>
      </c>
      <c r="C783" s="109">
        <v>347200</v>
      </c>
      <c r="D783" s="66">
        <v>1</v>
      </c>
      <c r="E783" s="112"/>
      <c r="F783" s="44" t="s">
        <v>290</v>
      </c>
      <c r="G783" s="45" t="s">
        <v>15</v>
      </c>
      <c r="H783" s="129"/>
      <c r="I783" s="47"/>
      <c r="J783" s="48"/>
      <c r="K783" s="49"/>
      <c r="L783" s="50"/>
    </row>
    <row r="784" spans="1:12" ht="15.75" customHeight="1" outlineLevel="1">
      <c r="A784" s="11">
        <v>1347200920</v>
      </c>
      <c r="B784" s="40">
        <v>920</v>
      </c>
      <c r="C784" s="109">
        <v>347200</v>
      </c>
      <c r="D784" s="42">
        <v>1</v>
      </c>
      <c r="E784" s="112"/>
      <c r="F784" s="44" t="s">
        <v>291</v>
      </c>
      <c r="G784" s="45" t="s">
        <v>37</v>
      </c>
      <c r="H784" s="51">
        <v>1</v>
      </c>
      <c r="I784" s="47" t="s">
        <v>86</v>
      </c>
      <c r="J784" s="48">
        <f>VLOOKUP(A784,'[1]תקציב 2026'!$A$1:$M$65536,9,0)</f>
        <v>-10500</v>
      </c>
      <c r="K784" s="49">
        <v>0</v>
      </c>
      <c r="L784" s="50">
        <v>0</v>
      </c>
    </row>
    <row r="785" spans="1:12" ht="15.75" customHeight="1" outlineLevel="1">
      <c r="A785" s="11">
        <v>1347200937</v>
      </c>
      <c r="B785" s="40">
        <v>937</v>
      </c>
      <c r="C785" s="109">
        <v>347200</v>
      </c>
      <c r="D785" s="42">
        <v>1</v>
      </c>
      <c r="E785" s="112"/>
      <c r="F785" s="44" t="s">
        <v>292</v>
      </c>
      <c r="G785" s="45" t="s">
        <v>37</v>
      </c>
      <c r="H785" s="51">
        <v>1</v>
      </c>
      <c r="I785" s="47" t="s">
        <v>86</v>
      </c>
      <c r="J785" s="48">
        <f>VLOOKUP(A785,'[1]תקציב 2026'!$A$1:$M$65536,9,0)</f>
        <v>-200000</v>
      </c>
      <c r="K785" s="49">
        <v>0</v>
      </c>
      <c r="L785" s="50">
        <v>0</v>
      </c>
    </row>
    <row r="786" spans="1:12" ht="15.75" customHeight="1" outlineLevel="1" thickBot="1">
      <c r="A786" s="11">
        <v>1347200990</v>
      </c>
      <c r="B786" s="40">
        <v>990</v>
      </c>
      <c r="C786" s="109">
        <v>347200</v>
      </c>
      <c r="D786" s="42">
        <v>1</v>
      </c>
      <c r="E786" s="112"/>
      <c r="F786" s="155" t="s">
        <v>293</v>
      </c>
      <c r="G786" s="45" t="s">
        <v>37</v>
      </c>
      <c r="H786" s="130">
        <v>1</v>
      </c>
      <c r="I786" s="47" t="s">
        <v>86</v>
      </c>
      <c r="J786" s="48">
        <f>VLOOKUP(A786,'[1]תקציב 2026'!$A$1:$M$65536,9,0)</f>
        <v>-401200</v>
      </c>
      <c r="K786" s="49">
        <v>0</v>
      </c>
      <c r="L786" s="50">
        <v>0</v>
      </c>
    </row>
    <row r="787" spans="1:12" ht="16.2" thickBot="1">
      <c r="A787" s="11" t="e">
        <v>#VALUE!</v>
      </c>
      <c r="B787" s="53" t="s">
        <v>641</v>
      </c>
      <c r="C787" s="54"/>
      <c r="D787" s="55"/>
      <c r="E787" s="115"/>
      <c r="F787" s="116" t="s">
        <v>290</v>
      </c>
      <c r="G787" s="58"/>
      <c r="H787" s="71">
        <v>1</v>
      </c>
      <c r="I787" s="72"/>
      <c r="J787" s="74">
        <f>SUBTOTAL(9,J784:J786)</f>
        <v>-611700</v>
      </c>
      <c r="K787" s="92">
        <f>SUBTOTAL(9,K784:K786)</f>
        <v>0</v>
      </c>
      <c r="L787" s="75">
        <f>SUBTOTAL(9,L784:L786)</f>
        <v>0</v>
      </c>
    </row>
    <row r="788" spans="1:12" ht="15.75" customHeight="1" outlineLevel="1">
      <c r="A788" s="11">
        <v>13473000</v>
      </c>
      <c r="B788" s="40">
        <v>0</v>
      </c>
      <c r="C788" s="109">
        <v>347300</v>
      </c>
      <c r="D788" s="193">
        <v>1</v>
      </c>
      <c r="E788" s="67"/>
      <c r="F788" s="44" t="s">
        <v>642</v>
      </c>
      <c r="G788" s="45" t="s">
        <v>15</v>
      </c>
      <c r="H788" s="51"/>
      <c r="I788" s="47"/>
      <c r="J788" s="48"/>
      <c r="K788" s="49"/>
      <c r="L788" s="50"/>
    </row>
    <row r="789" spans="1:12" ht="15.75" customHeight="1" outlineLevel="1">
      <c r="A789" s="11">
        <v>1347300421</v>
      </c>
      <c r="B789" s="40">
        <v>421</v>
      </c>
      <c r="C789" s="109">
        <v>347300</v>
      </c>
      <c r="D789" s="42">
        <v>1</v>
      </c>
      <c r="E789" s="67"/>
      <c r="F789" s="44" t="s">
        <v>643</v>
      </c>
      <c r="G789" s="45" t="s">
        <v>37</v>
      </c>
      <c r="H789" s="51">
        <f t="shared" ref="H789:H850" si="12">J789/K789-1</f>
        <v>0</v>
      </c>
      <c r="I789" s="47"/>
      <c r="J789" s="48">
        <f>VLOOKUP(A789,'[1]תקציב 2026'!$A$1:$M$65536,9,0)</f>
        <v>-45000</v>
      </c>
      <c r="K789" s="49">
        <f>VLOOKUP(A789,[3]גיליון1!$A$1:$C$7693,3,0)</f>
        <v>-45000</v>
      </c>
      <c r="L789" s="50">
        <f>VLOOKUP(A789,[2]data1761205830331!$A$1:$J$65536,10,0)</f>
        <v>-60627</v>
      </c>
    </row>
    <row r="790" spans="1:12" ht="15.75" customHeight="1" outlineLevel="1">
      <c r="A790" s="11">
        <v>1347300422</v>
      </c>
      <c r="B790" s="40">
        <v>422</v>
      </c>
      <c r="C790" s="109">
        <v>347300</v>
      </c>
      <c r="D790" s="42">
        <v>1</v>
      </c>
      <c r="E790" s="67"/>
      <c r="F790" s="44" t="s">
        <v>644</v>
      </c>
      <c r="G790" s="45" t="s">
        <v>37</v>
      </c>
      <c r="H790" s="51">
        <f t="shared" si="12"/>
        <v>0</v>
      </c>
      <c r="I790" s="47"/>
      <c r="J790" s="48">
        <f>VLOOKUP(A790,'[1]תקציב 2026'!$A$1:$M$65536,9,0)</f>
        <v>-20000</v>
      </c>
      <c r="K790" s="49">
        <f>VLOOKUP(A790,[3]גיליון1!$A$1:$C$7693,3,0)</f>
        <v>-20000</v>
      </c>
      <c r="L790" s="50">
        <f>VLOOKUP(A790,[2]data1761205830331!$A$1:$J$65536,10,0)</f>
        <v>-17235</v>
      </c>
    </row>
    <row r="791" spans="1:12" ht="15.75" customHeight="1" outlineLevel="1">
      <c r="A791" s="11">
        <v>1347300423</v>
      </c>
      <c r="B791" s="40">
        <v>423</v>
      </c>
      <c r="C791" s="109">
        <v>347300</v>
      </c>
      <c r="D791" s="42">
        <v>1</v>
      </c>
      <c r="E791" s="67"/>
      <c r="F791" s="44" t="s">
        <v>645</v>
      </c>
      <c r="G791" s="45" t="s">
        <v>37</v>
      </c>
      <c r="H791" s="51">
        <v>1</v>
      </c>
      <c r="I791" s="47" t="s">
        <v>86</v>
      </c>
      <c r="J791" s="48">
        <f>VLOOKUP(A791,'[1]תקציב 2026'!$A$1:$M$65536,9,0)</f>
        <v>-480000</v>
      </c>
      <c r="K791" s="49">
        <v>0</v>
      </c>
      <c r="L791" s="50">
        <v>0</v>
      </c>
    </row>
    <row r="792" spans="1:12" ht="15.75" customHeight="1" outlineLevel="1" thickBot="1">
      <c r="A792" s="11">
        <v>1347300933</v>
      </c>
      <c r="B792" s="40">
        <v>933</v>
      </c>
      <c r="C792" s="109">
        <v>347300</v>
      </c>
      <c r="D792" s="42">
        <v>1</v>
      </c>
      <c r="E792" s="67"/>
      <c r="F792" s="44" t="s">
        <v>646</v>
      </c>
      <c r="G792" s="45" t="s">
        <v>37</v>
      </c>
      <c r="H792" s="51">
        <f t="shared" si="12"/>
        <v>0</v>
      </c>
      <c r="I792" s="47"/>
      <c r="J792" s="48">
        <f>VLOOKUP(A792,'[1]תקציב 2026'!$A$1:$M$65536,9,0)</f>
        <v>-410000</v>
      </c>
      <c r="K792" s="49">
        <f>VLOOKUP(A792,[3]גיליון1!$A$1:$C$7693,3,0)</f>
        <v>-410000</v>
      </c>
      <c r="L792" s="50">
        <f>VLOOKUP(A792,[2]data1761205830331!$A$1:$J$65536,10,0)</f>
        <v>-272442</v>
      </c>
    </row>
    <row r="793" spans="1:12" ht="16.2" thickBot="1">
      <c r="A793" s="11" t="e">
        <v>#VALUE!</v>
      </c>
      <c r="B793" s="53" t="s">
        <v>647</v>
      </c>
      <c r="C793" s="54"/>
      <c r="D793" s="55"/>
      <c r="E793" s="84"/>
      <c r="F793" s="116" t="s">
        <v>642</v>
      </c>
      <c r="G793" s="58"/>
      <c r="H793" s="166">
        <f>J793/K793-1</f>
        <v>1.0105263157894737</v>
      </c>
      <c r="I793" s="72"/>
      <c r="J793" s="74">
        <f>SUBTOTAL(9,J789:J792)</f>
        <v>-955000</v>
      </c>
      <c r="K793" s="92">
        <f>SUBTOTAL(9,K789:K792)</f>
        <v>-475000</v>
      </c>
      <c r="L793" s="75">
        <f>SUBTOTAL(9,L789:L792)</f>
        <v>-350304</v>
      </c>
    </row>
    <row r="794" spans="1:12" ht="15.75" customHeight="1" outlineLevel="1">
      <c r="A794" s="11">
        <v>13480000</v>
      </c>
      <c r="B794" s="64">
        <v>0</v>
      </c>
      <c r="C794" s="131">
        <v>348000</v>
      </c>
      <c r="D794" s="66">
        <v>1</v>
      </c>
      <c r="E794" s="152"/>
      <c r="F794" s="68" t="s">
        <v>648</v>
      </c>
      <c r="G794" s="69" t="s">
        <v>15</v>
      </c>
      <c r="H794" s="51"/>
      <c r="I794" s="47"/>
      <c r="J794" s="48"/>
      <c r="K794" s="49"/>
      <c r="L794" s="50"/>
    </row>
    <row r="795" spans="1:12" ht="15.75" customHeight="1" outlineLevel="1">
      <c r="A795" s="11">
        <v>1348100421</v>
      </c>
      <c r="B795" s="40">
        <v>421</v>
      </c>
      <c r="C795" s="109">
        <v>348100</v>
      </c>
      <c r="D795" s="42">
        <v>1</v>
      </c>
      <c r="E795" s="133"/>
      <c r="F795" s="44" t="s">
        <v>649</v>
      </c>
      <c r="G795" s="45" t="s">
        <v>37</v>
      </c>
      <c r="H795" s="51">
        <f t="shared" si="12"/>
        <v>-1</v>
      </c>
      <c r="I795" s="47"/>
      <c r="J795" s="48">
        <f>VLOOKUP(A795,'[1]תקציב 2026'!$A$1:$M$65536,9,0)</f>
        <v>0</v>
      </c>
      <c r="K795" s="49">
        <f>VLOOKUP(A795,[3]גיליון1!$A$1:$C$7693,3,0)</f>
        <v>-7500</v>
      </c>
      <c r="L795" s="50">
        <f>VLOOKUP(A795,[2]data1761205830331!$A$1:$J$65536,10,0)</f>
        <v>0</v>
      </c>
    </row>
    <row r="796" spans="1:12" ht="15.75" customHeight="1" outlineLevel="1">
      <c r="A796" s="11">
        <v>1348100931</v>
      </c>
      <c r="B796" s="40">
        <v>931</v>
      </c>
      <c r="C796" s="109">
        <v>348100</v>
      </c>
      <c r="D796" s="42">
        <v>1</v>
      </c>
      <c r="E796" s="43"/>
      <c r="F796" s="44" t="s">
        <v>650</v>
      </c>
      <c r="G796" s="45" t="s">
        <v>37</v>
      </c>
      <c r="H796" s="51">
        <f t="shared" si="12"/>
        <v>0</v>
      </c>
      <c r="I796" s="47"/>
      <c r="J796" s="48">
        <f>VLOOKUP(A796,'[1]תקציב 2026'!$A$1:$M$65536,9,0)</f>
        <v>-19500</v>
      </c>
      <c r="K796" s="49">
        <v>-19500</v>
      </c>
      <c r="L796" s="50">
        <f>VLOOKUP(A796,[2]data1761205830331!$A$1:$J$65536,10,0)</f>
        <v>-8869</v>
      </c>
    </row>
    <row r="797" spans="1:12" ht="15.75" customHeight="1" outlineLevel="1">
      <c r="A797" s="11">
        <v>1348100932</v>
      </c>
      <c r="B797" s="40">
        <v>932</v>
      </c>
      <c r="C797" s="109">
        <v>348100</v>
      </c>
      <c r="D797" s="42">
        <v>1</v>
      </c>
      <c r="E797" s="200"/>
      <c r="F797" s="44" t="s">
        <v>651</v>
      </c>
      <c r="G797" s="45" t="s">
        <v>37</v>
      </c>
      <c r="H797" s="51">
        <f t="shared" si="12"/>
        <v>-0.64117647058823524</v>
      </c>
      <c r="I797" s="47"/>
      <c r="J797" s="48">
        <f>VLOOKUP(A797,'[1]תקציב 2026'!$A$1:$M$65536,9,0)</f>
        <v>-91500</v>
      </c>
      <c r="K797" s="49">
        <f>VLOOKUP(A797,[3]גיליון1!$A$1:$C$7693,3,0)</f>
        <v>-255000</v>
      </c>
      <c r="L797" s="50">
        <f>VLOOKUP(A797,[2]data1761205830331!$A$1:$J$65536,10,0)</f>
        <v>-322029</v>
      </c>
    </row>
    <row r="798" spans="1:12" ht="15.75" customHeight="1" outlineLevel="1">
      <c r="A798" s="11">
        <v>1348100933</v>
      </c>
      <c r="B798" s="40">
        <v>933</v>
      </c>
      <c r="C798" s="109">
        <v>348100</v>
      </c>
      <c r="D798" s="42">
        <v>1</v>
      </c>
      <c r="E798" s="43"/>
      <c r="F798" s="44" t="s">
        <v>652</v>
      </c>
      <c r="G798" s="45" t="s">
        <v>37</v>
      </c>
      <c r="H798" s="51">
        <f t="shared" si="12"/>
        <v>0</v>
      </c>
      <c r="I798" s="47"/>
      <c r="J798" s="48">
        <f>VLOOKUP(A798,'[1]תקציב 2026'!$A$1:$M$65536,9,0)</f>
        <v>-14300</v>
      </c>
      <c r="K798" s="49">
        <f>VLOOKUP(A798,[3]גיליון1!$A$1:$C$7693,3,0)</f>
        <v>-14300</v>
      </c>
      <c r="L798" s="50">
        <f>VLOOKUP(A798,[2]data1761205830331!$A$1:$J$65536,10,0)</f>
        <v>0</v>
      </c>
    </row>
    <row r="799" spans="1:12" s="204" customFormat="1" ht="15.75" customHeight="1" outlineLevel="1" thickBot="1">
      <c r="A799" s="11">
        <v>1348100936</v>
      </c>
      <c r="B799" s="40">
        <v>936</v>
      </c>
      <c r="C799" s="109">
        <v>348100</v>
      </c>
      <c r="D799" s="139">
        <v>1</v>
      </c>
      <c r="E799" s="201"/>
      <c r="F799" s="44" t="s">
        <v>653</v>
      </c>
      <c r="G799" s="45" t="s">
        <v>37</v>
      </c>
      <c r="H799" s="51">
        <f t="shared" si="12"/>
        <v>0.46750000000000003</v>
      </c>
      <c r="I799" s="51"/>
      <c r="J799" s="48">
        <f>VLOOKUP(A799,'[1]תקציב 2026'!$A$1:$M$65536,9,0)</f>
        <v>-5870</v>
      </c>
      <c r="K799" s="49">
        <f>VLOOKUP(A799,[3]גיליון1!$A$1:$C$7693,3,0)</f>
        <v>-4000</v>
      </c>
      <c r="L799" s="50">
        <f>VLOOKUP(A799,[2]data1761205830331!$A$1:$J$65536,10,0)</f>
        <v>-5449</v>
      </c>
    </row>
    <row r="800" spans="1:12" ht="16.2" thickBot="1">
      <c r="A800" s="11" t="e">
        <v>#VALUE!</v>
      </c>
      <c r="B800" s="53" t="s">
        <v>654</v>
      </c>
      <c r="C800" s="54"/>
      <c r="D800" s="55"/>
      <c r="E800" s="56"/>
      <c r="F800" s="116" t="s">
        <v>648</v>
      </c>
      <c r="G800" s="58"/>
      <c r="H800" s="166">
        <f>J800/K800-1</f>
        <v>-0.56320346320346326</v>
      </c>
      <c r="I800" s="72"/>
      <c r="J800" s="74">
        <f>SUBTOTAL(9,J795:J799)</f>
        <v>-131170</v>
      </c>
      <c r="K800" s="92">
        <f>SUBTOTAL(9,K795:K799)</f>
        <v>-300300</v>
      </c>
      <c r="L800" s="75">
        <f>SUBTOTAL(9,L795:L799)</f>
        <v>-336347</v>
      </c>
    </row>
    <row r="801" spans="1:12" ht="15.75" customHeight="1" outlineLevel="1">
      <c r="A801" s="11">
        <v>13600000</v>
      </c>
      <c r="B801" s="40">
        <v>0</v>
      </c>
      <c r="C801" s="109">
        <v>360000</v>
      </c>
      <c r="D801" s="42">
        <v>1</v>
      </c>
      <c r="E801" s="152"/>
      <c r="F801" s="44" t="s">
        <v>655</v>
      </c>
      <c r="G801" s="45" t="s">
        <v>15</v>
      </c>
      <c r="H801" s="51"/>
      <c r="I801" s="47"/>
      <c r="J801" s="48"/>
      <c r="K801" s="49"/>
      <c r="L801" s="50"/>
    </row>
    <row r="802" spans="1:12" ht="15.75" customHeight="1" outlineLevel="1">
      <c r="A802" s="11">
        <v>1368000491</v>
      </c>
      <c r="B802" s="40">
        <v>491</v>
      </c>
      <c r="C802" s="109">
        <v>368000</v>
      </c>
      <c r="D802" s="42">
        <v>1</v>
      </c>
      <c r="E802" s="67"/>
      <c r="F802" s="44" t="s">
        <v>656</v>
      </c>
      <c r="G802" s="45" t="s">
        <v>37</v>
      </c>
      <c r="H802" s="51">
        <v>0</v>
      </c>
      <c r="I802" s="47"/>
      <c r="J802" s="48">
        <f>VLOOKUP(A802,'[1]תקציב 2026'!$A$1:$M$65536,9,0)</f>
        <v>0</v>
      </c>
      <c r="K802" s="49">
        <f>VLOOKUP(A802,[3]גיליון1!$A$1:$C$7693,3,0)</f>
        <v>0</v>
      </c>
      <c r="L802" s="50">
        <f>VLOOKUP(A802,[2]data1761205830331!$A$1:$J$65536,10,0)</f>
        <v>-10370</v>
      </c>
    </row>
    <row r="803" spans="1:12" ht="15.75" customHeight="1" outlineLevel="1">
      <c r="A803" s="11">
        <v>1368000750</v>
      </c>
      <c r="B803" s="40">
        <v>750</v>
      </c>
      <c r="C803" s="109">
        <v>368000</v>
      </c>
      <c r="D803" s="42">
        <v>1</v>
      </c>
      <c r="E803" s="67"/>
      <c r="F803" s="44" t="s">
        <v>657</v>
      </c>
      <c r="G803" s="45" t="s">
        <v>37</v>
      </c>
      <c r="H803" s="51">
        <v>1</v>
      </c>
      <c r="I803" s="47"/>
      <c r="J803" s="48">
        <f>VLOOKUP(A803,'[1]תקציב 2026'!$A$1:$M$65536,9,0)</f>
        <v>-80000</v>
      </c>
      <c r="K803" s="49">
        <f>VLOOKUP(A803,[3]גיליון1!$A$1:$C$7693,3,0)</f>
        <v>0</v>
      </c>
      <c r="L803" s="50">
        <f>VLOOKUP(A803,[2]data1761205830331!$A$1:$J$65536,10,0)</f>
        <v>-85382.55</v>
      </c>
    </row>
    <row r="804" spans="1:12" ht="15.75" customHeight="1" outlineLevel="1">
      <c r="A804" s="11">
        <v>1368000780</v>
      </c>
      <c r="B804" s="40">
        <v>780</v>
      </c>
      <c r="C804" s="109">
        <v>368000</v>
      </c>
      <c r="D804" s="42">
        <v>1</v>
      </c>
      <c r="E804" s="67"/>
      <c r="F804" s="44" t="s">
        <v>658</v>
      </c>
      <c r="G804" s="45" t="s">
        <v>29</v>
      </c>
      <c r="H804" s="51">
        <v>1</v>
      </c>
      <c r="I804" s="47" t="s">
        <v>86</v>
      </c>
      <c r="J804" s="48">
        <f>VLOOKUP(A804,'[1]תקציב 2026'!$A$1:$M$65536,9,0)</f>
        <v>-210000</v>
      </c>
      <c r="K804" s="49">
        <v>0</v>
      </c>
      <c r="L804" s="50">
        <v>0</v>
      </c>
    </row>
    <row r="805" spans="1:12" ht="15.75" customHeight="1" outlineLevel="1">
      <c r="A805" s="11">
        <v>1368000920</v>
      </c>
      <c r="B805" s="40">
        <v>920</v>
      </c>
      <c r="C805" s="109">
        <v>368000</v>
      </c>
      <c r="D805" s="42">
        <v>1</v>
      </c>
      <c r="E805" s="43"/>
      <c r="F805" s="44" t="s">
        <v>659</v>
      </c>
      <c r="G805" s="45" t="s">
        <v>37</v>
      </c>
      <c r="H805" s="51">
        <f t="shared" si="12"/>
        <v>0.7976653696498055</v>
      </c>
      <c r="I805" s="47"/>
      <c r="J805" s="48">
        <f>VLOOKUP(A805,'[1]תקציב 2026'!$A$1:$M$65536,9,0)</f>
        <v>-462000</v>
      </c>
      <c r="K805" s="49">
        <v>-257000</v>
      </c>
      <c r="L805" s="50">
        <f>VLOOKUP(A805,[2]data1761205830331!$A$1:$J$65536,10,0)</f>
        <v>0</v>
      </c>
    </row>
    <row r="806" spans="1:12" ht="15.75" customHeight="1" outlineLevel="1">
      <c r="A806" s="11">
        <v>1368000950</v>
      </c>
      <c r="B806" s="40">
        <v>950</v>
      </c>
      <c r="C806" s="109">
        <v>368000</v>
      </c>
      <c r="D806" s="42">
        <v>1</v>
      </c>
      <c r="E806" s="43"/>
      <c r="F806" s="44" t="s">
        <v>660</v>
      </c>
      <c r="G806" s="45" t="s">
        <v>37</v>
      </c>
      <c r="H806" s="51">
        <v>0</v>
      </c>
      <c r="I806" s="47" t="s">
        <v>137</v>
      </c>
      <c r="J806" s="48">
        <f>VLOOKUP(A806,'[1]תקציב 2026'!$A$1:$M$65536,9,0)</f>
        <v>0</v>
      </c>
      <c r="K806" s="49">
        <f>VLOOKUP(A806,[3]גיליון1!$A$1:$C$7693,3,0)</f>
        <v>0</v>
      </c>
      <c r="L806" s="50">
        <f>VLOOKUP(A806,[2]data1761205830331!$A$1:$J$65536,10,0)</f>
        <v>-63875</v>
      </c>
    </row>
    <row r="807" spans="1:12" ht="15.75" customHeight="1" outlineLevel="1" thickBot="1">
      <c r="A807" s="11">
        <v>1368000951</v>
      </c>
      <c r="B807" s="206">
        <v>951</v>
      </c>
      <c r="C807" s="207">
        <v>368000</v>
      </c>
      <c r="D807" s="208">
        <v>1</v>
      </c>
      <c r="E807" s="209"/>
      <c r="F807" s="210" t="s">
        <v>661</v>
      </c>
      <c r="G807" s="45" t="s">
        <v>37</v>
      </c>
      <c r="H807" s="51">
        <f t="shared" si="12"/>
        <v>0.23428571428571421</v>
      </c>
      <c r="I807" s="47"/>
      <c r="J807" s="48">
        <f>VLOOKUP(A807,'[1]תקציב 2026'!$A$1:$M$65536,9,0)</f>
        <v>-432000</v>
      </c>
      <c r="K807" s="49">
        <v>-350000</v>
      </c>
      <c r="L807" s="50">
        <f>VLOOKUP(A807,[2]data1761205830331!$A$1:$J$65536,10,0)</f>
        <v>-104999</v>
      </c>
    </row>
    <row r="808" spans="1:12" ht="16.2" thickBot="1">
      <c r="A808" s="11" t="e">
        <v>#VALUE!</v>
      </c>
      <c r="B808" s="53" t="s">
        <v>662</v>
      </c>
      <c r="C808" s="54"/>
      <c r="D808" s="55"/>
      <c r="E808" s="56"/>
      <c r="F808" s="116" t="s">
        <v>663</v>
      </c>
      <c r="G808" s="58"/>
      <c r="H808" s="166">
        <f>J808/K808-1</f>
        <v>0.9505766062602965</v>
      </c>
      <c r="I808" s="72"/>
      <c r="J808" s="74">
        <f>SUBTOTAL(9,J802:J807)</f>
        <v>-1184000</v>
      </c>
      <c r="K808" s="92">
        <f>SUBTOTAL(9,K802:K807)</f>
        <v>-607000</v>
      </c>
      <c r="L808" s="75">
        <f>SUBTOTAL(9,L802:L807)</f>
        <v>-264626.55</v>
      </c>
    </row>
    <row r="809" spans="1:12" ht="15.75" customHeight="1" outlineLevel="1">
      <c r="A809" s="11">
        <v>13690000</v>
      </c>
      <c r="B809" s="40">
        <v>0</v>
      </c>
      <c r="C809" s="109">
        <v>369000</v>
      </c>
      <c r="D809" s="42">
        <v>1</v>
      </c>
      <c r="E809" s="67"/>
      <c r="F809" s="44" t="s">
        <v>664</v>
      </c>
      <c r="G809" s="45" t="s">
        <v>15</v>
      </c>
      <c r="H809" s="51"/>
      <c r="I809" s="47"/>
      <c r="J809" s="48"/>
      <c r="K809" s="49"/>
      <c r="L809" s="50"/>
    </row>
    <row r="810" spans="1:12" ht="15.75" customHeight="1" outlineLevel="1" thickBot="1">
      <c r="A810" s="11">
        <v>1369000490</v>
      </c>
      <c r="B810" s="40">
        <v>490</v>
      </c>
      <c r="C810" s="109">
        <v>369000</v>
      </c>
      <c r="D810" s="42">
        <v>1</v>
      </c>
      <c r="E810" s="67"/>
      <c r="F810" s="44" t="s">
        <v>665</v>
      </c>
      <c r="G810" s="45" t="s">
        <v>37</v>
      </c>
      <c r="H810" s="51">
        <v>0</v>
      </c>
      <c r="I810" s="47"/>
      <c r="J810" s="48">
        <f>VLOOKUP(A810,'[1]תקציב 2026'!$A$1:$M$65536,9,0)</f>
        <v>0</v>
      </c>
      <c r="K810" s="49">
        <f>VLOOKUP(A810,[3]גיליון1!$A$1:$C$7693,3,0)</f>
        <v>0</v>
      </c>
      <c r="L810" s="50">
        <f>VLOOKUP(A810,[2]data1761205830331!$A$1:$J$65536,10,0)</f>
        <v>-74893</v>
      </c>
    </row>
    <row r="811" spans="1:12" ht="16.2" thickBot="1">
      <c r="A811" s="11" t="e">
        <v>#VALUE!</v>
      </c>
      <c r="B811" s="53" t="s">
        <v>666</v>
      </c>
      <c r="C811" s="54"/>
      <c r="D811" s="55"/>
      <c r="E811" s="84"/>
      <c r="F811" s="116" t="s">
        <v>664</v>
      </c>
      <c r="G811" s="58"/>
      <c r="H811" s="166">
        <v>0</v>
      </c>
      <c r="I811" s="72"/>
      <c r="J811" s="74">
        <f>SUBTOTAL(9,J810:J810)</f>
        <v>0</v>
      </c>
      <c r="K811" s="92">
        <f>SUBTOTAL(9,K810:K810)</f>
        <v>0</v>
      </c>
      <c r="L811" s="75">
        <f>SUBTOTAL(9,L810:L810)</f>
        <v>-74893</v>
      </c>
    </row>
    <row r="812" spans="1:12" ht="15.75" customHeight="1" outlineLevel="1">
      <c r="A812" s="11">
        <v>13700000</v>
      </c>
      <c r="B812" s="40">
        <v>0</v>
      </c>
      <c r="C812" s="109">
        <v>370000</v>
      </c>
      <c r="D812" s="42">
        <v>1</v>
      </c>
      <c r="E812" s="152"/>
      <c r="F812" s="44" t="s">
        <v>667</v>
      </c>
      <c r="G812" s="45" t="s">
        <v>15</v>
      </c>
      <c r="H812" s="51"/>
      <c r="I812" s="47"/>
      <c r="J812" s="48"/>
      <c r="K812" s="49"/>
      <c r="L812" s="50"/>
    </row>
    <row r="813" spans="1:12" ht="15.75" customHeight="1" outlineLevel="1">
      <c r="A813" s="11">
        <v>1379000790</v>
      </c>
      <c r="B813" s="40">
        <v>790</v>
      </c>
      <c r="C813" s="109">
        <v>379000</v>
      </c>
      <c r="D813" s="139">
        <v>1</v>
      </c>
      <c r="E813" s="43"/>
      <c r="F813" s="44" t="s">
        <v>668</v>
      </c>
      <c r="G813" s="45" t="s">
        <v>37</v>
      </c>
      <c r="H813" s="51">
        <f t="shared" si="12"/>
        <v>0</v>
      </c>
      <c r="I813" s="47"/>
      <c r="J813" s="48">
        <f>VLOOKUP(A813,'[1]תקציב 2026'!$A$1:$M$65536,9,0)</f>
        <v>-138000</v>
      </c>
      <c r="K813" s="49">
        <v>-138000</v>
      </c>
      <c r="L813" s="50">
        <f>VLOOKUP(A813,[2]data1761205830331!$A$1:$J$65536,10,0)</f>
        <v>-103500</v>
      </c>
    </row>
    <row r="814" spans="1:12" ht="15.75" customHeight="1" outlineLevel="1">
      <c r="A814" s="11">
        <v>1379000791</v>
      </c>
      <c r="B814" s="40">
        <v>791</v>
      </c>
      <c r="C814" s="109">
        <v>379000</v>
      </c>
      <c r="D814" s="42">
        <v>1</v>
      </c>
      <c r="E814" s="43"/>
      <c r="F814" s="44" t="str">
        <f>[4]גיליון1!$F$1474</f>
        <v>הכנסות מפעילות לתושבים</v>
      </c>
      <c r="G814" s="45" t="s">
        <v>37</v>
      </c>
      <c r="H814" s="51">
        <f t="shared" si="12"/>
        <v>1</v>
      </c>
      <c r="I814" s="47"/>
      <c r="J814" s="48">
        <f>VLOOKUP(A814,'[1]תקציב 2026'!$A$1:$M$65536,9,0)</f>
        <v>-10000</v>
      </c>
      <c r="K814" s="49">
        <v>-5000</v>
      </c>
      <c r="L814" s="50">
        <f>VLOOKUP(A814,[2]data1761205830331!$A$1:$J$65536,10,0)</f>
        <v>-6661</v>
      </c>
    </row>
    <row r="815" spans="1:12" ht="15.75" customHeight="1" outlineLevel="1">
      <c r="A815" s="11">
        <v>1379000990</v>
      </c>
      <c r="B815" s="40">
        <v>990</v>
      </c>
      <c r="C815" s="109">
        <v>379000</v>
      </c>
      <c r="D815" s="42">
        <v>1</v>
      </c>
      <c r="E815" s="67"/>
      <c r="F815" s="44" t="s">
        <v>669</v>
      </c>
      <c r="G815" s="45" t="s">
        <v>37</v>
      </c>
      <c r="H815" s="51">
        <f t="shared" si="12"/>
        <v>0</v>
      </c>
      <c r="I815" s="47"/>
      <c r="J815" s="48">
        <f>VLOOKUP(A815,'[1]תקציב 2026'!$A$1:$M$65536,9,0)</f>
        <v>-75000</v>
      </c>
      <c r="K815" s="49">
        <v>-75000</v>
      </c>
      <c r="L815" s="50">
        <f>VLOOKUP(A815,[2]data1761205830331!$A$1:$J$65536,10,0)</f>
        <v>0</v>
      </c>
    </row>
    <row r="816" spans="1:12" ht="15.75" customHeight="1" outlineLevel="1" thickBot="1">
      <c r="A816" s="11">
        <v>1379000991</v>
      </c>
      <c r="B816" s="40">
        <v>991</v>
      </c>
      <c r="C816" s="109">
        <v>379000</v>
      </c>
      <c r="D816" s="42">
        <v>1</v>
      </c>
      <c r="E816" s="133"/>
      <c r="F816" s="44" t="s">
        <v>670</v>
      </c>
      <c r="G816" s="45" t="s">
        <v>37</v>
      </c>
      <c r="H816" s="51">
        <f t="shared" si="12"/>
        <v>0</v>
      </c>
      <c r="I816" s="47"/>
      <c r="J816" s="48">
        <f>VLOOKUP(A816,'[1]תקציב 2026'!$A$1:$M$65536,9,0)</f>
        <v>-75000</v>
      </c>
      <c r="K816" s="49">
        <v>-75000</v>
      </c>
      <c r="L816" s="50">
        <f>VLOOKUP(A816,[2]data1761205830331!$A$1:$J$65536,10,0)</f>
        <v>0</v>
      </c>
    </row>
    <row r="817" spans="1:12" ht="16.2" thickBot="1">
      <c r="A817" s="11" t="e">
        <v>#VALUE!</v>
      </c>
      <c r="B817" s="53" t="s">
        <v>671</v>
      </c>
      <c r="C817" s="54"/>
      <c r="D817" s="55"/>
      <c r="E817" s="84"/>
      <c r="F817" s="116" t="s">
        <v>672</v>
      </c>
      <c r="G817" s="58"/>
      <c r="H817" s="166">
        <f>J817/K817-1</f>
        <v>1.7064846416382284E-2</v>
      </c>
      <c r="I817" s="72"/>
      <c r="J817" s="74">
        <f>SUBTOTAL(9,J813:J816)</f>
        <v>-298000</v>
      </c>
      <c r="K817" s="92">
        <f>SUBTOTAL(9,K813:K816)</f>
        <v>-293000</v>
      </c>
      <c r="L817" s="75">
        <f>SUBTOTAL(9,L813:L816)</f>
        <v>-110161</v>
      </c>
    </row>
    <row r="818" spans="1:12" ht="15.75" customHeight="1" outlineLevel="1">
      <c r="A818" s="11">
        <v>14000000</v>
      </c>
      <c r="B818" s="40">
        <v>0</v>
      </c>
      <c r="C818" s="109">
        <v>400000</v>
      </c>
      <c r="D818" s="42">
        <v>1</v>
      </c>
      <c r="E818" s="152"/>
      <c r="F818" s="44" t="s">
        <v>673</v>
      </c>
      <c r="G818" s="45" t="s">
        <v>15</v>
      </c>
      <c r="H818" s="51"/>
      <c r="I818" s="47"/>
      <c r="J818" s="48"/>
      <c r="K818" s="49"/>
      <c r="L818" s="50"/>
    </row>
    <row r="819" spans="1:12" ht="15.75" customHeight="1" outlineLevel="1">
      <c r="A819" s="11">
        <v>1412000211</v>
      </c>
      <c r="B819" s="40">
        <v>211</v>
      </c>
      <c r="C819" s="109">
        <v>412000</v>
      </c>
      <c r="D819" s="42">
        <v>1</v>
      </c>
      <c r="E819" s="43"/>
      <c r="F819" s="44" t="s">
        <v>674</v>
      </c>
      <c r="G819" s="45" t="s">
        <v>37</v>
      </c>
      <c r="H819" s="51">
        <f t="shared" si="12"/>
        <v>-0.5</v>
      </c>
      <c r="I819" s="47"/>
      <c r="J819" s="48">
        <f>VLOOKUP(A819,'[1]תקציב 2026'!$A$1:$M$65536,9,0)</f>
        <v>-150000</v>
      </c>
      <c r="K819" s="49">
        <v>-300000</v>
      </c>
      <c r="L819" s="50">
        <f>VLOOKUP(A819,[2]data1761205830331!$A$1:$J$65536,10,0)</f>
        <v>-182156.32</v>
      </c>
    </row>
    <row r="820" spans="1:12" ht="15.75" customHeight="1" outlineLevel="1">
      <c r="A820" s="11">
        <v>1412000214</v>
      </c>
      <c r="B820" s="40">
        <v>214</v>
      </c>
      <c r="C820" s="109">
        <v>412000</v>
      </c>
      <c r="D820" s="42">
        <v>1</v>
      </c>
      <c r="E820" s="43"/>
      <c r="F820" s="44" t="s">
        <v>675</v>
      </c>
      <c r="G820" s="45" t="s">
        <v>37</v>
      </c>
      <c r="H820" s="51">
        <v>0</v>
      </c>
      <c r="I820" s="47"/>
      <c r="J820" s="48">
        <f>VLOOKUP(A820,'[1]תקציב 2026'!$A$1:$M$65536,9,0)</f>
        <v>0</v>
      </c>
      <c r="K820" s="49">
        <f>VLOOKUP(A820,[3]גיליון1!$A$1:$C$7693,3,0)</f>
        <v>0</v>
      </c>
      <c r="L820" s="50">
        <f>VLOOKUP(A820,[2]data1761205830331!$A$1:$J$65536,10,0)</f>
        <v>-3824.64</v>
      </c>
    </row>
    <row r="821" spans="1:12" ht="15.75" customHeight="1" outlineLevel="1" thickBot="1">
      <c r="A821" s="11">
        <v>1412000662</v>
      </c>
      <c r="B821" s="40">
        <v>662</v>
      </c>
      <c r="C821" s="109">
        <v>412000</v>
      </c>
      <c r="D821" s="42">
        <v>1</v>
      </c>
      <c r="E821" s="200"/>
      <c r="F821" s="44" t="s">
        <v>676</v>
      </c>
      <c r="G821" s="45" t="s">
        <v>37</v>
      </c>
      <c r="H821" s="51">
        <f t="shared" si="12"/>
        <v>4.0000000000000036E-2</v>
      </c>
      <c r="I821" s="47"/>
      <c r="J821" s="48">
        <f>VLOOKUP(A821,'[1]תקציב 2026'!$A$1:$M$65536,9,0)</f>
        <v>-416000</v>
      </c>
      <c r="K821" s="49">
        <v>-400000</v>
      </c>
      <c r="L821" s="50">
        <f>VLOOKUP(A821,[2]data1761205830331!$A$1:$J$65536,10,0)</f>
        <v>-402702</v>
      </c>
    </row>
    <row r="822" spans="1:12" ht="16.2" thickBot="1">
      <c r="A822" s="11" t="e">
        <v>#VALUE!</v>
      </c>
      <c r="B822" s="53" t="s">
        <v>677</v>
      </c>
      <c r="C822" s="54"/>
      <c r="D822" s="55"/>
      <c r="E822" s="56"/>
      <c r="F822" s="116" t="s">
        <v>678</v>
      </c>
      <c r="G822" s="58"/>
      <c r="H822" s="166">
        <f>J822/K822-1</f>
        <v>-0.19142857142857139</v>
      </c>
      <c r="I822" s="72"/>
      <c r="J822" s="74">
        <f>SUBTOTAL(9,J819:J821)</f>
        <v>-566000</v>
      </c>
      <c r="K822" s="92">
        <f>SUBTOTAL(9,K819:K821)</f>
        <v>-700000</v>
      </c>
      <c r="L822" s="75">
        <f>SUBTOTAL(9,L819:L821)</f>
        <v>-588682.96</v>
      </c>
    </row>
    <row r="823" spans="1:12" ht="15.75" customHeight="1" outlineLevel="1">
      <c r="A823" s="11">
        <v>14300000</v>
      </c>
      <c r="B823" s="40">
        <v>0</v>
      </c>
      <c r="C823" s="109">
        <v>430000</v>
      </c>
      <c r="D823" s="42">
        <v>1</v>
      </c>
      <c r="E823" s="152"/>
      <c r="F823" s="44" t="s">
        <v>679</v>
      </c>
      <c r="G823" s="45" t="s">
        <v>15</v>
      </c>
      <c r="H823" s="51"/>
      <c r="I823" s="47"/>
      <c r="J823" s="48"/>
      <c r="K823" s="49"/>
      <c r="L823" s="50"/>
    </row>
    <row r="824" spans="1:12" ht="15.75" customHeight="1" outlineLevel="1">
      <c r="A824" s="11">
        <v>1433000420</v>
      </c>
      <c r="B824" s="40">
        <v>420</v>
      </c>
      <c r="C824" s="109">
        <v>433000</v>
      </c>
      <c r="D824" s="42">
        <v>1</v>
      </c>
      <c r="E824" s="67"/>
      <c r="F824" s="44" t="s">
        <v>680</v>
      </c>
      <c r="G824" s="45" t="s">
        <v>37</v>
      </c>
      <c r="H824" s="51">
        <f t="shared" si="12"/>
        <v>0</v>
      </c>
      <c r="I824" s="47" t="s">
        <v>137</v>
      </c>
      <c r="J824" s="48">
        <f>VLOOKUP(A824,'[1]תקציב 2026'!$A$1:$M$65536,9,0)</f>
        <v>-306000</v>
      </c>
      <c r="K824" s="49">
        <v>-306000</v>
      </c>
      <c r="L824" s="50">
        <f>VLOOKUP(A824,[2]data1761205830331!$A$1:$J$65536,10,0)</f>
        <v>-190276</v>
      </c>
    </row>
    <row r="825" spans="1:12" ht="15.75" customHeight="1" outlineLevel="1">
      <c r="A825" s="11">
        <v>1433000430</v>
      </c>
      <c r="B825" s="40">
        <v>430</v>
      </c>
      <c r="C825" s="109">
        <v>433000</v>
      </c>
      <c r="D825" s="42">
        <v>1</v>
      </c>
      <c r="E825" s="43"/>
      <c r="F825" s="44" t="s">
        <v>681</v>
      </c>
      <c r="G825" s="45" t="s">
        <v>37</v>
      </c>
      <c r="H825" s="51">
        <f t="shared" si="12"/>
        <v>0</v>
      </c>
      <c r="I825" s="47"/>
      <c r="J825" s="48">
        <f>VLOOKUP(A825,'[1]תקציב 2026'!$A$1:$M$65536,9,0)</f>
        <v>-900000</v>
      </c>
      <c r="K825" s="49">
        <v>-900000</v>
      </c>
      <c r="L825" s="50">
        <f>VLOOKUP(A825,[2]data1761205830331!$A$1:$J$65536,10,0)</f>
        <v>-864346</v>
      </c>
    </row>
    <row r="826" spans="1:12" ht="15.75" customHeight="1" outlineLevel="1">
      <c r="A826" s="11">
        <v>1433000431</v>
      </c>
      <c r="B826" s="40">
        <v>431</v>
      </c>
      <c r="C826" s="109">
        <v>433000</v>
      </c>
      <c r="D826" s="42">
        <v>1</v>
      </c>
      <c r="E826" s="43"/>
      <c r="F826" s="44" t="s">
        <v>682</v>
      </c>
      <c r="G826" s="45" t="s">
        <v>29</v>
      </c>
      <c r="H826" s="51">
        <f t="shared" si="12"/>
        <v>0</v>
      </c>
      <c r="I826" s="47" t="s">
        <v>137</v>
      </c>
      <c r="J826" s="48">
        <f>VLOOKUP(A826,'[1]תקציב 2026'!$A$1:$M$65536,9,0)</f>
        <v>-40400</v>
      </c>
      <c r="K826" s="49">
        <v>-40400</v>
      </c>
      <c r="L826" s="50">
        <f>VLOOKUP(A826,[2]data1761205830331!$A$1:$J$65536,10,0)</f>
        <v>-13784.54</v>
      </c>
    </row>
    <row r="827" spans="1:12" ht="15.75" customHeight="1" outlineLevel="1">
      <c r="A827" s="11">
        <v>1433000640</v>
      </c>
      <c r="B827" s="40">
        <v>640</v>
      </c>
      <c r="C827" s="109">
        <v>433000</v>
      </c>
      <c r="D827" s="42">
        <v>1</v>
      </c>
      <c r="E827" s="43"/>
      <c r="F827" s="44" t="s">
        <v>683</v>
      </c>
      <c r="G827" s="45" t="s">
        <v>37</v>
      </c>
      <c r="H827" s="51">
        <f t="shared" si="12"/>
        <v>9.0222222222222204E-2</v>
      </c>
      <c r="I827" s="47"/>
      <c r="J827" s="48">
        <f>VLOOKUP(A827,'[1]תקציב 2026'!$A$1:$M$65536,9,0)</f>
        <v>-24530000</v>
      </c>
      <c r="K827" s="49">
        <v>-22500000</v>
      </c>
      <c r="L827" s="50">
        <f>VLOOKUP(A827,[2]data1761205830331!$A$1:$J$65536,10,0)</f>
        <v>-19768483</v>
      </c>
    </row>
    <row r="828" spans="1:12" ht="15.75" customHeight="1" outlineLevel="1">
      <c r="A828" s="11">
        <v>1433000642</v>
      </c>
      <c r="B828" s="40">
        <v>642</v>
      </c>
      <c r="C828" s="109">
        <v>433000</v>
      </c>
      <c r="D828" s="42">
        <v>1</v>
      </c>
      <c r="E828" s="43"/>
      <c r="F828" s="44" t="s">
        <v>684</v>
      </c>
      <c r="G828" s="45" t="s">
        <v>37</v>
      </c>
      <c r="H828" s="51">
        <f t="shared" si="12"/>
        <v>0</v>
      </c>
      <c r="I828" s="47"/>
      <c r="J828" s="48">
        <f>VLOOKUP(A828,'[1]תקציב 2026'!$A$1:$M$65536,9,0)</f>
        <v>-300000</v>
      </c>
      <c r="K828" s="49">
        <v>-300000</v>
      </c>
      <c r="L828" s="50">
        <f>VLOOKUP(A828,[2]data1761205830331!$A$1:$J$65536,10,0)</f>
        <v>-292859</v>
      </c>
    </row>
    <row r="829" spans="1:12" ht="15.75" customHeight="1" outlineLevel="1">
      <c r="A829" s="11">
        <v>1433000643</v>
      </c>
      <c r="B829" s="40">
        <v>643</v>
      </c>
      <c r="C829" s="109">
        <v>433000</v>
      </c>
      <c r="D829" s="42">
        <v>1</v>
      </c>
      <c r="E829" s="43"/>
      <c r="F829" s="44" t="s">
        <v>685</v>
      </c>
      <c r="G829" s="45" t="s">
        <v>37</v>
      </c>
      <c r="H829" s="51">
        <f t="shared" si="12"/>
        <v>0</v>
      </c>
      <c r="I829" s="47"/>
      <c r="J829" s="48">
        <f>VLOOKUP(A829,'[1]תקציב 2026'!$A$1:$M$65536,9,0)</f>
        <v>-772200</v>
      </c>
      <c r="K829" s="49">
        <v>-772200</v>
      </c>
      <c r="L829" s="50">
        <f>VLOOKUP(A829,[2]data1761205830331!$A$1:$J$65536,10,0)</f>
        <v>-1871746.99</v>
      </c>
    </row>
    <row r="830" spans="1:12" ht="15.75" customHeight="1" outlineLevel="1">
      <c r="A830" s="11">
        <v>1433000644</v>
      </c>
      <c r="B830" s="40">
        <v>644</v>
      </c>
      <c r="C830" s="109">
        <v>433000</v>
      </c>
      <c r="D830" s="42">
        <v>1</v>
      </c>
      <c r="E830" s="43"/>
      <c r="F830" s="44" t="s">
        <v>686</v>
      </c>
      <c r="G830" s="45" t="s">
        <v>37</v>
      </c>
      <c r="H830" s="51">
        <f t="shared" si="12"/>
        <v>0</v>
      </c>
      <c r="I830" s="47"/>
      <c r="J830" s="48">
        <f>VLOOKUP(A830,'[1]תקציב 2026'!$A$1:$M$65536,9,0)</f>
        <v>-590000</v>
      </c>
      <c r="K830" s="49">
        <v>-590000</v>
      </c>
      <c r="L830" s="50">
        <f>VLOOKUP(A830,[2]data1761205830331!$A$1:$J$65536,10,0)</f>
        <v>-565724</v>
      </c>
    </row>
    <row r="831" spans="1:12" ht="15.75" customHeight="1" outlineLevel="1">
      <c r="A831" s="11">
        <v>1433000645</v>
      </c>
      <c r="B831" s="40">
        <v>645</v>
      </c>
      <c r="C831" s="109">
        <v>433000</v>
      </c>
      <c r="D831" s="139">
        <v>1</v>
      </c>
      <c r="E831" s="67"/>
      <c r="F831" s="44" t="s">
        <v>687</v>
      </c>
      <c r="G831" s="45" t="s">
        <v>37</v>
      </c>
      <c r="H831" s="51">
        <f t="shared" si="12"/>
        <v>-1</v>
      </c>
      <c r="I831" s="47"/>
      <c r="J831" s="48">
        <f>VLOOKUP(A831,'[1]תקציב 2026'!$A$1:$M$65536,9,0)</f>
        <v>0</v>
      </c>
      <c r="K831" s="49">
        <v>-62000</v>
      </c>
      <c r="L831" s="50">
        <f>VLOOKUP(A831,[2]data1761205830331!$A$1:$J$65536,10,0)</f>
        <v>0</v>
      </c>
    </row>
    <row r="832" spans="1:12" ht="15.75" customHeight="1" outlineLevel="1">
      <c r="A832" s="11">
        <v>1433000646</v>
      </c>
      <c r="B832" s="40">
        <v>646</v>
      </c>
      <c r="C832" s="109">
        <v>433000</v>
      </c>
      <c r="D832" s="42">
        <v>1</v>
      </c>
      <c r="E832" s="67"/>
      <c r="F832" s="44" t="s">
        <v>688</v>
      </c>
      <c r="G832" s="45" t="s">
        <v>37</v>
      </c>
      <c r="H832" s="51">
        <f t="shared" si="12"/>
        <v>0</v>
      </c>
      <c r="I832" s="47"/>
      <c r="J832" s="48">
        <f>VLOOKUP(A832,'[1]תקציב 2026'!$A$1:$M$65536,9,0)</f>
        <v>-1400000</v>
      </c>
      <c r="K832" s="49">
        <v>-1400000</v>
      </c>
      <c r="L832" s="50">
        <f>VLOOKUP(A832,[2]data1761205830331!$A$1:$J$65536,10,0)</f>
        <v>-1349696</v>
      </c>
    </row>
    <row r="833" spans="1:12" ht="15.75" customHeight="1" outlineLevel="1">
      <c r="A833" s="11">
        <v>1433000647</v>
      </c>
      <c r="B833" s="40">
        <v>647</v>
      </c>
      <c r="C833" s="109">
        <v>433000</v>
      </c>
      <c r="D833" s="42">
        <v>1</v>
      </c>
      <c r="E833" s="67"/>
      <c r="F833" s="44" t="s">
        <v>689</v>
      </c>
      <c r="G833" s="45" t="s">
        <v>37</v>
      </c>
      <c r="H833" s="51">
        <v>0</v>
      </c>
      <c r="I833" s="47"/>
      <c r="J833" s="48">
        <f>VLOOKUP(A833,'[1]תקציב 2026'!$A$1:$M$65536,9,0)</f>
        <v>0</v>
      </c>
      <c r="K833" s="49">
        <v>0</v>
      </c>
      <c r="L833" s="50">
        <f>VLOOKUP(A833,[2]data1761205830331!$A$1:$J$65536,10,0)</f>
        <v>-4500</v>
      </c>
    </row>
    <row r="834" spans="1:12" ht="15.75" customHeight="1" outlineLevel="1">
      <c r="A834" s="11">
        <v>1433000648</v>
      </c>
      <c r="B834" s="40">
        <v>648</v>
      </c>
      <c r="C834" s="109">
        <v>433000</v>
      </c>
      <c r="D834" s="42">
        <v>1</v>
      </c>
      <c r="E834" s="133"/>
      <c r="F834" s="44" t="s">
        <v>690</v>
      </c>
      <c r="G834" s="45" t="s">
        <v>37</v>
      </c>
      <c r="H834" s="51">
        <f t="shared" si="12"/>
        <v>-4.3749999999999956E-2</v>
      </c>
      <c r="I834" s="47"/>
      <c r="J834" s="48">
        <f>VLOOKUP(A834,'[1]תקציב 2026'!$A$1:$M$65536,9,0)</f>
        <v>-153000</v>
      </c>
      <c r="K834" s="49">
        <v>-160000</v>
      </c>
      <c r="L834" s="50">
        <f>VLOOKUP(A834,[2]data1761205830331!$A$1:$J$65536,10,0)</f>
        <v>-126992</v>
      </c>
    </row>
    <row r="835" spans="1:12" ht="15.75" customHeight="1" outlineLevel="1">
      <c r="A835" s="11">
        <v>1433000650</v>
      </c>
      <c r="B835" s="40">
        <v>650</v>
      </c>
      <c r="C835" s="109">
        <v>433000</v>
      </c>
      <c r="D835" s="42">
        <v>1</v>
      </c>
      <c r="E835" s="43"/>
      <c r="F835" s="159" t="s">
        <v>691</v>
      </c>
      <c r="G835" s="45" t="s">
        <v>37</v>
      </c>
      <c r="H835" s="51">
        <f t="shared" si="12"/>
        <v>-1</v>
      </c>
      <c r="I835" s="47"/>
      <c r="J835" s="48">
        <f>VLOOKUP(A835,'[1]תקציב 2026'!$A$1:$M$65536,9,0)</f>
        <v>0</v>
      </c>
      <c r="K835" s="49">
        <v>-21000</v>
      </c>
      <c r="L835" s="50">
        <f>VLOOKUP(A835,[2]data1761205830331!$A$1:$J$65536,10,0)</f>
        <v>-19544</v>
      </c>
    </row>
    <row r="836" spans="1:12" ht="15.75" customHeight="1" outlineLevel="1">
      <c r="A836" s="11">
        <v>1433000651</v>
      </c>
      <c r="B836" s="40">
        <v>651</v>
      </c>
      <c r="C836" s="109">
        <v>433000</v>
      </c>
      <c r="D836" s="42">
        <v>1</v>
      </c>
      <c r="E836" s="43"/>
      <c r="F836" s="44" t="s">
        <v>692</v>
      </c>
      <c r="G836" s="45" t="s">
        <v>37</v>
      </c>
      <c r="H836" s="51">
        <f t="shared" si="12"/>
        <v>1.5625E-2</v>
      </c>
      <c r="I836" s="47"/>
      <c r="J836" s="48">
        <f>VLOOKUP(A836,'[1]תקציב 2026'!$A$1:$M$65536,9,0)</f>
        <v>-650000</v>
      </c>
      <c r="K836" s="49">
        <v>-640000</v>
      </c>
      <c r="L836" s="50">
        <f>VLOOKUP(A836,[2]data1761205830331!$A$1:$J$65536,10,0)</f>
        <v>-608126</v>
      </c>
    </row>
    <row r="837" spans="1:12" ht="15.75" customHeight="1" outlineLevel="1">
      <c r="A837" s="11">
        <v>1433000652</v>
      </c>
      <c r="B837" s="40">
        <v>652</v>
      </c>
      <c r="C837" s="109">
        <v>433000</v>
      </c>
      <c r="D837" s="139">
        <v>1</v>
      </c>
      <c r="E837" s="43"/>
      <c r="F837" s="44" t="str">
        <f>[4]גיליון1!$F$1511</f>
        <v>שכ"ד-מרפאה לבריאות הנפש</v>
      </c>
      <c r="G837" s="45" t="s">
        <v>37</v>
      </c>
      <c r="H837" s="51">
        <v>0</v>
      </c>
      <c r="I837" s="47"/>
      <c r="J837" s="48">
        <f>VLOOKUP(A837,'[1]תקציב 2026'!$A$1:$M$65536,9,0)</f>
        <v>0</v>
      </c>
      <c r="K837" s="49">
        <v>0</v>
      </c>
      <c r="L837" s="50">
        <f>VLOOKUP(A837,[2]data1761205830331!$A$1:$J$65536,10,0)</f>
        <v>-404690.39</v>
      </c>
    </row>
    <row r="838" spans="1:12" ht="15.75" customHeight="1" outlineLevel="1">
      <c r="A838" s="11">
        <v>1433000653</v>
      </c>
      <c r="B838" s="40">
        <v>653</v>
      </c>
      <c r="C838" s="109">
        <v>433000</v>
      </c>
      <c r="D838" s="42">
        <v>1</v>
      </c>
      <c r="E838" s="43"/>
      <c r="F838" s="44" t="str">
        <f>[4]גיליון1!$F$1512</f>
        <v>דמ"ש פוטו וולטאי</v>
      </c>
      <c r="G838" s="45" t="s">
        <v>37</v>
      </c>
      <c r="H838" s="51">
        <f t="shared" si="12"/>
        <v>0</v>
      </c>
      <c r="I838" s="47"/>
      <c r="J838" s="48">
        <f>VLOOKUP(A838,'[1]תקציב 2026'!$A$1:$M$65536,9,0)</f>
        <v>-252000</v>
      </c>
      <c r="K838" s="49">
        <v>-252000</v>
      </c>
      <c r="L838" s="50">
        <f>VLOOKUP(A838,[2]data1761205830331!$A$1:$J$65536,10,0)</f>
        <v>-734000</v>
      </c>
    </row>
    <row r="839" spans="1:12" ht="15.75" customHeight="1" outlineLevel="1">
      <c r="A839" s="11">
        <v>1433000654</v>
      </c>
      <c r="B839" s="40">
        <v>654</v>
      </c>
      <c r="C839" s="109">
        <v>433000</v>
      </c>
      <c r="D839" s="42">
        <v>1</v>
      </c>
      <c r="E839" s="43"/>
      <c r="F839" s="44" t="s">
        <v>693</v>
      </c>
      <c r="G839" s="45" t="s">
        <v>37</v>
      </c>
      <c r="H839" s="51">
        <f t="shared" si="12"/>
        <v>-1</v>
      </c>
      <c r="I839" s="47"/>
      <c r="J839" s="48">
        <f>VLOOKUP(A839,'[1]תקציב 2026'!$A$1:$M$65536,9,0)</f>
        <v>0</v>
      </c>
      <c r="K839" s="49">
        <v>-2677000</v>
      </c>
      <c r="L839" s="50">
        <f>VLOOKUP(A839,[2]data1761205830331!$A$1:$J$65536,10,0)</f>
        <v>0</v>
      </c>
    </row>
    <row r="840" spans="1:12" ht="15.75" customHeight="1" outlineLevel="1">
      <c r="A840" s="11">
        <v>1433000655</v>
      </c>
      <c r="B840" s="40">
        <v>655</v>
      </c>
      <c r="C840" s="109">
        <v>433000</v>
      </c>
      <c r="D840" s="42">
        <v>1</v>
      </c>
      <c r="E840" s="43"/>
      <c r="F840" s="44" t="s">
        <v>694</v>
      </c>
      <c r="G840" s="45" t="s">
        <v>37</v>
      </c>
      <c r="H840" s="51">
        <f t="shared" si="12"/>
        <v>-1</v>
      </c>
      <c r="I840" s="47"/>
      <c r="J840" s="48">
        <f>VLOOKUP(A840,'[1]תקציב 2026'!$A$1:$M$65536,9,0)</f>
        <v>0</v>
      </c>
      <c r="K840" s="49">
        <v>-1522000</v>
      </c>
      <c r="L840" s="50">
        <f>VLOOKUP(A840,[2]data1761205830331!$A$1:$J$65536,10,0)</f>
        <v>-1000000</v>
      </c>
    </row>
    <row r="841" spans="1:12" ht="15.75" customHeight="1" outlineLevel="1">
      <c r="A841" s="211">
        <v>1433000656</v>
      </c>
      <c r="B841" s="64">
        <v>656</v>
      </c>
      <c r="C841" s="109">
        <v>433000</v>
      </c>
      <c r="D841" s="66">
        <v>1</v>
      </c>
      <c r="E841" s="67"/>
      <c r="F841" s="68" t="s">
        <v>695</v>
      </c>
      <c r="G841" s="69" t="s">
        <v>37</v>
      </c>
      <c r="H841" s="129">
        <v>1</v>
      </c>
      <c r="I841" s="70" t="s">
        <v>86</v>
      </c>
      <c r="J841" s="48">
        <f>VLOOKUP(A841,'[1]תקציב 2026'!$A$1:$M$65536,9,0)</f>
        <v>-351170</v>
      </c>
      <c r="K841" s="186">
        <v>0</v>
      </c>
      <c r="L841" s="50">
        <v>0</v>
      </c>
    </row>
    <row r="842" spans="1:12" ht="15.75" customHeight="1" outlineLevel="1" thickBot="1">
      <c r="A842" s="11">
        <v>1433000657</v>
      </c>
      <c r="B842" s="119">
        <v>657</v>
      </c>
      <c r="C842" s="120">
        <v>433000</v>
      </c>
      <c r="D842" s="121">
        <v>1</v>
      </c>
      <c r="E842" s="201"/>
      <c r="F842" s="122" t="s">
        <v>696</v>
      </c>
      <c r="G842" s="153" t="s">
        <v>37</v>
      </c>
      <c r="H842" s="124">
        <v>1</v>
      </c>
      <c r="I842" s="160" t="s">
        <v>86</v>
      </c>
      <c r="J842" s="48">
        <f>VLOOKUP(A842,'[1]תקציב 2026'!$A$1:$M$65536,9,0)</f>
        <v>-1000000</v>
      </c>
      <c r="K842" s="162">
        <v>0</v>
      </c>
      <c r="L842" s="127">
        <v>0</v>
      </c>
    </row>
    <row r="843" spans="1:12" ht="16.2" thickBot="1">
      <c r="A843" s="11" t="e">
        <v>#VALUE!</v>
      </c>
      <c r="B843" s="53" t="s">
        <v>697</v>
      </c>
      <c r="C843" s="54"/>
      <c r="D843" s="83"/>
      <c r="E843" s="56"/>
      <c r="F843" s="116" t="s">
        <v>698</v>
      </c>
      <c r="G843" s="58"/>
      <c r="H843" s="166">
        <f>J843/K843-1</f>
        <v>-2.7932712350587696E-2</v>
      </c>
      <c r="I843" s="72"/>
      <c r="J843" s="74">
        <f>SUBTOTAL(9,J824:J842)</f>
        <v>-31244770</v>
      </c>
      <c r="K843" s="92">
        <f>SUBTOTAL(9,K824:K842)</f>
        <v>-32142600</v>
      </c>
      <c r="L843" s="75">
        <f>SUBTOTAL(9,L824:L842)</f>
        <v>-27814767.919999998</v>
      </c>
    </row>
    <row r="844" spans="1:12" ht="15.75" customHeight="1" outlineLevel="1">
      <c r="A844" s="11">
        <v>14390000</v>
      </c>
      <c r="B844" s="40">
        <v>0</v>
      </c>
      <c r="C844" s="109">
        <v>439000</v>
      </c>
      <c r="D844" s="193">
        <v>1</v>
      </c>
      <c r="E844" s="133"/>
      <c r="F844" s="68" t="s">
        <v>699</v>
      </c>
      <c r="G844" s="69" t="s">
        <v>15</v>
      </c>
      <c r="H844" s="51"/>
      <c r="I844" s="70"/>
      <c r="J844" s="48"/>
      <c r="K844" s="49"/>
      <c r="L844" s="50"/>
    </row>
    <row r="845" spans="1:12" ht="15.75" customHeight="1" outlineLevel="1">
      <c r="A845" s="11">
        <v>1439000413</v>
      </c>
      <c r="B845" s="40">
        <v>413</v>
      </c>
      <c r="C845" s="109">
        <v>439000</v>
      </c>
      <c r="D845" s="42">
        <v>1</v>
      </c>
      <c r="E845" s="43"/>
      <c r="F845" s="44" t="s">
        <v>700</v>
      </c>
      <c r="G845" s="45" t="s">
        <v>29</v>
      </c>
      <c r="H845" s="51">
        <f t="shared" si="12"/>
        <v>2.3333333333333335</v>
      </c>
      <c r="I845" s="47"/>
      <c r="J845" s="48">
        <f>VLOOKUP(A845,'[1]תקציב 2026'!$A$1:$M$65536,9,0)</f>
        <v>-500000</v>
      </c>
      <c r="K845" s="49">
        <v>-150000</v>
      </c>
      <c r="L845" s="50">
        <f>VLOOKUP(A845,[2]data1761205830331!$A$1:$J$65536,10,0)</f>
        <v>-160319.16</v>
      </c>
    </row>
    <row r="846" spans="1:12" ht="15.75" customHeight="1" outlineLevel="1">
      <c r="A846" s="11">
        <v>1439000670</v>
      </c>
      <c r="B846" s="40">
        <v>670</v>
      </c>
      <c r="C846" s="109">
        <v>439000</v>
      </c>
      <c r="D846" s="42">
        <v>1</v>
      </c>
      <c r="E846" s="67"/>
      <c r="F846" s="44" t="s">
        <v>701</v>
      </c>
      <c r="G846" s="45" t="s">
        <v>37</v>
      </c>
      <c r="H846" s="51">
        <f t="shared" si="12"/>
        <v>0</v>
      </c>
      <c r="I846" s="47"/>
      <c r="J846" s="48">
        <f>VLOOKUP(A846,'[1]תקציב 2026'!$A$1:$M$65536,9,0)</f>
        <v>-4960000</v>
      </c>
      <c r="K846" s="49">
        <v>-4960000</v>
      </c>
      <c r="L846" s="50">
        <f>VLOOKUP(A846,[2]data1761205830331!$A$1:$J$65536,10,0)</f>
        <v>-4809459</v>
      </c>
    </row>
    <row r="847" spans="1:12" ht="15.75" customHeight="1" outlineLevel="1" thickBot="1">
      <c r="A847" s="11">
        <v>1439000671</v>
      </c>
      <c r="B847" s="40">
        <v>671</v>
      </c>
      <c r="C847" s="109">
        <v>439000</v>
      </c>
      <c r="D847" s="42">
        <v>1</v>
      </c>
      <c r="E847" s="212"/>
      <c r="F847" s="44" t="s">
        <v>702</v>
      </c>
      <c r="G847" s="45" t="s">
        <v>37</v>
      </c>
      <c r="H847" s="51">
        <f t="shared" si="12"/>
        <v>-0.30000000000000004</v>
      </c>
      <c r="I847" s="47"/>
      <c r="J847" s="48">
        <f>VLOOKUP(A847,'[1]תקציב 2026'!$A$1:$M$65536,9,0)</f>
        <v>-1400000</v>
      </c>
      <c r="K847" s="49">
        <v>-2000000</v>
      </c>
      <c r="L847" s="50">
        <f>VLOOKUP(A847,[2]data1761205830331!$A$1:$J$65536,10,0)</f>
        <v>-1648580.3</v>
      </c>
    </row>
    <row r="848" spans="1:12" ht="16.2" thickBot="1">
      <c r="A848" s="11" t="e">
        <v>#VALUE!</v>
      </c>
      <c r="B848" s="53" t="s">
        <v>703</v>
      </c>
      <c r="C848" s="54"/>
      <c r="D848" s="55"/>
      <c r="E848" s="56"/>
      <c r="F848" s="116" t="s">
        <v>699</v>
      </c>
      <c r="G848" s="58"/>
      <c r="H848" s="166">
        <f>J848/K848-1</f>
        <v>-3.5161744022503494E-2</v>
      </c>
      <c r="I848" s="72"/>
      <c r="J848" s="74">
        <f>SUBTOTAL(9,J845:J847)</f>
        <v>-6860000</v>
      </c>
      <c r="K848" s="92">
        <f>SUBTOTAL(9,K845:K847)</f>
        <v>-7110000</v>
      </c>
      <c r="L848" s="75">
        <f>SUBTOTAL(9,L845:L847)</f>
        <v>-6618358.46</v>
      </c>
    </row>
    <row r="849" spans="1:12" ht="15.75" customHeight="1" outlineLevel="1">
      <c r="A849" s="11">
        <v>14700000</v>
      </c>
      <c r="B849" s="40">
        <v>0</v>
      </c>
      <c r="C849" s="109">
        <v>470000</v>
      </c>
      <c r="D849" s="42">
        <v>1</v>
      </c>
      <c r="E849" s="133"/>
      <c r="F849" s="44" t="s">
        <v>704</v>
      </c>
      <c r="G849" s="45" t="s">
        <v>15</v>
      </c>
      <c r="H849" s="51"/>
      <c r="I849" s="47"/>
      <c r="J849" s="48"/>
      <c r="K849" s="49"/>
      <c r="L849" s="50"/>
    </row>
    <row r="850" spans="1:12" ht="15.75" customHeight="1" outlineLevel="1" thickBot="1">
      <c r="A850" s="11">
        <v>1472000210</v>
      </c>
      <c r="B850" s="205">
        <v>210</v>
      </c>
      <c r="C850" s="131">
        <v>472000</v>
      </c>
      <c r="D850" s="42">
        <v>1</v>
      </c>
      <c r="E850" s="43"/>
      <c r="F850" s="68" t="s">
        <v>705</v>
      </c>
      <c r="G850" s="45" t="s">
        <v>37</v>
      </c>
      <c r="H850" s="51">
        <f t="shared" si="12"/>
        <v>-0.56666666666666665</v>
      </c>
      <c r="I850" s="47"/>
      <c r="J850" s="48">
        <f>VLOOKUP(A850,'[1]תקציב 2026'!$A$1:$M$65536,9,0)</f>
        <v>-26000</v>
      </c>
      <c r="K850" s="49">
        <v>-60000</v>
      </c>
      <c r="L850" s="50">
        <f>VLOOKUP(A850,[2]data1761205830331!$A$1:$J$65536,10,0)</f>
        <v>-26408.1</v>
      </c>
    </row>
    <row r="851" spans="1:12" ht="16.5" customHeight="1" thickBot="1">
      <c r="A851" s="11" t="e">
        <v>#VALUE!</v>
      </c>
      <c r="B851" s="53" t="s">
        <v>706</v>
      </c>
      <c r="C851" s="54"/>
      <c r="D851" s="55"/>
      <c r="E851" s="56"/>
      <c r="F851" s="116" t="s">
        <v>707</v>
      </c>
      <c r="G851" s="58"/>
      <c r="H851" s="166">
        <f>J851/K851-1</f>
        <v>-0.56666666666666665</v>
      </c>
      <c r="I851" s="72"/>
      <c r="J851" s="74">
        <f>SUBTOTAL(9,J850:J850)</f>
        <v>-26000</v>
      </c>
      <c r="K851" s="92">
        <f>SUBTOTAL(9,K850:K850)</f>
        <v>-60000</v>
      </c>
      <c r="L851" s="75">
        <f>SUBTOTAL(9,L850:L850)</f>
        <v>-26408.1</v>
      </c>
    </row>
    <row r="852" spans="1:12" ht="15.75" customHeight="1" outlineLevel="1">
      <c r="A852" s="11">
        <v>15000000</v>
      </c>
      <c r="B852" s="64">
        <v>0</v>
      </c>
      <c r="C852" s="131">
        <v>500000</v>
      </c>
      <c r="D852" s="66">
        <v>1</v>
      </c>
      <c r="E852" s="133"/>
      <c r="F852" s="68" t="s">
        <v>708</v>
      </c>
      <c r="G852" s="69" t="s">
        <v>15</v>
      </c>
      <c r="H852" s="51"/>
      <c r="I852" s="47"/>
      <c r="J852" s="48"/>
      <c r="K852" s="49"/>
      <c r="L852" s="50"/>
    </row>
    <row r="853" spans="1:12" ht="15.75" customHeight="1" outlineLevel="1" thickBot="1">
      <c r="A853" s="11">
        <v>1511000662</v>
      </c>
      <c r="B853" s="40">
        <v>662</v>
      </c>
      <c r="C853" s="109">
        <v>511000</v>
      </c>
      <c r="D853" s="42">
        <v>1</v>
      </c>
      <c r="E853" s="43"/>
      <c r="F853" s="44" t="s">
        <v>709</v>
      </c>
      <c r="G853" s="45" t="s">
        <v>37</v>
      </c>
      <c r="H853" s="51">
        <f t="shared" ref="H853:H910" si="13">J853/K853-1</f>
        <v>0.85000000000000009</v>
      </c>
      <c r="I853" s="47"/>
      <c r="J853" s="48">
        <f>VLOOKUP(A853,'[1]תקציב 2026'!$A$1:$M$65536,9,0)</f>
        <v>-11100000</v>
      </c>
      <c r="K853" s="49">
        <v>-6000000</v>
      </c>
      <c r="L853" s="50">
        <f>VLOOKUP(A853,[2]data1761205830331!$A$1:$J$65536,10,0)</f>
        <v>-51321288.310000002</v>
      </c>
    </row>
    <row r="854" spans="1:12" ht="16.2" thickBot="1">
      <c r="A854" s="11" t="e">
        <v>#VALUE!</v>
      </c>
      <c r="B854" s="53" t="s">
        <v>710</v>
      </c>
      <c r="C854" s="54"/>
      <c r="D854" s="55"/>
      <c r="E854" s="56"/>
      <c r="F854" s="116" t="s">
        <v>711</v>
      </c>
      <c r="G854" s="58"/>
      <c r="H854" s="166">
        <f>J854/K854-1</f>
        <v>0.85000000000000009</v>
      </c>
      <c r="I854" s="72"/>
      <c r="J854" s="74">
        <f>SUBTOTAL(9,J853:J853)</f>
        <v>-11100000</v>
      </c>
      <c r="K854" s="92">
        <f>SUBTOTAL(9,K853:K853)</f>
        <v>-6000000</v>
      </c>
      <c r="L854" s="75">
        <f>SUBTOTAL(9,L853:L853)</f>
        <v>-51321288.310000002</v>
      </c>
    </row>
    <row r="855" spans="1:12" ht="15.75" customHeight="1" outlineLevel="1">
      <c r="A855" s="11">
        <v>15120000</v>
      </c>
      <c r="B855" s="40">
        <v>0</v>
      </c>
      <c r="C855" s="109">
        <v>512000</v>
      </c>
      <c r="D855" s="42">
        <v>1</v>
      </c>
      <c r="E855" s="67"/>
      <c r="F855" s="44" t="s">
        <v>712</v>
      </c>
      <c r="G855" s="45" t="s">
        <v>15</v>
      </c>
      <c r="H855" s="51"/>
      <c r="I855" s="47"/>
      <c r="J855" s="48"/>
      <c r="K855" s="49"/>
      <c r="L855" s="50"/>
    </row>
    <row r="856" spans="1:12" ht="15.75" customHeight="1" outlineLevel="1">
      <c r="A856" s="11">
        <v>1512000661</v>
      </c>
      <c r="B856" s="40">
        <v>661</v>
      </c>
      <c r="C856" s="109">
        <v>512000</v>
      </c>
      <c r="D856" s="42">
        <v>1</v>
      </c>
      <c r="E856" s="67"/>
      <c r="F856" s="44" t="s">
        <v>713</v>
      </c>
      <c r="G856" s="45" t="s">
        <v>37</v>
      </c>
      <c r="H856" s="51">
        <f t="shared" si="13"/>
        <v>5</v>
      </c>
      <c r="I856" s="47"/>
      <c r="J856" s="48">
        <f>VLOOKUP(A856,'[1]תקציב 2026'!$A$1:$M$65536,9,0)</f>
        <v>-6000</v>
      </c>
      <c r="K856" s="49">
        <v>-1000</v>
      </c>
      <c r="L856" s="50">
        <f>VLOOKUP(A856,[2]data1761205830331!$A$1:$J$65536,10,0)</f>
        <v>-7523.32</v>
      </c>
    </row>
    <row r="857" spans="1:12" ht="15.75" customHeight="1" outlineLevel="1" thickBot="1">
      <c r="A857" s="11">
        <v>1512000662</v>
      </c>
      <c r="B857" s="40">
        <v>662</v>
      </c>
      <c r="C857" s="109">
        <v>512000</v>
      </c>
      <c r="D857" s="42">
        <v>1</v>
      </c>
      <c r="E857" s="67"/>
      <c r="F857" s="44" t="s">
        <v>714</v>
      </c>
      <c r="G857" s="45" t="s">
        <v>37</v>
      </c>
      <c r="H857" s="51">
        <f t="shared" si="13"/>
        <v>-0.19999999999999996</v>
      </c>
      <c r="I857" s="47"/>
      <c r="J857" s="48">
        <f>VLOOKUP(A857,'[1]תקציב 2026'!$A$1:$M$65536,9,0)</f>
        <v>-40000</v>
      </c>
      <c r="K857" s="49">
        <v>-50000</v>
      </c>
      <c r="L857" s="50">
        <f>VLOOKUP(A857,[2]data1761205830331!$A$1:$J$65536,10,0)</f>
        <v>-41125.550000000003</v>
      </c>
    </row>
    <row r="858" spans="1:12" ht="16.2" thickBot="1">
      <c r="A858" s="11" t="e">
        <v>#VALUE!</v>
      </c>
      <c r="B858" s="53" t="s">
        <v>715</v>
      </c>
      <c r="C858" s="54"/>
      <c r="D858" s="55"/>
      <c r="E858" s="56"/>
      <c r="F858" s="116" t="s">
        <v>712</v>
      </c>
      <c r="G858" s="58"/>
      <c r="H858" s="166">
        <f>J858/K858-1</f>
        <v>-9.8039215686274495E-2</v>
      </c>
      <c r="I858" s="72"/>
      <c r="J858" s="74">
        <f>SUBTOTAL(9,J856:J857)</f>
        <v>-46000</v>
      </c>
      <c r="K858" s="92">
        <f>SUBTOTAL(9,K856:K857)</f>
        <v>-51000</v>
      </c>
      <c r="L858" s="75">
        <f>SUBTOTAL(9,L856:L857)</f>
        <v>-48648.87</v>
      </c>
    </row>
    <row r="859" spans="1:12" ht="14.25" customHeight="1" outlineLevel="1">
      <c r="A859" s="11">
        <v>15130000</v>
      </c>
      <c r="B859" s="40">
        <v>0</v>
      </c>
      <c r="C859" s="109">
        <v>513000</v>
      </c>
      <c r="D859" s="42">
        <v>1</v>
      </c>
      <c r="E859" s="133"/>
      <c r="F859" s="44" t="s">
        <v>716</v>
      </c>
      <c r="G859" s="45" t="s">
        <v>15</v>
      </c>
      <c r="H859" s="51"/>
      <c r="I859" s="47"/>
      <c r="J859" s="48"/>
      <c r="K859" s="49"/>
      <c r="L859" s="50"/>
    </row>
    <row r="860" spans="1:12" ht="15.75" customHeight="1" outlineLevel="1">
      <c r="A860" s="11">
        <v>1513000690</v>
      </c>
      <c r="B860" s="40">
        <v>690</v>
      </c>
      <c r="C860" s="109">
        <v>513000</v>
      </c>
      <c r="D860" s="42">
        <v>1</v>
      </c>
      <c r="E860" s="43"/>
      <c r="F860" s="44" t="s">
        <v>717</v>
      </c>
      <c r="G860" s="45" t="s">
        <v>37</v>
      </c>
      <c r="H860" s="51">
        <f t="shared" si="13"/>
        <v>1.5</v>
      </c>
      <c r="I860" s="47"/>
      <c r="J860" s="48">
        <f>VLOOKUP(A860,'[1]תקציב 2026'!$A$1:$M$65536,9,0)</f>
        <v>-2500000</v>
      </c>
      <c r="K860" s="49">
        <v>-1000000</v>
      </c>
      <c r="L860" s="50">
        <f>VLOOKUP(A860,[2]data1761205830331!$A$1:$J$65536,10,0)</f>
        <v>-5500395.0599999996</v>
      </c>
    </row>
    <row r="861" spans="1:12" ht="15.75" customHeight="1" outlineLevel="1">
      <c r="A861" s="11">
        <v>1513000692</v>
      </c>
      <c r="B861" s="40">
        <v>692</v>
      </c>
      <c r="C861" s="109">
        <v>513000</v>
      </c>
      <c r="D861" s="139">
        <v>1</v>
      </c>
      <c r="E861" s="133"/>
      <c r="F861" s="44" t="s">
        <v>718</v>
      </c>
      <c r="G861" s="45" t="s">
        <v>37</v>
      </c>
      <c r="H861" s="51">
        <f t="shared" si="13"/>
        <v>0</v>
      </c>
      <c r="I861" s="47"/>
      <c r="J861" s="48">
        <f>VLOOKUP(A861,'[1]תקציב 2026'!$A$1:$M$65536,9,0)</f>
        <v>-58437600</v>
      </c>
      <c r="K861" s="49">
        <v>-58437600</v>
      </c>
      <c r="L861" s="50">
        <f>VLOOKUP(A861,[2]data1761205830331!$A$1:$J$65536,10,0)</f>
        <v>-67807850</v>
      </c>
    </row>
    <row r="862" spans="1:12" ht="15.75" customHeight="1" outlineLevel="1">
      <c r="A862" s="11">
        <v>1513000693</v>
      </c>
      <c r="B862" s="40">
        <v>693</v>
      </c>
      <c r="C862" s="109">
        <v>513000</v>
      </c>
      <c r="D862" s="42">
        <v>1</v>
      </c>
      <c r="E862" s="43"/>
      <c r="F862" s="44" t="s">
        <v>719</v>
      </c>
      <c r="G862" s="45" t="s">
        <v>37</v>
      </c>
      <c r="H862" s="51">
        <f t="shared" si="13"/>
        <v>-0.14516129032258063</v>
      </c>
      <c r="I862" s="47"/>
      <c r="J862" s="48">
        <f>VLOOKUP(A862,'[1]תקציב 2026'!$A$1:$M$65536,9,0)</f>
        <v>-265000</v>
      </c>
      <c r="K862" s="49">
        <v>-310000</v>
      </c>
      <c r="L862" s="50">
        <f>VLOOKUP(A862,[2]data1761205830331!$A$1:$J$65536,10,0)</f>
        <v>-263064</v>
      </c>
    </row>
    <row r="863" spans="1:12" ht="15.75" customHeight="1" outlineLevel="1">
      <c r="A863" s="11">
        <v>1513000695</v>
      </c>
      <c r="B863" s="40">
        <v>695</v>
      </c>
      <c r="C863" s="109">
        <v>513000</v>
      </c>
      <c r="D863" s="42">
        <v>1</v>
      </c>
      <c r="E863" s="140"/>
      <c r="F863" s="44" t="s">
        <v>720</v>
      </c>
      <c r="G863" s="45" t="s">
        <v>37</v>
      </c>
      <c r="H863" s="51">
        <v>1</v>
      </c>
      <c r="I863" s="47" t="s">
        <v>86</v>
      </c>
      <c r="J863" s="48">
        <f>VLOOKUP(A863,'[1]תקציב 2026'!$A$1:$M$65536,9,0)</f>
        <v>-5500000</v>
      </c>
      <c r="K863" s="49">
        <v>0</v>
      </c>
      <c r="L863" s="50">
        <v>0</v>
      </c>
    </row>
    <row r="864" spans="1:12" ht="15.75" customHeight="1" outlineLevel="1" thickBot="1">
      <c r="A864" s="11">
        <v>1513000920</v>
      </c>
      <c r="B864" s="40">
        <v>920</v>
      </c>
      <c r="C864" s="109">
        <v>513000</v>
      </c>
      <c r="D864" s="42">
        <v>1</v>
      </c>
      <c r="E864" s="197"/>
      <c r="F864" s="44" t="s">
        <v>721</v>
      </c>
      <c r="G864" s="45" t="s">
        <v>37</v>
      </c>
      <c r="H864" s="51">
        <f t="shared" si="13"/>
        <v>0</v>
      </c>
      <c r="I864" s="47"/>
      <c r="J864" s="48">
        <f>VLOOKUP(A864,'[1]תקציב 2026'!$A$1:$M$65536,9,0)</f>
        <v>-1000000</v>
      </c>
      <c r="K864" s="49">
        <v>-1000000</v>
      </c>
      <c r="L864" s="50">
        <f>VLOOKUP(A864,[2]data1761205830331!$A$1:$J$65536,10,0)</f>
        <v>-1127214.58</v>
      </c>
    </row>
    <row r="865" spans="1:13" ht="17.25" customHeight="1" thickBot="1">
      <c r="A865" s="11" t="e">
        <v>#VALUE!</v>
      </c>
      <c r="B865" s="53" t="s">
        <v>722</v>
      </c>
      <c r="C865" s="54"/>
      <c r="D865" s="55"/>
      <c r="E865" s="133"/>
      <c r="F865" s="116" t="s">
        <v>716</v>
      </c>
      <c r="G865" s="58"/>
      <c r="H865" s="166">
        <f>J865/K865-1</f>
        <v>0.11449011977427914</v>
      </c>
      <c r="I865" s="72"/>
      <c r="J865" s="74">
        <f>SUBTOTAL(9,J860:J864)</f>
        <v>-67702600</v>
      </c>
      <c r="K865" s="92">
        <f>SUBTOTAL(9,K860:K864)</f>
        <v>-60747600</v>
      </c>
      <c r="L865" s="75">
        <f>SUBTOTAL(9,L860:L864)</f>
        <v>-74698523.640000001</v>
      </c>
      <c r="M865" s="213"/>
    </row>
    <row r="866" spans="1:13" ht="15.75" customHeight="1" outlineLevel="1">
      <c r="A866" s="11">
        <v>15900000</v>
      </c>
      <c r="B866" s="40">
        <v>0</v>
      </c>
      <c r="C866" s="109">
        <v>590000</v>
      </c>
      <c r="D866" s="193">
        <v>1</v>
      </c>
      <c r="E866" s="152"/>
      <c r="F866" s="44" t="s">
        <v>723</v>
      </c>
      <c r="G866" s="45" t="s">
        <v>15</v>
      </c>
      <c r="H866" s="51"/>
      <c r="I866" s="47"/>
      <c r="J866" s="48"/>
      <c r="K866" s="49"/>
      <c r="L866" s="50"/>
      <c r="M866" s="213"/>
    </row>
    <row r="867" spans="1:13" ht="15.75" customHeight="1" outlineLevel="1">
      <c r="A867" s="11">
        <v>1594000690</v>
      </c>
      <c r="B867" s="40">
        <v>690</v>
      </c>
      <c r="C867" s="109">
        <v>594000</v>
      </c>
      <c r="D867" s="42">
        <v>1</v>
      </c>
      <c r="E867" s="133"/>
      <c r="F867" s="44" t="s">
        <v>724</v>
      </c>
      <c r="G867" s="45" t="s">
        <v>37</v>
      </c>
      <c r="H867" s="51">
        <v>1</v>
      </c>
      <c r="I867" s="47"/>
      <c r="J867" s="48">
        <f>VLOOKUP(A867,'[1]תקציב 2026'!$A$1:$M$65536,9,0)</f>
        <v>-50000</v>
      </c>
      <c r="K867" s="49">
        <f>VLOOKUP(A867,[3]גיליון1!$A$1:$C$7693,3,0)</f>
        <v>0</v>
      </c>
      <c r="L867" s="50">
        <f>VLOOKUP(A867,[2]data1761205830331!$A$1:$J$65536,10,0)</f>
        <v>-167755.99</v>
      </c>
      <c r="M867" s="213"/>
    </row>
    <row r="868" spans="1:13" ht="15.75" customHeight="1" outlineLevel="1">
      <c r="A868" s="11">
        <v>1594000691</v>
      </c>
      <c r="B868" s="40">
        <v>691</v>
      </c>
      <c r="C868" s="109">
        <v>594000</v>
      </c>
      <c r="D868" s="139">
        <v>1</v>
      </c>
      <c r="E868" s="43"/>
      <c r="F868" s="44" t="s">
        <v>725</v>
      </c>
      <c r="G868" s="45" t="s">
        <v>37</v>
      </c>
      <c r="H868" s="51">
        <f t="shared" si="13"/>
        <v>0</v>
      </c>
      <c r="I868" s="47"/>
      <c r="J868" s="48">
        <f>VLOOKUP(A868,'[1]תקציב 2026'!$A$1:$M$65536,9,0)</f>
        <v>-1500000</v>
      </c>
      <c r="K868" s="49">
        <v>-1500000</v>
      </c>
      <c r="L868" s="50">
        <f>VLOOKUP(A868,[2]data1761205830331!$A$1:$J$65536,10,0)</f>
        <v>0</v>
      </c>
      <c r="M868" s="213"/>
    </row>
    <row r="869" spans="1:13" ht="15.75" customHeight="1" outlineLevel="1">
      <c r="A869" s="11">
        <v>1594000692</v>
      </c>
      <c r="B869" s="40">
        <v>692</v>
      </c>
      <c r="C869" s="109">
        <v>594000</v>
      </c>
      <c r="D869" s="42">
        <v>1</v>
      </c>
      <c r="E869" s="133"/>
      <c r="F869" s="44" t="s">
        <v>726</v>
      </c>
      <c r="G869" s="45" t="s">
        <v>37</v>
      </c>
      <c r="H869" s="51">
        <f t="shared" si="13"/>
        <v>0</v>
      </c>
      <c r="I869" s="47"/>
      <c r="J869" s="48">
        <f>VLOOKUP(A869,'[1]תקציב 2026'!$A$1:$M$65536,9,0)</f>
        <v>-1500000</v>
      </c>
      <c r="K869" s="49">
        <v>-1500000</v>
      </c>
      <c r="L869" s="50">
        <f>VLOOKUP(A869,[2]data1761205830331!$A$1:$J$65536,10,0)</f>
        <v>-1309109.05</v>
      </c>
      <c r="M869" s="213"/>
    </row>
    <row r="870" spans="1:13" ht="15.75" customHeight="1" outlineLevel="1">
      <c r="A870" s="11">
        <v>1594000693</v>
      </c>
      <c r="B870" s="40">
        <v>693</v>
      </c>
      <c r="C870" s="109">
        <v>594000</v>
      </c>
      <c r="D870" s="42">
        <v>1</v>
      </c>
      <c r="E870" s="43"/>
      <c r="F870" s="44" t="s">
        <v>727</v>
      </c>
      <c r="G870" s="45" t="s">
        <v>37</v>
      </c>
      <c r="H870" s="51">
        <f t="shared" si="13"/>
        <v>-0.8</v>
      </c>
      <c r="I870" s="214"/>
      <c r="J870" s="48">
        <f>VLOOKUP(A870,'[1]תקציב 2026'!$A$1:$M$65536,9,0)</f>
        <v>-10000</v>
      </c>
      <c r="K870" s="114">
        <v>-50000</v>
      </c>
      <c r="L870" s="50">
        <f>VLOOKUP(A870,[2]data1761205830331!$A$1:$J$65536,10,0)</f>
        <v>-33956.949999999997</v>
      </c>
      <c r="M870" s="213"/>
    </row>
    <row r="871" spans="1:13" ht="15.75" customHeight="1" outlineLevel="1">
      <c r="A871" s="11">
        <v>1594000694</v>
      </c>
      <c r="B871" s="40">
        <v>694</v>
      </c>
      <c r="C871" s="109">
        <v>594000</v>
      </c>
      <c r="D871" s="139">
        <v>1</v>
      </c>
      <c r="E871" s="133"/>
      <c r="F871" s="44" t="s">
        <v>211</v>
      </c>
      <c r="G871" s="45" t="s">
        <v>37</v>
      </c>
      <c r="H871" s="51">
        <f t="shared" si="13"/>
        <v>0</v>
      </c>
      <c r="I871" s="47"/>
      <c r="J871" s="48">
        <f>VLOOKUP(A871,'[1]תקציב 2026'!$A$1:$M$65536,9,0)</f>
        <v>-200000</v>
      </c>
      <c r="K871" s="49">
        <f>VLOOKUP(A871,[3]גיליון1!$A$1:$C$7693,3,0)</f>
        <v>-200000</v>
      </c>
      <c r="L871" s="50">
        <f>VLOOKUP(A871,[2]data1761205830331!$A$1:$J$65536,10,0)</f>
        <v>-274900.53999999998</v>
      </c>
      <c r="M871" s="213"/>
    </row>
    <row r="872" spans="1:13" ht="15.75" customHeight="1" outlineLevel="1">
      <c r="A872" s="11">
        <v>1594000695</v>
      </c>
      <c r="B872" s="40">
        <v>695</v>
      </c>
      <c r="C872" s="109">
        <v>594000</v>
      </c>
      <c r="D872" s="42">
        <v>1</v>
      </c>
      <c r="E872" s="43"/>
      <c r="F872" s="44" t="s">
        <v>728</v>
      </c>
      <c r="G872" s="45" t="s">
        <v>29</v>
      </c>
      <c r="H872" s="51">
        <f t="shared" si="13"/>
        <v>-1</v>
      </c>
      <c r="I872" s="47"/>
      <c r="J872" s="48">
        <f>VLOOKUP(A872,'[1]תקציב 2026'!$A$1:$M$65536,9,0)</f>
        <v>0</v>
      </c>
      <c r="K872" s="49">
        <f>VLOOKUP(A872,[3]גיליון1!$A$1:$C$7693,3,0)</f>
        <v>-15000</v>
      </c>
      <c r="L872" s="50">
        <f>VLOOKUP(A872,[2]data1761205830331!$A$1:$J$65536,10,0)</f>
        <v>-4919.7299999999996</v>
      </c>
      <c r="M872" s="213"/>
    </row>
    <row r="873" spans="1:13" ht="15.75" customHeight="1" outlineLevel="1">
      <c r="A873" s="11">
        <v>1594000791</v>
      </c>
      <c r="B873" s="40">
        <v>791</v>
      </c>
      <c r="C873" s="109">
        <v>594000</v>
      </c>
      <c r="D873" s="42">
        <v>1</v>
      </c>
      <c r="E873" s="43"/>
      <c r="F873" s="44" t="s">
        <v>729</v>
      </c>
      <c r="G873" s="45" t="s">
        <v>37</v>
      </c>
      <c r="H873" s="51">
        <v>0</v>
      </c>
      <c r="I873" s="47"/>
      <c r="J873" s="48">
        <f>VLOOKUP(A873,'[1]תקציב 2026'!$A$1:$M$65536,9,0)</f>
        <v>0</v>
      </c>
      <c r="K873" s="49">
        <f>VLOOKUP(A873,[3]גיליון1!$A$1:$C$7693,3,0)</f>
        <v>0</v>
      </c>
      <c r="L873" s="50">
        <f>VLOOKUP(A873,[2]data1761205830331!$A$1:$J$65536,10,0)</f>
        <v>-21142</v>
      </c>
      <c r="M873" s="213"/>
    </row>
    <row r="874" spans="1:13" ht="15.75" customHeight="1" outlineLevel="1" thickBot="1">
      <c r="A874" s="11">
        <v>1594000792</v>
      </c>
      <c r="B874" s="40">
        <v>792</v>
      </c>
      <c r="C874" s="109">
        <v>594000</v>
      </c>
      <c r="D874" s="42">
        <v>1</v>
      </c>
      <c r="E874" s="43"/>
      <c r="F874" s="44" t="s">
        <v>730</v>
      </c>
      <c r="G874" s="45" t="s">
        <v>29</v>
      </c>
      <c r="H874" s="51">
        <f t="shared" si="13"/>
        <v>-1</v>
      </c>
      <c r="I874" s="47"/>
      <c r="J874" s="48">
        <f>VLOOKUP(A874,'[1]תקציב 2026'!$A$1:$M$65536,9,0)</f>
        <v>0</v>
      </c>
      <c r="K874" s="49">
        <v>-2151500</v>
      </c>
      <c r="L874" s="50">
        <f>VLOOKUP(A874,[2]data1761205830331!$A$1:$J$65536,10,0)</f>
        <v>-4051050</v>
      </c>
      <c r="M874" s="213"/>
    </row>
    <row r="875" spans="1:13" ht="17.399999999999999" thickBot="1">
      <c r="A875" s="11" t="e">
        <v>#VALUE!</v>
      </c>
      <c r="B875" s="53" t="s">
        <v>731</v>
      </c>
      <c r="C875" s="54"/>
      <c r="D875" s="55"/>
      <c r="E875" s="56"/>
      <c r="F875" s="57" t="s">
        <v>723</v>
      </c>
      <c r="G875" s="58"/>
      <c r="H875" s="166">
        <f>J875/K875-1</f>
        <v>-0.39813532724083822</v>
      </c>
      <c r="I875" s="72"/>
      <c r="J875" s="74">
        <f>SUBTOTAL(9,J867:J874)</f>
        <v>-3260000</v>
      </c>
      <c r="K875" s="92">
        <f>SUBTOTAL(9,K867:K874)</f>
        <v>-5416500</v>
      </c>
      <c r="L875" s="75">
        <f>SUBTOTAL(9,L867:L874)</f>
        <v>-5862834.2599999998</v>
      </c>
      <c r="M875" s="213"/>
    </row>
    <row r="876" spans="1:13" ht="15.75" customHeight="1" outlineLevel="1">
      <c r="A876" s="11">
        <v>15993000</v>
      </c>
      <c r="B876" s="40">
        <v>0</v>
      </c>
      <c r="C876" s="109">
        <v>599300</v>
      </c>
      <c r="D876" s="42">
        <v>1</v>
      </c>
      <c r="E876" s="132"/>
      <c r="F876" s="44" t="s">
        <v>732</v>
      </c>
      <c r="G876" s="45" t="s">
        <v>15</v>
      </c>
      <c r="H876" s="51"/>
      <c r="I876" s="47"/>
      <c r="J876" s="48"/>
      <c r="K876" s="49"/>
      <c r="L876" s="50"/>
      <c r="M876" s="213"/>
    </row>
    <row r="877" spans="1:13" ht="15.75" customHeight="1" outlineLevel="1" thickBot="1">
      <c r="A877" s="11">
        <v>1599300690</v>
      </c>
      <c r="B877" s="40">
        <v>690</v>
      </c>
      <c r="C877" s="109">
        <v>599300</v>
      </c>
      <c r="D877" s="42">
        <v>1</v>
      </c>
      <c r="E877" s="197"/>
      <c r="F877" s="44" t="s">
        <v>733</v>
      </c>
      <c r="G877" s="45" t="s">
        <v>37</v>
      </c>
      <c r="H877" s="51">
        <v>0</v>
      </c>
      <c r="I877" s="47"/>
      <c r="J877" s="48">
        <f>VLOOKUP(A877,'[1]תקציב 2026'!$A$1:$M$65536,9,0)</f>
        <v>0</v>
      </c>
      <c r="K877" s="49">
        <f>VLOOKUP(A877,[3]גיליון1!$A$1:$C$7693,3,0)</f>
        <v>0</v>
      </c>
      <c r="L877" s="50">
        <f>VLOOKUP(A877,[2]data1761205830331!$A$1:$J$65536,10,0)</f>
        <v>100063654.06</v>
      </c>
      <c r="M877" s="213"/>
    </row>
    <row r="878" spans="1:13" ht="17.399999999999999" thickBot="1">
      <c r="A878" s="11" t="e">
        <v>#VALUE!</v>
      </c>
      <c r="B878" s="53" t="s">
        <v>734</v>
      </c>
      <c r="C878" s="54"/>
      <c r="D878" s="55"/>
      <c r="E878" s="215"/>
      <c r="F878" s="57" t="s">
        <v>732</v>
      </c>
      <c r="G878" s="58"/>
      <c r="H878" s="166">
        <v>0</v>
      </c>
      <c r="I878" s="72"/>
      <c r="J878" s="74">
        <f>SUBTOTAL(9,J877)</f>
        <v>0</v>
      </c>
      <c r="K878" s="92">
        <f>SUBTOTAL(9,K877)</f>
        <v>0</v>
      </c>
      <c r="L878" s="75">
        <f>SUBTOTAL(9,L877)</f>
        <v>100063654.06</v>
      </c>
      <c r="M878" s="213"/>
    </row>
    <row r="879" spans="1:13" ht="21.6" thickBot="1">
      <c r="A879" s="11"/>
      <c r="B879" s="312" t="s">
        <v>735</v>
      </c>
      <c r="C879" s="313"/>
      <c r="D879" s="313"/>
      <c r="E879" s="313"/>
      <c r="F879" s="313"/>
      <c r="G879" s="314"/>
      <c r="H879" s="216">
        <f t="shared" si="13"/>
        <v>6.7236557382407636E-2</v>
      </c>
      <c r="I879" s="217"/>
      <c r="J879" s="218">
        <f>SUM(J133:J878)/2</f>
        <v>-2040623000</v>
      </c>
      <c r="K879" s="219">
        <f>SUM(K133:K878)/2</f>
        <v>-1912062500</v>
      </c>
      <c r="L879" s="220">
        <f>SUM(L133:L878)/2</f>
        <v>-1841145448.0000005</v>
      </c>
      <c r="M879" s="221"/>
    </row>
    <row r="880" spans="1:13" ht="21">
      <c r="A880" s="11"/>
      <c r="B880" s="64"/>
      <c r="C880" s="131"/>
      <c r="D880" s="66"/>
      <c r="E880" s="101"/>
      <c r="F880" s="102" t="s">
        <v>736</v>
      </c>
      <c r="G880" s="69"/>
      <c r="H880" s="51"/>
      <c r="I880" s="47"/>
      <c r="J880" s="48"/>
      <c r="K880" s="49"/>
      <c r="L880" s="222"/>
      <c r="M880" s="213"/>
    </row>
    <row r="881" spans="1:12" ht="15.6" outlineLevel="1">
      <c r="A881" s="11">
        <v>16000000</v>
      </c>
      <c r="B881" s="64">
        <v>0</v>
      </c>
      <c r="C881" s="131">
        <v>600000</v>
      </c>
      <c r="D881" s="66">
        <v>1</v>
      </c>
      <c r="E881" s="67"/>
      <c r="F881" s="44" t="s">
        <v>737</v>
      </c>
      <c r="G881" s="69"/>
      <c r="H881" s="51"/>
      <c r="I881" s="47"/>
      <c r="J881" s="48"/>
      <c r="K881" s="49"/>
      <c r="L881" s="50"/>
    </row>
    <row r="882" spans="1:12" ht="15.6" outlineLevel="1">
      <c r="A882" s="11">
        <v>1611100110</v>
      </c>
      <c r="B882" s="40">
        <v>110</v>
      </c>
      <c r="C882" s="109">
        <v>611100</v>
      </c>
      <c r="D882" s="42">
        <v>1</v>
      </c>
      <c r="E882" s="43"/>
      <c r="F882" s="44" t="s">
        <v>21</v>
      </c>
      <c r="G882" s="45" t="s">
        <v>22</v>
      </c>
      <c r="H882" s="51">
        <v>0</v>
      </c>
      <c r="I882" s="47"/>
      <c r="J882" s="48">
        <f>VLOOKUP(A882,'[1]תקציב 2026'!$A$1:$M$65536,9,0)</f>
        <v>0</v>
      </c>
      <c r="K882" s="49">
        <f>VLOOKUP(A882,[3]גיליון1!$A$1:$C$7693,3,0)</f>
        <v>0</v>
      </c>
      <c r="L882" s="50">
        <f>VLOOKUP(A882,[2]data1761205830331!$A$1:$J$65536,10,0)</f>
        <v>482130.36</v>
      </c>
    </row>
    <row r="883" spans="1:12" ht="15.6" outlineLevel="1">
      <c r="A883" s="11">
        <v>1611100119</v>
      </c>
      <c r="B883" s="40">
        <v>119</v>
      </c>
      <c r="C883" s="109">
        <v>611100</v>
      </c>
      <c r="D883" s="42">
        <v>1</v>
      </c>
      <c r="E883" s="43"/>
      <c r="F883" s="44" t="s">
        <v>23</v>
      </c>
      <c r="G883" s="45" t="s">
        <v>22</v>
      </c>
      <c r="H883" s="51">
        <f t="shared" si="13"/>
        <v>3.8679257160843639E-2</v>
      </c>
      <c r="I883" s="47"/>
      <c r="J883" s="48">
        <v>8249710</v>
      </c>
      <c r="K883" s="49">
        <f>7518500+144000+140000+140000</f>
        <v>7942500</v>
      </c>
      <c r="L883" s="50">
        <f>VLOOKUP(A883,[2]data1761205830331!$A$1:$J$65536,10,0)</f>
        <v>6057834.2000000002</v>
      </c>
    </row>
    <row r="884" spans="1:12" ht="15.6" outlineLevel="1">
      <c r="A884" s="11">
        <v>1611100122</v>
      </c>
      <c r="B884" s="40">
        <v>122</v>
      </c>
      <c r="C884" s="109">
        <v>611100</v>
      </c>
      <c r="D884" s="42">
        <v>1</v>
      </c>
      <c r="E884" s="43"/>
      <c r="F884" s="44" t="s">
        <v>24</v>
      </c>
      <c r="G884" s="45" t="s">
        <v>22</v>
      </c>
      <c r="H884" s="51">
        <f t="shared" si="13"/>
        <v>3.531250000000008E-2</v>
      </c>
      <c r="I884" s="47"/>
      <c r="J884" s="48">
        <v>66260</v>
      </c>
      <c r="K884" s="49">
        <f>VLOOKUP(A884,[3]גיליון1!$A$1:$C$7693,3,0)</f>
        <v>64000</v>
      </c>
      <c r="L884" s="50">
        <f>VLOOKUP(A884,[2]data1761205830331!$A$1:$J$65536,10,0)</f>
        <v>63139.41</v>
      </c>
    </row>
    <row r="885" spans="1:12" ht="15.6" outlineLevel="1">
      <c r="A885" s="11">
        <v>1611100126</v>
      </c>
      <c r="B885" s="40">
        <v>126</v>
      </c>
      <c r="C885" s="109">
        <v>611100</v>
      </c>
      <c r="D885" s="42">
        <v>1</v>
      </c>
      <c r="E885" s="43"/>
      <c r="F885" s="44" t="s">
        <v>25</v>
      </c>
      <c r="G885" s="45" t="s">
        <v>22</v>
      </c>
      <c r="H885" s="51">
        <f t="shared" si="13"/>
        <v>3.5265700483091855E-2</v>
      </c>
      <c r="I885" s="47"/>
      <c r="J885" s="48">
        <v>107150</v>
      </c>
      <c r="K885" s="49">
        <f>VLOOKUP(A885,[3]גיליון1!$A$1:$C$7693,3,0)</f>
        <v>103500</v>
      </c>
      <c r="L885" s="50">
        <f>VLOOKUP(A885,[2]data1761205830331!$A$1:$J$65536,10,0)</f>
        <v>103470.39</v>
      </c>
    </row>
    <row r="886" spans="1:12" ht="15.6" outlineLevel="1">
      <c r="A886" s="11">
        <v>1611100130</v>
      </c>
      <c r="B886" s="40">
        <v>130</v>
      </c>
      <c r="C886" s="109">
        <v>611100</v>
      </c>
      <c r="D886" s="42">
        <v>1</v>
      </c>
      <c r="E886" s="43"/>
      <c r="F886" s="44" t="s">
        <v>26</v>
      </c>
      <c r="G886" s="45" t="s">
        <v>22</v>
      </c>
      <c r="H886" s="51">
        <f t="shared" si="13"/>
        <v>23.255813953488371</v>
      </c>
      <c r="I886" s="47"/>
      <c r="J886" s="48">
        <f>VLOOKUP(A886,'[1]תקציב 2026'!$A$1:$M$65536,9,0)</f>
        <v>125160</v>
      </c>
      <c r="K886" s="49">
        <f>VLOOKUP(A886,[3]גיליון1!$A$1:$C$7693,3,0)*0.86</f>
        <v>5160</v>
      </c>
      <c r="L886" s="50">
        <f>VLOOKUP(A886,[2]data1761205830331!$A$1:$J$65536,10,0)</f>
        <v>33353.82</v>
      </c>
    </row>
    <row r="887" spans="1:12" ht="15.6" outlineLevel="1">
      <c r="A887" s="11">
        <v>1611100140</v>
      </c>
      <c r="B887" s="40">
        <v>140</v>
      </c>
      <c r="C887" s="109">
        <v>611100</v>
      </c>
      <c r="D887" s="42">
        <v>1</v>
      </c>
      <c r="E887" s="43"/>
      <c r="F887" s="44" t="s">
        <v>27</v>
      </c>
      <c r="G887" s="45" t="s">
        <v>22</v>
      </c>
      <c r="H887" s="51">
        <f t="shared" si="13"/>
        <v>0</v>
      </c>
      <c r="I887" s="47"/>
      <c r="J887" s="48">
        <f>VLOOKUP(A887,'[1]תקציב 2026'!$A$1:$M$65536,9,0)</f>
        <v>592000</v>
      </c>
      <c r="K887" s="49">
        <f>VLOOKUP(A887,[3]גיליון1!$A$1:$C$7693,3,0)</f>
        <v>592000</v>
      </c>
      <c r="L887" s="50">
        <f>VLOOKUP(A887,[2]data1761205830331!$A$1:$J$65536,10,0)</f>
        <v>590113.9</v>
      </c>
    </row>
    <row r="888" spans="1:12" ht="15.6" outlineLevel="1">
      <c r="A888" s="11">
        <v>1611100253</v>
      </c>
      <c r="B888" s="40">
        <v>253</v>
      </c>
      <c r="C888" s="109">
        <v>611100</v>
      </c>
      <c r="D888" s="42">
        <v>1</v>
      </c>
      <c r="E888" s="43"/>
      <c r="F888" s="44" t="s">
        <v>738</v>
      </c>
      <c r="G888" s="45" t="s">
        <v>22</v>
      </c>
      <c r="H888" s="51">
        <v>0</v>
      </c>
      <c r="I888" s="47"/>
      <c r="J888" s="48">
        <f>VLOOKUP(A888,'[1]תקציב 2026'!$A$1:$M$65536,9,0)</f>
        <v>0</v>
      </c>
      <c r="K888" s="49">
        <v>0</v>
      </c>
      <c r="L888" s="50">
        <f>VLOOKUP(A888,[2]data1761205830331!$A$1:$J$65536,10,0)</f>
        <v>151380.16</v>
      </c>
    </row>
    <row r="889" spans="1:12" ht="15.6" outlineLevel="1">
      <c r="A889" s="11">
        <v>1611100350</v>
      </c>
      <c r="B889" s="40">
        <v>350</v>
      </c>
      <c r="C889" s="109">
        <v>611100</v>
      </c>
      <c r="D889" s="42">
        <v>1</v>
      </c>
      <c r="E889" s="43"/>
      <c r="F889" s="44" t="s">
        <v>739</v>
      </c>
      <c r="G889" s="45" t="s">
        <v>22</v>
      </c>
      <c r="H889" s="51">
        <f t="shared" si="13"/>
        <v>1.1043333333333334</v>
      </c>
      <c r="I889" s="47"/>
      <c r="J889" s="48">
        <f>VLOOKUP(A889,'[1]תקציב 2026'!$A$1:$M$65536,9,0)</f>
        <v>126260</v>
      </c>
      <c r="K889" s="49">
        <f>VLOOKUP(A889,[3]גיליון1!$A$1:$C$7693,3,0)</f>
        <v>60000</v>
      </c>
      <c r="L889" s="50">
        <f>VLOOKUP(A889,[2]data1761205830331!$A$1:$J$65536,10,0)</f>
        <v>28946.65</v>
      </c>
    </row>
    <row r="890" spans="1:12" ht="15.6" outlineLevel="1">
      <c r="A890" s="11">
        <v>1611100351</v>
      </c>
      <c r="B890" s="40">
        <v>351</v>
      </c>
      <c r="C890" s="109">
        <v>611100</v>
      </c>
      <c r="D890" s="42">
        <v>1</v>
      </c>
      <c r="E890" s="43"/>
      <c r="F890" s="44" t="s">
        <v>740</v>
      </c>
      <c r="G890" s="45" t="s">
        <v>22</v>
      </c>
      <c r="H890" s="51">
        <f t="shared" si="13"/>
        <v>1</v>
      </c>
      <c r="I890" s="47"/>
      <c r="J890" s="48">
        <f>VLOOKUP(A890,'[1]תקציב 2026'!$A$1:$M$65536,9,0)</f>
        <v>50000</v>
      </c>
      <c r="K890" s="49">
        <f>VLOOKUP(A890,[3]גיליון1!$A$1:$C$7693,3,0)</f>
        <v>25000</v>
      </c>
      <c r="L890" s="50">
        <f>VLOOKUP(A890,[2]data1761205830331!$A$1:$J$65536,10,0)</f>
        <v>5345.18</v>
      </c>
    </row>
    <row r="891" spans="1:12" ht="15.6" outlineLevel="1">
      <c r="A891" s="11">
        <v>1611100353</v>
      </c>
      <c r="B891" s="40">
        <v>353</v>
      </c>
      <c r="C891" s="109">
        <v>611100</v>
      </c>
      <c r="D891" s="42">
        <v>1</v>
      </c>
      <c r="E891" s="43"/>
      <c r="F891" s="44" t="s">
        <v>741</v>
      </c>
      <c r="G891" s="45" t="s">
        <v>22</v>
      </c>
      <c r="H891" s="51">
        <f t="shared" si="13"/>
        <v>-1</v>
      </c>
      <c r="I891" s="47"/>
      <c r="J891" s="48">
        <f>VLOOKUP(A891,'[1]תקציב 2026'!$A$1:$M$65536,9,0)</f>
        <v>0</v>
      </c>
      <c r="K891" s="49">
        <f>VLOOKUP(A891,[3]גיליון1!$A$1:$C$7693,3,0)</f>
        <v>20000</v>
      </c>
      <c r="L891" s="50">
        <f>VLOOKUP(A891,[2]data1761205830331!$A$1:$J$65536,10,0)</f>
        <v>1295.08</v>
      </c>
    </row>
    <row r="892" spans="1:12" ht="15.6" outlineLevel="1">
      <c r="A892" s="11">
        <v>1611100441</v>
      </c>
      <c r="B892" s="40">
        <v>441</v>
      </c>
      <c r="C892" s="109">
        <v>611100</v>
      </c>
      <c r="D892" s="42">
        <v>1</v>
      </c>
      <c r="E892" s="43"/>
      <c r="F892" s="44" t="s">
        <v>742</v>
      </c>
      <c r="G892" s="45" t="s">
        <v>29</v>
      </c>
      <c r="H892" s="51">
        <f t="shared" si="13"/>
        <v>4.3290043290042934E-3</v>
      </c>
      <c r="I892" s="47"/>
      <c r="J892" s="48">
        <f>VLOOKUP(A892,'[1]תקציב 2026'!$A$1:$M$65536,9,0)</f>
        <v>232000</v>
      </c>
      <c r="K892" s="49">
        <v>231000</v>
      </c>
      <c r="L892" s="50">
        <f>VLOOKUP(A892,[2]data1761205830331!$A$1:$J$65536,10,0)</f>
        <v>231282</v>
      </c>
    </row>
    <row r="893" spans="1:12" ht="15.6" outlineLevel="1">
      <c r="A893" s="11">
        <v>1611100471</v>
      </c>
      <c r="B893" s="40">
        <v>471</v>
      </c>
      <c r="C893" s="109">
        <v>611100</v>
      </c>
      <c r="D893" s="42">
        <v>1</v>
      </c>
      <c r="E893" s="43"/>
      <c r="F893" s="44" t="s">
        <v>71</v>
      </c>
      <c r="G893" s="45" t="s">
        <v>37</v>
      </c>
      <c r="H893" s="51">
        <f t="shared" si="13"/>
        <v>0.44770177343467243</v>
      </c>
      <c r="I893" s="47"/>
      <c r="J893" s="48">
        <f>VLOOKUP(A893,'[1]תקציב 2026'!$A$1:$M$65536,9,0)</f>
        <v>40000</v>
      </c>
      <c r="K893" s="49">
        <f>VLOOKUP(A893,[3]גיליון1!$A$1:$C$7693,3,0)-3070</f>
        <v>27630</v>
      </c>
      <c r="L893" s="50">
        <f>VLOOKUP(A893,[2]data1761205830331!$A$1:$J$65536,10,0)</f>
        <v>39678.230000000003</v>
      </c>
    </row>
    <row r="894" spans="1:12" ht="15.6" outlineLevel="1">
      <c r="A894" s="11">
        <v>1611100492</v>
      </c>
      <c r="B894" s="40">
        <v>492</v>
      </c>
      <c r="C894" s="109">
        <v>611100</v>
      </c>
      <c r="D894" s="42">
        <v>1</v>
      </c>
      <c r="E894" s="43"/>
      <c r="F894" s="44" t="s">
        <v>66</v>
      </c>
      <c r="G894" s="45" t="s">
        <v>29</v>
      </c>
      <c r="H894" s="51">
        <f t="shared" si="13"/>
        <v>2.0821917808219181E-2</v>
      </c>
      <c r="I894" s="47"/>
      <c r="J894" s="48">
        <f>VLOOKUP(A894,'[1]תקציב 2026'!$A$1:$M$65536,9,0)</f>
        <v>931500</v>
      </c>
      <c r="K894" s="49">
        <v>912500</v>
      </c>
      <c r="L894" s="50">
        <f>VLOOKUP(A894,[2]data1761205830331!$A$1:$J$65536,10,0)</f>
        <v>471935</v>
      </c>
    </row>
    <row r="895" spans="1:12" ht="15.6" outlineLevel="1">
      <c r="A895" s="11">
        <v>1611100511</v>
      </c>
      <c r="B895" s="40">
        <v>511</v>
      </c>
      <c r="C895" s="109">
        <v>611100</v>
      </c>
      <c r="D895" s="42">
        <v>1</v>
      </c>
      <c r="E895" s="43"/>
      <c r="F895" s="44" t="s">
        <v>72</v>
      </c>
      <c r="G895" s="45" t="s">
        <v>37</v>
      </c>
      <c r="H895" s="51">
        <f t="shared" si="13"/>
        <v>9.9332548095798945E-2</v>
      </c>
      <c r="I895" s="47"/>
      <c r="J895" s="48">
        <f>VLOOKUP(A895,'[1]תקציב 2026'!$A$1:$M$65536,9,0)</f>
        <v>56000</v>
      </c>
      <c r="K895" s="49">
        <f>56600-5660</f>
        <v>50940</v>
      </c>
      <c r="L895" s="50">
        <f>VLOOKUP(A895,[2]data1761205830331!$A$1:$J$65536,10,0)</f>
        <v>69372.88</v>
      </c>
    </row>
    <row r="896" spans="1:12" ht="15.6" outlineLevel="1">
      <c r="A896" s="11">
        <v>1611100512</v>
      </c>
      <c r="B896" s="40">
        <v>512</v>
      </c>
      <c r="C896" s="109">
        <v>611100</v>
      </c>
      <c r="D896" s="42">
        <v>1</v>
      </c>
      <c r="E896" s="43"/>
      <c r="F896" s="44" t="s">
        <v>88</v>
      </c>
      <c r="G896" s="45" t="s">
        <v>37</v>
      </c>
      <c r="H896" s="51">
        <f t="shared" si="13"/>
        <v>0</v>
      </c>
      <c r="I896" s="47"/>
      <c r="J896" s="48">
        <f>VLOOKUP(A896,'[1]תקציב 2026'!$A$1:$M$65536,9,0)</f>
        <v>1710</v>
      </c>
      <c r="K896" s="49">
        <f>VLOOKUP(A896,[3]גיליון1!$A$1:$C$7693,3,0)-190</f>
        <v>1710</v>
      </c>
      <c r="L896" s="50">
        <f>VLOOKUP(A896,[2]data1761205830331!$A$1:$J$65536,10,0)</f>
        <v>40</v>
      </c>
    </row>
    <row r="897" spans="1:12" ht="15.6" outlineLevel="1">
      <c r="A897" s="11">
        <v>1611100522</v>
      </c>
      <c r="B897" s="40">
        <v>522</v>
      </c>
      <c r="C897" s="109">
        <v>611100</v>
      </c>
      <c r="D897" s="42">
        <v>1</v>
      </c>
      <c r="E897" s="43"/>
      <c r="F897" s="44" t="s">
        <v>90</v>
      </c>
      <c r="G897" s="45" t="s">
        <v>37</v>
      </c>
      <c r="H897" s="51">
        <f t="shared" si="13"/>
        <v>-0.35022742040285904</v>
      </c>
      <c r="I897" s="47"/>
      <c r="J897" s="48">
        <f>VLOOKUP(A897,'[1]תקציב 2026'!$A$1:$M$65536,9,0)</f>
        <v>10000</v>
      </c>
      <c r="K897" s="49">
        <f>VLOOKUP(A897,[3]גיליון1!$A$1:$C$7693,3,0)-1710</f>
        <v>15390</v>
      </c>
      <c r="L897" s="50">
        <f>VLOOKUP(A897,[2]data1761205830331!$A$1:$J$65536,10,0)</f>
        <v>3635.25</v>
      </c>
    </row>
    <row r="898" spans="1:12" ht="15.6" outlineLevel="1">
      <c r="A898" s="11">
        <v>1611100540</v>
      </c>
      <c r="B898" s="40">
        <v>540</v>
      </c>
      <c r="C898" s="109">
        <v>611100</v>
      </c>
      <c r="D898" s="42">
        <v>1</v>
      </c>
      <c r="E898" s="43"/>
      <c r="F898" s="44" t="s">
        <v>47</v>
      </c>
      <c r="G898" s="45" t="s">
        <v>29</v>
      </c>
      <c r="H898" s="51">
        <f t="shared" si="13"/>
        <v>-1</v>
      </c>
      <c r="I898" s="47"/>
      <c r="J898" s="48">
        <f>VLOOKUP(A898,'[1]תקציב 2026'!$A$1:$M$65536,9,0)</f>
        <v>0</v>
      </c>
      <c r="K898" s="49">
        <f>VLOOKUP(A898,[3]גיליון1!$A$1:$C$7693,3,0)</f>
        <v>1700</v>
      </c>
      <c r="L898" s="50">
        <f>VLOOKUP(A898,[2]data1761205830331!$A$1:$J$65536,10,0)</f>
        <v>0</v>
      </c>
    </row>
    <row r="899" spans="1:12" ht="15.6" outlineLevel="1">
      <c r="A899" s="11">
        <v>1611100543</v>
      </c>
      <c r="B899" s="40">
        <v>543</v>
      </c>
      <c r="C899" s="109">
        <v>611100</v>
      </c>
      <c r="D899" s="42">
        <v>1</v>
      </c>
      <c r="E899" s="43"/>
      <c r="F899" s="44" t="s">
        <v>48</v>
      </c>
      <c r="G899" s="45" t="s">
        <v>37</v>
      </c>
      <c r="H899" s="51">
        <f t="shared" si="13"/>
        <v>-1</v>
      </c>
      <c r="I899" s="47"/>
      <c r="J899" s="48">
        <f>VLOOKUP(A899,'[1]תקציב 2026'!$A$1:$M$65536,9,0)</f>
        <v>0</v>
      </c>
      <c r="K899" s="49">
        <f>VLOOKUP(A899,[3]גיליון1!$A$1:$C$7693,3,0)*0.9</f>
        <v>19260</v>
      </c>
      <c r="L899" s="50">
        <f>VLOOKUP(A899,[2]data1761205830331!$A$1:$J$65536,10,0)</f>
        <v>0</v>
      </c>
    </row>
    <row r="900" spans="1:12" ht="15.6" outlineLevel="1">
      <c r="A900" s="11">
        <v>1611100544</v>
      </c>
      <c r="B900" s="40">
        <v>544</v>
      </c>
      <c r="C900" s="109">
        <v>611100</v>
      </c>
      <c r="D900" s="42">
        <v>1</v>
      </c>
      <c r="E900" s="43"/>
      <c r="F900" s="44" t="s">
        <v>743</v>
      </c>
      <c r="G900" s="45" t="s">
        <v>29</v>
      </c>
      <c r="H900" s="51">
        <f t="shared" si="13"/>
        <v>0</v>
      </c>
      <c r="I900" s="47"/>
      <c r="J900" s="48">
        <f>VLOOKUP(A900,'[1]תקציב 2026'!$A$1:$M$65536,9,0)</f>
        <v>34500</v>
      </c>
      <c r="K900" s="49">
        <v>34500</v>
      </c>
      <c r="L900" s="50">
        <f>VLOOKUP(A900,[2]data1761205830331!$A$1:$J$65536,10,0)</f>
        <v>2304.19</v>
      </c>
    </row>
    <row r="901" spans="1:12" ht="15.6" outlineLevel="1">
      <c r="A901" s="11">
        <v>1611100552</v>
      </c>
      <c r="B901" s="40">
        <v>552</v>
      </c>
      <c r="C901" s="109">
        <v>611100</v>
      </c>
      <c r="D901" s="42">
        <v>1</v>
      </c>
      <c r="E901" s="43"/>
      <c r="F901" s="44" t="s">
        <v>744</v>
      </c>
      <c r="G901" s="45" t="s">
        <v>37</v>
      </c>
      <c r="H901" s="51">
        <f t="shared" si="13"/>
        <v>0.43611111111111112</v>
      </c>
      <c r="I901" s="47"/>
      <c r="J901" s="48">
        <f>VLOOKUP(A901,'[1]תקציב 2026'!$A$1:$M$65536,9,0)</f>
        <v>1034000</v>
      </c>
      <c r="K901" s="49">
        <f>800000*0.9</f>
        <v>720000</v>
      </c>
      <c r="L901" s="50">
        <f>VLOOKUP(A901,[2]data1761205830331!$A$1:$J$65536,10,0)</f>
        <v>966466.56000000006</v>
      </c>
    </row>
    <row r="902" spans="1:12" ht="15.6" outlineLevel="1">
      <c r="A902" s="11">
        <v>1611100553</v>
      </c>
      <c r="B902" s="40">
        <v>553</v>
      </c>
      <c r="C902" s="109">
        <v>611100</v>
      </c>
      <c r="D902" s="42">
        <v>1</v>
      </c>
      <c r="E902" s="43"/>
      <c r="F902" s="44" t="s">
        <v>745</v>
      </c>
      <c r="G902" s="45" t="s">
        <v>37</v>
      </c>
      <c r="H902" s="51">
        <f t="shared" si="13"/>
        <v>0.58092688213170152</v>
      </c>
      <c r="I902" s="47" t="s">
        <v>137</v>
      </c>
      <c r="J902" s="48">
        <f>VLOOKUP(A902,'[1]תקציב 2026'!$A$1:$M$65536,9,0)</f>
        <v>496000</v>
      </c>
      <c r="K902" s="49">
        <f>528600-180000-34860</f>
        <v>313740</v>
      </c>
      <c r="L902" s="50">
        <f>VLOOKUP(A902,[2]data1761205830331!$A$1:$J$65536,10,0)</f>
        <v>142155</v>
      </c>
    </row>
    <row r="903" spans="1:12" ht="15.6" outlineLevel="1">
      <c r="A903" s="11">
        <v>1611100555</v>
      </c>
      <c r="B903" s="40">
        <v>555</v>
      </c>
      <c r="C903" s="109">
        <v>611100</v>
      </c>
      <c r="D903" s="42">
        <v>1</v>
      </c>
      <c r="E903" s="43"/>
      <c r="F903" s="44" t="s">
        <v>746</v>
      </c>
      <c r="G903" s="45" t="s">
        <v>37</v>
      </c>
      <c r="H903" s="51">
        <f t="shared" si="13"/>
        <v>-1</v>
      </c>
      <c r="I903" s="47"/>
      <c r="J903" s="48">
        <f>VLOOKUP(A903,'[1]תקציב 2026'!$A$1:$M$65536,9,0)</f>
        <v>0</v>
      </c>
      <c r="K903" s="49">
        <f>250000*0.9</f>
        <v>225000</v>
      </c>
      <c r="L903" s="50">
        <f>VLOOKUP(A903,[2]data1761205830331!$A$1:$J$65536,10,0)</f>
        <v>0</v>
      </c>
    </row>
    <row r="904" spans="1:12" ht="15.6" outlineLevel="1">
      <c r="A904" s="11">
        <v>1611100556</v>
      </c>
      <c r="B904" s="40">
        <v>556</v>
      </c>
      <c r="C904" s="109">
        <v>611100</v>
      </c>
      <c r="D904" s="42">
        <v>1</v>
      </c>
      <c r="E904" s="43"/>
      <c r="F904" s="44" t="s">
        <v>747</v>
      </c>
      <c r="G904" s="45" t="s">
        <v>37</v>
      </c>
      <c r="H904" s="51">
        <f t="shared" si="13"/>
        <v>-1</v>
      </c>
      <c r="I904" s="47"/>
      <c r="J904" s="48">
        <f>VLOOKUP(A904,'[1]תקציב 2026'!$A$1:$M$65536,9,0)</f>
        <v>0</v>
      </c>
      <c r="K904" s="49">
        <f>300000*0.9</f>
        <v>270000</v>
      </c>
      <c r="L904" s="50">
        <f>VLOOKUP(A904,[2]data1761205830331!$A$1:$J$65536,10,0)</f>
        <v>0</v>
      </c>
    </row>
    <row r="905" spans="1:12" ht="15.6" outlineLevel="1">
      <c r="A905" s="11">
        <v>1611100561</v>
      </c>
      <c r="B905" s="40">
        <v>561</v>
      </c>
      <c r="C905" s="109">
        <v>611100</v>
      </c>
      <c r="D905" s="42">
        <v>1</v>
      </c>
      <c r="E905" s="43"/>
      <c r="F905" s="44" t="s">
        <v>74</v>
      </c>
      <c r="G905" s="45" t="s">
        <v>37</v>
      </c>
      <c r="H905" s="51">
        <f t="shared" si="13"/>
        <v>-1</v>
      </c>
      <c r="I905" s="47"/>
      <c r="J905" s="48">
        <f>VLOOKUP(A905,'[1]תקציב 2026'!$A$1:$M$65536,9,0)</f>
        <v>0</v>
      </c>
      <c r="K905" s="49">
        <f>VLOOKUP(A905,[3]גיליון1!$A$1:$C$7693,3,0)*0.9</f>
        <v>7740</v>
      </c>
      <c r="L905" s="50">
        <f>VLOOKUP(A905,[2]data1761205830331!$A$1:$J$65536,10,0)</f>
        <v>0</v>
      </c>
    </row>
    <row r="906" spans="1:12" ht="15.6" outlineLevel="1">
      <c r="A906" s="11">
        <v>1611100562</v>
      </c>
      <c r="B906" s="40">
        <v>562</v>
      </c>
      <c r="C906" s="109">
        <v>611100</v>
      </c>
      <c r="D906" s="42">
        <v>1</v>
      </c>
      <c r="E906" s="43"/>
      <c r="F906" s="44" t="s">
        <v>748</v>
      </c>
      <c r="G906" s="45" t="s">
        <v>37</v>
      </c>
      <c r="H906" s="51">
        <f t="shared" si="13"/>
        <v>0.11111111111111116</v>
      </c>
      <c r="I906" s="47"/>
      <c r="J906" s="48">
        <f>VLOOKUP(A906,'[1]תקציב 2026'!$A$1:$M$65536,9,0)</f>
        <v>6000</v>
      </c>
      <c r="K906" s="49">
        <f>VLOOKUP(A906,[3]גיליון1!$A$1:$C$7693,3,0)*0.9</f>
        <v>5400</v>
      </c>
      <c r="L906" s="50">
        <f>VLOOKUP(A906,[2]data1761205830331!$A$1:$J$65536,10,0)</f>
        <v>3503.4</v>
      </c>
    </row>
    <row r="907" spans="1:12" ht="15.6" outlineLevel="1">
      <c r="A907" s="11">
        <v>1611100563</v>
      </c>
      <c r="B907" s="40">
        <v>563</v>
      </c>
      <c r="C907" s="109">
        <v>611100</v>
      </c>
      <c r="D907" s="42">
        <v>1</v>
      </c>
      <c r="E907" s="43"/>
      <c r="F907" s="44" t="s">
        <v>749</v>
      </c>
      <c r="G907" s="45" t="s">
        <v>37</v>
      </c>
      <c r="H907" s="51">
        <f t="shared" si="13"/>
        <v>2.0864197530864197</v>
      </c>
      <c r="I907" s="47"/>
      <c r="J907" s="48">
        <f>VLOOKUP(A907,'[1]תקציב 2026'!$A$1:$M$65536,9,0)</f>
        <v>50000</v>
      </c>
      <c r="K907" s="49">
        <f>VLOOKUP(A907,[3]גיליון1!$A$1:$C$7693,3,0)*0.9</f>
        <v>16200</v>
      </c>
      <c r="L907" s="50">
        <f>VLOOKUP(A907,[2]data1761205830331!$A$1:$J$65536,10,0)</f>
        <v>25987.9</v>
      </c>
    </row>
    <row r="908" spans="1:12" ht="15.6" outlineLevel="1">
      <c r="A908" s="11">
        <v>1611100571</v>
      </c>
      <c r="B908" s="40">
        <v>571</v>
      </c>
      <c r="C908" s="109">
        <v>611100</v>
      </c>
      <c r="D908" s="42">
        <v>1</v>
      </c>
      <c r="E908" s="43"/>
      <c r="F908" s="44" t="s">
        <v>75</v>
      </c>
      <c r="G908" s="45" t="s">
        <v>29</v>
      </c>
      <c r="H908" s="51">
        <f t="shared" si="13"/>
        <v>0</v>
      </c>
      <c r="I908" s="47"/>
      <c r="J908" s="48">
        <f>VLOOKUP(A908,'[1]תקציב 2026'!$A$1:$M$65536,9,0)</f>
        <v>259100</v>
      </c>
      <c r="K908" s="49">
        <v>259100</v>
      </c>
      <c r="L908" s="50">
        <f>VLOOKUP(A908,[2]data1761205830331!$A$1:$J$65536,10,0)</f>
        <v>212400</v>
      </c>
    </row>
    <row r="909" spans="1:12" ht="15.6" outlineLevel="1">
      <c r="A909" s="11">
        <v>1611100596</v>
      </c>
      <c r="B909" s="40">
        <v>596</v>
      </c>
      <c r="C909" s="109">
        <v>611100</v>
      </c>
      <c r="D909" s="42">
        <v>1</v>
      </c>
      <c r="E909" s="43"/>
      <c r="F909" s="44" t="s">
        <v>76</v>
      </c>
      <c r="G909" s="45" t="s">
        <v>29</v>
      </c>
      <c r="H909" s="51">
        <f t="shared" si="13"/>
        <v>0</v>
      </c>
      <c r="I909" s="47"/>
      <c r="J909" s="48">
        <f>VLOOKUP(A909,'[1]תקציב 2026'!$A$1:$M$65536,9,0)</f>
        <v>141500</v>
      </c>
      <c r="K909" s="49">
        <v>141500</v>
      </c>
      <c r="L909" s="50">
        <f>VLOOKUP(A909,[2]data1761205830331!$A$1:$J$65536,10,0)</f>
        <v>123848</v>
      </c>
    </row>
    <row r="910" spans="1:12" ht="16.2" outlineLevel="1" thickBot="1">
      <c r="A910" s="11">
        <v>1611100780</v>
      </c>
      <c r="B910" s="40">
        <v>780</v>
      </c>
      <c r="C910" s="109">
        <v>611100</v>
      </c>
      <c r="D910" s="42">
        <v>1</v>
      </c>
      <c r="E910" s="43"/>
      <c r="F910" s="44" t="s">
        <v>750</v>
      </c>
      <c r="G910" s="45" t="s">
        <v>37</v>
      </c>
      <c r="H910" s="51">
        <f t="shared" si="13"/>
        <v>0</v>
      </c>
      <c r="I910" s="47"/>
      <c r="J910" s="48">
        <f>VLOOKUP(A910,'[1]תקציב 2026'!$A$1:$M$65536,9,0)</f>
        <v>27000</v>
      </c>
      <c r="K910" s="49">
        <f>30000*0.9</f>
        <v>27000</v>
      </c>
      <c r="L910" s="50">
        <f>VLOOKUP(A910,[2]data1761205830331!$A$1:$J$65536,10,0)</f>
        <v>0</v>
      </c>
    </row>
    <row r="911" spans="1:12" ht="16.2" thickBot="1">
      <c r="A911" s="11" t="e">
        <v>#VALUE!</v>
      </c>
      <c r="B911" s="53" t="s">
        <v>751</v>
      </c>
      <c r="C911" s="223"/>
      <c r="D911" s="55"/>
      <c r="E911" s="56"/>
      <c r="F911" s="116" t="s">
        <v>752</v>
      </c>
      <c r="G911" s="58"/>
      <c r="H911" s="166">
        <f>J911/K911-1</f>
        <v>4.4935401948485332E-2</v>
      </c>
      <c r="I911" s="72"/>
      <c r="J911" s="74">
        <f>SUBTOTAL(9,J882:J910)</f>
        <v>12635850</v>
      </c>
      <c r="K911" s="92">
        <f>SUBTOTAL(9,K882:K910)</f>
        <v>12092470</v>
      </c>
      <c r="L911" s="75">
        <f>SUBTOTAL(9,L882:L910)</f>
        <v>9809617.5600000024</v>
      </c>
    </row>
    <row r="912" spans="1:12" ht="15.6" outlineLevel="1">
      <c r="A912" s="11">
        <v>16120000</v>
      </c>
      <c r="B912" s="40">
        <v>0</v>
      </c>
      <c r="C912" s="109">
        <v>612000</v>
      </c>
      <c r="D912" s="42">
        <v>1</v>
      </c>
      <c r="E912" s="43"/>
      <c r="F912" s="44" t="s">
        <v>753</v>
      </c>
      <c r="G912" s="45" t="s">
        <v>15</v>
      </c>
      <c r="H912" s="51"/>
      <c r="I912" s="47"/>
      <c r="J912" s="48"/>
      <c r="K912" s="49"/>
      <c r="L912" s="50"/>
    </row>
    <row r="913" spans="1:12" ht="15.6" outlineLevel="1">
      <c r="A913" s="11">
        <v>1612000110</v>
      </c>
      <c r="B913" s="40">
        <v>110</v>
      </c>
      <c r="C913" s="109">
        <v>612000</v>
      </c>
      <c r="D913" s="42">
        <v>1</v>
      </c>
      <c r="E913" s="43"/>
      <c r="F913" s="44" t="s">
        <v>21</v>
      </c>
      <c r="G913" s="45" t="s">
        <v>22</v>
      </c>
      <c r="H913" s="51">
        <v>0</v>
      </c>
      <c r="I913" s="47"/>
      <c r="J913" s="48">
        <f>VLOOKUP(A913,'[1]תקציב 2026'!$A$1:$M$65536,9,0)</f>
        <v>0</v>
      </c>
      <c r="K913" s="49">
        <f>VLOOKUP(A913,[3]גיליון1!$A$1:$C$7693,3,0)</f>
        <v>0</v>
      </c>
      <c r="L913" s="50">
        <f>VLOOKUP(A913,[2]data1761205830331!$A$1:$J$65536,10,0)</f>
        <v>591477.37</v>
      </c>
    </row>
    <row r="914" spans="1:12" ht="15.6" outlineLevel="1">
      <c r="A914" s="11">
        <v>1612000119</v>
      </c>
      <c r="B914" s="40">
        <v>119</v>
      </c>
      <c r="C914" s="109">
        <v>612000</v>
      </c>
      <c r="D914" s="42">
        <v>1</v>
      </c>
      <c r="E914" s="43"/>
      <c r="F914" s="44" t="s">
        <v>23</v>
      </c>
      <c r="G914" s="45" t="s">
        <v>22</v>
      </c>
      <c r="H914" s="51">
        <f t="shared" ref="H914:H977" si="14">J914/K914-1</f>
        <v>0.11036135152315296</v>
      </c>
      <c r="I914" s="47"/>
      <c r="J914" s="48">
        <f>VLOOKUP(A914,'[1]תקציב 2026'!$A$1:$M$65536,9,0)</f>
        <v>2270800</v>
      </c>
      <c r="K914" s="49">
        <v>2045100</v>
      </c>
      <c r="L914" s="50">
        <f>VLOOKUP(A914,[2]data1761205830331!$A$1:$J$65536,10,0)</f>
        <v>866249.73</v>
      </c>
    </row>
    <row r="915" spans="1:12" ht="15.6" outlineLevel="1">
      <c r="A915" s="11">
        <v>1612000122</v>
      </c>
      <c r="B915" s="40">
        <v>122</v>
      </c>
      <c r="C915" s="109">
        <v>612000</v>
      </c>
      <c r="D915" s="42">
        <v>1</v>
      </c>
      <c r="E915" s="43"/>
      <c r="F915" s="44" t="s">
        <v>24</v>
      </c>
      <c r="G915" s="45" t="s">
        <v>22</v>
      </c>
      <c r="H915" s="51">
        <f t="shared" si="14"/>
        <v>-0.52</v>
      </c>
      <c r="I915" s="47"/>
      <c r="J915" s="48">
        <f>VLOOKUP(A915,'[1]תקציב 2026'!$A$1:$M$65536,9,0)</f>
        <v>30000</v>
      </c>
      <c r="K915" s="49">
        <f>VLOOKUP(A915,[3]גיליון1!$A$1:$C$7693,3,0)</f>
        <v>62500</v>
      </c>
      <c r="L915" s="50">
        <f>VLOOKUP(A915,[2]data1761205830331!$A$1:$J$65536,10,0)</f>
        <v>14924.12</v>
      </c>
    </row>
    <row r="916" spans="1:12" ht="15.6" outlineLevel="1">
      <c r="A916" s="11">
        <v>1612000126</v>
      </c>
      <c r="B916" s="40">
        <v>126</v>
      </c>
      <c r="C916" s="109">
        <v>612000</v>
      </c>
      <c r="D916" s="42">
        <v>1</v>
      </c>
      <c r="E916" s="43"/>
      <c r="F916" s="44" t="s">
        <v>25</v>
      </c>
      <c r="G916" s="45" t="s">
        <v>22</v>
      </c>
      <c r="H916" s="51">
        <f t="shared" si="14"/>
        <v>0</v>
      </c>
      <c r="I916" s="47"/>
      <c r="J916" s="48">
        <f>VLOOKUP(A916,'[1]תקציב 2026'!$A$1:$M$65536,9,0)</f>
        <v>35000</v>
      </c>
      <c r="K916" s="49">
        <f>VLOOKUP(A916,[3]גיליון1!$A$1:$C$7693,3,0)</f>
        <v>35000</v>
      </c>
      <c r="L916" s="50">
        <f>VLOOKUP(A916,[2]data1761205830331!$A$1:$J$65536,10,0)</f>
        <v>26689.31</v>
      </c>
    </row>
    <row r="917" spans="1:12" ht="15.6" outlineLevel="1">
      <c r="A917" s="11">
        <v>1612000140</v>
      </c>
      <c r="B917" s="40">
        <v>140</v>
      </c>
      <c r="C917" s="109">
        <v>612000</v>
      </c>
      <c r="D917" s="42">
        <v>1</v>
      </c>
      <c r="E917" s="43"/>
      <c r="F917" s="44" t="s">
        <v>27</v>
      </c>
      <c r="G917" s="45" t="s">
        <v>22</v>
      </c>
      <c r="H917" s="51">
        <f t="shared" si="14"/>
        <v>0</v>
      </c>
      <c r="I917" s="47"/>
      <c r="J917" s="48">
        <f>VLOOKUP(A917,'[1]תקציב 2026'!$A$1:$M$65536,9,0)</f>
        <v>225500</v>
      </c>
      <c r="K917" s="49">
        <f>VLOOKUP(A917,[3]גיליון1!$A$1:$C$7693,3,0)</f>
        <v>225500</v>
      </c>
      <c r="L917" s="50">
        <f>VLOOKUP(A917,[2]data1761205830331!$A$1:$J$65536,10,0)</f>
        <v>105540.29</v>
      </c>
    </row>
    <row r="918" spans="1:12" ht="15.6" outlineLevel="1">
      <c r="A918" s="11">
        <v>1612000350</v>
      </c>
      <c r="B918" s="40">
        <v>350</v>
      </c>
      <c r="C918" s="109">
        <v>612000</v>
      </c>
      <c r="D918" s="42">
        <v>1</v>
      </c>
      <c r="E918" s="43"/>
      <c r="F918" s="44" t="s">
        <v>754</v>
      </c>
      <c r="G918" s="45" t="s">
        <v>22</v>
      </c>
      <c r="H918" s="51">
        <f t="shared" si="14"/>
        <v>2.2222222222222143E-2</v>
      </c>
      <c r="I918" s="47" t="s">
        <v>137</v>
      </c>
      <c r="J918" s="48">
        <v>55200</v>
      </c>
      <c r="K918" s="49">
        <f>VLOOKUP(A918,[3]גיליון1!$A$1:$C$7693,3,0)</f>
        <v>54000</v>
      </c>
      <c r="L918" s="50">
        <f>VLOOKUP(A918,[2]data1761205830331!$A$1:$J$65536,10,0)</f>
        <v>22286.38</v>
      </c>
    </row>
    <row r="919" spans="1:12" ht="15.6" outlineLevel="1">
      <c r="A919" s="11">
        <v>1612000351</v>
      </c>
      <c r="B919" s="40">
        <v>351</v>
      </c>
      <c r="C919" s="109">
        <v>612000</v>
      </c>
      <c r="D919" s="42">
        <v>1</v>
      </c>
      <c r="E919" s="43"/>
      <c r="F919" s="44" t="s">
        <v>755</v>
      </c>
      <c r="G919" s="45" t="s">
        <v>22</v>
      </c>
      <c r="H919" s="51">
        <f t="shared" si="14"/>
        <v>0</v>
      </c>
      <c r="I919" s="47" t="s">
        <v>137</v>
      </c>
      <c r="J919" s="48">
        <f>VLOOKUP(A919,'[1]תקציב 2026'!$A$1:$M$65536,9,0)</f>
        <v>20000</v>
      </c>
      <c r="K919" s="49">
        <f>VLOOKUP(A919,[3]גיליון1!$A$1:$C$7693,3,0)</f>
        <v>20000</v>
      </c>
      <c r="L919" s="50">
        <f>VLOOKUP(A919,[2]data1761205830331!$A$1:$J$65536,10,0)</f>
        <v>0</v>
      </c>
    </row>
    <row r="920" spans="1:12" ht="15.6" outlineLevel="1">
      <c r="A920" s="11">
        <v>1612000470</v>
      </c>
      <c r="B920" s="40">
        <v>470</v>
      </c>
      <c r="C920" s="109">
        <v>612000</v>
      </c>
      <c r="D920" s="42">
        <v>1</v>
      </c>
      <c r="E920" s="43"/>
      <c r="F920" s="44" t="s">
        <v>756</v>
      </c>
      <c r="G920" s="45" t="s">
        <v>29</v>
      </c>
      <c r="H920" s="51">
        <f t="shared" si="14"/>
        <v>0</v>
      </c>
      <c r="I920" s="47"/>
      <c r="J920" s="48">
        <f>VLOOKUP(A920,'[1]תקציב 2026'!$A$1:$M$65536,9,0)</f>
        <v>2100</v>
      </c>
      <c r="K920" s="49">
        <f>VLOOKUP(A920,[3]גיליון1!$A$1:$C$7693,3,0)</f>
        <v>2100</v>
      </c>
      <c r="L920" s="50">
        <f>VLOOKUP(A920,[2]data1761205830331!$A$1:$J$65536,10,0)</f>
        <v>0</v>
      </c>
    </row>
    <row r="921" spans="1:12" ht="15.6" outlineLevel="1">
      <c r="A921" s="11">
        <v>1612000471</v>
      </c>
      <c r="B921" s="40">
        <v>471</v>
      </c>
      <c r="C921" s="109">
        <v>612000</v>
      </c>
      <c r="D921" s="42">
        <v>1</v>
      </c>
      <c r="E921" s="43"/>
      <c r="F921" s="44" t="s">
        <v>71</v>
      </c>
      <c r="G921" s="45" t="s">
        <v>29</v>
      </c>
      <c r="H921" s="51">
        <f t="shared" si="14"/>
        <v>0</v>
      </c>
      <c r="I921" s="47"/>
      <c r="J921" s="48">
        <f>VLOOKUP(A921,'[1]תקציב 2026'!$A$1:$M$65536,9,0)</f>
        <v>12000</v>
      </c>
      <c r="K921" s="49">
        <f>VLOOKUP(A921,[3]גיליון1!$A$1:$C$7693,3,0)</f>
        <v>12000</v>
      </c>
      <c r="L921" s="50">
        <f>VLOOKUP(A921,[2]data1761205830331!$A$1:$J$65536,10,0)</f>
        <v>9313.2900000000009</v>
      </c>
    </row>
    <row r="922" spans="1:12" ht="15.6" outlineLevel="1">
      <c r="A922" s="11">
        <v>1612000492</v>
      </c>
      <c r="B922" s="40">
        <v>492</v>
      </c>
      <c r="C922" s="109">
        <v>612000</v>
      </c>
      <c r="D922" s="42">
        <v>1</v>
      </c>
      <c r="E922" s="43"/>
      <c r="F922" s="44" t="s">
        <v>66</v>
      </c>
      <c r="G922" s="45" t="s">
        <v>29</v>
      </c>
      <c r="H922" s="51">
        <f t="shared" si="14"/>
        <v>0.64285714285714279</v>
      </c>
      <c r="I922" s="47"/>
      <c r="J922" s="48">
        <f>VLOOKUP(A922,'[1]תקציב 2026'!$A$1:$M$65536,9,0)</f>
        <v>23000</v>
      </c>
      <c r="K922" s="49">
        <v>14000</v>
      </c>
      <c r="L922" s="50">
        <f>VLOOKUP(A922,[2]data1761205830331!$A$1:$J$65536,10,0)</f>
        <v>15330</v>
      </c>
    </row>
    <row r="923" spans="1:12" ht="15.6" outlineLevel="1">
      <c r="A923" s="11">
        <v>1612000511</v>
      </c>
      <c r="B923" s="40">
        <v>511</v>
      </c>
      <c r="C923" s="109">
        <v>612000</v>
      </c>
      <c r="D923" s="42">
        <v>1</v>
      </c>
      <c r="E923" s="43"/>
      <c r="F923" s="44" t="s">
        <v>72</v>
      </c>
      <c r="G923" s="45" t="s">
        <v>29</v>
      </c>
      <c r="H923" s="51">
        <f t="shared" si="14"/>
        <v>-0.22535211267605637</v>
      </c>
      <c r="I923" s="47"/>
      <c r="J923" s="48">
        <f>VLOOKUP(A923,'[1]תקציב 2026'!$A$1:$M$65536,9,0)</f>
        <v>5500</v>
      </c>
      <c r="K923" s="49">
        <v>7100</v>
      </c>
      <c r="L923" s="50">
        <f>VLOOKUP(A923,[2]data1761205830331!$A$1:$J$65536,10,0)</f>
        <v>6446.52</v>
      </c>
    </row>
    <row r="924" spans="1:12" ht="15.6" outlineLevel="1">
      <c r="A924" s="11">
        <v>1612000512</v>
      </c>
      <c r="B924" s="40">
        <v>512</v>
      </c>
      <c r="C924" s="109">
        <v>612000</v>
      </c>
      <c r="D924" s="42">
        <v>1</v>
      </c>
      <c r="E924" s="43"/>
      <c r="F924" s="44" t="s">
        <v>88</v>
      </c>
      <c r="G924" s="45" t="s">
        <v>29</v>
      </c>
      <c r="H924" s="51">
        <f t="shared" si="14"/>
        <v>0</v>
      </c>
      <c r="I924" s="47"/>
      <c r="J924" s="48">
        <f>VLOOKUP(A924,'[1]תקציב 2026'!$A$1:$M$65536,9,0)</f>
        <v>1000</v>
      </c>
      <c r="K924" s="49">
        <f>VLOOKUP(A924,[3]גיליון1!$A$1:$C$7693,3,0)</f>
        <v>1000</v>
      </c>
      <c r="L924" s="50">
        <f>VLOOKUP(A924,[2]data1761205830331!$A$1:$J$65536,10,0)</f>
        <v>0</v>
      </c>
    </row>
    <row r="925" spans="1:12" ht="15.6" outlineLevel="1">
      <c r="A925" s="11">
        <v>1612000521</v>
      </c>
      <c r="B925" s="40">
        <v>521</v>
      </c>
      <c r="C925" s="109">
        <v>612000</v>
      </c>
      <c r="D925" s="42">
        <v>1</v>
      </c>
      <c r="E925" s="43"/>
      <c r="F925" s="44" t="s">
        <v>757</v>
      </c>
      <c r="G925" s="45" t="s">
        <v>29</v>
      </c>
      <c r="H925" s="51">
        <f t="shared" si="14"/>
        <v>0</v>
      </c>
      <c r="I925" s="47"/>
      <c r="J925" s="48">
        <f>VLOOKUP(A925,'[1]תקציב 2026'!$A$1:$M$65536,9,0)</f>
        <v>20000</v>
      </c>
      <c r="K925" s="49">
        <f>VLOOKUP(A925,[3]גיליון1!$A$1:$C$7693,3,0)</f>
        <v>20000</v>
      </c>
      <c r="L925" s="50">
        <f>VLOOKUP(A925,[2]data1761205830331!$A$1:$J$65536,10,0)</f>
        <v>0</v>
      </c>
    </row>
    <row r="926" spans="1:12" ht="15.6" outlineLevel="1">
      <c r="A926" s="11">
        <v>1612000522</v>
      </c>
      <c r="B926" s="40">
        <v>522</v>
      </c>
      <c r="C926" s="109">
        <v>612000</v>
      </c>
      <c r="D926" s="42">
        <v>1</v>
      </c>
      <c r="E926" s="43"/>
      <c r="F926" s="44" t="s">
        <v>90</v>
      </c>
      <c r="G926" s="45" t="s">
        <v>29</v>
      </c>
      <c r="H926" s="51">
        <f t="shared" si="14"/>
        <v>0</v>
      </c>
      <c r="I926" s="47"/>
      <c r="J926" s="48">
        <f>VLOOKUP(A926,'[1]תקציב 2026'!$A$1:$M$65536,9,0)</f>
        <v>8100</v>
      </c>
      <c r="K926" s="49">
        <f>VLOOKUP(A926,[3]גיליון1!$A$1:$C$7693,3,0)*0.9</f>
        <v>8100</v>
      </c>
      <c r="L926" s="50">
        <f>VLOOKUP(A926,[2]data1761205830331!$A$1:$J$65536,10,0)</f>
        <v>3222</v>
      </c>
    </row>
    <row r="927" spans="1:12" ht="15.6" outlineLevel="1">
      <c r="A927" s="11">
        <v>1612000562</v>
      </c>
      <c r="B927" s="40">
        <v>562</v>
      </c>
      <c r="C927" s="109">
        <v>612000</v>
      </c>
      <c r="D927" s="42">
        <v>1</v>
      </c>
      <c r="E927" s="43"/>
      <c r="F927" s="44" t="s">
        <v>748</v>
      </c>
      <c r="G927" s="45" t="s">
        <v>29</v>
      </c>
      <c r="H927" s="51">
        <f t="shared" si="14"/>
        <v>0</v>
      </c>
      <c r="I927" s="47"/>
      <c r="J927" s="48">
        <f>VLOOKUP(A927,'[1]תקציב 2026'!$A$1:$M$65536,9,0)</f>
        <v>17200</v>
      </c>
      <c r="K927" s="49">
        <f>VLOOKUP(A927,[3]גיליון1!$A$1:$C$7693,3,0)</f>
        <v>17200</v>
      </c>
      <c r="L927" s="50">
        <f>VLOOKUP(A927,[2]data1761205830331!$A$1:$J$65536,10,0)</f>
        <v>4758.6000000000004</v>
      </c>
    </row>
    <row r="928" spans="1:12" ht="15.6" outlineLevel="1">
      <c r="A928" s="11">
        <v>1612000571</v>
      </c>
      <c r="B928" s="40">
        <v>571</v>
      </c>
      <c r="C928" s="109">
        <v>612000</v>
      </c>
      <c r="D928" s="42">
        <v>1</v>
      </c>
      <c r="E928" s="43"/>
      <c r="F928" s="44" t="s">
        <v>75</v>
      </c>
      <c r="G928" s="45" t="s">
        <v>29</v>
      </c>
      <c r="H928" s="51">
        <f t="shared" si="14"/>
        <v>0</v>
      </c>
      <c r="I928" s="47"/>
      <c r="J928" s="48">
        <f>VLOOKUP(A928,'[1]תקציב 2026'!$A$1:$M$65536,9,0)</f>
        <v>42100</v>
      </c>
      <c r="K928" s="49">
        <v>42100</v>
      </c>
      <c r="L928" s="50">
        <f>VLOOKUP(A928,[2]data1761205830331!$A$1:$J$65536,10,0)</f>
        <v>31500</v>
      </c>
    </row>
    <row r="929" spans="1:12" ht="15.6" outlineLevel="1">
      <c r="A929" s="11">
        <v>1612000580</v>
      </c>
      <c r="B929" s="40">
        <v>580</v>
      </c>
      <c r="C929" s="109">
        <v>612000</v>
      </c>
      <c r="D929" s="42">
        <v>1</v>
      </c>
      <c r="E929" s="43"/>
      <c r="F929" s="44" t="s">
        <v>758</v>
      </c>
      <c r="G929" s="45" t="s">
        <v>29</v>
      </c>
      <c r="H929" s="51">
        <f t="shared" si="14"/>
        <v>0</v>
      </c>
      <c r="I929" s="47"/>
      <c r="J929" s="48">
        <f>VLOOKUP(A929,'[1]תקציב 2026'!$A$1:$M$65536,9,0)</f>
        <v>450000</v>
      </c>
      <c r="K929" s="49">
        <v>450000</v>
      </c>
      <c r="L929" s="50">
        <f>VLOOKUP(A929,[2]data1761205830331!$A$1:$J$65536,10,0)</f>
        <v>157950</v>
      </c>
    </row>
    <row r="930" spans="1:12" ht="15.6" outlineLevel="1">
      <c r="A930" s="11">
        <v>1612000596</v>
      </c>
      <c r="B930" s="40">
        <v>596</v>
      </c>
      <c r="C930" s="109">
        <v>612000</v>
      </c>
      <c r="D930" s="42">
        <v>1</v>
      </c>
      <c r="E930" s="43"/>
      <c r="F930" s="44" t="s">
        <v>76</v>
      </c>
      <c r="G930" s="45" t="s">
        <v>29</v>
      </c>
      <c r="H930" s="51">
        <f t="shared" si="14"/>
        <v>0.21052631578947367</v>
      </c>
      <c r="I930" s="47"/>
      <c r="J930" s="48">
        <f>VLOOKUP(A930,'[1]תקציב 2026'!$A$1:$M$65536,9,0)</f>
        <v>23000</v>
      </c>
      <c r="K930" s="49">
        <v>19000</v>
      </c>
      <c r="L930" s="50">
        <f>VLOOKUP(A930,[2]data1761205830331!$A$1:$J$65536,10,0)</f>
        <v>11216</v>
      </c>
    </row>
    <row r="931" spans="1:12" ht="15.6" outlineLevel="1">
      <c r="A931" s="11">
        <v>1612000781</v>
      </c>
      <c r="B931" s="40">
        <v>781</v>
      </c>
      <c r="C931" s="109">
        <v>612000</v>
      </c>
      <c r="D931" s="42">
        <v>1</v>
      </c>
      <c r="E931" s="43"/>
      <c r="F931" s="44" t="s">
        <v>759</v>
      </c>
      <c r="G931" s="45" t="s">
        <v>29</v>
      </c>
      <c r="H931" s="51">
        <f t="shared" si="14"/>
        <v>0</v>
      </c>
      <c r="I931" s="47"/>
      <c r="J931" s="48">
        <f>VLOOKUP(A931,'[1]תקציב 2026'!$A$1:$M$65536,9,0)</f>
        <v>11000</v>
      </c>
      <c r="K931" s="49">
        <f>VLOOKUP(A931,[3]גיליון1!$A$1:$C$7693,3,0)</f>
        <v>11000</v>
      </c>
      <c r="L931" s="50">
        <f>VLOOKUP(A931,[2]data1761205830331!$A$1:$J$65536,10,0)</f>
        <v>5928.5</v>
      </c>
    </row>
    <row r="932" spans="1:12" ht="16.2" outlineLevel="1" thickBot="1">
      <c r="A932" s="11">
        <v>1612000794</v>
      </c>
      <c r="B932" s="40">
        <v>794</v>
      </c>
      <c r="C932" s="109">
        <v>612000</v>
      </c>
      <c r="D932" s="42">
        <v>1</v>
      </c>
      <c r="E932" s="43"/>
      <c r="F932" s="44" t="s">
        <v>58</v>
      </c>
      <c r="G932" s="45" t="s">
        <v>29</v>
      </c>
      <c r="H932" s="51">
        <f t="shared" si="14"/>
        <v>0</v>
      </c>
      <c r="I932" s="47"/>
      <c r="J932" s="48">
        <f>VLOOKUP(A932,'[1]תקציב 2026'!$A$1:$M$65536,9,0)</f>
        <v>13500</v>
      </c>
      <c r="K932" s="49">
        <v>13500</v>
      </c>
      <c r="L932" s="50">
        <f>VLOOKUP(A932,[2]data1761205830331!$A$1:$J$65536,10,0)</f>
        <v>16103</v>
      </c>
    </row>
    <row r="933" spans="1:12" ht="16.2" thickBot="1">
      <c r="A933" s="11" t="e">
        <v>#VALUE!</v>
      </c>
      <c r="B933" s="53" t="s">
        <v>760</v>
      </c>
      <c r="C933" s="223"/>
      <c r="D933" s="55"/>
      <c r="E933" s="56"/>
      <c r="F933" s="116" t="s">
        <v>753</v>
      </c>
      <c r="G933" s="58"/>
      <c r="H933" s="166">
        <f>J933/K933-1</f>
        <v>6.7272489539748959E-2</v>
      </c>
      <c r="I933" s="72"/>
      <c r="J933" s="74">
        <f>SUBTOTAL(9,J913:J932)</f>
        <v>3265000</v>
      </c>
      <c r="K933" s="92">
        <f>SUBTOTAL(9,K913:K932)</f>
        <v>3059200</v>
      </c>
      <c r="L933" s="75">
        <f>SUBTOTAL(9,L913:L932)</f>
        <v>1888935.1100000003</v>
      </c>
    </row>
    <row r="934" spans="1:12" ht="15.6" outlineLevel="1">
      <c r="A934" s="11">
        <v>16130000</v>
      </c>
      <c r="B934" s="64">
        <v>0</v>
      </c>
      <c r="C934" s="131">
        <v>613000</v>
      </c>
      <c r="D934" s="66">
        <v>1</v>
      </c>
      <c r="E934" s="67"/>
      <c r="F934" s="68" t="s">
        <v>324</v>
      </c>
      <c r="G934" s="69" t="s">
        <v>15</v>
      </c>
      <c r="H934" s="51"/>
      <c r="I934" s="47"/>
      <c r="J934" s="48"/>
      <c r="K934" s="49"/>
      <c r="L934" s="50"/>
    </row>
    <row r="935" spans="1:12" ht="15.6" outlineLevel="1">
      <c r="A935" s="11">
        <v>1613100110</v>
      </c>
      <c r="B935" s="40">
        <v>110</v>
      </c>
      <c r="C935" s="109">
        <v>613100</v>
      </c>
      <c r="D935" s="42">
        <v>1</v>
      </c>
      <c r="E935" s="43"/>
      <c r="F935" s="44" t="s">
        <v>21</v>
      </c>
      <c r="G935" s="45" t="s">
        <v>22</v>
      </c>
      <c r="H935" s="51">
        <f t="shared" si="14"/>
        <v>2.4988235294117755E-2</v>
      </c>
      <c r="I935" s="47"/>
      <c r="J935" s="48">
        <v>217810</v>
      </c>
      <c r="K935" s="49">
        <v>212500</v>
      </c>
      <c r="L935" s="50">
        <f>VLOOKUP(A935,[2]data1761205830331!$A$1:$J$65536,10,0)</f>
        <v>230212.15</v>
      </c>
    </row>
    <row r="936" spans="1:12" ht="15.6" outlineLevel="1">
      <c r="A936" s="11">
        <v>1613100119</v>
      </c>
      <c r="B936" s="40">
        <v>119</v>
      </c>
      <c r="C936" s="109">
        <v>613100</v>
      </c>
      <c r="D936" s="42">
        <v>1</v>
      </c>
      <c r="E936" s="43"/>
      <c r="F936" s="44" t="s">
        <v>23</v>
      </c>
      <c r="G936" s="45" t="s">
        <v>22</v>
      </c>
      <c r="H936" s="51">
        <f t="shared" si="14"/>
        <v>4.3979371152886415E-2</v>
      </c>
      <c r="I936" s="47"/>
      <c r="J936" s="48">
        <v>3137680</v>
      </c>
      <c r="K936" s="49">
        <v>3005500</v>
      </c>
      <c r="L936" s="50">
        <f>VLOOKUP(A936,[2]data1761205830331!$A$1:$J$65536,10,0)</f>
        <v>2792694.01</v>
      </c>
    </row>
    <row r="937" spans="1:12" ht="15.6" outlineLevel="1">
      <c r="A937" s="11">
        <v>1613100122</v>
      </c>
      <c r="B937" s="40">
        <v>122</v>
      </c>
      <c r="C937" s="109">
        <v>613100</v>
      </c>
      <c r="D937" s="42">
        <v>1</v>
      </c>
      <c r="E937" s="43"/>
      <c r="F937" s="44" t="s">
        <v>24</v>
      </c>
      <c r="G937" s="45" t="s">
        <v>22</v>
      </c>
      <c r="H937" s="51">
        <f t="shared" si="14"/>
        <v>-0.13875000000000004</v>
      </c>
      <c r="I937" s="47"/>
      <c r="J937" s="48">
        <v>27560</v>
      </c>
      <c r="K937" s="49">
        <f>VLOOKUP(A937,[3]גיליון1!$A$1:$C$7693,3,0)</f>
        <v>32000</v>
      </c>
      <c r="L937" s="50">
        <f>VLOOKUP(A937,[2]data1761205830331!$A$1:$J$65536,10,0)</f>
        <v>32321.31</v>
      </c>
    </row>
    <row r="938" spans="1:12" ht="15.6" outlineLevel="1">
      <c r="A938" s="11">
        <v>1613100126</v>
      </c>
      <c r="B938" s="40">
        <v>126</v>
      </c>
      <c r="C938" s="109">
        <v>613100</v>
      </c>
      <c r="D938" s="42">
        <v>1</v>
      </c>
      <c r="E938" s="43"/>
      <c r="F938" s="44" t="s">
        <v>25</v>
      </c>
      <c r="G938" s="45" t="s">
        <v>22</v>
      </c>
      <c r="H938" s="51">
        <f t="shared" si="14"/>
        <v>-0.13888</v>
      </c>
      <c r="I938" s="47"/>
      <c r="J938" s="48">
        <v>53820</v>
      </c>
      <c r="K938" s="49">
        <f>VLOOKUP(A938,[3]גיליון1!$A$1:$C$7693,3,0)</f>
        <v>62500</v>
      </c>
      <c r="L938" s="50">
        <f>VLOOKUP(A938,[2]data1761205830331!$A$1:$J$65536,10,0)</f>
        <v>63660.37</v>
      </c>
    </row>
    <row r="939" spans="1:12" ht="15.6" outlineLevel="1">
      <c r="A939" s="11">
        <v>1613100130</v>
      </c>
      <c r="B939" s="40">
        <v>130</v>
      </c>
      <c r="C939" s="109">
        <v>613100</v>
      </c>
      <c r="D939" s="42">
        <v>1</v>
      </c>
      <c r="E939" s="43"/>
      <c r="F939" s="44" t="s">
        <v>26</v>
      </c>
      <c r="G939" s="45" t="s">
        <v>22</v>
      </c>
      <c r="H939" s="51">
        <f t="shared" si="14"/>
        <v>0</v>
      </c>
      <c r="I939" s="47"/>
      <c r="J939" s="48">
        <f>VLOOKUP(A939,'[1]תקציב 2026'!$A$1:$M$65536,9,0)</f>
        <v>41190</v>
      </c>
      <c r="K939" s="49">
        <v>41190</v>
      </c>
      <c r="L939" s="50">
        <f>VLOOKUP(A939,[2]data1761205830331!$A$1:$J$65536,10,0)</f>
        <v>52860.98</v>
      </c>
    </row>
    <row r="940" spans="1:12" ht="15.6" outlineLevel="1">
      <c r="A940" s="11">
        <v>1613100140</v>
      </c>
      <c r="B940" s="40">
        <v>140</v>
      </c>
      <c r="C940" s="109">
        <v>613100</v>
      </c>
      <c r="D940" s="42">
        <v>1</v>
      </c>
      <c r="E940" s="43"/>
      <c r="F940" s="44" t="s">
        <v>27</v>
      </c>
      <c r="G940" s="45" t="s">
        <v>22</v>
      </c>
      <c r="H940" s="51">
        <f t="shared" si="14"/>
        <v>0</v>
      </c>
      <c r="I940" s="47"/>
      <c r="J940" s="48">
        <f>VLOOKUP(A940,'[1]תקציב 2026'!$A$1:$M$65536,9,0)</f>
        <v>297600</v>
      </c>
      <c r="K940" s="49">
        <f>VLOOKUP(A940,[3]גיליון1!$A$1:$C$7693,3,0)</f>
        <v>297600</v>
      </c>
      <c r="L940" s="50">
        <f>VLOOKUP(A940,[2]data1761205830331!$A$1:$J$65536,10,0)</f>
        <v>279334.93</v>
      </c>
    </row>
    <row r="941" spans="1:12" ht="15.6" outlineLevel="1">
      <c r="A941" s="11">
        <v>1613100350</v>
      </c>
      <c r="B941" s="40">
        <v>350</v>
      </c>
      <c r="C941" s="109">
        <v>613100</v>
      </c>
      <c r="D941" s="42">
        <v>1</v>
      </c>
      <c r="E941" s="43"/>
      <c r="F941" s="44" t="s">
        <v>761</v>
      </c>
      <c r="G941" s="45" t="s">
        <v>22</v>
      </c>
      <c r="H941" s="51">
        <f t="shared" si="14"/>
        <v>-0.50618181818181818</v>
      </c>
      <c r="I941" s="47" t="s">
        <v>137</v>
      </c>
      <c r="J941" s="48">
        <f>VLOOKUP(A941,'[1]תקציב 2026'!$A$1:$M$65536,9,0)</f>
        <v>54320</v>
      </c>
      <c r="K941" s="49">
        <f>VLOOKUP(A941,[3]גיליון1!$A$1:$C$7693,3,0)</f>
        <v>110000</v>
      </c>
      <c r="L941" s="50">
        <f>VLOOKUP(A941,[2]data1761205830331!$A$1:$J$65536,10,0)</f>
        <v>119473.8</v>
      </c>
    </row>
    <row r="942" spans="1:12" ht="15.6" outlineLevel="1">
      <c r="A942" s="11">
        <v>1613100351</v>
      </c>
      <c r="B942" s="40">
        <v>351</v>
      </c>
      <c r="C942" s="109">
        <v>613100</v>
      </c>
      <c r="D942" s="42">
        <v>1</v>
      </c>
      <c r="E942" s="43"/>
      <c r="F942" s="44" t="str">
        <f>[4]גיליון1!$F$1662</f>
        <v>השתתפות באחזקת רכב</v>
      </c>
      <c r="G942" s="45" t="s">
        <v>22</v>
      </c>
      <c r="H942" s="51">
        <f t="shared" si="14"/>
        <v>7.660455486542439E-2</v>
      </c>
      <c r="I942" s="47"/>
      <c r="J942" s="48">
        <f>VLOOKUP(A942,'[1]תקציב 2026'!$A$1:$M$65536,9,0)</f>
        <v>52000</v>
      </c>
      <c r="K942" s="49">
        <f>VLOOKUP(A942,[3]גיליון1!$A$1:$C$7693,3,0)</f>
        <v>48300</v>
      </c>
      <c r="L942" s="50">
        <f>VLOOKUP(A942,[2]data1761205830331!$A$1:$J$65536,10,0)</f>
        <v>32273.279999999999</v>
      </c>
    </row>
    <row r="943" spans="1:12" ht="15.6" outlineLevel="1">
      <c r="A943" s="11">
        <v>1613100471</v>
      </c>
      <c r="B943" s="40">
        <v>471</v>
      </c>
      <c r="C943" s="109">
        <v>613100</v>
      </c>
      <c r="D943" s="42">
        <v>1</v>
      </c>
      <c r="E943" s="43"/>
      <c r="F943" s="44" t="s">
        <v>71</v>
      </c>
      <c r="G943" s="45" t="s">
        <v>37</v>
      </c>
      <c r="H943" s="51">
        <f t="shared" si="14"/>
        <v>0.11111111111111116</v>
      </c>
      <c r="I943" s="47"/>
      <c r="J943" s="48">
        <f>VLOOKUP(A943,'[1]תקציב 2026'!$A$1:$M$65536,9,0)</f>
        <v>13500</v>
      </c>
      <c r="K943" s="49">
        <f>VLOOKUP(A943,[3]גיליון1!$A$1:$C$7693,3,0)*0.9</f>
        <v>12150</v>
      </c>
      <c r="L943" s="50">
        <f>VLOOKUP(A943,[2]data1761205830331!$A$1:$J$65536,10,0)</f>
        <v>11332.71</v>
      </c>
    </row>
    <row r="944" spans="1:12" ht="15.6" outlineLevel="1">
      <c r="A944" s="11">
        <v>1613100511</v>
      </c>
      <c r="B944" s="40">
        <v>511</v>
      </c>
      <c r="C944" s="109">
        <v>613100</v>
      </c>
      <c r="D944" s="42">
        <v>1</v>
      </c>
      <c r="E944" s="43"/>
      <c r="F944" s="44" t="s">
        <v>72</v>
      </c>
      <c r="G944" s="45" t="s">
        <v>37</v>
      </c>
      <c r="H944" s="51">
        <f t="shared" si="14"/>
        <v>0.85185185185185186</v>
      </c>
      <c r="I944" s="47"/>
      <c r="J944" s="48">
        <f>VLOOKUP(A944,'[1]תקציב 2026'!$A$1:$M$65536,9,0)</f>
        <v>20000</v>
      </c>
      <c r="K944" s="49">
        <f>12000*0.9</f>
        <v>10800</v>
      </c>
      <c r="L944" s="50">
        <f>VLOOKUP(A944,[2]data1761205830331!$A$1:$J$65536,10,0)</f>
        <v>9250.52</v>
      </c>
    </row>
    <row r="945" spans="1:12" ht="15.6" outlineLevel="1">
      <c r="A945" s="11">
        <v>1613100512</v>
      </c>
      <c r="B945" s="40">
        <v>512</v>
      </c>
      <c r="C945" s="109">
        <v>613100</v>
      </c>
      <c r="D945" s="42">
        <v>1</v>
      </c>
      <c r="E945" s="43"/>
      <c r="F945" s="44" t="s">
        <v>88</v>
      </c>
      <c r="G945" s="45" t="s">
        <v>37</v>
      </c>
      <c r="H945" s="51">
        <f t="shared" si="14"/>
        <v>3.1746031746031855E-2</v>
      </c>
      <c r="I945" s="47"/>
      <c r="J945" s="48">
        <f>VLOOKUP(A945,'[1]תקציב 2026'!$A$1:$M$65536,9,0)</f>
        <v>1300</v>
      </c>
      <c r="K945" s="49">
        <f>VLOOKUP(A945,[3]גיליון1!$A$1:$C$7693,3,0)*0.9</f>
        <v>1260</v>
      </c>
      <c r="L945" s="50">
        <f>VLOOKUP(A945,[2]data1761205830331!$A$1:$J$65536,10,0)</f>
        <v>795.28</v>
      </c>
    </row>
    <row r="946" spans="1:12" ht="15.6" outlineLevel="1">
      <c r="A946" s="11">
        <v>1613100513</v>
      </c>
      <c r="B946" s="40">
        <v>513</v>
      </c>
      <c r="C946" s="109">
        <v>613100</v>
      </c>
      <c r="D946" s="42">
        <v>1</v>
      </c>
      <c r="E946" s="43"/>
      <c r="F946" s="44" t="s">
        <v>762</v>
      </c>
      <c r="G946" s="45" t="s">
        <v>29</v>
      </c>
      <c r="H946" s="51">
        <f t="shared" si="14"/>
        <v>-1</v>
      </c>
      <c r="I946" s="47"/>
      <c r="J946" s="48">
        <f>VLOOKUP(A946,'[1]תקציב 2026'!$A$1:$M$65536,9,0)</f>
        <v>0</v>
      </c>
      <c r="K946" s="49">
        <f>VLOOKUP(A946,[3]גיליון1!$A$1:$C$7693,3,0)*0.9</f>
        <v>45000</v>
      </c>
      <c r="L946" s="50">
        <f>VLOOKUP(A946,[2]data1761205830331!$A$1:$J$65536,10,0)</f>
        <v>0</v>
      </c>
    </row>
    <row r="947" spans="1:12" ht="15.6" outlineLevel="1">
      <c r="A947" s="11">
        <v>1613100522</v>
      </c>
      <c r="B947" s="40">
        <v>522</v>
      </c>
      <c r="C947" s="109">
        <v>613100</v>
      </c>
      <c r="D947" s="42">
        <v>1</v>
      </c>
      <c r="E947" s="43"/>
      <c r="F947" s="44" t="s">
        <v>90</v>
      </c>
      <c r="G947" s="45" t="s">
        <v>37</v>
      </c>
      <c r="H947" s="51">
        <f t="shared" si="14"/>
        <v>0</v>
      </c>
      <c r="I947" s="47"/>
      <c r="J947" s="48">
        <f>VLOOKUP(A947,'[1]תקציב 2026'!$A$1:$M$65536,9,0)</f>
        <v>3600</v>
      </c>
      <c r="K947" s="49">
        <f>VLOOKUP(A947,[3]גיליון1!$A$1:$C$7693,3,0)*0.9</f>
        <v>3600</v>
      </c>
      <c r="L947" s="50">
        <f>VLOOKUP(A947,[2]data1761205830331!$A$1:$J$65536,10,0)</f>
        <v>3857.8</v>
      </c>
    </row>
    <row r="948" spans="1:12" ht="15.6" outlineLevel="1">
      <c r="A948" s="11">
        <v>1613100544</v>
      </c>
      <c r="B948" s="40">
        <v>544</v>
      </c>
      <c r="C948" s="109">
        <v>613100</v>
      </c>
      <c r="D948" s="42">
        <v>1</v>
      </c>
      <c r="E948" s="43"/>
      <c r="F948" s="44" t="s">
        <v>743</v>
      </c>
      <c r="G948" s="45" t="s">
        <v>29</v>
      </c>
      <c r="H948" s="51">
        <f t="shared" si="14"/>
        <v>0</v>
      </c>
      <c r="I948" s="47"/>
      <c r="J948" s="48">
        <f>VLOOKUP(A948,'[1]תקציב 2026'!$A$1:$M$65536,9,0)</f>
        <v>10400</v>
      </c>
      <c r="K948" s="49">
        <v>10400</v>
      </c>
      <c r="L948" s="50">
        <f>VLOOKUP(A948,[2]data1761205830331!$A$1:$J$65536,10,0)</f>
        <v>4231.53</v>
      </c>
    </row>
    <row r="949" spans="1:12" ht="15.6" outlineLevel="1">
      <c r="A949" s="11">
        <v>1613100561</v>
      </c>
      <c r="B949" s="40">
        <v>561</v>
      </c>
      <c r="C949" s="109">
        <v>613100</v>
      </c>
      <c r="D949" s="42">
        <v>1</v>
      </c>
      <c r="E949" s="43"/>
      <c r="F949" s="44" t="s">
        <v>74</v>
      </c>
      <c r="G949" s="45" t="s">
        <v>37</v>
      </c>
      <c r="H949" s="51">
        <f t="shared" si="14"/>
        <v>-1</v>
      </c>
      <c r="I949" s="47"/>
      <c r="J949" s="48">
        <f>VLOOKUP(A949,'[1]תקציב 2026'!$A$1:$M$65536,9,0)</f>
        <v>0</v>
      </c>
      <c r="K949" s="49">
        <f>VLOOKUP(A949,[3]גיליון1!$A$1:$C$7693,3,0)*0.9</f>
        <v>3060</v>
      </c>
      <c r="L949" s="50">
        <f>VLOOKUP(A949,[2]data1761205830331!$A$1:$J$65536,10,0)</f>
        <v>0</v>
      </c>
    </row>
    <row r="950" spans="1:12" ht="15.6" outlineLevel="1">
      <c r="A950" s="11">
        <v>1613100562</v>
      </c>
      <c r="B950" s="40">
        <v>562</v>
      </c>
      <c r="C950" s="109">
        <v>613100</v>
      </c>
      <c r="D950" s="42">
        <v>1</v>
      </c>
      <c r="E950" s="43"/>
      <c r="F950" s="44" t="s">
        <v>748</v>
      </c>
      <c r="G950" s="45" t="s">
        <v>37</v>
      </c>
      <c r="H950" s="51">
        <f t="shared" si="14"/>
        <v>0</v>
      </c>
      <c r="I950" s="47"/>
      <c r="J950" s="48">
        <f>VLOOKUP(A950,'[1]תקציב 2026'!$A$1:$M$65536,9,0)</f>
        <v>810</v>
      </c>
      <c r="K950" s="49">
        <f>VLOOKUP(A950,[3]גיליון1!$A$1:$C$7693,3,0)*0.9</f>
        <v>810</v>
      </c>
      <c r="L950" s="50">
        <f>VLOOKUP(A950,[2]data1761205830331!$A$1:$J$65536,10,0)</f>
        <v>0</v>
      </c>
    </row>
    <row r="951" spans="1:12" ht="15.6" outlineLevel="1">
      <c r="A951" s="11">
        <v>1613100571</v>
      </c>
      <c r="B951" s="40">
        <v>571</v>
      </c>
      <c r="C951" s="109">
        <v>613100</v>
      </c>
      <c r="D951" s="42">
        <v>1</v>
      </c>
      <c r="E951" s="43"/>
      <c r="F951" s="44" t="s">
        <v>75</v>
      </c>
      <c r="G951" s="45" t="s">
        <v>29</v>
      </c>
      <c r="H951" s="51">
        <f t="shared" si="14"/>
        <v>0</v>
      </c>
      <c r="I951" s="47"/>
      <c r="J951" s="48">
        <f>VLOOKUP(A951,'[1]תקציב 2026'!$A$1:$M$65536,9,0)</f>
        <v>72300</v>
      </c>
      <c r="K951" s="49">
        <v>72300</v>
      </c>
      <c r="L951" s="50">
        <f>VLOOKUP(A951,[2]data1761205830331!$A$1:$J$65536,10,0)</f>
        <v>63100</v>
      </c>
    </row>
    <row r="952" spans="1:12" ht="15.6" outlineLevel="1">
      <c r="A952" s="11">
        <v>1613100580</v>
      </c>
      <c r="B952" s="40">
        <v>580</v>
      </c>
      <c r="C952" s="109">
        <v>613100</v>
      </c>
      <c r="D952" s="42">
        <v>1</v>
      </c>
      <c r="E952" s="43"/>
      <c r="F952" s="44" t="s">
        <v>763</v>
      </c>
      <c r="G952" s="45" t="s">
        <v>37</v>
      </c>
      <c r="H952" s="51">
        <f t="shared" si="14"/>
        <v>27.270874424720578</v>
      </c>
      <c r="I952" s="47"/>
      <c r="J952" s="48">
        <f>VLOOKUP(A952,'[1]תקציב 2026'!$A$1:$M$65536,9,0)</f>
        <v>1720000</v>
      </c>
      <c r="K952" s="49">
        <f>67600*0.9</f>
        <v>60840</v>
      </c>
      <c r="L952" s="50">
        <f>VLOOKUP(A952,[2]data1761205830331!$A$1:$J$65536,10,0)</f>
        <v>27454.67</v>
      </c>
    </row>
    <row r="953" spans="1:12" ht="15.6" outlineLevel="1">
      <c r="A953" s="11">
        <v>1613100581</v>
      </c>
      <c r="B953" s="40">
        <v>581</v>
      </c>
      <c r="C953" s="109">
        <v>613100</v>
      </c>
      <c r="D953" s="42">
        <v>1</v>
      </c>
      <c r="E953" s="43"/>
      <c r="F953" s="44" t="str">
        <f>[4]גיליון1!$F$1679</f>
        <v>פעולות מנכ"ל מינהל</v>
      </c>
      <c r="G953" s="45" t="s">
        <v>37</v>
      </c>
      <c r="H953" s="51">
        <f t="shared" si="14"/>
        <v>2.9100529100529071E-2</v>
      </c>
      <c r="I953" s="47"/>
      <c r="J953" s="48">
        <f>VLOOKUP(A953,'[1]תקציב 2026'!$A$1:$M$65536,9,0)</f>
        <v>38900</v>
      </c>
      <c r="K953" s="49">
        <f>42000*0.9</f>
        <v>37800</v>
      </c>
      <c r="L953" s="50">
        <f>VLOOKUP(A953,[2]data1761205830331!$A$1:$J$65536,10,0)</f>
        <v>29293.19</v>
      </c>
    </row>
    <row r="954" spans="1:12" ht="15.6" outlineLevel="1">
      <c r="A954" s="11">
        <v>1613100596</v>
      </c>
      <c r="B954" s="40">
        <v>596</v>
      </c>
      <c r="C954" s="109">
        <v>613100</v>
      </c>
      <c r="D954" s="42">
        <v>1</v>
      </c>
      <c r="E954" s="43"/>
      <c r="F954" s="44" t="s">
        <v>76</v>
      </c>
      <c r="G954" s="45" t="s">
        <v>29</v>
      </c>
      <c r="H954" s="51">
        <f t="shared" si="14"/>
        <v>0</v>
      </c>
      <c r="I954" s="47"/>
      <c r="J954" s="48">
        <f>VLOOKUP(A954,'[1]תקציב 2026'!$A$1:$M$65536,9,0)</f>
        <v>14500</v>
      </c>
      <c r="K954" s="49">
        <v>14500</v>
      </c>
      <c r="L954" s="50">
        <f>VLOOKUP(A954,[2]data1761205830331!$A$1:$J$65536,10,0)</f>
        <v>12244</v>
      </c>
    </row>
    <row r="955" spans="1:12" ht="15.6" outlineLevel="1">
      <c r="A955" s="11">
        <v>1613100780</v>
      </c>
      <c r="B955" s="40">
        <v>780</v>
      </c>
      <c r="C955" s="109">
        <v>613100</v>
      </c>
      <c r="D955" s="42">
        <v>1</v>
      </c>
      <c r="E955" s="43"/>
      <c r="F955" s="44" t="s">
        <v>764</v>
      </c>
      <c r="G955" s="45" t="s">
        <v>37</v>
      </c>
      <c r="H955" s="51">
        <f t="shared" si="14"/>
        <v>0</v>
      </c>
      <c r="I955" s="47"/>
      <c r="J955" s="48">
        <f>VLOOKUP(A955,'[1]תקציב 2026'!$A$1:$M$65536,9,0)</f>
        <v>162000</v>
      </c>
      <c r="K955" s="49">
        <f>VLOOKUP(A955,[3]גיליון1!$A$1:$C$7693,3,0)*0.9</f>
        <v>162000</v>
      </c>
      <c r="L955" s="50">
        <f>VLOOKUP(A955,[2]data1761205830331!$A$1:$J$65536,10,0)</f>
        <v>151325.4</v>
      </c>
    </row>
    <row r="956" spans="1:12" ht="15.6" outlineLevel="1">
      <c r="A956" s="11">
        <v>1613100781</v>
      </c>
      <c r="B956" s="40">
        <v>781</v>
      </c>
      <c r="C956" s="109">
        <v>613100</v>
      </c>
      <c r="D956" s="42">
        <v>1</v>
      </c>
      <c r="E956" s="43"/>
      <c r="F956" s="44" t="s">
        <v>765</v>
      </c>
      <c r="G956" s="45" t="s">
        <v>29</v>
      </c>
      <c r="H956" s="51">
        <f t="shared" si="14"/>
        <v>4.2735042735042583E-3</v>
      </c>
      <c r="I956" s="47"/>
      <c r="J956" s="48">
        <f>VLOOKUP(A956,'[1]תקציב 2026'!$A$1:$M$65536,9,0)</f>
        <v>141000</v>
      </c>
      <c r="K956" s="49">
        <f>VLOOKUP(A956,[3]גיליון1!$A$1:$C$7693,3,0)*0.9</f>
        <v>140400</v>
      </c>
      <c r="L956" s="50">
        <f>VLOOKUP(A956,[2]data1761205830331!$A$1:$J$65536,10,0)</f>
        <v>84708</v>
      </c>
    </row>
    <row r="957" spans="1:12" ht="15.6" outlineLevel="1">
      <c r="A957" s="11">
        <v>1613100787</v>
      </c>
      <c r="B957" s="40">
        <v>787</v>
      </c>
      <c r="C957" s="109">
        <v>613100</v>
      </c>
      <c r="D957" s="42">
        <v>1</v>
      </c>
      <c r="E957" s="43"/>
      <c r="F957" s="224" t="s">
        <v>766</v>
      </c>
      <c r="G957" s="45" t="s">
        <v>37</v>
      </c>
      <c r="H957" s="51">
        <f t="shared" si="14"/>
        <v>6.441223832528209E-3</v>
      </c>
      <c r="I957" s="47"/>
      <c r="J957" s="48">
        <f>VLOOKUP(A957,'[1]תקציב 2026'!$A$1:$M$65536,9,0)</f>
        <v>62500</v>
      </c>
      <c r="K957" s="49">
        <f>VLOOKUP(A957,[3]גיליון1!$A$1:$C$7693,3,0)*0.9</f>
        <v>62100</v>
      </c>
      <c r="L957" s="50">
        <f>VLOOKUP(A957,[2]data1761205830331!$A$1:$J$65536,10,0)</f>
        <v>63063</v>
      </c>
    </row>
    <row r="958" spans="1:12" ht="16.2" outlineLevel="1" thickBot="1">
      <c r="A958" s="11">
        <f>[4]גיליון1!$A$1691</f>
        <v>1613100788</v>
      </c>
      <c r="B958" s="40">
        <f>[4]גיליון1!$B$1691</f>
        <v>788</v>
      </c>
      <c r="C958" s="109">
        <v>613100</v>
      </c>
      <c r="D958" s="42">
        <v>1</v>
      </c>
      <c r="E958" s="43"/>
      <c r="F958" s="11" t="s">
        <v>767</v>
      </c>
      <c r="G958" s="45" t="str">
        <f>[4]גיליון1!$H$1688</f>
        <v>גמיש</v>
      </c>
      <c r="H958" s="51">
        <f t="shared" si="14"/>
        <v>1.6666666666666665</v>
      </c>
      <c r="I958" s="47"/>
      <c r="J958" s="48">
        <f>VLOOKUP(A958,'[1]תקציב 2026'!$A$1:$M$65536,9,0)</f>
        <v>24000</v>
      </c>
      <c r="K958" s="49">
        <f>VLOOKUP(A958,[3]גיליון1!$A$1:$C$7693,3,0)*0.9</f>
        <v>9000</v>
      </c>
      <c r="L958" s="50">
        <f>VLOOKUP(A958,[2]data1761205830331!$A$1:$J$65536,10,0)</f>
        <v>4992.1400000000003</v>
      </c>
    </row>
    <row r="959" spans="1:12" ht="16.2" thickBot="1">
      <c r="A959" s="11" t="e">
        <v>#VALUE!</v>
      </c>
      <c r="B959" s="53" t="s">
        <v>768</v>
      </c>
      <c r="C959" s="223"/>
      <c r="D959" s="55"/>
      <c r="E959" s="56"/>
      <c r="F959" s="116" t="s">
        <v>769</v>
      </c>
      <c r="G959" s="58"/>
      <c r="H959" s="166">
        <f>J959/K959-1</f>
        <v>0.38405066870753957</v>
      </c>
      <c r="I959" s="72"/>
      <c r="J959" s="74">
        <f>SUBTOTAL(9,J935:J958)</f>
        <v>6166790</v>
      </c>
      <c r="K959" s="92">
        <f>SUBTOTAL(9,K935:K958)</f>
        <v>4455610</v>
      </c>
      <c r="L959" s="75">
        <f>SUBTOTAL(9,L935:L958)</f>
        <v>4068479.0699999989</v>
      </c>
    </row>
    <row r="960" spans="1:12" ht="15.6" outlineLevel="1">
      <c r="A960" s="11">
        <v>16132000</v>
      </c>
      <c r="B960" s="40">
        <v>0</v>
      </c>
      <c r="C960" s="109">
        <v>613200</v>
      </c>
      <c r="D960" s="42">
        <v>1</v>
      </c>
      <c r="E960" s="43"/>
      <c r="F960" s="44" t="s">
        <v>770</v>
      </c>
      <c r="G960" s="45" t="s">
        <v>15</v>
      </c>
      <c r="H960" s="51"/>
      <c r="I960" s="47"/>
      <c r="J960" s="48"/>
      <c r="K960" s="49"/>
      <c r="L960" s="50"/>
    </row>
    <row r="961" spans="1:12" ht="15.6" outlineLevel="1">
      <c r="A961" s="11">
        <v>1613200119</v>
      </c>
      <c r="B961" s="40">
        <v>119</v>
      </c>
      <c r="C961" s="109">
        <v>613200</v>
      </c>
      <c r="D961" s="42">
        <v>1</v>
      </c>
      <c r="E961" s="43"/>
      <c r="F961" s="44" t="s">
        <v>23</v>
      </c>
      <c r="G961" s="45" t="s">
        <v>22</v>
      </c>
      <c r="H961" s="51">
        <f t="shared" si="14"/>
        <v>2.5001050111311818E-2</v>
      </c>
      <c r="I961" s="47"/>
      <c r="J961" s="48">
        <v>2440220</v>
      </c>
      <c r="K961" s="49">
        <v>2380700</v>
      </c>
      <c r="L961" s="50">
        <f>VLOOKUP(A961,[2]data1761205830331!$A$1:$J$65536,10,0)</f>
        <v>1906460.5</v>
      </c>
    </row>
    <row r="962" spans="1:12" ht="15.6" outlineLevel="1">
      <c r="A962" s="11">
        <v>1613200122</v>
      </c>
      <c r="B962" s="40">
        <v>122</v>
      </c>
      <c r="C962" s="109">
        <v>613200</v>
      </c>
      <c r="D962" s="42">
        <v>1</v>
      </c>
      <c r="E962" s="43"/>
      <c r="F962" s="44" t="s">
        <v>24</v>
      </c>
      <c r="G962" s="45" t="s">
        <v>22</v>
      </c>
      <c r="H962" s="51">
        <f t="shared" si="14"/>
        <v>0</v>
      </c>
      <c r="I962" s="47"/>
      <c r="J962" s="48">
        <f>VLOOKUP(A962,'[1]תקציב 2026'!$A$1:$M$65536,9,0)</f>
        <v>19000</v>
      </c>
      <c r="K962" s="49">
        <f>VLOOKUP(A962,[3]גיליון1!$A$1:$C$7693,3,0)</f>
        <v>19000</v>
      </c>
      <c r="L962" s="50">
        <f>VLOOKUP(A962,[2]data1761205830331!$A$1:$J$65536,10,0)</f>
        <v>18468.47</v>
      </c>
    </row>
    <row r="963" spans="1:12" ht="15.6" outlineLevel="1">
      <c r="A963" s="11">
        <v>1613200126</v>
      </c>
      <c r="B963" s="40">
        <v>126</v>
      </c>
      <c r="C963" s="109">
        <v>613200</v>
      </c>
      <c r="D963" s="42">
        <v>1</v>
      </c>
      <c r="E963" s="43"/>
      <c r="F963" s="44" t="s">
        <v>25</v>
      </c>
      <c r="G963" s="45" t="s">
        <v>22</v>
      </c>
      <c r="H963" s="51">
        <f t="shared" si="14"/>
        <v>0</v>
      </c>
      <c r="I963" s="47"/>
      <c r="J963" s="48">
        <f>VLOOKUP(A963,'[1]תקציב 2026'!$A$1:$M$65536,9,0)</f>
        <v>43000</v>
      </c>
      <c r="K963" s="49">
        <f>VLOOKUP(A963,[3]גיליון1!$A$1:$C$7693,3,0)</f>
        <v>43000</v>
      </c>
      <c r="L963" s="50">
        <f>VLOOKUP(A963,[2]data1761205830331!$A$1:$J$65536,10,0)</f>
        <v>42078.58</v>
      </c>
    </row>
    <row r="964" spans="1:12" ht="15.6" outlineLevel="1">
      <c r="A964" s="11">
        <v>1613200130</v>
      </c>
      <c r="B964" s="40">
        <v>130</v>
      </c>
      <c r="C964" s="109">
        <v>613200</v>
      </c>
      <c r="D964" s="42">
        <v>1</v>
      </c>
      <c r="E964" s="43"/>
      <c r="F964" s="44" t="s">
        <v>26</v>
      </c>
      <c r="G964" s="45" t="s">
        <v>22</v>
      </c>
      <c r="H964" s="51">
        <f t="shared" si="14"/>
        <v>0</v>
      </c>
      <c r="I964" s="47"/>
      <c r="J964" s="48">
        <f>VLOOKUP(A964,'[1]תקציב 2026'!$A$1:$M$65536,9,0)</f>
        <v>3440</v>
      </c>
      <c r="K964" s="49">
        <f>VLOOKUP(A964,[3]גיליון1!$A$1:$C$7693,3,0)*0.86</f>
        <v>3440</v>
      </c>
      <c r="L964" s="50">
        <f>VLOOKUP(A964,[2]data1761205830331!$A$1:$J$65536,10,0)</f>
        <v>937.64</v>
      </c>
    </row>
    <row r="965" spans="1:12" ht="15.6" outlineLevel="1">
      <c r="A965" s="11">
        <v>1613200140</v>
      </c>
      <c r="B965" s="40">
        <v>140</v>
      </c>
      <c r="C965" s="109">
        <v>613200</v>
      </c>
      <c r="D965" s="42">
        <v>1</v>
      </c>
      <c r="E965" s="43"/>
      <c r="F965" s="44" t="s">
        <v>27</v>
      </c>
      <c r="G965" s="45" t="s">
        <v>22</v>
      </c>
      <c r="H965" s="51">
        <f t="shared" si="14"/>
        <v>0</v>
      </c>
      <c r="I965" s="47"/>
      <c r="J965" s="48">
        <f>VLOOKUP(A965,'[1]תקציב 2026'!$A$1:$M$65536,9,0)</f>
        <v>212100</v>
      </c>
      <c r="K965" s="49">
        <f>VLOOKUP(A965,[3]גיליון1!$A$1:$C$7693,3,0)</f>
        <v>212100</v>
      </c>
      <c r="L965" s="50">
        <f>VLOOKUP(A965,[2]data1761205830331!$A$1:$J$65536,10,0)</f>
        <v>203468.59</v>
      </c>
    </row>
    <row r="966" spans="1:12" ht="15.6" outlineLevel="1">
      <c r="A966" s="11">
        <v>1613200350</v>
      </c>
      <c r="B966" s="40">
        <v>350</v>
      </c>
      <c r="C966" s="109">
        <v>613200</v>
      </c>
      <c r="D966" s="42">
        <v>1</v>
      </c>
      <c r="E966" s="43"/>
      <c r="F966" s="44" t="s">
        <v>771</v>
      </c>
      <c r="G966" s="45" t="s">
        <v>22</v>
      </c>
      <c r="H966" s="51">
        <v>0</v>
      </c>
      <c r="I966" s="47"/>
      <c r="J966" s="48">
        <f>VLOOKUP(A966,'[1]תקציב 2026'!$A$1:$M$65536,9,0)</f>
        <v>0</v>
      </c>
      <c r="K966" s="49">
        <f>VLOOKUP(A966,[3]גיליון1!$A$1:$C$7693,3,0)</f>
        <v>0</v>
      </c>
      <c r="L966" s="50">
        <f>VLOOKUP(A966,[2]data1761205830331!$A$1:$J$65536,10,0)</f>
        <v>14402.85</v>
      </c>
    </row>
    <row r="967" spans="1:12" ht="15.6" outlineLevel="1">
      <c r="A967" s="11">
        <v>1613200351</v>
      </c>
      <c r="B967" s="40">
        <v>351</v>
      </c>
      <c r="C967" s="109">
        <v>613200</v>
      </c>
      <c r="D967" s="42">
        <v>1</v>
      </c>
      <c r="E967" s="43"/>
      <c r="F967" s="44" t="s">
        <v>772</v>
      </c>
      <c r="G967" s="45" t="s">
        <v>22</v>
      </c>
      <c r="H967" s="51">
        <v>0</v>
      </c>
      <c r="I967" s="47"/>
      <c r="J967" s="48">
        <f>VLOOKUP(A967,'[1]תקציב 2026'!$A$1:$M$65536,9,0)</f>
        <v>0</v>
      </c>
      <c r="K967" s="49">
        <f>VLOOKUP(A967,[3]גיליון1!$A$1:$C$7693,3,0)</f>
        <v>0</v>
      </c>
      <c r="L967" s="50">
        <f>VLOOKUP(A967,[2]data1761205830331!$A$1:$J$65536,10,0)</f>
        <v>3263.17</v>
      </c>
    </row>
    <row r="968" spans="1:12" ht="15.6" outlineLevel="1">
      <c r="A968" s="11">
        <v>1613200470</v>
      </c>
      <c r="B968" s="40">
        <v>470</v>
      </c>
      <c r="C968" s="109">
        <v>613200</v>
      </c>
      <c r="D968" s="42">
        <v>1</v>
      </c>
      <c r="E968" s="43"/>
      <c r="F968" s="44" t="s">
        <v>43</v>
      </c>
      <c r="G968" s="45" t="s">
        <v>37</v>
      </c>
      <c r="H968" s="51">
        <f t="shared" si="14"/>
        <v>-1.9960079840319889E-3</v>
      </c>
      <c r="I968" s="47"/>
      <c r="J968" s="48">
        <f>VLOOKUP(A968,'[1]תקציב 2026'!$A$1:$M$65536,9,0)</f>
        <v>15000</v>
      </c>
      <c r="K968" s="49">
        <f>VLOOKUP(A968,[3]גיליון1!$A$1:$C$7693,3,0)*0.9</f>
        <v>15030</v>
      </c>
      <c r="L968" s="50">
        <f>VLOOKUP(A968,[2]data1761205830331!$A$1:$J$65536,10,0)</f>
        <v>10299.81</v>
      </c>
    </row>
    <row r="969" spans="1:12" ht="15.6" outlineLevel="1">
      <c r="A969" s="11">
        <v>1613200471</v>
      </c>
      <c r="B969" s="40">
        <v>471</v>
      </c>
      <c r="C969" s="109">
        <v>613200</v>
      </c>
      <c r="D969" s="42">
        <v>1</v>
      </c>
      <c r="E969" s="43"/>
      <c r="F969" s="44" t="s">
        <v>71</v>
      </c>
      <c r="G969" s="45" t="s">
        <v>37</v>
      </c>
      <c r="H969" s="51">
        <f t="shared" si="14"/>
        <v>0</v>
      </c>
      <c r="I969" s="47"/>
      <c r="J969" s="48">
        <f>VLOOKUP(A969,'[1]תקציב 2026'!$A$1:$M$65536,9,0)</f>
        <v>19800</v>
      </c>
      <c r="K969" s="49">
        <f>22000*0.9</f>
        <v>19800</v>
      </c>
      <c r="L969" s="50">
        <f>VLOOKUP(A969,[2]data1761205830331!$A$1:$J$65536,10,0)</f>
        <v>18265.23</v>
      </c>
    </row>
    <row r="970" spans="1:12" ht="15.6" outlineLevel="1">
      <c r="A970" s="11">
        <v>1613200492</v>
      </c>
      <c r="B970" s="40">
        <v>492</v>
      </c>
      <c r="C970" s="109">
        <v>613200</v>
      </c>
      <c r="D970" s="42">
        <v>1</v>
      </c>
      <c r="E970" s="43"/>
      <c r="F970" s="44" t="s">
        <v>66</v>
      </c>
      <c r="G970" s="45" t="s">
        <v>29</v>
      </c>
      <c r="H970" s="51">
        <f t="shared" si="14"/>
        <v>1.1133603238866474E-2</v>
      </c>
      <c r="I970" s="47"/>
      <c r="J970" s="48">
        <f>VLOOKUP(A970,'[1]תקציב 2026'!$A$1:$M$65536,9,0)</f>
        <v>999000</v>
      </c>
      <c r="K970" s="49">
        <v>988000</v>
      </c>
      <c r="L970" s="50">
        <f>VLOOKUP(A970,[2]data1761205830331!$A$1:$J$65536,10,0)</f>
        <v>856100</v>
      </c>
    </row>
    <row r="971" spans="1:12" ht="15.6" outlineLevel="1">
      <c r="A971" s="11">
        <v>1613200511</v>
      </c>
      <c r="B971" s="40">
        <v>511</v>
      </c>
      <c r="C971" s="109">
        <v>613200</v>
      </c>
      <c r="D971" s="42">
        <v>1</v>
      </c>
      <c r="E971" s="43"/>
      <c r="F971" s="44" t="s">
        <v>72</v>
      </c>
      <c r="G971" s="45" t="s">
        <v>37</v>
      </c>
      <c r="H971" s="51">
        <f t="shared" si="14"/>
        <v>1.0101010101010166E-2</v>
      </c>
      <c r="I971" s="47"/>
      <c r="J971" s="48">
        <f>VLOOKUP(A971,'[1]תקציב 2026'!$A$1:$M$65536,9,0)</f>
        <v>9000</v>
      </c>
      <c r="K971" s="49">
        <f>9900*0.9</f>
        <v>8910</v>
      </c>
      <c r="L971" s="50">
        <f>VLOOKUP(A971,[2]data1761205830331!$A$1:$J$65536,10,0)</f>
        <v>4821.3999999999996</v>
      </c>
    </row>
    <row r="972" spans="1:12" ht="15.6" outlineLevel="1">
      <c r="A972" s="11">
        <v>1613200512</v>
      </c>
      <c r="B972" s="40">
        <v>512</v>
      </c>
      <c r="C972" s="109">
        <v>613200</v>
      </c>
      <c r="D972" s="42">
        <v>1</v>
      </c>
      <c r="E972" s="43"/>
      <c r="F972" s="44" t="s">
        <v>88</v>
      </c>
      <c r="G972" s="45" t="s">
        <v>37</v>
      </c>
      <c r="H972" s="51">
        <f t="shared" si="14"/>
        <v>0</v>
      </c>
      <c r="I972" s="47"/>
      <c r="J972" s="48">
        <f>VLOOKUP(A972,'[1]תקציב 2026'!$A$1:$M$65536,9,0)</f>
        <v>540</v>
      </c>
      <c r="K972" s="49">
        <f>600*0.9</f>
        <v>540</v>
      </c>
      <c r="L972" s="50">
        <f>VLOOKUP(A972,[2]data1761205830331!$A$1:$J$65536,10,0)</f>
        <v>461.9</v>
      </c>
    </row>
    <row r="973" spans="1:12" ht="15.6" outlineLevel="1">
      <c r="A973" s="11">
        <v>1613200522</v>
      </c>
      <c r="B973" s="40">
        <v>522</v>
      </c>
      <c r="C973" s="109">
        <v>613200</v>
      </c>
      <c r="D973" s="42">
        <v>1</v>
      </c>
      <c r="E973" s="43"/>
      <c r="F973" s="44" t="s">
        <v>90</v>
      </c>
      <c r="G973" s="45" t="s">
        <v>37</v>
      </c>
      <c r="H973" s="51">
        <f t="shared" si="14"/>
        <v>0</v>
      </c>
      <c r="I973" s="47"/>
      <c r="J973" s="48">
        <f>VLOOKUP(A973,'[1]תקציב 2026'!$A$1:$M$65536,9,0)</f>
        <v>3690</v>
      </c>
      <c r="K973" s="49">
        <f>VLOOKUP(A973,[3]גיליון1!$A$1:$C$7693,3,0)*0.9</f>
        <v>3690</v>
      </c>
      <c r="L973" s="50">
        <f>VLOOKUP(A973,[2]data1761205830331!$A$1:$J$65536,10,0)</f>
        <v>3894.49</v>
      </c>
    </row>
    <row r="974" spans="1:12" ht="15.6" outlineLevel="1">
      <c r="A974" s="11">
        <v>1613200541</v>
      </c>
      <c r="B974" s="40">
        <v>541</v>
      </c>
      <c r="C974" s="109">
        <v>613200</v>
      </c>
      <c r="D974" s="42">
        <v>1</v>
      </c>
      <c r="E974" s="43"/>
      <c r="F974" s="44" t="s">
        <v>773</v>
      </c>
      <c r="G974" s="45" t="s">
        <v>29</v>
      </c>
      <c r="H974" s="51">
        <f t="shared" si="14"/>
        <v>0</v>
      </c>
      <c r="I974" s="47"/>
      <c r="J974" s="48">
        <f>VLOOKUP(A974,'[1]תקציב 2026'!$A$1:$M$65536,9,0)</f>
        <v>51300</v>
      </c>
      <c r="K974" s="49">
        <f>VLOOKUP(A974,[3]גיליון1!$A$1:$C$7693,3,0)</f>
        <v>51300</v>
      </c>
      <c r="L974" s="50">
        <f>VLOOKUP(A974,[2]data1761205830331!$A$1:$J$65536,10,0)</f>
        <v>47101.68</v>
      </c>
    </row>
    <row r="975" spans="1:12" ht="15.6" outlineLevel="1">
      <c r="A975" s="11">
        <v>1613200544</v>
      </c>
      <c r="B975" s="40">
        <v>544</v>
      </c>
      <c r="C975" s="109">
        <v>613200</v>
      </c>
      <c r="D975" s="42">
        <v>1</v>
      </c>
      <c r="E975" s="43"/>
      <c r="F975" s="44" t="s">
        <v>743</v>
      </c>
      <c r="G975" s="45" t="s">
        <v>29</v>
      </c>
      <c r="H975" s="51">
        <f t="shared" si="14"/>
        <v>0.19999999999999996</v>
      </c>
      <c r="I975" s="47"/>
      <c r="J975" s="48">
        <f>VLOOKUP(A975,'[1]תקציב 2026'!$A$1:$M$65536,9,0)</f>
        <v>6000</v>
      </c>
      <c r="K975" s="49">
        <v>5000</v>
      </c>
      <c r="L975" s="50">
        <f>VLOOKUP(A975,[2]data1761205830331!$A$1:$J$65536,10,0)</f>
        <v>5795.47</v>
      </c>
    </row>
    <row r="976" spans="1:12" ht="15.6" outlineLevel="1">
      <c r="A976" s="11">
        <v>1613200561</v>
      </c>
      <c r="B976" s="40">
        <v>561</v>
      </c>
      <c r="C976" s="109">
        <v>613200</v>
      </c>
      <c r="D976" s="42">
        <v>1</v>
      </c>
      <c r="E976" s="43"/>
      <c r="F976" s="44" t="s">
        <v>74</v>
      </c>
      <c r="G976" s="45" t="s">
        <v>37</v>
      </c>
      <c r="H976" s="51">
        <f t="shared" si="14"/>
        <v>-1</v>
      </c>
      <c r="I976" s="47"/>
      <c r="J976" s="48">
        <f>VLOOKUP(A976,'[1]תקציב 2026'!$A$1:$M$65536,9,0)</f>
        <v>0</v>
      </c>
      <c r="K976" s="49">
        <f>VLOOKUP(A976,[3]גיליון1!$A$1:$C$7693,3,0)*0.9</f>
        <v>810</v>
      </c>
      <c r="L976" s="50">
        <f>VLOOKUP(A976,[2]data1761205830331!$A$1:$J$65536,10,0)</f>
        <v>0</v>
      </c>
    </row>
    <row r="977" spans="1:12" ht="15.6" outlineLevel="1">
      <c r="A977" s="11">
        <v>1613200562</v>
      </c>
      <c r="B977" s="40">
        <v>562</v>
      </c>
      <c r="C977" s="109">
        <v>613200</v>
      </c>
      <c r="D977" s="42">
        <v>1</v>
      </c>
      <c r="E977" s="43"/>
      <c r="F977" s="44" t="s">
        <v>748</v>
      </c>
      <c r="G977" s="45" t="s">
        <v>37</v>
      </c>
      <c r="H977" s="51">
        <f t="shared" si="14"/>
        <v>-4.7619047619047672E-2</v>
      </c>
      <c r="I977" s="47"/>
      <c r="J977" s="48">
        <f>VLOOKUP(A977,'[1]תקציב 2026'!$A$1:$M$65536,9,0)</f>
        <v>600</v>
      </c>
      <c r="K977" s="49">
        <f>VLOOKUP(A977,[3]גיליון1!$A$1:$C$7693,3,0)*0.9</f>
        <v>630</v>
      </c>
      <c r="L977" s="50">
        <f>VLOOKUP(A977,[2]data1761205830331!$A$1:$J$65536,10,0)</f>
        <v>436.8</v>
      </c>
    </row>
    <row r="978" spans="1:12" ht="15.6" outlineLevel="1">
      <c r="A978" s="11">
        <v>1613200563</v>
      </c>
      <c r="B978" s="40">
        <v>563</v>
      </c>
      <c r="C978" s="109">
        <v>613200</v>
      </c>
      <c r="D978" s="42">
        <v>1</v>
      </c>
      <c r="E978" s="43"/>
      <c r="F978" s="44" t="s">
        <v>749</v>
      </c>
      <c r="G978" s="45" t="s">
        <v>37</v>
      </c>
      <c r="H978" s="51">
        <f t="shared" ref="H978:H1040" si="15">J978/K978-1</f>
        <v>1.4691358024691357</v>
      </c>
      <c r="I978" s="47"/>
      <c r="J978" s="48">
        <f>VLOOKUP(A978,'[1]תקציב 2026'!$A$1:$M$65536,9,0)</f>
        <v>2000</v>
      </c>
      <c r="K978" s="49">
        <f>VLOOKUP(A978,[3]גיליון1!$A$1:$C$7693,3,0)*0.9</f>
        <v>810</v>
      </c>
      <c r="L978" s="50">
        <f>VLOOKUP(A978,[2]data1761205830331!$A$1:$J$65536,10,0)</f>
        <v>1686</v>
      </c>
    </row>
    <row r="979" spans="1:12" ht="15.6" outlineLevel="1">
      <c r="A979" s="11">
        <v>1613200571</v>
      </c>
      <c r="B979" s="40">
        <v>571</v>
      </c>
      <c r="C979" s="109">
        <v>613200</v>
      </c>
      <c r="D979" s="42">
        <v>1</v>
      </c>
      <c r="E979" s="43"/>
      <c r="F979" s="44" t="s">
        <v>75</v>
      </c>
      <c r="G979" s="45" t="s">
        <v>29</v>
      </c>
      <c r="H979" s="51">
        <f t="shared" si="15"/>
        <v>0</v>
      </c>
      <c r="I979" s="47"/>
      <c r="J979" s="48">
        <f>VLOOKUP(A979,'[1]תקציב 2026'!$A$1:$M$65536,9,0)</f>
        <v>340000</v>
      </c>
      <c r="K979" s="49">
        <f>171000+169000</f>
        <v>340000</v>
      </c>
      <c r="L979" s="50">
        <f>VLOOKUP(A979,[2]data1761205830331!$A$1:$J$65536,10,0)</f>
        <v>142000</v>
      </c>
    </row>
    <row r="980" spans="1:12" ht="15.6" outlineLevel="1">
      <c r="A980" s="11">
        <v>1613200580</v>
      </c>
      <c r="B980" s="40">
        <v>580</v>
      </c>
      <c r="C980" s="109">
        <v>613200</v>
      </c>
      <c r="D980" s="42">
        <v>1</v>
      </c>
      <c r="E980" s="43"/>
      <c r="F980" s="154" t="s">
        <v>774</v>
      </c>
      <c r="G980" s="45" t="s">
        <v>29</v>
      </c>
      <c r="H980" s="51">
        <f t="shared" si="15"/>
        <v>0.10000000000000009</v>
      </c>
      <c r="I980" s="47"/>
      <c r="J980" s="48">
        <f>VLOOKUP(A980,'[1]תקציב 2026'!$A$1:$M$65536,9,0)</f>
        <v>88000</v>
      </c>
      <c r="K980" s="49">
        <f>VLOOKUP(A980,[3]גיליון1!$A$1:$C$7693,3,0)</f>
        <v>80000</v>
      </c>
      <c r="L980" s="50">
        <f>VLOOKUP(A980,[2]data1761205830331!$A$1:$J$65536,10,0)</f>
        <v>85568</v>
      </c>
    </row>
    <row r="981" spans="1:12" ht="15.6" outlineLevel="1">
      <c r="A981" s="11">
        <v>1613200781</v>
      </c>
      <c r="B981" s="40">
        <v>781</v>
      </c>
      <c r="C981" s="109">
        <v>613200</v>
      </c>
      <c r="D981" s="42">
        <v>1</v>
      </c>
      <c r="E981" s="43"/>
      <c r="F981" s="44" t="s">
        <v>775</v>
      </c>
      <c r="G981" s="45" t="s">
        <v>37</v>
      </c>
      <c r="H981" s="51">
        <f t="shared" si="15"/>
        <v>0.26666666666666661</v>
      </c>
      <c r="I981" s="47"/>
      <c r="J981" s="48">
        <f>VLOOKUP(A981,'[1]תקציב 2026'!$A$1:$M$65536,9,0)</f>
        <v>45600</v>
      </c>
      <c r="K981" s="49">
        <f>VLOOKUP(A981,[3]גיליון1!$A$1:$C$7693,3,0)*0.9</f>
        <v>36000</v>
      </c>
      <c r="L981" s="50">
        <f>VLOOKUP(A981,[2]data1761205830331!$A$1:$J$65536,10,0)</f>
        <v>38685.08</v>
      </c>
    </row>
    <row r="982" spans="1:12" ht="16.2" outlineLevel="1" thickBot="1">
      <c r="A982" s="11">
        <v>1613200794</v>
      </c>
      <c r="B982" s="40">
        <v>794</v>
      </c>
      <c r="C982" s="109">
        <v>613200</v>
      </c>
      <c r="D982" s="42">
        <v>1</v>
      </c>
      <c r="E982" s="43"/>
      <c r="F982" s="44" t="s">
        <v>58</v>
      </c>
      <c r="G982" s="45" t="s">
        <v>29</v>
      </c>
      <c r="H982" s="51">
        <f t="shared" si="15"/>
        <v>0</v>
      </c>
      <c r="I982" s="47"/>
      <c r="J982" s="48">
        <f>VLOOKUP(A982,'[1]תקציב 2026'!$A$1:$M$65536,9,0)</f>
        <v>156500</v>
      </c>
      <c r="K982" s="49">
        <v>156500</v>
      </c>
      <c r="L982" s="50">
        <f>VLOOKUP(A982,[2]data1761205830331!$A$1:$J$65536,10,0)</f>
        <v>77527</v>
      </c>
    </row>
    <row r="983" spans="1:12" ht="16.2" thickBot="1">
      <c r="A983" s="11" t="e">
        <v>#VALUE!</v>
      </c>
      <c r="B983" s="53" t="s">
        <v>776</v>
      </c>
      <c r="C983" s="223"/>
      <c r="D983" s="55"/>
      <c r="E983" s="56"/>
      <c r="F983" s="116" t="s">
        <v>770</v>
      </c>
      <c r="G983" s="58"/>
      <c r="H983" s="166">
        <f>J983/K983-1</f>
        <v>2.0509660363873028E-2</v>
      </c>
      <c r="I983" s="72"/>
      <c r="J983" s="74">
        <f>SUBTOTAL(9,J961:J982)</f>
        <v>4454790</v>
      </c>
      <c r="K983" s="92">
        <f>SUBTOTAL(9,K961:K982)</f>
        <v>4365260</v>
      </c>
      <c r="L983" s="75">
        <f>SUBTOTAL(9,L961:L982)</f>
        <v>3481722.66</v>
      </c>
    </row>
    <row r="984" spans="1:12" ht="15.6" outlineLevel="1">
      <c r="A984" s="11">
        <v>16132200</v>
      </c>
      <c r="B984" s="40">
        <v>0</v>
      </c>
      <c r="C984" s="109">
        <v>613220</v>
      </c>
      <c r="D984" s="42">
        <v>1</v>
      </c>
      <c r="E984" s="43"/>
      <c r="F984" s="44" t="s">
        <v>777</v>
      </c>
      <c r="G984" s="45" t="s">
        <v>15</v>
      </c>
      <c r="H984" s="51"/>
      <c r="I984" s="47"/>
      <c r="J984" s="48"/>
      <c r="K984" s="49"/>
      <c r="L984" s="50"/>
    </row>
    <row r="985" spans="1:12" ht="15.6" outlineLevel="1">
      <c r="A985" s="11">
        <v>1613220119</v>
      </c>
      <c r="B985" s="40">
        <v>119</v>
      </c>
      <c r="C985" s="109">
        <v>613220</v>
      </c>
      <c r="D985" s="42">
        <v>1</v>
      </c>
      <c r="E985" s="43"/>
      <c r="F985" s="44" t="s">
        <v>23</v>
      </c>
      <c r="G985" s="45" t="s">
        <v>22</v>
      </c>
      <c r="H985" s="51">
        <f t="shared" si="15"/>
        <v>-0.1168272270782964</v>
      </c>
      <c r="I985" s="47"/>
      <c r="J985" s="48">
        <f>VLOOKUP(A985,'[1]תקציב 2026'!$A$1:$M$65536,9,0)</f>
        <v>2374410</v>
      </c>
      <c r="K985" s="49">
        <f>2013500+675000</f>
        <v>2688500</v>
      </c>
      <c r="L985" s="50">
        <f>VLOOKUP(A985,[2]data1761205830331!$A$1:$J$65536,10,0)</f>
        <v>1744754.78</v>
      </c>
    </row>
    <row r="986" spans="1:12" ht="15.6" outlineLevel="1">
      <c r="A986" s="11">
        <v>1613220122</v>
      </c>
      <c r="B986" s="40">
        <v>122</v>
      </c>
      <c r="C986" s="109">
        <v>613220</v>
      </c>
      <c r="D986" s="42">
        <v>1</v>
      </c>
      <c r="E986" s="43"/>
      <c r="F986" s="44" t="s">
        <v>24</v>
      </c>
      <c r="G986" s="45" t="s">
        <v>22</v>
      </c>
      <c r="H986" s="51">
        <f t="shared" si="15"/>
        <v>-7.3999999999999955E-2</v>
      </c>
      <c r="I986" s="47"/>
      <c r="J986" s="48">
        <v>13890</v>
      </c>
      <c r="K986" s="49">
        <f>VLOOKUP(A986,[3]גיליון1!$A$1:$C$7693,3,0)</f>
        <v>15000</v>
      </c>
      <c r="L986" s="50">
        <f>VLOOKUP(A986,[2]data1761205830331!$A$1:$J$65536,10,0)</f>
        <v>13541.52</v>
      </c>
    </row>
    <row r="987" spans="1:12" ht="15.6" outlineLevel="1">
      <c r="A987" s="11">
        <v>1613220126</v>
      </c>
      <c r="B987" s="40">
        <v>126</v>
      </c>
      <c r="C987" s="109">
        <v>613220</v>
      </c>
      <c r="D987" s="42">
        <v>1</v>
      </c>
      <c r="E987" s="43"/>
      <c r="F987" s="44" t="s">
        <v>25</v>
      </c>
      <c r="G987" s="45" t="s">
        <v>22</v>
      </c>
      <c r="H987" s="51">
        <f t="shared" si="15"/>
        <v>-7.4033149171270685E-2</v>
      </c>
      <c r="I987" s="47"/>
      <c r="J987" s="48">
        <v>33520</v>
      </c>
      <c r="K987" s="49">
        <f>VLOOKUP(A987,[3]גיליון1!$A$1:$C$7693,3,0)</f>
        <v>36200</v>
      </c>
      <c r="L987" s="50">
        <f>VLOOKUP(A987,[2]data1761205830331!$A$1:$J$65536,10,0)</f>
        <v>36107.269999999997</v>
      </c>
    </row>
    <row r="988" spans="1:12" ht="15.6" outlineLevel="1">
      <c r="A988" s="11">
        <v>1613220130</v>
      </c>
      <c r="B988" s="40">
        <v>130</v>
      </c>
      <c r="C988" s="109">
        <v>613220</v>
      </c>
      <c r="D988" s="42">
        <v>1</v>
      </c>
      <c r="E988" s="43"/>
      <c r="F988" s="44" t="s">
        <v>26</v>
      </c>
      <c r="G988" s="45" t="s">
        <v>22</v>
      </c>
      <c r="H988" s="51">
        <v>0</v>
      </c>
      <c r="I988" s="47"/>
      <c r="J988" s="48">
        <f>VLOOKUP(A988,'[1]תקציב 2026'!$A$1:$M$65536,9,0)</f>
        <v>0</v>
      </c>
      <c r="K988" s="49">
        <f>VLOOKUP(A988,[3]גיליון1!$A$1:$C$7693,3,0)</f>
        <v>0</v>
      </c>
      <c r="L988" s="50">
        <f>VLOOKUP(A988,[2]data1761205830331!$A$1:$J$65536,10,0)</f>
        <v>11787.32</v>
      </c>
    </row>
    <row r="989" spans="1:12" ht="15.6" outlineLevel="1">
      <c r="A989" s="11">
        <v>1613220140</v>
      </c>
      <c r="B989" s="40">
        <v>140</v>
      </c>
      <c r="C989" s="109">
        <v>613220</v>
      </c>
      <c r="D989" s="42">
        <v>1</v>
      </c>
      <c r="E989" s="43"/>
      <c r="F989" s="44" t="s">
        <v>27</v>
      </c>
      <c r="G989" s="45" t="s">
        <v>22</v>
      </c>
      <c r="H989" s="51">
        <f t="shared" si="15"/>
        <v>0</v>
      </c>
      <c r="I989" s="47"/>
      <c r="J989" s="48">
        <f>VLOOKUP(A989,'[1]תקציב 2026'!$A$1:$M$65536,9,0)</f>
        <v>328300</v>
      </c>
      <c r="K989" s="49">
        <f>VLOOKUP(A989,[3]גיליון1!$A$1:$C$7693,3,0)</f>
        <v>328300</v>
      </c>
      <c r="L989" s="50">
        <f>VLOOKUP(A989,[2]data1761205830331!$A$1:$J$65536,10,0)</f>
        <v>181274</v>
      </c>
    </row>
    <row r="990" spans="1:12" s="204" customFormat="1" ht="15.6" outlineLevel="1">
      <c r="A990" s="11">
        <v>1613220253</v>
      </c>
      <c r="B990" s="40">
        <v>253</v>
      </c>
      <c r="C990" s="109">
        <v>613220</v>
      </c>
      <c r="D990" s="42">
        <v>1</v>
      </c>
      <c r="E990" s="43"/>
      <c r="F990" s="44" t="s">
        <v>738</v>
      </c>
      <c r="G990" s="45" t="s">
        <v>22</v>
      </c>
      <c r="H990" s="51">
        <f t="shared" si="15"/>
        <v>0.51162790697674421</v>
      </c>
      <c r="I990" s="51"/>
      <c r="J990" s="48">
        <f>VLOOKUP(A990,'[1]תקציב 2026'!$A$1:$M$65536,9,0)</f>
        <v>6500000</v>
      </c>
      <c r="K990" s="49">
        <v>4300000</v>
      </c>
      <c r="L990" s="50">
        <f>VLOOKUP(A990,[2]data1761205830331!$A$1:$J$65536,10,0)</f>
        <v>4347012.1500000004</v>
      </c>
    </row>
    <row r="991" spans="1:12" ht="15.6" outlineLevel="1">
      <c r="A991" s="11">
        <v>1613220350</v>
      </c>
      <c r="B991" s="40">
        <v>350</v>
      </c>
      <c r="C991" s="109">
        <v>613220</v>
      </c>
      <c r="D991" s="42">
        <v>1</v>
      </c>
      <c r="E991" s="43"/>
      <c r="F991" s="44" t="s">
        <v>778</v>
      </c>
      <c r="G991" s="45" t="s">
        <v>22</v>
      </c>
      <c r="H991" s="51">
        <f t="shared" si="15"/>
        <v>0.23772727272727279</v>
      </c>
      <c r="I991" s="47" t="s">
        <v>137</v>
      </c>
      <c r="J991" s="48">
        <f>VLOOKUP(A991,'[1]תקציב 2026'!$A$1:$M$65536,9,0)</f>
        <v>54460</v>
      </c>
      <c r="K991" s="49">
        <f>VLOOKUP(A991,[3]גיליון1!$A$1:$C$7693,3,0)</f>
        <v>44000</v>
      </c>
      <c r="L991" s="50">
        <f>VLOOKUP(A991,[2]data1761205830331!$A$1:$J$65536,10,0)</f>
        <v>58577.45</v>
      </c>
    </row>
    <row r="992" spans="1:12" ht="15.6" outlineLevel="1">
      <c r="A992" s="11">
        <v>1613220351</v>
      </c>
      <c r="B992" s="40">
        <v>351</v>
      </c>
      <c r="C992" s="109">
        <v>613220</v>
      </c>
      <c r="D992" s="42">
        <v>1</v>
      </c>
      <c r="E992" s="43"/>
      <c r="F992" s="44" t="s">
        <v>779</v>
      </c>
      <c r="G992" s="45" t="s">
        <v>22</v>
      </c>
      <c r="H992" s="51">
        <f t="shared" si="15"/>
        <v>-0.94094488188976377</v>
      </c>
      <c r="I992" s="47" t="s">
        <v>137</v>
      </c>
      <c r="J992" s="48">
        <f>VLOOKUP(A992,'[1]תקציב 2026'!$A$1:$M$65536,9,0)</f>
        <v>1500</v>
      </c>
      <c r="K992" s="49">
        <f>VLOOKUP(A992,[3]גיליון1!$A$1:$C$7693,3,0)</f>
        <v>25400</v>
      </c>
      <c r="L992" s="50">
        <f>VLOOKUP(A992,[2]data1761205830331!$A$1:$J$65536,10,0)</f>
        <v>0</v>
      </c>
    </row>
    <row r="993" spans="1:12" ht="17.25" customHeight="1" outlineLevel="1">
      <c r="A993" s="11">
        <v>1613220435</v>
      </c>
      <c r="B993" s="40">
        <v>435</v>
      </c>
      <c r="C993" s="109">
        <v>613220</v>
      </c>
      <c r="D993" s="42">
        <v>1</v>
      </c>
      <c r="E993" s="43"/>
      <c r="F993" s="44" t="s">
        <v>780</v>
      </c>
      <c r="G993" s="45" t="s">
        <v>29</v>
      </c>
      <c r="H993" s="51">
        <f t="shared" si="15"/>
        <v>9.2975281386848074E-2</v>
      </c>
      <c r="I993" s="47"/>
      <c r="J993" s="48">
        <f>VLOOKUP(A993,'[1]תקציב 2026'!$A$1:$M$65536,9,0)</f>
        <v>3020000</v>
      </c>
      <c r="K993" s="49">
        <v>2763100</v>
      </c>
      <c r="L993" s="50">
        <f>VLOOKUP(A993,[2]data1761205830331!$A$1:$J$65536,10,0)</f>
        <v>2791894.6</v>
      </c>
    </row>
    <row r="994" spans="1:12" ht="15.6" outlineLevel="1">
      <c r="A994" s="11">
        <v>1613220438</v>
      </c>
      <c r="B994" s="40">
        <v>438</v>
      </c>
      <c r="C994" s="109">
        <v>613220</v>
      </c>
      <c r="D994" s="42">
        <v>1</v>
      </c>
      <c r="E994" s="43"/>
      <c r="F994" s="44" t="s">
        <v>781</v>
      </c>
      <c r="G994" s="45" t="s">
        <v>29</v>
      </c>
      <c r="H994" s="51">
        <f t="shared" si="15"/>
        <v>-0.2191158242666299</v>
      </c>
      <c r="I994" s="47"/>
      <c r="J994" s="48">
        <f>VLOOKUP(A994,'[1]תקציב 2026'!$A$1:$M$65536,9,0)</f>
        <v>567000</v>
      </c>
      <c r="K994" s="49">
        <f>VLOOKUP(A994,[3]גיליון1!$A$1:$C$7693,3,0)</f>
        <v>726100</v>
      </c>
      <c r="L994" s="50">
        <f>VLOOKUP(A994,[2]data1761205830331!$A$1:$J$65536,10,0)</f>
        <v>537069.36</v>
      </c>
    </row>
    <row r="995" spans="1:12" ht="15.6" outlineLevel="1">
      <c r="A995" s="11">
        <v>1613220439</v>
      </c>
      <c r="B995" s="40">
        <v>439</v>
      </c>
      <c r="C995" s="109">
        <v>613220</v>
      </c>
      <c r="D995" s="42">
        <v>1</v>
      </c>
      <c r="E995" s="43"/>
      <c r="F995" s="44" t="s">
        <v>782</v>
      </c>
      <c r="G995" s="45" t="s">
        <v>29</v>
      </c>
      <c r="H995" s="51">
        <f t="shared" si="15"/>
        <v>1.1496825396825399</v>
      </c>
      <c r="I995" s="47"/>
      <c r="J995" s="48">
        <f>VLOOKUP(A995,'[1]תקציב 2026'!$A$1:$M$65536,9,0)</f>
        <v>135430</v>
      </c>
      <c r="K995" s="49">
        <f>VLOOKUP(A995,[3]גיליון1!$A$1:$C$7693,3,0)</f>
        <v>63000</v>
      </c>
      <c r="L995" s="50">
        <f>VLOOKUP(A995,[2]data1761205830331!$A$1:$J$65536,10,0)</f>
        <v>89605.21</v>
      </c>
    </row>
    <row r="996" spans="1:12" ht="15.6" outlineLevel="1">
      <c r="A996" s="11">
        <v>1613220471</v>
      </c>
      <c r="B996" s="40">
        <v>471</v>
      </c>
      <c r="C996" s="109">
        <v>613220</v>
      </c>
      <c r="D996" s="42">
        <v>1</v>
      </c>
      <c r="E996" s="43"/>
      <c r="F996" s="44" t="s">
        <v>71</v>
      </c>
      <c r="G996" s="45" t="s">
        <v>37</v>
      </c>
      <c r="H996" s="51">
        <f t="shared" si="15"/>
        <v>0</v>
      </c>
      <c r="I996" s="47"/>
      <c r="J996" s="48">
        <f>VLOOKUP(A996,'[1]תקציב 2026'!$A$1:$M$65536,9,0)</f>
        <v>1620</v>
      </c>
      <c r="K996" s="49">
        <f>1800*0.9</f>
        <v>1620</v>
      </c>
      <c r="L996" s="50">
        <f>VLOOKUP(A996,[2]data1761205830331!$A$1:$J$65536,10,0)</f>
        <v>1780.8</v>
      </c>
    </row>
    <row r="997" spans="1:12" ht="15.6" outlineLevel="1">
      <c r="A997" s="11">
        <v>1613220492</v>
      </c>
      <c r="B997" s="40">
        <v>492</v>
      </c>
      <c r="C997" s="109">
        <v>613220</v>
      </c>
      <c r="D997" s="42">
        <v>1</v>
      </c>
      <c r="E997" s="43"/>
      <c r="F997" s="44" t="s">
        <v>66</v>
      </c>
      <c r="G997" s="45" t="s">
        <v>29</v>
      </c>
      <c r="H997" s="51">
        <f t="shared" si="15"/>
        <v>0.1558441558441559</v>
      </c>
      <c r="I997" s="47"/>
      <c r="J997" s="48">
        <f>VLOOKUP(A997,'[1]תקציב 2026'!$A$1:$M$65536,9,0)</f>
        <v>178000</v>
      </c>
      <c r="K997" s="49">
        <v>154000</v>
      </c>
      <c r="L997" s="50">
        <f>VLOOKUP(A997,[2]data1761205830331!$A$1:$J$65536,10,0)</f>
        <v>156152.84</v>
      </c>
    </row>
    <row r="998" spans="1:12" ht="15.6" outlineLevel="1">
      <c r="A998" s="11">
        <v>1613220511</v>
      </c>
      <c r="B998" s="40">
        <v>511</v>
      </c>
      <c r="C998" s="109">
        <v>613220</v>
      </c>
      <c r="D998" s="42">
        <v>1</v>
      </c>
      <c r="E998" s="43"/>
      <c r="F998" s="44" t="s">
        <v>72</v>
      </c>
      <c r="G998" s="45" t="s">
        <v>37</v>
      </c>
      <c r="H998" s="51">
        <f t="shared" si="15"/>
        <v>-0.21717171717171713</v>
      </c>
      <c r="I998" s="47"/>
      <c r="J998" s="48">
        <f>VLOOKUP(A998,'[1]תקציב 2026'!$A$1:$M$65536,9,0)</f>
        <v>6200</v>
      </c>
      <c r="K998" s="49">
        <f>8800*0.9</f>
        <v>7920</v>
      </c>
      <c r="L998" s="50">
        <f>VLOOKUP(A998,[2]data1761205830331!$A$1:$J$65536,10,0)</f>
        <v>7927.86</v>
      </c>
    </row>
    <row r="999" spans="1:12" ht="15.6" outlineLevel="1">
      <c r="A999" s="11">
        <v>1613220521</v>
      </c>
      <c r="B999" s="40">
        <v>521</v>
      </c>
      <c r="C999" s="109">
        <v>613220</v>
      </c>
      <c r="D999" s="42">
        <v>1</v>
      </c>
      <c r="E999" s="43"/>
      <c r="F999" s="44" t="s">
        <v>783</v>
      </c>
      <c r="G999" s="45" t="s">
        <v>37</v>
      </c>
      <c r="H999" s="51">
        <v>0</v>
      </c>
      <c r="I999" s="47"/>
      <c r="J999" s="48">
        <f>VLOOKUP(A999,'[1]תקציב 2026'!$A$1:$M$65536,9,0)</f>
        <v>0</v>
      </c>
      <c r="K999" s="49">
        <v>0</v>
      </c>
      <c r="L999" s="50">
        <f>VLOOKUP(A999,[2]data1761205830331!$A$1:$J$65536,10,0)</f>
        <v>19656</v>
      </c>
    </row>
    <row r="1000" spans="1:12" ht="15.6" outlineLevel="1">
      <c r="A1000" s="11">
        <v>1613220522</v>
      </c>
      <c r="B1000" s="40">
        <v>522</v>
      </c>
      <c r="C1000" s="109">
        <v>613220</v>
      </c>
      <c r="D1000" s="42">
        <v>1</v>
      </c>
      <c r="E1000" s="43"/>
      <c r="F1000" s="44" t="s">
        <v>90</v>
      </c>
      <c r="G1000" s="45" t="s">
        <v>37</v>
      </c>
      <c r="H1000" s="51">
        <f t="shared" si="15"/>
        <v>0</v>
      </c>
      <c r="I1000" s="47"/>
      <c r="J1000" s="48">
        <f>VLOOKUP(A1000,'[1]תקציב 2026'!$A$1:$M$65536,9,0)</f>
        <v>5850</v>
      </c>
      <c r="K1000" s="49">
        <f>6500*0.9</f>
        <v>5850</v>
      </c>
      <c r="L1000" s="50">
        <f>VLOOKUP(A1000,[2]data1761205830331!$A$1:$J$65536,10,0)</f>
        <v>2794.03</v>
      </c>
    </row>
    <row r="1001" spans="1:12" ht="15.6" outlineLevel="1">
      <c r="A1001" s="11">
        <v>1613220561</v>
      </c>
      <c r="B1001" s="40">
        <v>561</v>
      </c>
      <c r="C1001" s="109">
        <v>613220</v>
      </c>
      <c r="D1001" s="42">
        <v>1</v>
      </c>
      <c r="E1001" s="43"/>
      <c r="F1001" s="44" t="s">
        <v>74</v>
      </c>
      <c r="G1001" s="45" t="s">
        <v>37</v>
      </c>
      <c r="H1001" s="51">
        <f t="shared" si="15"/>
        <v>-1</v>
      </c>
      <c r="I1001" s="47"/>
      <c r="J1001" s="48">
        <f>VLOOKUP(A1001,'[1]תקציב 2026'!$A$1:$M$65536,9,0)</f>
        <v>0</v>
      </c>
      <c r="K1001" s="49">
        <f>VLOOKUP(A1001,[3]גיליון1!$A$1:$C$7693,3,0)*0.9</f>
        <v>540</v>
      </c>
      <c r="L1001" s="50">
        <f>VLOOKUP(A1001,[2]data1761205830331!$A$1:$J$65536,10,0)</f>
        <v>2057</v>
      </c>
    </row>
    <row r="1002" spans="1:12" ht="15.6" outlineLevel="1">
      <c r="A1002" s="11">
        <v>1613220580</v>
      </c>
      <c r="B1002" s="40">
        <v>580</v>
      </c>
      <c r="C1002" s="109">
        <v>613220</v>
      </c>
      <c r="D1002" s="42">
        <v>1</v>
      </c>
      <c r="E1002" s="43"/>
      <c r="F1002" s="44" t="s">
        <v>784</v>
      </c>
      <c r="G1002" s="45" t="s">
        <v>37</v>
      </c>
      <c r="H1002" s="51">
        <f t="shared" si="15"/>
        <v>0</v>
      </c>
      <c r="I1002" s="47"/>
      <c r="J1002" s="48">
        <f>VLOOKUP(A1002,'[1]תקציב 2026'!$A$1:$M$65536,9,0)</f>
        <v>217800</v>
      </c>
      <c r="K1002" s="49">
        <f>242000*0.9</f>
        <v>217800</v>
      </c>
      <c r="L1002" s="50">
        <f>VLOOKUP(A1002,[2]data1761205830331!$A$1:$J$65536,10,0)</f>
        <v>0</v>
      </c>
    </row>
    <row r="1003" spans="1:12" ht="15.6" outlineLevel="1">
      <c r="A1003" s="11">
        <v>1613220723</v>
      </c>
      <c r="B1003" s="40">
        <v>723</v>
      </c>
      <c r="C1003" s="109">
        <v>613220</v>
      </c>
      <c r="D1003" s="42">
        <v>1</v>
      </c>
      <c r="E1003" s="43"/>
      <c r="F1003" s="44" t="s">
        <v>785</v>
      </c>
      <c r="G1003" s="45" t="s">
        <v>37</v>
      </c>
      <c r="H1003" s="51">
        <f t="shared" si="15"/>
        <v>1.5633672525439408</v>
      </c>
      <c r="I1003" s="47"/>
      <c r="J1003" s="48">
        <f>VLOOKUP(A1003,'[1]תקציב 2026'!$A$1:$M$65536,9,0)</f>
        <v>55420</v>
      </c>
      <c r="K1003" s="49">
        <f>24000*0.9+20</f>
        <v>21620</v>
      </c>
      <c r="L1003" s="50">
        <f>VLOOKUP(A1003,[2]data1761205830331!$A$1:$J$65536,10,0)</f>
        <v>55809.74</v>
      </c>
    </row>
    <row r="1004" spans="1:12" ht="15.6" outlineLevel="1">
      <c r="A1004" s="11">
        <v>1613220755</v>
      </c>
      <c r="B1004" s="40">
        <v>755</v>
      </c>
      <c r="C1004" s="109">
        <v>613220</v>
      </c>
      <c r="D1004" s="42">
        <v>1</v>
      </c>
      <c r="E1004" s="43"/>
      <c r="F1004" s="44" t="s">
        <v>786</v>
      </c>
      <c r="G1004" s="45" t="s">
        <v>29</v>
      </c>
      <c r="H1004" s="51">
        <f t="shared" si="15"/>
        <v>0</v>
      </c>
      <c r="I1004" s="47"/>
      <c r="J1004" s="48">
        <f>VLOOKUP(A1004,'[1]תקציב 2026'!$A$1:$M$65536,9,0)</f>
        <v>244350</v>
      </c>
      <c r="K1004" s="49">
        <f>271500*0.9</f>
        <v>244350</v>
      </c>
      <c r="L1004" s="50">
        <f>VLOOKUP(A1004,[2]data1761205830331!$A$1:$J$65536,10,0)</f>
        <v>421280.96</v>
      </c>
    </row>
    <row r="1005" spans="1:12" ht="15.6" outlineLevel="1">
      <c r="A1005" s="11">
        <v>1613220794</v>
      </c>
      <c r="B1005" s="40">
        <v>794</v>
      </c>
      <c r="C1005" s="109">
        <v>613220</v>
      </c>
      <c r="D1005" s="42">
        <v>1</v>
      </c>
      <c r="E1005" s="43"/>
      <c r="F1005" s="44" t="s">
        <v>58</v>
      </c>
      <c r="G1005" s="45" t="s">
        <v>29</v>
      </c>
      <c r="H1005" s="51">
        <f t="shared" si="15"/>
        <v>0</v>
      </c>
      <c r="I1005" s="47"/>
      <c r="J1005" s="48">
        <f>VLOOKUP(A1005,'[1]תקציב 2026'!$A$1:$M$65536,9,0)</f>
        <v>21500</v>
      </c>
      <c r="K1005" s="49">
        <v>21500</v>
      </c>
      <c r="L1005" s="50">
        <f>VLOOKUP(A1005,[2]data1761205830331!$A$1:$J$65536,10,0)</f>
        <v>26836</v>
      </c>
    </row>
    <row r="1006" spans="1:12" ht="16.2" outlineLevel="1" thickBot="1">
      <c r="A1006" s="11">
        <v>1613220934</v>
      </c>
      <c r="B1006" s="40">
        <v>934</v>
      </c>
      <c r="C1006" s="109">
        <v>613220</v>
      </c>
      <c r="D1006" s="42">
        <v>1</v>
      </c>
      <c r="E1006" s="43"/>
      <c r="F1006" s="44" t="s">
        <v>787</v>
      </c>
      <c r="G1006" s="45" t="s">
        <v>37</v>
      </c>
      <c r="H1006" s="51">
        <v>0</v>
      </c>
      <c r="I1006" s="47"/>
      <c r="J1006" s="48">
        <f>VLOOKUP(A1006,'[1]תקציב 2026'!$A$1:$M$65536,9,0)</f>
        <v>0</v>
      </c>
      <c r="K1006" s="49">
        <f>VLOOKUP(A1006,[3]גיליון1!$A$1:$C$7693,3,0)</f>
        <v>0</v>
      </c>
      <c r="L1006" s="50">
        <f>VLOOKUP(A1006,[2]data1761205830331!$A$1:$J$65536,10,0)</f>
        <v>1447</v>
      </c>
    </row>
    <row r="1007" spans="1:12" ht="16.2" thickBot="1">
      <c r="A1007" s="11" t="e">
        <v>#VALUE!</v>
      </c>
      <c r="B1007" s="53" t="s">
        <v>788</v>
      </c>
      <c r="C1007" s="223"/>
      <c r="D1007" s="55"/>
      <c r="E1007" s="56"/>
      <c r="F1007" s="116" t="s">
        <v>789</v>
      </c>
      <c r="G1007" s="58"/>
      <c r="H1007" s="166">
        <f>J1007/K1007-1</f>
        <v>0.17955301419655711</v>
      </c>
      <c r="I1007" s="72"/>
      <c r="J1007" s="74">
        <f>SUBTOTAL(9,J985:J1006)</f>
        <v>13759250</v>
      </c>
      <c r="K1007" s="92">
        <f>SUBTOTAL(9,K985:K1006)</f>
        <v>11664800</v>
      </c>
      <c r="L1007" s="75">
        <f>SUBTOTAL(9,L985:L1006)</f>
        <v>10507365.890000002</v>
      </c>
    </row>
    <row r="1008" spans="1:12" ht="15.6" outlineLevel="1">
      <c r="A1008" s="11">
        <v>16132210</v>
      </c>
      <c r="B1008" s="40">
        <v>0</v>
      </c>
      <c r="C1008" s="109">
        <v>613221</v>
      </c>
      <c r="D1008" s="42">
        <v>1</v>
      </c>
      <c r="E1008" s="43"/>
      <c r="F1008" s="44" t="s">
        <v>777</v>
      </c>
      <c r="G1008" s="45" t="s">
        <v>15</v>
      </c>
      <c r="H1008" s="51"/>
      <c r="I1008" s="47"/>
      <c r="J1008" s="48"/>
      <c r="K1008" s="49"/>
      <c r="L1008" s="50"/>
    </row>
    <row r="1009" spans="1:12" ht="16.2" outlineLevel="1" thickBot="1">
      <c r="A1009" s="11">
        <v>1613221571</v>
      </c>
      <c r="B1009" s="40">
        <v>571</v>
      </c>
      <c r="C1009" s="109">
        <v>613221</v>
      </c>
      <c r="D1009" s="42">
        <v>1</v>
      </c>
      <c r="E1009" s="43"/>
      <c r="F1009" s="44" t="s">
        <v>790</v>
      </c>
      <c r="G1009" s="45" t="s">
        <v>29</v>
      </c>
      <c r="H1009" s="51">
        <f t="shared" si="15"/>
        <v>0.17955301419655711</v>
      </c>
      <c r="I1009" s="47"/>
      <c r="J1009" s="48">
        <f>VLOOKUP(A1009,'[1]תקציב 2026'!$A$1:$M$65536,9,0)</f>
        <v>-13759250</v>
      </c>
      <c r="K1009" s="49">
        <v>-11664800</v>
      </c>
      <c r="L1009" s="50">
        <f>VLOOKUP(A1009,[2]data1761205830331!$A$1:$J$65536,10,0)</f>
        <v>-11514900</v>
      </c>
    </row>
    <row r="1010" spans="1:12" ht="16.2" thickBot="1">
      <c r="A1010" s="11" t="e">
        <v>#VALUE!</v>
      </c>
      <c r="B1010" s="53" t="s">
        <v>791</v>
      </c>
      <c r="C1010" s="223"/>
      <c r="D1010" s="55"/>
      <c r="E1010" s="56"/>
      <c r="F1010" s="116" t="s">
        <v>789</v>
      </c>
      <c r="G1010" s="58"/>
      <c r="H1010" s="166">
        <f>J1010/K1010-1</f>
        <v>0.17955301419655711</v>
      </c>
      <c r="I1010" s="72"/>
      <c r="J1010" s="74">
        <f>SUBTOTAL(9,J1009)</f>
        <v>-13759250</v>
      </c>
      <c r="K1010" s="92">
        <f>SUBTOTAL(9,K1009)</f>
        <v>-11664800</v>
      </c>
      <c r="L1010" s="75">
        <f>SUBTOTAL(9,L1009)</f>
        <v>-11514900</v>
      </c>
    </row>
    <row r="1011" spans="1:12" ht="15.6" outlineLevel="1">
      <c r="A1011" s="11">
        <v>16133000</v>
      </c>
      <c r="B1011" s="40">
        <v>0</v>
      </c>
      <c r="C1011" s="109">
        <v>613300</v>
      </c>
      <c r="D1011" s="42">
        <v>1</v>
      </c>
      <c r="E1011" s="43"/>
      <c r="F1011" s="44" t="s">
        <v>792</v>
      </c>
      <c r="G1011" s="45" t="s">
        <v>15</v>
      </c>
      <c r="H1011" s="51"/>
      <c r="I1011" s="47"/>
      <c r="J1011" s="48"/>
      <c r="K1011" s="49"/>
      <c r="L1011" s="50"/>
    </row>
    <row r="1012" spans="1:12" ht="15.6" outlineLevel="1">
      <c r="A1012" s="11">
        <v>1613300110</v>
      </c>
      <c r="B1012" s="40">
        <v>110</v>
      </c>
      <c r="C1012" s="109">
        <v>613300</v>
      </c>
      <c r="D1012" s="42">
        <v>1</v>
      </c>
      <c r="E1012" s="43"/>
      <c r="F1012" s="44" t="s">
        <v>21</v>
      </c>
      <c r="G1012" s="45" t="s">
        <v>22</v>
      </c>
      <c r="H1012" s="51">
        <f t="shared" si="15"/>
        <v>2.5014310246135985E-2</v>
      </c>
      <c r="I1012" s="47"/>
      <c r="J1012" s="48">
        <f>VLOOKUP(A1012,'[1]תקציב 2026'!$A$1:$M$65536,9,0)</f>
        <v>179069.99999999997</v>
      </c>
      <c r="K1012" s="49">
        <v>174700</v>
      </c>
      <c r="L1012" s="50">
        <f>VLOOKUP(A1012,[2]data1761205830331!$A$1:$J$65536,10,0)</f>
        <v>207663.38</v>
      </c>
    </row>
    <row r="1013" spans="1:12" ht="15.6" outlineLevel="1">
      <c r="A1013" s="11">
        <v>1613300119</v>
      </c>
      <c r="B1013" s="40">
        <v>119</v>
      </c>
      <c r="C1013" s="109">
        <v>613300</v>
      </c>
      <c r="D1013" s="42">
        <v>1</v>
      </c>
      <c r="E1013" s="43"/>
      <c r="F1013" s="44" t="s">
        <v>23</v>
      </c>
      <c r="G1013" s="45" t="s">
        <v>22</v>
      </c>
      <c r="H1013" s="51">
        <f t="shared" si="15"/>
        <v>2.4967989756722098E-2</v>
      </c>
      <c r="I1013" s="47"/>
      <c r="J1013" s="48">
        <f>VLOOKUP(A1013,'[1]תקציב 2026'!$A$1:$M$65536,9,0)</f>
        <v>80050</v>
      </c>
      <c r="K1013" s="49">
        <v>78100</v>
      </c>
      <c r="L1013" s="50">
        <f>VLOOKUP(A1013,[2]data1761205830331!$A$1:$J$65536,10,0)</f>
        <v>40743.35</v>
      </c>
    </row>
    <row r="1014" spans="1:12" ht="15.6" outlineLevel="1">
      <c r="A1014" s="11">
        <v>1613300122</v>
      </c>
      <c r="B1014" s="40">
        <v>122</v>
      </c>
      <c r="C1014" s="109">
        <v>613300</v>
      </c>
      <c r="D1014" s="42">
        <v>1</v>
      </c>
      <c r="E1014" s="43"/>
      <c r="F1014" s="44" t="s">
        <v>24</v>
      </c>
      <c r="G1014" s="45" t="s">
        <v>22</v>
      </c>
      <c r="H1014" s="51">
        <f t="shared" si="15"/>
        <v>0</v>
      </c>
      <c r="I1014" s="47"/>
      <c r="J1014" s="48">
        <f>VLOOKUP(A1014,'[1]תקציב 2026'!$A$1:$M$65536,9,0)</f>
        <v>2300</v>
      </c>
      <c r="K1014" s="49">
        <f>VLOOKUP(A1014,[3]גיליון1!$A$1:$C$7693,3,0)</f>
        <v>2300</v>
      </c>
      <c r="L1014" s="50">
        <f>VLOOKUP(A1014,[2]data1761205830331!$A$1:$J$65536,10,0)</f>
        <v>2012.89</v>
      </c>
    </row>
    <row r="1015" spans="1:12" ht="15.6" outlineLevel="1">
      <c r="A1015" s="11">
        <v>1613300126</v>
      </c>
      <c r="B1015" s="40">
        <v>126</v>
      </c>
      <c r="C1015" s="109">
        <v>613300</v>
      </c>
      <c r="D1015" s="42">
        <v>1</v>
      </c>
      <c r="E1015" s="43"/>
      <c r="F1015" s="44" t="s">
        <v>25</v>
      </c>
      <c r="G1015" s="45" t="s">
        <v>22</v>
      </c>
      <c r="H1015" s="51">
        <f t="shared" si="15"/>
        <v>0</v>
      </c>
      <c r="I1015" s="47"/>
      <c r="J1015" s="48">
        <f>VLOOKUP(A1015,'[1]תקציב 2026'!$A$1:$M$65536,9,0)</f>
        <v>9500</v>
      </c>
      <c r="K1015" s="49">
        <f>VLOOKUP(A1015,[3]גיליון1!$A$1:$C$7693,3,0)</f>
        <v>9500</v>
      </c>
      <c r="L1015" s="50">
        <f>VLOOKUP(A1015,[2]data1761205830331!$A$1:$J$65536,10,0)</f>
        <v>9192.2999999999993</v>
      </c>
    </row>
    <row r="1016" spans="1:12" ht="15.6" outlineLevel="1">
      <c r="A1016" s="11">
        <v>1613300140</v>
      </c>
      <c r="B1016" s="40">
        <v>140</v>
      </c>
      <c r="C1016" s="109">
        <v>613300</v>
      </c>
      <c r="D1016" s="42">
        <v>1</v>
      </c>
      <c r="E1016" s="43"/>
      <c r="F1016" s="44" t="s">
        <v>27</v>
      </c>
      <c r="G1016" s="45" t="s">
        <v>22</v>
      </c>
      <c r="H1016" s="51">
        <f t="shared" si="15"/>
        <v>0</v>
      </c>
      <c r="I1016" s="47"/>
      <c r="J1016" s="48">
        <f>VLOOKUP(A1016,'[1]תקציב 2026'!$A$1:$M$65536,9,0)</f>
        <v>42300</v>
      </c>
      <c r="K1016" s="49">
        <f>VLOOKUP(A1016,[3]גיליון1!$A$1:$C$7693,3,0)</f>
        <v>42300</v>
      </c>
      <c r="L1016" s="50">
        <f>VLOOKUP(A1016,[2]data1761205830331!$A$1:$J$65536,10,0)</f>
        <v>40294.870000000003</v>
      </c>
    </row>
    <row r="1017" spans="1:12" ht="15.6" outlineLevel="1">
      <c r="A1017" s="11">
        <v>1613300253</v>
      </c>
      <c r="B1017" s="40">
        <v>253</v>
      </c>
      <c r="C1017" s="109">
        <v>613300</v>
      </c>
      <c r="D1017" s="42">
        <v>1</v>
      </c>
      <c r="E1017" s="43"/>
      <c r="F1017" s="44" t="s">
        <v>738</v>
      </c>
      <c r="G1017" s="45" t="s">
        <v>22</v>
      </c>
      <c r="H1017" s="51">
        <v>0</v>
      </c>
      <c r="I1017" s="47"/>
      <c r="J1017" s="48">
        <f>VLOOKUP(A1017,'[1]תקציב 2026'!$A$1:$M$65536,9,0)</f>
        <v>0</v>
      </c>
      <c r="K1017" s="49">
        <v>0</v>
      </c>
      <c r="L1017" s="50">
        <f>VLOOKUP(A1017,[2]data1761205830331!$A$1:$J$65536,10,0)</f>
        <v>1728.18</v>
      </c>
    </row>
    <row r="1018" spans="1:12" ht="15.6" outlineLevel="1">
      <c r="A1018" s="11">
        <v>1613300410</v>
      </c>
      <c r="B1018" s="40">
        <v>410</v>
      </c>
      <c r="C1018" s="109">
        <v>613300</v>
      </c>
      <c r="D1018" s="42">
        <v>1</v>
      </c>
      <c r="E1018" s="43"/>
      <c r="F1018" s="44" t="s">
        <v>793</v>
      </c>
      <c r="G1018" s="45" t="s">
        <v>29</v>
      </c>
      <c r="H1018" s="51">
        <f t="shared" si="15"/>
        <v>0</v>
      </c>
      <c r="I1018" s="47"/>
      <c r="J1018" s="48">
        <f>VLOOKUP(A1018,'[1]תקציב 2026'!$A$1:$M$65536,9,0)</f>
        <v>5000</v>
      </c>
      <c r="K1018" s="49">
        <f>VLOOKUP(A1018,[3]גיליון1!$A$1:$C$7693,3,0)</f>
        <v>5000</v>
      </c>
      <c r="L1018" s="50">
        <f>VLOOKUP(A1018,[2]data1761205830331!$A$1:$J$65536,10,0)</f>
        <v>3360</v>
      </c>
    </row>
    <row r="1019" spans="1:12" ht="15.6" outlineLevel="1">
      <c r="A1019" s="11">
        <v>1613300420</v>
      </c>
      <c r="B1019" s="40">
        <v>420</v>
      </c>
      <c r="C1019" s="109">
        <v>613300</v>
      </c>
      <c r="D1019" s="42">
        <v>1</v>
      </c>
      <c r="E1019" s="43"/>
      <c r="F1019" s="44" t="s">
        <v>30</v>
      </c>
      <c r="G1019" s="45" t="s">
        <v>29</v>
      </c>
      <c r="H1019" s="51">
        <f t="shared" si="15"/>
        <v>0</v>
      </c>
      <c r="I1019" s="47"/>
      <c r="J1019" s="48">
        <f>VLOOKUP(A1019,'[1]תקציב 2026'!$A$1:$M$65536,9,0)</f>
        <v>1800</v>
      </c>
      <c r="K1019" s="49">
        <f>VLOOKUP(A1019,[3]גיליון1!$A$1:$C$7693,3,0)*0.9</f>
        <v>1800</v>
      </c>
      <c r="L1019" s="50">
        <f>VLOOKUP(A1019,[2]data1761205830331!$A$1:$J$65536,10,0)</f>
        <v>1573.38</v>
      </c>
    </row>
    <row r="1020" spans="1:12" ht="15.6" outlineLevel="1">
      <c r="A1020" s="11">
        <v>1613300431</v>
      </c>
      <c r="B1020" s="40">
        <v>431</v>
      </c>
      <c r="C1020" s="109">
        <v>613300</v>
      </c>
      <c r="D1020" s="42">
        <v>1</v>
      </c>
      <c r="E1020" s="43"/>
      <c r="F1020" s="44" t="s">
        <v>32</v>
      </c>
      <c r="G1020" s="45" t="s">
        <v>29</v>
      </c>
      <c r="H1020" s="51">
        <f t="shared" si="15"/>
        <v>0</v>
      </c>
      <c r="I1020" s="47"/>
      <c r="J1020" s="48">
        <f>VLOOKUP(A1020,'[1]תקציב 2026'!$A$1:$M$65536,9,0)</f>
        <v>6700</v>
      </c>
      <c r="K1020" s="49">
        <v>6700</v>
      </c>
      <c r="L1020" s="50">
        <f>VLOOKUP(A1020,[2]data1761205830331!$A$1:$J$65536,10,0)</f>
        <v>2226.46</v>
      </c>
    </row>
    <row r="1021" spans="1:12" ht="15.6" outlineLevel="1">
      <c r="A1021" s="11">
        <v>1613300432</v>
      </c>
      <c r="B1021" s="40">
        <v>432</v>
      </c>
      <c r="C1021" s="109">
        <v>613300</v>
      </c>
      <c r="D1021" s="42">
        <v>1</v>
      </c>
      <c r="E1021" s="43"/>
      <c r="F1021" s="44" t="s">
        <v>33</v>
      </c>
      <c r="G1021" s="45" t="s">
        <v>29</v>
      </c>
      <c r="H1021" s="51">
        <v>0</v>
      </c>
      <c r="I1021" s="47"/>
      <c r="J1021" s="48">
        <f>VLOOKUP(A1021,'[1]תקציב 2026'!$A$1:$M$65536,9,0)</f>
        <v>0</v>
      </c>
      <c r="K1021" s="49">
        <f>VLOOKUP(A1021,[3]גיליון1!$A$1:$C$7693,3,0)</f>
        <v>0</v>
      </c>
      <c r="L1021" s="50">
        <f>VLOOKUP(A1021,[2]data1761205830331!$A$1:$J$65536,10,0)</f>
        <v>72.19</v>
      </c>
    </row>
    <row r="1022" spans="1:12" ht="15.6" outlineLevel="1">
      <c r="A1022" s="11">
        <v>1613300437</v>
      </c>
      <c r="B1022" s="40">
        <v>437</v>
      </c>
      <c r="C1022" s="109">
        <v>613300</v>
      </c>
      <c r="D1022" s="42">
        <v>1</v>
      </c>
      <c r="E1022" s="43"/>
      <c r="F1022" s="44" t="s">
        <v>38</v>
      </c>
      <c r="G1022" s="45" t="s">
        <v>29</v>
      </c>
      <c r="H1022" s="51">
        <f t="shared" si="15"/>
        <v>0</v>
      </c>
      <c r="I1022" s="47"/>
      <c r="J1022" s="48">
        <f>VLOOKUP(A1022,'[1]תקציב 2026'!$A$1:$M$65536,9,0)</f>
        <v>1300</v>
      </c>
      <c r="K1022" s="49">
        <f>VLOOKUP(A1022,[3]גיליון1!$A$1:$C$7693,3,0)</f>
        <v>1300</v>
      </c>
      <c r="L1022" s="50">
        <f>VLOOKUP(A1022,[2]data1761205830331!$A$1:$J$65536,10,0)</f>
        <v>1221.48</v>
      </c>
    </row>
    <row r="1023" spans="1:12" ht="15.6" outlineLevel="1">
      <c r="A1023" s="11">
        <v>1613300441</v>
      </c>
      <c r="B1023" s="40">
        <v>441</v>
      </c>
      <c r="C1023" s="109">
        <v>613300</v>
      </c>
      <c r="D1023" s="42">
        <v>1</v>
      </c>
      <c r="E1023" s="43"/>
      <c r="F1023" s="44" t="s">
        <v>794</v>
      </c>
      <c r="G1023" s="45" t="s">
        <v>29</v>
      </c>
      <c r="H1023" s="51">
        <v>0</v>
      </c>
      <c r="I1023" s="47"/>
      <c r="J1023" s="48">
        <f>VLOOKUP(A1023,'[1]תקציב 2026'!$A$1:$M$65536,9,0)</f>
        <v>0</v>
      </c>
      <c r="K1023" s="49">
        <v>0</v>
      </c>
      <c r="L1023" s="50">
        <f>VLOOKUP(A1023,[2]data1761205830331!$A$1:$J$65536,10,0)</f>
        <v>202</v>
      </c>
    </row>
    <row r="1024" spans="1:12" ht="15.6" outlineLevel="1">
      <c r="A1024" s="11">
        <v>1613300571</v>
      </c>
      <c r="B1024" s="40">
        <v>571</v>
      </c>
      <c r="C1024" s="109">
        <v>613300</v>
      </c>
      <c r="D1024" s="42">
        <v>1</v>
      </c>
      <c r="E1024" s="43"/>
      <c r="F1024" s="44" t="s">
        <v>75</v>
      </c>
      <c r="G1024" s="45" t="s">
        <v>29</v>
      </c>
      <c r="H1024" s="51">
        <f t="shared" si="15"/>
        <v>0</v>
      </c>
      <c r="I1024" s="47"/>
      <c r="J1024" s="48">
        <f>VLOOKUP(A1024,'[1]תקציב 2026'!$A$1:$M$65536,9,0)</f>
        <v>42900</v>
      </c>
      <c r="K1024" s="49">
        <v>42900</v>
      </c>
      <c r="L1024" s="50">
        <f>VLOOKUP(A1024,[2]data1761205830331!$A$1:$J$65536,10,0)</f>
        <v>32500</v>
      </c>
    </row>
    <row r="1025" spans="1:12" ht="15.6" outlineLevel="1">
      <c r="A1025" s="11">
        <v>1613300751</v>
      </c>
      <c r="B1025" s="40">
        <v>751</v>
      </c>
      <c r="C1025" s="109">
        <v>613300</v>
      </c>
      <c r="D1025" s="42">
        <v>1</v>
      </c>
      <c r="E1025" s="43"/>
      <c r="F1025" s="44" t="s">
        <v>53</v>
      </c>
      <c r="G1025" s="45" t="s">
        <v>37</v>
      </c>
      <c r="H1025" s="51">
        <f t="shared" si="15"/>
        <v>0</v>
      </c>
      <c r="I1025" s="47"/>
      <c r="J1025" s="48">
        <f>VLOOKUP(A1025,'[1]תקציב 2026'!$A$1:$M$65536,9,0)</f>
        <v>1260</v>
      </c>
      <c r="K1025" s="49">
        <f>VLOOKUP(A1025,[3]גיליון1!$A$1:$C$7693,3,0)*0.9</f>
        <v>1260</v>
      </c>
      <c r="L1025" s="50">
        <f>VLOOKUP(A1025,[2]data1761205830331!$A$1:$J$65536,10,0)</f>
        <v>0</v>
      </c>
    </row>
    <row r="1026" spans="1:12" ht="15.6" outlineLevel="1">
      <c r="A1026" s="11">
        <v>1613300752</v>
      </c>
      <c r="B1026" s="40">
        <v>752</v>
      </c>
      <c r="C1026" s="109">
        <v>613300</v>
      </c>
      <c r="D1026" s="42">
        <v>1</v>
      </c>
      <c r="E1026" s="43"/>
      <c r="F1026" s="44" t="s">
        <v>54</v>
      </c>
      <c r="G1026" s="45" t="s">
        <v>29</v>
      </c>
      <c r="H1026" s="51">
        <f t="shared" si="15"/>
        <v>0</v>
      </c>
      <c r="I1026" s="47"/>
      <c r="J1026" s="48">
        <f>VLOOKUP(A1026,'[1]תקציב 2026'!$A$1:$M$65536,9,0)</f>
        <v>10000</v>
      </c>
      <c r="K1026" s="49">
        <v>10000</v>
      </c>
      <c r="L1026" s="50">
        <f>VLOOKUP(A1026,[2]data1761205830331!$A$1:$J$65536,10,0)</f>
        <v>48211.69</v>
      </c>
    </row>
    <row r="1027" spans="1:12" ht="15.6" outlineLevel="1">
      <c r="A1027" s="11">
        <v>1613300757</v>
      </c>
      <c r="B1027" s="40">
        <v>757</v>
      </c>
      <c r="C1027" s="109">
        <v>613300</v>
      </c>
      <c r="D1027" s="42">
        <v>1</v>
      </c>
      <c r="E1027" s="43"/>
      <c r="F1027" s="44" t="s">
        <v>795</v>
      </c>
      <c r="G1027" s="45" t="s">
        <v>37</v>
      </c>
      <c r="H1027" s="51">
        <f t="shared" si="15"/>
        <v>7.2796934865900331E-2</v>
      </c>
      <c r="I1027" s="47"/>
      <c r="J1027" s="48">
        <f>VLOOKUP(A1027,'[1]תקציב 2026'!$A$1:$M$65536,9,0)</f>
        <v>14000</v>
      </c>
      <c r="K1027" s="49">
        <f>14500*0.9</f>
        <v>13050</v>
      </c>
      <c r="L1027" s="50">
        <f>VLOOKUP(A1027,[2]data1761205830331!$A$1:$J$65536,10,0)</f>
        <v>10342.299999999999</v>
      </c>
    </row>
    <row r="1028" spans="1:12" ht="16.2" outlineLevel="1" thickBot="1">
      <c r="A1028" s="11">
        <v>1613300794</v>
      </c>
      <c r="B1028" s="40">
        <v>794</v>
      </c>
      <c r="C1028" s="109">
        <v>613300</v>
      </c>
      <c r="D1028" s="42">
        <v>1</v>
      </c>
      <c r="E1028" s="43"/>
      <c r="F1028" s="44" t="s">
        <v>58</v>
      </c>
      <c r="G1028" s="45" t="s">
        <v>29</v>
      </c>
      <c r="H1028" s="51">
        <f t="shared" si="15"/>
        <v>0</v>
      </c>
      <c r="I1028" s="47"/>
      <c r="J1028" s="48">
        <f>VLOOKUP(A1028,'[1]תקציב 2026'!$A$1:$M$65536,9,0)</f>
        <v>2100</v>
      </c>
      <c r="K1028" s="49">
        <f>VLOOKUP(A1028,[3]גיליון1!$A$1:$C$7693,3,0)</f>
        <v>2100</v>
      </c>
      <c r="L1028" s="50">
        <f>VLOOKUP(A1028,[2]data1761205830331!$A$1:$J$65536,10,0)</f>
        <v>2504</v>
      </c>
    </row>
    <row r="1029" spans="1:12" ht="16.2" thickBot="1">
      <c r="A1029" s="11" t="e">
        <v>#VALUE!</v>
      </c>
      <c r="B1029" s="53" t="s">
        <v>796</v>
      </c>
      <c r="C1029" s="223"/>
      <c r="D1029" s="55"/>
      <c r="E1029" s="56"/>
      <c r="F1029" s="116" t="s">
        <v>792</v>
      </c>
      <c r="G1029" s="58"/>
      <c r="H1029" s="166">
        <f>J1029/K1029-1</f>
        <v>1.8592874862535469E-2</v>
      </c>
      <c r="I1029" s="72"/>
      <c r="J1029" s="74">
        <f>SUBTOTAL(9,J1012:J1028)</f>
        <v>398280</v>
      </c>
      <c r="K1029" s="92">
        <f>SUBTOTAL(9,K1012:K1028)</f>
        <v>391010</v>
      </c>
      <c r="L1029" s="75">
        <f>SUBTOTAL(9,L1012:L1028)</f>
        <v>403848.47000000003</v>
      </c>
    </row>
    <row r="1030" spans="1:12" ht="15.6" outlineLevel="1">
      <c r="A1030" s="11">
        <v>16134000</v>
      </c>
      <c r="B1030" s="64">
        <v>0</v>
      </c>
      <c r="C1030" s="131">
        <v>613400</v>
      </c>
      <c r="D1030" s="66">
        <v>1</v>
      </c>
      <c r="E1030" s="67"/>
      <c r="F1030" s="68" t="s">
        <v>797</v>
      </c>
      <c r="G1030" s="69" t="s">
        <v>15</v>
      </c>
      <c r="H1030" s="51"/>
      <c r="I1030" s="47"/>
      <c r="J1030" s="48"/>
      <c r="K1030" s="49"/>
      <c r="L1030" s="50"/>
    </row>
    <row r="1031" spans="1:12" ht="15.6" outlineLevel="1">
      <c r="A1031" s="11">
        <v>1613400571</v>
      </c>
      <c r="B1031" s="40">
        <v>571</v>
      </c>
      <c r="C1031" s="109">
        <v>613400</v>
      </c>
      <c r="D1031" s="42">
        <v>1</v>
      </c>
      <c r="E1031" s="43"/>
      <c r="F1031" s="44" t="s">
        <v>75</v>
      </c>
      <c r="G1031" s="45" t="s">
        <v>29</v>
      </c>
      <c r="H1031" s="51">
        <f t="shared" si="15"/>
        <v>0</v>
      </c>
      <c r="I1031" s="47"/>
      <c r="J1031" s="48">
        <f>VLOOKUP(A1031,'[1]תקציב 2026'!$A$1:$M$65536,9,0)</f>
        <v>15600</v>
      </c>
      <c r="K1031" s="49">
        <v>15600</v>
      </c>
      <c r="L1031" s="50">
        <f>VLOOKUP(A1031,[2]data1761205830331!$A$1:$J$65536,10,0)</f>
        <v>15600</v>
      </c>
    </row>
    <row r="1032" spans="1:12" ht="16.2" outlineLevel="1" thickBot="1">
      <c r="A1032" s="11">
        <v>1613400710</v>
      </c>
      <c r="B1032" s="40">
        <v>710</v>
      </c>
      <c r="C1032" s="109">
        <v>613400</v>
      </c>
      <c r="D1032" s="42">
        <v>1</v>
      </c>
      <c r="E1032" s="43"/>
      <c r="F1032" s="44" t="s">
        <v>49</v>
      </c>
      <c r="G1032" s="45" t="s">
        <v>37</v>
      </c>
      <c r="H1032" s="51">
        <f t="shared" si="15"/>
        <v>0.53711023276240666</v>
      </c>
      <c r="I1032" s="47"/>
      <c r="J1032" s="48">
        <f>VLOOKUP(A1032,'[1]תקציב 2026'!$A$1:$M$65536,9,0)</f>
        <v>35000</v>
      </c>
      <c r="K1032" s="49">
        <f>25300*0.9</f>
        <v>22770</v>
      </c>
      <c r="L1032" s="50">
        <f>VLOOKUP(A1032,[2]data1761205830331!$A$1:$J$65536,10,0)</f>
        <v>46599.5</v>
      </c>
    </row>
    <row r="1033" spans="1:12" ht="16.2" thickBot="1">
      <c r="A1033" s="11" t="e">
        <v>#VALUE!</v>
      </c>
      <c r="B1033" s="53" t="s">
        <v>798</v>
      </c>
      <c r="C1033" s="223"/>
      <c r="D1033" s="55"/>
      <c r="E1033" s="56"/>
      <c r="F1033" s="116" t="s">
        <v>797</v>
      </c>
      <c r="G1033" s="58"/>
      <c r="H1033" s="166">
        <f>J1033/K1033-1</f>
        <v>0.31873859786291381</v>
      </c>
      <c r="I1033" s="72"/>
      <c r="J1033" s="74">
        <f>SUBTOTAL(9,J1031:J1032)</f>
        <v>50600</v>
      </c>
      <c r="K1033" s="92">
        <f>SUBTOTAL(9,K1031:K1032)</f>
        <v>38370</v>
      </c>
      <c r="L1033" s="75">
        <f>SUBTOTAL(9,L1031:L1032)</f>
        <v>62199.5</v>
      </c>
    </row>
    <row r="1034" spans="1:12" ht="15.6" outlineLevel="1">
      <c r="A1034" s="11">
        <v>16150000</v>
      </c>
      <c r="B1034" s="40">
        <v>0</v>
      </c>
      <c r="C1034" s="109">
        <v>615000</v>
      </c>
      <c r="D1034" s="42">
        <v>1</v>
      </c>
      <c r="E1034" s="43"/>
      <c r="F1034" s="44" t="s">
        <v>799</v>
      </c>
      <c r="G1034" s="45" t="s">
        <v>15</v>
      </c>
      <c r="H1034" s="51"/>
      <c r="I1034" s="47"/>
      <c r="J1034" s="48"/>
      <c r="K1034" s="49"/>
      <c r="L1034" s="50"/>
    </row>
    <row r="1035" spans="1:12" ht="15.6" outlineLevel="1">
      <c r="A1035" s="11">
        <v>1615000110</v>
      </c>
      <c r="B1035" s="40">
        <v>110</v>
      </c>
      <c r="C1035" s="109">
        <v>615000</v>
      </c>
      <c r="D1035" s="42">
        <v>1</v>
      </c>
      <c r="E1035" s="43"/>
      <c r="F1035" s="44" t="s">
        <v>21</v>
      </c>
      <c r="G1035" s="45" t="s">
        <v>22</v>
      </c>
      <c r="H1035" s="51">
        <f t="shared" si="15"/>
        <v>2.4999999999999911E-2</v>
      </c>
      <c r="I1035" s="47"/>
      <c r="J1035" s="48">
        <f>VLOOKUP(A1035,'[1]תקציב 2026'!$A$1:$M$65536,9,0)</f>
        <v>500199.99999999994</v>
      </c>
      <c r="K1035" s="49">
        <v>488000</v>
      </c>
      <c r="L1035" s="50">
        <f>VLOOKUP(A1035,[2]data1761205830331!$A$1:$J$65536,10,0)</f>
        <v>846013.42</v>
      </c>
    </row>
    <row r="1036" spans="1:12" ht="15.6" outlineLevel="1">
      <c r="A1036" s="11">
        <v>1615000119</v>
      </c>
      <c r="B1036" s="40">
        <v>119</v>
      </c>
      <c r="C1036" s="109">
        <v>615000</v>
      </c>
      <c r="D1036" s="42">
        <v>1</v>
      </c>
      <c r="E1036" s="43"/>
      <c r="F1036" s="44" t="s">
        <v>23</v>
      </c>
      <c r="G1036" s="45" t="s">
        <v>22</v>
      </c>
      <c r="H1036" s="51">
        <f t="shared" si="15"/>
        <v>6.4177133173843659E-2</v>
      </c>
      <c r="I1036" s="47"/>
      <c r="J1036" s="48">
        <v>4270330</v>
      </c>
      <c r="K1036" s="49">
        <f>3331800+56000+385000+240000</f>
        <v>4012800</v>
      </c>
      <c r="L1036" s="50">
        <f>VLOOKUP(A1036,[2]data1761205830331!$A$1:$J$65536,10,0)</f>
        <v>3409268.55</v>
      </c>
    </row>
    <row r="1037" spans="1:12" ht="15.6" outlineLevel="1">
      <c r="A1037" s="11">
        <v>1615000122</v>
      </c>
      <c r="B1037" s="40">
        <v>122</v>
      </c>
      <c r="C1037" s="109">
        <v>615000</v>
      </c>
      <c r="D1037" s="42">
        <v>1</v>
      </c>
      <c r="E1037" s="43"/>
      <c r="F1037" s="44" t="s">
        <v>24</v>
      </c>
      <c r="G1037" s="45" t="s">
        <v>22</v>
      </c>
      <c r="H1037" s="51">
        <f t="shared" si="15"/>
        <v>6.3023255813953405E-2</v>
      </c>
      <c r="I1037" s="47"/>
      <c r="J1037" s="48">
        <v>45710</v>
      </c>
      <c r="K1037" s="49">
        <f>VLOOKUP(A1037,[3]גיליון1!$A$1:$C$7693,3,0)</f>
        <v>43000</v>
      </c>
      <c r="L1037" s="50">
        <f>VLOOKUP(A1037,[2]data1761205830331!$A$1:$J$65536,10,0)</f>
        <v>47305.81</v>
      </c>
    </row>
    <row r="1038" spans="1:12" ht="15.6" outlineLevel="1">
      <c r="A1038" s="11">
        <v>1615000126</v>
      </c>
      <c r="B1038" s="40">
        <v>126</v>
      </c>
      <c r="C1038" s="109">
        <v>615000</v>
      </c>
      <c r="D1038" s="42">
        <v>1</v>
      </c>
      <c r="E1038" s="43"/>
      <c r="F1038" s="44" t="s">
        <v>25</v>
      </c>
      <c r="G1038" s="45" t="s">
        <v>22</v>
      </c>
      <c r="H1038" s="51">
        <f t="shared" si="15"/>
        <v>6.3061224489795897E-2</v>
      </c>
      <c r="I1038" s="47"/>
      <c r="J1038" s="48">
        <v>104180</v>
      </c>
      <c r="K1038" s="49">
        <f>VLOOKUP(A1038,[3]גיליון1!$A$1:$C$7693,3,0)</f>
        <v>98000</v>
      </c>
      <c r="L1038" s="50">
        <f>VLOOKUP(A1038,[2]data1761205830331!$A$1:$J$65536,10,0)</f>
        <v>107067.47</v>
      </c>
    </row>
    <row r="1039" spans="1:12" ht="15.6" outlineLevel="1">
      <c r="A1039" s="11">
        <v>1615000130</v>
      </c>
      <c r="B1039" s="40">
        <v>130</v>
      </c>
      <c r="C1039" s="109">
        <v>615000</v>
      </c>
      <c r="D1039" s="42">
        <v>1</v>
      </c>
      <c r="E1039" s="43"/>
      <c r="F1039" s="44" t="s">
        <v>26</v>
      </c>
      <c r="G1039" s="45" t="s">
        <v>22</v>
      </c>
      <c r="H1039" s="51">
        <f t="shared" si="15"/>
        <v>18.783542039355993</v>
      </c>
      <c r="I1039" s="47"/>
      <c r="J1039" s="48">
        <f>VLOOKUP(A1039,'[1]תקציב 2026'!$A$1:$M$65536,9,0)</f>
        <v>110590</v>
      </c>
      <c r="K1039" s="49">
        <f>VLOOKUP(A1039,[3]גיליון1!$A$1:$C$7693,3,0)*0.86</f>
        <v>5590</v>
      </c>
      <c r="L1039" s="50">
        <f>VLOOKUP(A1039,[2]data1761205830331!$A$1:$J$65536,10,0)</f>
        <v>19475.04</v>
      </c>
    </row>
    <row r="1040" spans="1:12" ht="15.6" outlineLevel="1">
      <c r="A1040" s="11">
        <v>1615000140</v>
      </c>
      <c r="B1040" s="40">
        <v>140</v>
      </c>
      <c r="C1040" s="109">
        <v>615000</v>
      </c>
      <c r="D1040" s="42">
        <v>1</v>
      </c>
      <c r="E1040" s="43"/>
      <c r="F1040" s="44" t="s">
        <v>27</v>
      </c>
      <c r="G1040" s="45" t="s">
        <v>22</v>
      </c>
      <c r="H1040" s="51">
        <f t="shared" si="15"/>
        <v>0</v>
      </c>
      <c r="I1040" s="47"/>
      <c r="J1040" s="48">
        <f>VLOOKUP(A1040,'[1]תקציב 2026'!$A$1:$M$65536,9,0)</f>
        <v>401000</v>
      </c>
      <c r="K1040" s="49">
        <f>VLOOKUP(A1040,[3]גיליון1!$A$1:$C$7693,3,0)</f>
        <v>401000</v>
      </c>
      <c r="L1040" s="50">
        <f>VLOOKUP(A1040,[2]data1761205830331!$A$1:$J$65536,10,0)</f>
        <v>467362.58</v>
      </c>
    </row>
    <row r="1041" spans="1:12" ht="15.6" outlineLevel="1">
      <c r="A1041" s="11">
        <v>1615000253</v>
      </c>
      <c r="B1041" s="40">
        <v>253</v>
      </c>
      <c r="C1041" s="109">
        <v>615000</v>
      </c>
      <c r="D1041" s="42">
        <v>1</v>
      </c>
      <c r="E1041" s="43"/>
      <c r="F1041" s="44" t="s">
        <v>800</v>
      </c>
      <c r="G1041" s="45" t="s">
        <v>22</v>
      </c>
      <c r="H1041" s="51">
        <v>0</v>
      </c>
      <c r="I1041" s="47"/>
      <c r="J1041" s="48">
        <f>VLOOKUP(A1041,'[1]תקציב 2026'!$A$1:$M$65536,9,0)</f>
        <v>0</v>
      </c>
      <c r="K1041" s="49">
        <f>VLOOKUP(A1041,[3]גיליון1!$A$1:$C$7693,3,0)</f>
        <v>0</v>
      </c>
      <c r="L1041" s="50">
        <f>VLOOKUP(A1041,[2]data1761205830331!$A$1:$J$65536,10,0)</f>
        <v>200959.25</v>
      </c>
    </row>
    <row r="1042" spans="1:12" ht="15.6" outlineLevel="1">
      <c r="A1042" s="11">
        <v>1615000255</v>
      </c>
      <c r="B1042" s="40">
        <v>255</v>
      </c>
      <c r="C1042" s="109">
        <v>615000</v>
      </c>
      <c r="D1042" s="42">
        <v>1</v>
      </c>
      <c r="E1042" s="43"/>
      <c r="F1042" s="44" t="s">
        <v>801</v>
      </c>
      <c r="G1042" s="45" t="s">
        <v>22</v>
      </c>
      <c r="H1042" s="51">
        <f t="shared" ref="H1042:H1115" si="16">J1042/K1042-1</f>
        <v>0.66666666666666674</v>
      </c>
      <c r="I1042" s="47"/>
      <c r="J1042" s="48">
        <f>VLOOKUP(A1042,'[1]תקציב 2026'!$A$1:$M$65536,9,0)</f>
        <v>200000</v>
      </c>
      <c r="K1042" s="49">
        <v>120000</v>
      </c>
      <c r="L1042" s="50">
        <f>VLOOKUP(A1042,[2]data1761205830331!$A$1:$J$65536,10,0)</f>
        <v>99174.63</v>
      </c>
    </row>
    <row r="1043" spans="1:12" ht="15.6" outlineLevel="1">
      <c r="A1043" s="11">
        <v>1615000350</v>
      </c>
      <c r="B1043" s="40">
        <v>350</v>
      </c>
      <c r="C1043" s="109">
        <v>615000</v>
      </c>
      <c r="D1043" s="42">
        <v>1</v>
      </c>
      <c r="E1043" s="43"/>
      <c r="F1043" s="44" t="s">
        <v>802</v>
      </c>
      <c r="G1043" s="45" t="s">
        <v>22</v>
      </c>
      <c r="H1043" s="51">
        <f t="shared" si="16"/>
        <v>-0.33758333333333335</v>
      </c>
      <c r="I1043" s="47" t="s">
        <v>137</v>
      </c>
      <c r="J1043" s="48">
        <f>VLOOKUP(A1043,'[1]תקציב 2026'!$A$1:$M$65536,9,0)</f>
        <v>79490</v>
      </c>
      <c r="K1043" s="49">
        <f>VLOOKUP(A1043,[3]גיליון1!$A$1:$C$7693,3,0)</f>
        <v>120000</v>
      </c>
      <c r="L1043" s="50">
        <f>VLOOKUP(A1043,[2]data1761205830331!$A$1:$J$65536,10,0)</f>
        <v>111651.59</v>
      </c>
    </row>
    <row r="1044" spans="1:12" ht="15.6" outlineLevel="1">
      <c r="A1044" s="11">
        <v>1615000351</v>
      </c>
      <c r="B1044" s="40">
        <v>351</v>
      </c>
      <c r="C1044" s="109">
        <v>615000</v>
      </c>
      <c r="D1044" s="42">
        <v>1</v>
      </c>
      <c r="E1044" s="43"/>
      <c r="F1044" s="44" t="s">
        <v>740</v>
      </c>
      <c r="G1044" s="45" t="s">
        <v>22</v>
      </c>
      <c r="H1044" s="51">
        <f t="shared" si="16"/>
        <v>0.31147540983606548</v>
      </c>
      <c r="I1044" s="47" t="s">
        <v>137</v>
      </c>
      <c r="J1044" s="48">
        <f>VLOOKUP(A1044,'[1]תקציב 2026'!$A$1:$M$65536,9,0)</f>
        <v>40000</v>
      </c>
      <c r="K1044" s="49">
        <f>VLOOKUP(A1044,[3]גיליון1!$A$1:$C$7693,3,0)</f>
        <v>30500</v>
      </c>
      <c r="L1044" s="50">
        <f>VLOOKUP(A1044,[2]data1761205830331!$A$1:$J$65536,10,0)</f>
        <v>39132.120000000003</v>
      </c>
    </row>
    <row r="1045" spans="1:12" ht="15.6" outlineLevel="1">
      <c r="A1045" s="11">
        <v>1615000471</v>
      </c>
      <c r="B1045" s="40">
        <v>471</v>
      </c>
      <c r="C1045" s="109">
        <v>615000</v>
      </c>
      <c r="D1045" s="42">
        <v>1</v>
      </c>
      <c r="E1045" s="43"/>
      <c r="F1045" s="44" t="s">
        <v>71</v>
      </c>
      <c r="G1045" s="45" t="s">
        <v>37</v>
      </c>
      <c r="H1045" s="51">
        <f t="shared" si="16"/>
        <v>8.6048454469507041E-2</v>
      </c>
      <c r="I1045" s="47"/>
      <c r="J1045" s="48">
        <f>VLOOKUP(A1045,'[1]תקציב 2026'!$A$1:$M$65536,9,0)</f>
        <v>26000</v>
      </c>
      <c r="K1045" s="49">
        <f>VLOOKUP(A1045,[3]גיליון1!$A$1:$C$7693,3,0)*0.9</f>
        <v>23940</v>
      </c>
      <c r="L1045" s="50">
        <f>VLOOKUP(A1045,[2]data1761205830331!$A$1:$J$65536,10,0)</f>
        <v>26030.29</v>
      </c>
    </row>
    <row r="1046" spans="1:12" ht="15.6" outlineLevel="1">
      <c r="A1046" s="11">
        <v>1615000511</v>
      </c>
      <c r="B1046" s="40">
        <v>511</v>
      </c>
      <c r="C1046" s="109">
        <v>615000</v>
      </c>
      <c r="D1046" s="42">
        <v>1</v>
      </c>
      <c r="E1046" s="43"/>
      <c r="F1046" s="44" t="s">
        <v>72</v>
      </c>
      <c r="G1046" s="45" t="s">
        <v>37</v>
      </c>
      <c r="H1046" s="51">
        <f t="shared" si="16"/>
        <v>1.5064599483204133</v>
      </c>
      <c r="I1046" s="47"/>
      <c r="J1046" s="48">
        <f>VLOOKUP(A1046,'[1]תקציב 2026'!$A$1:$M$65536,9,0)</f>
        <v>9700</v>
      </c>
      <c r="K1046" s="49">
        <f>4300*0.9</f>
        <v>3870</v>
      </c>
      <c r="L1046" s="50">
        <f>VLOOKUP(A1046,[2]data1761205830331!$A$1:$J$65536,10,0)</f>
        <v>4240</v>
      </c>
    </row>
    <row r="1047" spans="1:12" ht="15.6" outlineLevel="1">
      <c r="A1047" s="11">
        <v>1615000512</v>
      </c>
      <c r="B1047" s="40">
        <v>512</v>
      </c>
      <c r="C1047" s="109">
        <v>615000</v>
      </c>
      <c r="D1047" s="42">
        <v>1</v>
      </c>
      <c r="E1047" s="43"/>
      <c r="F1047" s="44" t="s">
        <v>88</v>
      </c>
      <c r="G1047" s="45" t="s">
        <v>37</v>
      </c>
      <c r="H1047" s="51">
        <f t="shared" si="16"/>
        <v>0</v>
      </c>
      <c r="I1047" s="47"/>
      <c r="J1047" s="48">
        <f>VLOOKUP(A1047,'[1]תקציב 2026'!$A$1:$M$65536,9,0)</f>
        <v>450</v>
      </c>
      <c r="K1047" s="49">
        <f>VLOOKUP(A1047,[3]גיליון1!$A$1:$C$7693,3,0)*0.9</f>
        <v>450</v>
      </c>
      <c r="L1047" s="50">
        <f>VLOOKUP(A1047,[2]data1761205830331!$A$1:$J$65536,10,0)</f>
        <v>0</v>
      </c>
    </row>
    <row r="1048" spans="1:12" ht="15.6" outlineLevel="1">
      <c r="A1048" s="11">
        <v>1615000516</v>
      </c>
      <c r="B1048" s="40">
        <v>516</v>
      </c>
      <c r="C1048" s="109">
        <v>615000</v>
      </c>
      <c r="D1048" s="42">
        <v>1</v>
      </c>
      <c r="E1048" s="43"/>
      <c r="F1048" s="44" t="s">
        <v>803</v>
      </c>
      <c r="G1048" s="45" t="s">
        <v>37</v>
      </c>
      <c r="H1048" s="51">
        <f t="shared" si="16"/>
        <v>0</v>
      </c>
      <c r="I1048" s="47"/>
      <c r="J1048" s="48">
        <f>VLOOKUP(A1048,'[1]תקציב 2026'!$A$1:$M$65536,9,0)</f>
        <v>54000</v>
      </c>
      <c r="K1048" s="49">
        <f>60000*0.9</f>
        <v>54000</v>
      </c>
      <c r="L1048" s="50">
        <f>VLOOKUP(A1048,[2]data1761205830331!$A$1:$J$65536,10,0)</f>
        <v>0</v>
      </c>
    </row>
    <row r="1049" spans="1:12" ht="15.6" outlineLevel="1">
      <c r="A1049" s="11">
        <v>1615000521</v>
      </c>
      <c r="B1049" s="40">
        <v>521</v>
      </c>
      <c r="C1049" s="109">
        <v>615000</v>
      </c>
      <c r="D1049" s="42">
        <v>1</v>
      </c>
      <c r="E1049" s="43"/>
      <c r="F1049" s="44" t="s">
        <v>804</v>
      </c>
      <c r="G1049" s="45" t="s">
        <v>37</v>
      </c>
      <c r="H1049" s="51">
        <f t="shared" si="16"/>
        <v>0.55555555555555558</v>
      </c>
      <c r="I1049" s="47"/>
      <c r="J1049" s="48">
        <f>VLOOKUP(A1049,'[1]תקציב 2026'!$A$1:$M$65536,9,0)</f>
        <v>490000</v>
      </c>
      <c r="K1049" s="49">
        <f>350000*0.9</f>
        <v>315000</v>
      </c>
      <c r="L1049" s="50">
        <f>VLOOKUP(A1049,[2]data1761205830331!$A$1:$J$65536,10,0)</f>
        <v>409316.27</v>
      </c>
    </row>
    <row r="1050" spans="1:12" ht="15.6" outlineLevel="1">
      <c r="A1050" s="11">
        <v>1615000522</v>
      </c>
      <c r="B1050" s="40">
        <v>522</v>
      </c>
      <c r="C1050" s="109">
        <v>615000</v>
      </c>
      <c r="D1050" s="42">
        <v>1</v>
      </c>
      <c r="E1050" s="43"/>
      <c r="F1050" s="44" t="s">
        <v>90</v>
      </c>
      <c r="G1050" s="45" t="s">
        <v>37</v>
      </c>
      <c r="H1050" s="51">
        <f t="shared" si="16"/>
        <v>-1.8087855297157618E-2</v>
      </c>
      <c r="I1050" s="47"/>
      <c r="J1050" s="48">
        <f>VLOOKUP(A1050,'[1]תקציב 2026'!$A$1:$M$65536,9,0)</f>
        <v>3800</v>
      </c>
      <c r="K1050" s="49">
        <f>VLOOKUP(A1050,[3]גיליון1!$A$1:$C$7693,3,0)*0.9</f>
        <v>3870</v>
      </c>
      <c r="L1050" s="50">
        <f>VLOOKUP(A1050,[2]data1761205830331!$A$1:$J$65536,10,0)</f>
        <v>2009.2</v>
      </c>
    </row>
    <row r="1051" spans="1:12" ht="15.6" outlineLevel="1">
      <c r="A1051" s="11">
        <v>1615000523</v>
      </c>
      <c r="B1051" s="40">
        <v>523</v>
      </c>
      <c r="C1051" s="109">
        <v>615000</v>
      </c>
      <c r="D1051" s="42">
        <v>1</v>
      </c>
      <c r="E1051" s="43"/>
      <c r="F1051" s="44" t="s">
        <v>805</v>
      </c>
      <c r="G1051" s="45" t="s">
        <v>29</v>
      </c>
      <c r="H1051" s="51">
        <f t="shared" si="16"/>
        <v>0</v>
      </c>
      <c r="I1051" s="47"/>
      <c r="J1051" s="48">
        <f>VLOOKUP(A1051,'[1]תקציב 2026'!$A$1:$M$65536,9,0)</f>
        <v>100000</v>
      </c>
      <c r="K1051" s="49">
        <f>VLOOKUP(A1051,[3]גיליון1!$A$1:$C$7693,3,0)</f>
        <v>100000</v>
      </c>
      <c r="L1051" s="50">
        <f>VLOOKUP(A1051,[2]data1761205830331!$A$1:$J$65536,10,0)</f>
        <v>99038</v>
      </c>
    </row>
    <row r="1052" spans="1:12" ht="15.6" outlineLevel="1">
      <c r="A1052" s="11">
        <v>1615000524</v>
      </c>
      <c r="B1052" s="40">
        <v>524</v>
      </c>
      <c r="C1052" s="109">
        <v>615000</v>
      </c>
      <c r="D1052" s="42">
        <v>1</v>
      </c>
      <c r="E1052" s="43"/>
      <c r="F1052" s="44" t="s">
        <v>806</v>
      </c>
      <c r="G1052" s="45" t="s">
        <v>37</v>
      </c>
      <c r="H1052" s="51">
        <f t="shared" si="16"/>
        <v>0.25313283208020043</v>
      </c>
      <c r="I1052" s="47"/>
      <c r="J1052" s="48">
        <f>VLOOKUP(A1052,'[1]תקציב 2026'!$A$1:$M$65536,9,0)</f>
        <v>150000</v>
      </c>
      <c r="K1052" s="49">
        <f>VLOOKUP(A1052,[3]גיליון1!$A$1:$C$7693,3,0)*0.9</f>
        <v>119700</v>
      </c>
      <c r="L1052" s="50">
        <f>VLOOKUP(A1052,[2]data1761205830331!$A$1:$J$65536,10,0)</f>
        <v>136150.5</v>
      </c>
    </row>
    <row r="1053" spans="1:12" ht="15.6" outlineLevel="1">
      <c r="A1053" s="11">
        <v>1615000525</v>
      </c>
      <c r="B1053" s="40">
        <v>525</v>
      </c>
      <c r="C1053" s="109">
        <v>615000</v>
      </c>
      <c r="D1053" s="42">
        <v>1</v>
      </c>
      <c r="E1053" s="43"/>
      <c r="F1053" s="44" t="s">
        <v>807</v>
      </c>
      <c r="G1053" s="45" t="s">
        <v>37</v>
      </c>
      <c r="H1053" s="51">
        <f t="shared" si="16"/>
        <v>0.25272331154684102</v>
      </c>
      <c r="I1053" s="47"/>
      <c r="J1053" s="48">
        <f>VLOOKUP(A1053,'[1]תקציב 2026'!$A$1:$M$65536,9,0)</f>
        <v>230000</v>
      </c>
      <c r="K1053" s="49">
        <f>VLOOKUP(A1053,[3]גיליון1!$A$1:$C$7693,3,0)*0.9</f>
        <v>183600</v>
      </c>
      <c r="L1053" s="50">
        <f>VLOOKUP(A1053,[2]data1761205830331!$A$1:$J$65536,10,0)</f>
        <v>230330</v>
      </c>
    </row>
    <row r="1054" spans="1:12" ht="15.6" outlineLevel="1">
      <c r="A1054" s="11">
        <v>1615000526</v>
      </c>
      <c r="B1054" s="40">
        <v>526</v>
      </c>
      <c r="C1054" s="109">
        <v>615000</v>
      </c>
      <c r="D1054" s="42">
        <v>1</v>
      </c>
      <c r="E1054" s="43"/>
      <c r="F1054" s="44" t="s">
        <v>808</v>
      </c>
      <c r="G1054" s="45" t="s">
        <v>29</v>
      </c>
      <c r="H1054" s="51">
        <f t="shared" si="16"/>
        <v>0</v>
      </c>
      <c r="I1054" s="47"/>
      <c r="J1054" s="48">
        <f>VLOOKUP(A1054,'[1]תקציב 2026'!$A$1:$M$65536,9,0)</f>
        <v>488000</v>
      </c>
      <c r="K1054" s="49">
        <f>VLOOKUP(A1054,[3]גיליון1!$A$1:$C$7693,3,0)</f>
        <v>488000</v>
      </c>
      <c r="L1054" s="50">
        <f>VLOOKUP(A1054,[2]data1761205830331!$A$1:$J$65536,10,0)</f>
        <v>650199</v>
      </c>
    </row>
    <row r="1055" spans="1:12" ht="15.6" outlineLevel="1">
      <c r="A1055" s="11">
        <v>1615000544</v>
      </c>
      <c r="B1055" s="40">
        <v>544</v>
      </c>
      <c r="C1055" s="109">
        <v>615000</v>
      </c>
      <c r="D1055" s="42">
        <v>1</v>
      </c>
      <c r="E1055" s="43"/>
      <c r="F1055" s="44" t="s">
        <v>743</v>
      </c>
      <c r="G1055" s="45" t="s">
        <v>29</v>
      </c>
      <c r="H1055" s="51">
        <f t="shared" si="16"/>
        <v>-6.9767441860465129E-2</v>
      </c>
      <c r="I1055" s="47"/>
      <c r="J1055" s="48">
        <f>VLOOKUP(A1055,'[1]תקציב 2026'!$A$1:$M$65536,9,0)</f>
        <v>4000</v>
      </c>
      <c r="K1055" s="49">
        <v>4300</v>
      </c>
      <c r="L1055" s="50">
        <f>VLOOKUP(A1055,[2]data1761205830331!$A$1:$J$65536,10,0)</f>
        <v>3138.78</v>
      </c>
    </row>
    <row r="1056" spans="1:12" ht="15.6" outlineLevel="1">
      <c r="A1056" s="11">
        <v>1615000550</v>
      </c>
      <c r="B1056" s="40">
        <v>550</v>
      </c>
      <c r="C1056" s="109">
        <v>615000</v>
      </c>
      <c r="D1056" s="42">
        <v>1</v>
      </c>
      <c r="E1056" s="43"/>
      <c r="F1056" s="44" t="s">
        <v>73</v>
      </c>
      <c r="G1056" s="45" t="s">
        <v>37</v>
      </c>
      <c r="H1056" s="51">
        <f t="shared" si="16"/>
        <v>-0.33892702771421301</v>
      </c>
      <c r="I1056" s="47"/>
      <c r="J1056" s="48">
        <f>VLOOKUP(A1056,'[1]תקציב 2026'!$A$1:$M$65536,9,0)</f>
        <v>130000</v>
      </c>
      <c r="K1056" s="49">
        <f>VLOOKUP(A1056,[3]גיליון1!$A$1:$C$7693,3,0)*0.9</f>
        <v>196650</v>
      </c>
      <c r="L1056" s="50">
        <f>VLOOKUP(A1056,[2]data1761205830331!$A$1:$J$65536,10,0)</f>
        <v>110995</v>
      </c>
    </row>
    <row r="1057" spans="1:12" ht="15.6" outlineLevel="1">
      <c r="A1057" s="11">
        <v>1615000562</v>
      </c>
      <c r="B1057" s="40">
        <v>562</v>
      </c>
      <c r="C1057" s="109">
        <v>615000</v>
      </c>
      <c r="D1057" s="42">
        <v>1</v>
      </c>
      <c r="E1057" s="43"/>
      <c r="F1057" s="44" t="s">
        <v>748</v>
      </c>
      <c r="G1057" s="45" t="s">
        <v>37</v>
      </c>
      <c r="H1057" s="51">
        <f t="shared" si="16"/>
        <v>0</v>
      </c>
      <c r="I1057" s="47"/>
      <c r="J1057" s="48">
        <f>VLOOKUP(A1057,'[1]תקציב 2026'!$A$1:$M$65536,9,0)</f>
        <v>1350</v>
      </c>
      <c r="K1057" s="49">
        <f>VLOOKUP(A1057,[3]גיליון1!$A$1:$C$7693,3,0)*0.9</f>
        <v>1350</v>
      </c>
      <c r="L1057" s="50">
        <f>VLOOKUP(A1057,[2]data1761205830331!$A$1:$J$65536,10,0)</f>
        <v>291.2</v>
      </c>
    </row>
    <row r="1058" spans="1:12" ht="15.6" outlineLevel="1">
      <c r="A1058" s="11">
        <v>1615000565</v>
      </c>
      <c r="B1058" s="40">
        <v>565</v>
      </c>
      <c r="C1058" s="109">
        <v>615000</v>
      </c>
      <c r="D1058" s="42">
        <v>1</v>
      </c>
      <c r="E1058" s="43"/>
      <c r="F1058" s="44" t="s">
        <v>809</v>
      </c>
      <c r="G1058" s="45" t="s">
        <v>37</v>
      </c>
      <c r="H1058" s="51">
        <f t="shared" si="16"/>
        <v>0</v>
      </c>
      <c r="I1058" s="47"/>
      <c r="J1058" s="48">
        <f>VLOOKUP(A1058,'[1]תקציב 2026'!$A$1:$M$65536,9,0)</f>
        <v>18000</v>
      </c>
      <c r="K1058" s="49">
        <f>20000*0.9</f>
        <v>18000</v>
      </c>
      <c r="L1058" s="50">
        <f>VLOOKUP(A1058,[2]data1761205830331!$A$1:$J$65536,10,0)</f>
        <v>17866.48</v>
      </c>
    </row>
    <row r="1059" spans="1:12" ht="15.6" outlineLevel="1">
      <c r="A1059" s="11">
        <v>1615000571</v>
      </c>
      <c r="B1059" s="40">
        <v>571</v>
      </c>
      <c r="C1059" s="109">
        <v>615000</v>
      </c>
      <c r="D1059" s="42">
        <v>1</v>
      </c>
      <c r="E1059" s="43"/>
      <c r="F1059" s="44" t="s">
        <v>75</v>
      </c>
      <c r="G1059" s="45" t="s">
        <v>29</v>
      </c>
      <c r="H1059" s="51">
        <f t="shared" si="16"/>
        <v>0</v>
      </c>
      <c r="I1059" s="47"/>
      <c r="J1059" s="48">
        <f>VLOOKUP(A1059,'[1]תקציב 2026'!$A$1:$M$65536,9,0)</f>
        <v>185100</v>
      </c>
      <c r="K1059" s="49">
        <v>185100</v>
      </c>
      <c r="L1059" s="50">
        <f>VLOOKUP(A1059,[2]data1761205830331!$A$1:$J$65536,10,0)</f>
        <v>1168400</v>
      </c>
    </row>
    <row r="1060" spans="1:12" ht="15.6" outlineLevel="1">
      <c r="A1060" s="11">
        <v>1615000580</v>
      </c>
      <c r="B1060" s="40">
        <v>580</v>
      </c>
      <c r="C1060" s="109">
        <v>615000</v>
      </c>
      <c r="D1060" s="42">
        <v>1</v>
      </c>
      <c r="E1060" s="43"/>
      <c r="F1060" s="44" t="s">
        <v>810</v>
      </c>
      <c r="G1060" s="45" t="s">
        <v>37</v>
      </c>
      <c r="H1060" s="51">
        <f t="shared" si="16"/>
        <v>4.9382716049382713E-2</v>
      </c>
      <c r="I1060" s="47"/>
      <c r="J1060" s="48">
        <f>VLOOKUP(A1060,'[1]תקציב 2026'!$A$1:$M$65536,9,0)</f>
        <v>170000</v>
      </c>
      <c r="K1060" s="49">
        <f>VLOOKUP(A1060,[3]גיליון1!$A$1:$C$7693,3,0)*0.9</f>
        <v>162000</v>
      </c>
      <c r="L1060" s="50">
        <f>VLOOKUP(A1060,[2]data1761205830331!$A$1:$J$65536,10,0)</f>
        <v>168286.75</v>
      </c>
    </row>
    <row r="1061" spans="1:12" ht="15.6" outlineLevel="1">
      <c r="A1061" s="11">
        <v>1615000581</v>
      </c>
      <c r="B1061" s="40">
        <v>581</v>
      </c>
      <c r="C1061" s="109">
        <v>615000</v>
      </c>
      <c r="D1061" s="42">
        <v>1</v>
      </c>
      <c r="E1061" s="43"/>
      <c r="F1061" s="44" t="s">
        <v>811</v>
      </c>
      <c r="G1061" s="45" t="s">
        <v>37</v>
      </c>
      <c r="H1061" s="51">
        <f t="shared" si="16"/>
        <v>-0.48559670781893005</v>
      </c>
      <c r="I1061" s="47"/>
      <c r="J1061" s="48">
        <f>VLOOKUP(A1061,'[1]תקציב 2026'!$A$1:$M$65536,9,0)</f>
        <v>5000</v>
      </c>
      <c r="K1061" s="49">
        <f>VLOOKUP(A1061,[3]גיליון1!$A$1:$C$7693,3,0)*0.9</f>
        <v>9720</v>
      </c>
      <c r="L1061" s="50">
        <f>VLOOKUP(A1061,[2]data1761205830331!$A$1:$J$65536,10,0)</f>
        <v>2816</v>
      </c>
    </row>
    <row r="1062" spans="1:12" ht="15.6" outlineLevel="1">
      <c r="A1062" s="11">
        <v>1615000582</v>
      </c>
      <c r="B1062" s="40">
        <v>582</v>
      </c>
      <c r="C1062" s="109">
        <v>615000</v>
      </c>
      <c r="D1062" s="42">
        <v>1</v>
      </c>
      <c r="E1062" s="43"/>
      <c r="F1062" s="44" t="s">
        <v>812</v>
      </c>
      <c r="G1062" s="45" t="s">
        <v>29</v>
      </c>
      <c r="H1062" s="51">
        <f t="shared" si="16"/>
        <v>1.7214397496087663E-2</v>
      </c>
      <c r="I1062" s="47"/>
      <c r="J1062" s="48">
        <f>VLOOKUP(A1062,'[1]תקציב 2026'!$A$1:$M$65536,9,0)</f>
        <v>260000</v>
      </c>
      <c r="K1062" s="49">
        <f>VLOOKUP(A1062,[3]גיליון1!$A$1:$C$7693,3,0)*0.9</f>
        <v>255600</v>
      </c>
      <c r="L1062" s="50">
        <f>VLOOKUP(A1062,[2]data1761205830331!$A$1:$J$65536,10,0)</f>
        <v>284204.71999999997</v>
      </c>
    </row>
    <row r="1063" spans="1:12" ht="15.6" outlineLevel="1">
      <c r="A1063" s="11">
        <v>1615000757</v>
      </c>
      <c r="B1063" s="40">
        <v>757</v>
      </c>
      <c r="C1063" s="109">
        <v>615000</v>
      </c>
      <c r="D1063" s="42">
        <v>1</v>
      </c>
      <c r="E1063" s="43"/>
      <c r="F1063" s="44" t="s">
        <v>813</v>
      </c>
      <c r="G1063" s="45" t="s">
        <v>29</v>
      </c>
      <c r="H1063" s="51">
        <f t="shared" si="16"/>
        <v>0</v>
      </c>
      <c r="I1063" s="47"/>
      <c r="J1063" s="48">
        <f>VLOOKUP(A1063,'[1]תקציב 2026'!$A$1:$M$65536,9,0)</f>
        <v>72600</v>
      </c>
      <c r="K1063" s="49">
        <f>VLOOKUP(A1063,[3]גיליון1!$A$1:$C$7693,3,0)</f>
        <v>72600</v>
      </c>
      <c r="L1063" s="50">
        <f>VLOOKUP(A1063,[2]data1761205830331!$A$1:$J$65536,10,0)</f>
        <v>52168.4</v>
      </c>
    </row>
    <row r="1064" spans="1:12" ht="15.6" outlineLevel="1">
      <c r="A1064" s="11">
        <v>1615000780</v>
      </c>
      <c r="B1064" s="40">
        <v>780</v>
      </c>
      <c r="C1064" s="109">
        <v>615000</v>
      </c>
      <c r="D1064" s="42">
        <v>1</v>
      </c>
      <c r="E1064" s="43"/>
      <c r="F1064" s="44" t="s">
        <v>814</v>
      </c>
      <c r="G1064" s="45" t="s">
        <v>37</v>
      </c>
      <c r="H1064" s="51">
        <f t="shared" si="16"/>
        <v>0.55555555555555558</v>
      </c>
      <c r="I1064" s="47"/>
      <c r="J1064" s="48">
        <f>VLOOKUP(A1064,'[1]תקציב 2026'!$A$1:$M$65536,9,0)</f>
        <v>350000</v>
      </c>
      <c r="K1064" s="49">
        <f>VLOOKUP(A1064,[3]גיליון1!$A$1:$C$7693,3,0)*0.9</f>
        <v>225000</v>
      </c>
      <c r="L1064" s="50">
        <f>VLOOKUP(A1064,[2]data1761205830331!$A$1:$J$65536,10,0)</f>
        <v>250929.87</v>
      </c>
    </row>
    <row r="1065" spans="1:12" ht="15.6" outlineLevel="1">
      <c r="A1065" s="11">
        <v>1615000781</v>
      </c>
      <c r="B1065" s="40">
        <v>781</v>
      </c>
      <c r="C1065" s="109">
        <v>615000</v>
      </c>
      <c r="D1065" s="42">
        <v>1</v>
      </c>
      <c r="E1065" s="43"/>
      <c r="F1065" s="44" t="s">
        <v>815</v>
      </c>
      <c r="G1065" s="45" t="s">
        <v>29</v>
      </c>
      <c r="H1065" s="51">
        <f t="shared" si="16"/>
        <v>0</v>
      </c>
      <c r="I1065" s="47"/>
      <c r="J1065" s="48">
        <f>VLOOKUP(A1065,'[1]תקציב 2026'!$A$1:$M$65536,9,0)</f>
        <v>45000</v>
      </c>
      <c r="K1065" s="49">
        <f>50000*0.9</f>
        <v>45000</v>
      </c>
      <c r="L1065" s="50">
        <f>VLOOKUP(A1065,[2]data1761205830331!$A$1:$J$65536,10,0)</f>
        <v>44473.16</v>
      </c>
    </row>
    <row r="1066" spans="1:12" ht="15.6" outlineLevel="1">
      <c r="A1066" s="11">
        <v>1615000782</v>
      </c>
      <c r="B1066" s="40">
        <v>782</v>
      </c>
      <c r="C1066" s="109">
        <v>615000</v>
      </c>
      <c r="D1066" s="42">
        <v>1</v>
      </c>
      <c r="E1066" s="43"/>
      <c r="F1066" s="44" t="s">
        <v>816</v>
      </c>
      <c r="G1066" s="45" t="s">
        <v>37</v>
      </c>
      <c r="H1066" s="51">
        <f t="shared" si="16"/>
        <v>0.23207885304659492</v>
      </c>
      <c r="I1066" s="47"/>
      <c r="J1066" s="48">
        <f>VLOOKUP(A1066,'[1]תקציב 2026'!$A$1:$M$65536,9,0)</f>
        <v>55000</v>
      </c>
      <c r="K1066" s="49">
        <f>49600*0.9</f>
        <v>44640</v>
      </c>
      <c r="L1066" s="50">
        <f>VLOOKUP(A1066,[2]data1761205830331!$A$1:$J$65536,10,0)</f>
        <v>32121</v>
      </c>
    </row>
    <row r="1067" spans="1:12" ht="15.6" outlineLevel="1">
      <c r="A1067" s="11">
        <v>1615000783</v>
      </c>
      <c r="B1067" s="40">
        <v>783</v>
      </c>
      <c r="C1067" s="109">
        <v>615000</v>
      </c>
      <c r="D1067" s="42">
        <v>1</v>
      </c>
      <c r="E1067" s="43"/>
      <c r="F1067" s="44" t="s">
        <v>817</v>
      </c>
      <c r="G1067" s="45" t="s">
        <v>37</v>
      </c>
      <c r="H1067" s="51">
        <f t="shared" si="16"/>
        <v>0.44927536231884058</v>
      </c>
      <c r="I1067" s="47"/>
      <c r="J1067" s="48">
        <f>VLOOKUP(A1067,'[1]תקציב 2026'!$A$1:$M$65536,9,0)</f>
        <v>3000000</v>
      </c>
      <c r="K1067" s="49">
        <f>VLOOKUP(A1067,[3]גיליון1!$A$1:$C$7693,3,0)*0.9</f>
        <v>2070000</v>
      </c>
      <c r="L1067" s="50">
        <f>VLOOKUP(A1067,[2]data1761205830331!$A$1:$J$65536,10,0)</f>
        <v>2000376.66</v>
      </c>
    </row>
    <row r="1068" spans="1:12" ht="15.6" outlineLevel="1">
      <c r="A1068" s="11">
        <v>1615000784</v>
      </c>
      <c r="B1068" s="40">
        <v>784</v>
      </c>
      <c r="C1068" s="109">
        <v>615000</v>
      </c>
      <c r="D1068" s="42">
        <v>1</v>
      </c>
      <c r="E1068" s="43"/>
      <c r="F1068" s="44" t="s">
        <v>818</v>
      </c>
      <c r="G1068" s="45" t="s">
        <v>37</v>
      </c>
      <c r="H1068" s="51">
        <f t="shared" si="16"/>
        <v>0.4814814814814814</v>
      </c>
      <c r="I1068" s="47"/>
      <c r="J1068" s="48">
        <f>VLOOKUP(A1068,'[1]תקציב 2026'!$A$1:$M$65536,9,0)</f>
        <v>8000</v>
      </c>
      <c r="K1068" s="49">
        <f>VLOOKUP(A1068,[3]גיליון1!$A$1:$C$7693,3,0)*0.9</f>
        <v>5400</v>
      </c>
      <c r="L1068" s="50">
        <f>VLOOKUP(A1068,[2]data1761205830331!$A$1:$J$65536,10,0)</f>
        <v>3159</v>
      </c>
    </row>
    <row r="1069" spans="1:12" ht="15.6" outlineLevel="1">
      <c r="A1069" s="11">
        <v>1615000785</v>
      </c>
      <c r="B1069" s="40">
        <v>785</v>
      </c>
      <c r="C1069" s="109">
        <v>615000</v>
      </c>
      <c r="D1069" s="42">
        <v>1</v>
      </c>
      <c r="E1069" s="43"/>
      <c r="F1069" s="44" t="s">
        <v>819</v>
      </c>
      <c r="G1069" s="45" t="s">
        <v>37</v>
      </c>
      <c r="H1069" s="51">
        <f t="shared" si="16"/>
        <v>0.85597624350408319</v>
      </c>
      <c r="I1069" s="47"/>
      <c r="J1069" s="48">
        <f>VLOOKUP(A1069,'[1]תקציב 2026'!$A$1:$M$65536,9,0)</f>
        <v>150000</v>
      </c>
      <c r="K1069" s="49">
        <f>VLOOKUP(A1069,[3]גיליון1!$A$1:$C$7693,3,0)*0.9</f>
        <v>80820</v>
      </c>
      <c r="L1069" s="50">
        <f>VLOOKUP(A1069,[2]data1761205830331!$A$1:$J$65536,10,0)</f>
        <v>53537.9</v>
      </c>
    </row>
    <row r="1070" spans="1:12" ht="15.6" outlineLevel="1">
      <c r="A1070" s="11">
        <v>1615000786</v>
      </c>
      <c r="B1070" s="40">
        <v>786</v>
      </c>
      <c r="C1070" s="109">
        <v>615000</v>
      </c>
      <c r="D1070" s="42">
        <v>1</v>
      </c>
      <c r="E1070" s="43"/>
      <c r="F1070" s="44" t="s">
        <v>775</v>
      </c>
      <c r="G1070" s="45" t="s">
        <v>37</v>
      </c>
      <c r="H1070" s="51">
        <f t="shared" si="16"/>
        <v>0.14999999999999991</v>
      </c>
      <c r="I1070" s="47"/>
      <c r="J1070" s="48">
        <f>VLOOKUP(A1070,'[1]תקציב 2026'!$A$1:$M$65536,9,0)</f>
        <v>20700</v>
      </c>
      <c r="K1070" s="49">
        <f>20000*0.9</f>
        <v>18000</v>
      </c>
      <c r="L1070" s="50">
        <f>VLOOKUP(A1070,[2]data1761205830331!$A$1:$J$65536,10,0)</f>
        <v>10368.52</v>
      </c>
    </row>
    <row r="1071" spans="1:12" ht="15.6" outlineLevel="1">
      <c r="A1071" s="11">
        <v>1615000787</v>
      </c>
      <c r="B1071" s="40">
        <v>787</v>
      </c>
      <c r="C1071" s="109">
        <v>615000</v>
      </c>
      <c r="D1071" s="42">
        <v>1</v>
      </c>
      <c r="E1071" s="43"/>
      <c r="F1071" s="44" t="s">
        <v>820</v>
      </c>
      <c r="G1071" s="45" t="s">
        <v>37</v>
      </c>
      <c r="H1071" s="51">
        <f t="shared" si="16"/>
        <v>0.62789321020541045</v>
      </c>
      <c r="I1071" s="47"/>
      <c r="J1071" s="48">
        <f>VLOOKUP(A1071,'[1]תקציב 2026'!$A$1:$M$65536,9,0)</f>
        <v>275000</v>
      </c>
      <c r="K1071" s="49">
        <f>VLOOKUP(A1071,[3]גיליון1!$A$1:$C$7693,3,0)*0.9</f>
        <v>168930</v>
      </c>
      <c r="L1071" s="50">
        <f>VLOOKUP(A1071,[2]data1761205830331!$A$1:$J$65536,10,0)</f>
        <v>181892.63</v>
      </c>
    </row>
    <row r="1072" spans="1:12" ht="15.6" outlineLevel="1">
      <c r="A1072" s="11">
        <v>1615000788</v>
      </c>
      <c r="B1072" s="40">
        <v>788</v>
      </c>
      <c r="C1072" s="109">
        <v>615000</v>
      </c>
      <c r="D1072" s="42">
        <v>1</v>
      </c>
      <c r="E1072" s="43"/>
      <c r="F1072" s="44" t="s">
        <v>821</v>
      </c>
      <c r="G1072" s="45" t="s">
        <v>37</v>
      </c>
      <c r="H1072" s="51">
        <f t="shared" si="16"/>
        <v>1.1241830065359477</v>
      </c>
      <c r="I1072" s="47"/>
      <c r="J1072" s="48">
        <f>VLOOKUP(A1072,'[1]תקציב 2026'!$A$1:$M$65536,9,0)</f>
        <v>13000</v>
      </c>
      <c r="K1072" s="49">
        <f>VLOOKUP(A1072,[3]גיליון1!$A$1:$C$7693,3,0)*0.9</f>
        <v>6120</v>
      </c>
      <c r="L1072" s="50">
        <f>VLOOKUP(A1072,[2]data1761205830331!$A$1:$J$65536,10,0)</f>
        <v>6266.89</v>
      </c>
    </row>
    <row r="1073" spans="1:12" ht="15.6" outlineLevel="1">
      <c r="A1073" s="11">
        <v>1615000789</v>
      </c>
      <c r="B1073" s="40">
        <v>789</v>
      </c>
      <c r="C1073" s="109">
        <v>615000</v>
      </c>
      <c r="D1073" s="42">
        <v>1</v>
      </c>
      <c r="E1073" s="43"/>
      <c r="F1073" s="44" t="str">
        <f>[4]גיליון1!$F$1883</f>
        <v>יום האישה</v>
      </c>
      <c r="G1073" s="45" t="s">
        <v>37</v>
      </c>
      <c r="H1073" s="51">
        <f t="shared" si="16"/>
        <v>0.11111111111111116</v>
      </c>
      <c r="I1073" s="47"/>
      <c r="J1073" s="48">
        <f>VLOOKUP(A1073,'[1]תקציב 2026'!$A$1:$M$65536,9,0)</f>
        <v>36000</v>
      </c>
      <c r="K1073" s="49">
        <f>VLOOKUP(A1073,[3]גיליון1!$A$1:$C$7693,3,0)*0.9</f>
        <v>32400</v>
      </c>
      <c r="L1073" s="50">
        <f>VLOOKUP(A1073,[2]data1761205830331!$A$1:$J$65536,10,0)</f>
        <v>26956.32</v>
      </c>
    </row>
    <row r="1074" spans="1:12" ht="15.6" outlineLevel="1">
      <c r="A1074" s="11">
        <v>1615000790</v>
      </c>
      <c r="B1074" s="40">
        <v>790</v>
      </c>
      <c r="C1074" s="109">
        <v>615000</v>
      </c>
      <c r="D1074" s="42">
        <v>1</v>
      </c>
      <c r="E1074" s="43"/>
      <c r="F1074" s="44" t="s">
        <v>822</v>
      </c>
      <c r="G1074" s="45" t="s">
        <v>37</v>
      </c>
      <c r="H1074" s="51">
        <v>1</v>
      </c>
      <c r="I1074" s="47" t="s">
        <v>86</v>
      </c>
      <c r="J1074" s="48">
        <f>VLOOKUP(A1074,'[1]תקציב 2026'!$A$1:$M$65536,9,0)</f>
        <v>18000</v>
      </c>
      <c r="K1074" s="49">
        <v>0</v>
      </c>
      <c r="L1074" s="50">
        <v>0</v>
      </c>
    </row>
    <row r="1075" spans="1:12" ht="16.2" outlineLevel="1" thickBot="1">
      <c r="A1075" s="11">
        <v>1615000932</v>
      </c>
      <c r="B1075" s="40">
        <v>932</v>
      </c>
      <c r="C1075" s="109">
        <v>615000</v>
      </c>
      <c r="D1075" s="42">
        <v>1</v>
      </c>
      <c r="E1075" s="43"/>
      <c r="F1075" s="44" t="s">
        <v>787</v>
      </c>
      <c r="G1075" s="45" t="s">
        <v>37</v>
      </c>
      <c r="H1075" s="51">
        <f t="shared" si="16"/>
        <v>1.3071895424836555E-2</v>
      </c>
      <c r="I1075" s="47"/>
      <c r="J1075" s="48">
        <f>VLOOKUP(A1075,'[1]תקציב 2026'!$A$1:$M$65536,9,0)</f>
        <v>3100</v>
      </c>
      <c r="K1075" s="49">
        <f>VLOOKUP(A1075,[3]גיליון1!$A$1:$C$7693,3,0)*0.9</f>
        <v>3060</v>
      </c>
      <c r="L1075" s="50">
        <f>VLOOKUP(A1075,[2]data1761205830331!$A$1:$J$65536,10,0)</f>
        <v>3323.43</v>
      </c>
    </row>
    <row r="1076" spans="1:12" ht="16.2" thickBot="1">
      <c r="A1076" s="11" t="e">
        <v>#VALUE!</v>
      </c>
      <c r="B1076" s="53" t="s">
        <v>823</v>
      </c>
      <c r="C1076" s="223"/>
      <c r="D1076" s="55"/>
      <c r="E1076" s="56"/>
      <c r="F1076" s="116" t="s">
        <v>799</v>
      </c>
      <c r="G1076" s="58"/>
      <c r="H1076" s="166">
        <f>J1076/K1076-1</f>
        <v>0.18669617590429133</v>
      </c>
      <c r="I1076" s="72"/>
      <c r="J1076" s="74">
        <f>SUBTOTAL(9,J1035:J1075)</f>
        <v>12123300</v>
      </c>
      <c r="K1076" s="92">
        <f>SUBTOTAL(9,K1035:K1075)</f>
        <v>10216010</v>
      </c>
      <c r="L1076" s="75">
        <f>SUBTOTAL(9,L1035:L1075)</f>
        <v>11326296.430000002</v>
      </c>
    </row>
    <row r="1077" spans="1:12" ht="15.6" outlineLevel="1">
      <c r="A1077" s="11">
        <v>16151000</v>
      </c>
      <c r="B1077" s="64">
        <v>0</v>
      </c>
      <c r="C1077" s="109">
        <v>615100</v>
      </c>
      <c r="D1077" s="66">
        <v>1</v>
      </c>
      <c r="E1077" s="67"/>
      <c r="F1077" s="68" t="s">
        <v>824</v>
      </c>
      <c r="G1077" s="69" t="s">
        <v>15</v>
      </c>
      <c r="H1077" s="51"/>
      <c r="I1077" s="47"/>
      <c r="J1077" s="48"/>
      <c r="K1077" s="49"/>
      <c r="L1077" s="50"/>
    </row>
    <row r="1078" spans="1:12" ht="15.6" outlineLevel="1">
      <c r="A1078" s="11">
        <v>1615100110</v>
      </c>
      <c r="B1078" s="64">
        <v>110</v>
      </c>
      <c r="C1078" s="109">
        <v>615100</v>
      </c>
      <c r="D1078" s="66">
        <v>1</v>
      </c>
      <c r="E1078" s="67"/>
      <c r="F1078" s="68" t="s">
        <v>21</v>
      </c>
      <c r="G1078" s="69" t="s">
        <v>22</v>
      </c>
      <c r="H1078" s="51">
        <v>1</v>
      </c>
      <c r="I1078" s="47" t="s">
        <v>86</v>
      </c>
      <c r="J1078" s="48">
        <f>VLOOKUP(A1078,'[1]תקציב 2026'!$A$1:$M$65536,9,0)</f>
        <v>195840</v>
      </c>
      <c r="K1078" s="225">
        <v>0</v>
      </c>
      <c r="L1078" s="50">
        <v>0</v>
      </c>
    </row>
    <row r="1079" spans="1:12" ht="15.6" outlineLevel="1">
      <c r="A1079" s="11">
        <v>1615100119</v>
      </c>
      <c r="B1079" s="40">
        <v>119</v>
      </c>
      <c r="C1079" s="109">
        <v>615100</v>
      </c>
      <c r="D1079" s="42">
        <v>1</v>
      </c>
      <c r="E1079" s="43"/>
      <c r="F1079" s="44" t="s">
        <v>23</v>
      </c>
      <c r="G1079" s="45" t="s">
        <v>22</v>
      </c>
      <c r="H1079" s="51">
        <v>1</v>
      </c>
      <c r="I1079" s="47" t="s">
        <v>86</v>
      </c>
      <c r="J1079" s="48">
        <f>VLOOKUP(A1079,'[1]תקציב 2026'!$A$1:$M$65536,9,0)</f>
        <v>1258680</v>
      </c>
      <c r="K1079" s="225">
        <v>0</v>
      </c>
      <c r="L1079" s="50">
        <v>0</v>
      </c>
    </row>
    <row r="1080" spans="1:12" ht="15.6" outlineLevel="1">
      <c r="A1080" s="11">
        <v>1615100122</v>
      </c>
      <c r="B1080" s="40">
        <v>122</v>
      </c>
      <c r="C1080" s="109">
        <v>615100</v>
      </c>
      <c r="D1080" s="42">
        <v>1</v>
      </c>
      <c r="E1080" s="43"/>
      <c r="F1080" s="44" t="s">
        <v>24</v>
      </c>
      <c r="G1080" s="45" t="s">
        <v>22</v>
      </c>
      <c r="H1080" s="51">
        <v>1</v>
      </c>
      <c r="I1080" s="47" t="s">
        <v>86</v>
      </c>
      <c r="J1080" s="48">
        <f>VLOOKUP(A1080,'[1]תקציב 2026'!$A$1:$M$65536,9,0)</f>
        <v>12600</v>
      </c>
      <c r="K1080" s="225">
        <v>0</v>
      </c>
      <c r="L1080" s="50">
        <v>0</v>
      </c>
    </row>
    <row r="1081" spans="1:12" ht="15.6" outlineLevel="1">
      <c r="A1081" s="11">
        <v>1615100126</v>
      </c>
      <c r="B1081" s="40">
        <v>126</v>
      </c>
      <c r="C1081" s="109">
        <v>615100</v>
      </c>
      <c r="D1081" s="42">
        <v>1</v>
      </c>
      <c r="E1081" s="43"/>
      <c r="F1081" s="44" t="s">
        <v>25</v>
      </c>
      <c r="G1081" s="45" t="s">
        <v>22</v>
      </c>
      <c r="H1081" s="51">
        <v>1</v>
      </c>
      <c r="I1081" s="47" t="s">
        <v>86</v>
      </c>
      <c r="J1081" s="48">
        <f>VLOOKUP(A1081,'[1]תקציב 2026'!$A$1:$M$65536,9,0)</f>
        <v>31000</v>
      </c>
      <c r="K1081" s="225">
        <v>0</v>
      </c>
      <c r="L1081" s="50">
        <v>0</v>
      </c>
    </row>
    <row r="1082" spans="1:12" ht="15.6" outlineLevel="1">
      <c r="A1082" s="11">
        <v>1615100130</v>
      </c>
      <c r="B1082" s="40">
        <v>130</v>
      </c>
      <c r="C1082" s="109">
        <v>615100</v>
      </c>
      <c r="D1082" s="42">
        <v>1</v>
      </c>
      <c r="E1082" s="43"/>
      <c r="F1082" s="44" t="s">
        <v>26</v>
      </c>
      <c r="G1082" s="45" t="s">
        <v>22</v>
      </c>
      <c r="H1082" s="51">
        <v>1</v>
      </c>
      <c r="I1082" s="47" t="s">
        <v>86</v>
      </c>
      <c r="J1082" s="48">
        <f>VLOOKUP(A1082,'[1]תקציב 2026'!$A$1:$M$65536,9,0)</f>
        <v>45500</v>
      </c>
      <c r="K1082" s="225">
        <v>0</v>
      </c>
      <c r="L1082" s="50">
        <v>0</v>
      </c>
    </row>
    <row r="1083" spans="1:12" ht="15.6" outlineLevel="1">
      <c r="A1083" s="11">
        <v>1615100140</v>
      </c>
      <c r="B1083" s="40">
        <v>140</v>
      </c>
      <c r="C1083" s="109">
        <v>615100</v>
      </c>
      <c r="D1083" s="42">
        <v>1</v>
      </c>
      <c r="E1083" s="43"/>
      <c r="F1083" s="44" t="s">
        <v>27</v>
      </c>
      <c r="G1083" s="45" t="s">
        <v>22</v>
      </c>
      <c r="H1083" s="51">
        <v>1</v>
      </c>
      <c r="I1083" s="47" t="s">
        <v>86</v>
      </c>
      <c r="J1083" s="48">
        <f>VLOOKUP(A1083,'[1]תקציב 2026'!$A$1:$M$65536,9,0)</f>
        <v>133500</v>
      </c>
      <c r="K1083" s="225">
        <v>0</v>
      </c>
      <c r="L1083" s="50">
        <v>0</v>
      </c>
    </row>
    <row r="1084" spans="1:12" ht="15.6" outlineLevel="1">
      <c r="A1084" s="11">
        <v>1615100471</v>
      </c>
      <c r="B1084" s="40">
        <v>471</v>
      </c>
      <c r="C1084" s="109">
        <v>615100</v>
      </c>
      <c r="D1084" s="42">
        <v>1</v>
      </c>
      <c r="E1084" s="43"/>
      <c r="F1084" s="44" t="s">
        <v>71</v>
      </c>
      <c r="G1084" s="45" t="s">
        <v>37</v>
      </c>
      <c r="H1084" s="51">
        <v>1</v>
      </c>
      <c r="I1084" s="47" t="s">
        <v>86</v>
      </c>
      <c r="J1084" s="48">
        <f>VLOOKUP(A1084,'[1]תקציב 2026'!$A$1:$M$65536,9,0)</f>
        <v>5400</v>
      </c>
      <c r="K1084" s="225">
        <v>0</v>
      </c>
      <c r="L1084" s="50">
        <v>0</v>
      </c>
    </row>
    <row r="1085" spans="1:12" ht="15.6" outlineLevel="1">
      <c r="A1085" s="11">
        <v>1615100544</v>
      </c>
      <c r="B1085" s="40">
        <v>544</v>
      </c>
      <c r="C1085" s="109">
        <v>615100</v>
      </c>
      <c r="D1085" s="42">
        <v>1</v>
      </c>
      <c r="E1085" s="43"/>
      <c r="F1085" s="44" t="s">
        <v>825</v>
      </c>
      <c r="G1085" s="45" t="s">
        <v>29</v>
      </c>
      <c r="H1085" s="51">
        <v>1</v>
      </c>
      <c r="I1085" s="47" t="s">
        <v>86</v>
      </c>
      <c r="J1085" s="48">
        <f>VLOOKUP(A1085,'[1]תקציב 2026'!$A$1:$M$65536,9,0)</f>
        <v>5000</v>
      </c>
      <c r="K1085" s="225">
        <v>0</v>
      </c>
      <c r="L1085" s="50">
        <v>0</v>
      </c>
    </row>
    <row r="1086" spans="1:12" ht="15.6" outlineLevel="1">
      <c r="A1086" s="11">
        <v>1615100565</v>
      </c>
      <c r="B1086" s="40">
        <v>565</v>
      </c>
      <c r="C1086" s="109">
        <v>615100</v>
      </c>
      <c r="D1086" s="42">
        <v>1</v>
      </c>
      <c r="E1086" s="43"/>
      <c r="F1086" s="44" t="s">
        <v>826</v>
      </c>
      <c r="G1086" s="45" t="s">
        <v>37</v>
      </c>
      <c r="H1086" s="51">
        <v>1</v>
      </c>
      <c r="I1086" s="47" t="s">
        <v>86</v>
      </c>
      <c r="J1086" s="48">
        <f>VLOOKUP(A1086,'[1]תקציב 2026'!$A$1:$M$65536,9,0)</f>
        <v>2000</v>
      </c>
      <c r="K1086" s="225">
        <v>0</v>
      </c>
      <c r="L1086" s="50">
        <v>0</v>
      </c>
    </row>
    <row r="1087" spans="1:12" ht="15.6" outlineLevel="1">
      <c r="A1087" s="11">
        <v>1615100570</v>
      </c>
      <c r="B1087" s="40">
        <v>570</v>
      </c>
      <c r="C1087" s="109">
        <v>615100</v>
      </c>
      <c r="D1087" s="42">
        <v>1</v>
      </c>
      <c r="E1087" s="43"/>
      <c r="F1087" s="44" t="s">
        <v>827</v>
      </c>
      <c r="G1087" s="45" t="s">
        <v>29</v>
      </c>
      <c r="H1087" s="51">
        <v>1</v>
      </c>
      <c r="I1087" s="47" t="s">
        <v>86</v>
      </c>
      <c r="J1087" s="48">
        <f>VLOOKUP(A1087,'[1]תקציב 2026'!$A$1:$M$65536,9,0)</f>
        <v>650000</v>
      </c>
      <c r="K1087" s="225">
        <v>0</v>
      </c>
      <c r="L1087" s="50">
        <v>0</v>
      </c>
    </row>
    <row r="1088" spans="1:12" ht="15.6" outlineLevel="1">
      <c r="A1088" s="11">
        <v>1615100571</v>
      </c>
      <c r="B1088" s="40">
        <v>571</v>
      </c>
      <c r="C1088" s="109">
        <v>615100</v>
      </c>
      <c r="D1088" s="42">
        <v>1</v>
      </c>
      <c r="E1088" s="43"/>
      <c r="F1088" s="44" t="s">
        <v>75</v>
      </c>
      <c r="G1088" s="45" t="s">
        <v>29</v>
      </c>
      <c r="H1088" s="51">
        <v>1</v>
      </c>
      <c r="I1088" s="47" t="s">
        <v>86</v>
      </c>
      <c r="J1088" s="48">
        <f>VLOOKUP(A1088,'[1]תקציב 2026'!$A$1:$M$65536,9,0)</f>
        <v>205100</v>
      </c>
      <c r="K1088" s="225">
        <v>0</v>
      </c>
      <c r="L1088" s="50">
        <v>0</v>
      </c>
    </row>
    <row r="1089" spans="1:12" ht="16.2" outlineLevel="1" thickBot="1">
      <c r="A1089" s="11">
        <v>1615100758</v>
      </c>
      <c r="B1089" s="40">
        <v>758</v>
      </c>
      <c r="C1089" s="109">
        <v>615100</v>
      </c>
      <c r="D1089" s="42">
        <v>1</v>
      </c>
      <c r="E1089" s="43"/>
      <c r="F1089" s="44" t="s">
        <v>828</v>
      </c>
      <c r="G1089" s="45" t="s">
        <v>37</v>
      </c>
      <c r="H1089" s="51">
        <v>1</v>
      </c>
      <c r="I1089" s="47" t="s">
        <v>86</v>
      </c>
      <c r="J1089" s="48">
        <f>VLOOKUP(A1089,'[1]תקציב 2026'!$A$1:$M$65536,9,0)</f>
        <v>95000</v>
      </c>
      <c r="K1089" s="225">
        <v>0</v>
      </c>
      <c r="L1089" s="50">
        <v>0</v>
      </c>
    </row>
    <row r="1090" spans="1:12" ht="16.2" thickBot="1">
      <c r="A1090" s="11" t="e">
        <v>#VALUE!</v>
      </c>
      <c r="B1090" s="53" t="s">
        <v>829</v>
      </c>
      <c r="C1090" s="223"/>
      <c r="D1090" s="55"/>
      <c r="E1090" s="56"/>
      <c r="F1090" s="116" t="s">
        <v>824</v>
      </c>
      <c r="G1090" s="58"/>
      <c r="H1090" s="166">
        <v>1</v>
      </c>
      <c r="I1090" s="72"/>
      <c r="J1090" s="74">
        <f>SUBTOTAL(9,J1078:J1089)</f>
        <v>2639620</v>
      </c>
      <c r="K1090" s="92">
        <f>SUBTOTAL(9,K1078:K1089)</f>
        <v>0</v>
      </c>
      <c r="L1090" s="75">
        <f>SUBTOTAL(9,L1078:L1089)</f>
        <v>0</v>
      </c>
    </row>
    <row r="1091" spans="1:12" ht="15.6" outlineLevel="1">
      <c r="A1091" s="11">
        <v>16160000</v>
      </c>
      <c r="B1091" s="64">
        <v>0</v>
      </c>
      <c r="C1091" s="131">
        <v>616000</v>
      </c>
      <c r="D1091" s="66">
        <v>1</v>
      </c>
      <c r="E1091" s="67"/>
      <c r="F1091" s="68" t="s">
        <v>830</v>
      </c>
      <c r="G1091" s="69" t="s">
        <v>15</v>
      </c>
      <c r="H1091" s="51"/>
      <c r="I1091" s="47"/>
      <c r="J1091" s="48"/>
      <c r="K1091" s="49"/>
      <c r="L1091" s="50"/>
    </row>
    <row r="1092" spans="1:12" ht="15.6" outlineLevel="1">
      <c r="A1092" s="11">
        <v>1616000119</v>
      </c>
      <c r="B1092" s="40">
        <v>119</v>
      </c>
      <c r="C1092" s="109">
        <v>616000</v>
      </c>
      <c r="D1092" s="42">
        <v>1</v>
      </c>
      <c r="E1092" s="43"/>
      <c r="F1092" s="44" t="s">
        <v>23</v>
      </c>
      <c r="G1092" s="45" t="s">
        <v>22</v>
      </c>
      <c r="H1092" s="51">
        <v>0</v>
      </c>
      <c r="I1092" s="47"/>
      <c r="J1092" s="48">
        <f>VLOOKUP(A1092,'[1]תקציב 2026'!$A$1:$M$65536,9,0)</f>
        <v>0</v>
      </c>
      <c r="K1092" s="49">
        <f>VLOOKUP(A1092,[3]גיליון1!$A$1:$C$7693,3,0)</f>
        <v>0</v>
      </c>
      <c r="L1092" s="50">
        <f>VLOOKUP(A1092,[2]data1761205830331!$A$1:$J$65536,10,0)</f>
        <v>349829.87</v>
      </c>
    </row>
    <row r="1093" spans="1:12" ht="15.6" outlineLevel="1">
      <c r="A1093" s="11">
        <v>1616000122</v>
      </c>
      <c r="B1093" s="40">
        <v>122</v>
      </c>
      <c r="C1093" s="109">
        <v>616000</v>
      </c>
      <c r="D1093" s="42">
        <v>1</v>
      </c>
      <c r="E1093" s="43"/>
      <c r="F1093" s="44" t="s">
        <v>24</v>
      </c>
      <c r="G1093" s="45" t="s">
        <v>22</v>
      </c>
      <c r="H1093" s="51">
        <v>0</v>
      </c>
      <c r="I1093" s="47"/>
      <c r="J1093" s="48">
        <f>VLOOKUP(A1093,'[1]תקציב 2026'!$A$1:$M$65536,9,0)</f>
        <v>0</v>
      </c>
      <c r="K1093" s="49">
        <f>VLOOKUP(A1093,[3]גיליון1!$A$1:$C$7693,3,0)</f>
        <v>0</v>
      </c>
      <c r="L1093" s="50">
        <f>VLOOKUP(A1093,[2]data1761205830331!$A$1:$J$65536,10,0)</f>
        <v>2405</v>
      </c>
    </row>
    <row r="1094" spans="1:12" ht="15.6" outlineLevel="1">
      <c r="A1094" s="11">
        <v>1616000126</v>
      </c>
      <c r="B1094" s="40">
        <v>126</v>
      </c>
      <c r="C1094" s="109">
        <v>616000</v>
      </c>
      <c r="D1094" s="42">
        <v>1</v>
      </c>
      <c r="E1094" s="43"/>
      <c r="F1094" s="44" t="s">
        <v>25</v>
      </c>
      <c r="G1094" s="45" t="s">
        <v>22</v>
      </c>
      <c r="H1094" s="51">
        <v>0</v>
      </c>
      <c r="I1094" s="47"/>
      <c r="J1094" s="48">
        <f>VLOOKUP(A1094,'[1]תקציב 2026'!$A$1:$M$65536,9,0)</f>
        <v>0</v>
      </c>
      <c r="K1094" s="49">
        <v>0</v>
      </c>
      <c r="L1094" s="50">
        <f>VLOOKUP(A1094,[2]data1761205830331!$A$1:$J$65536,10,0)</f>
        <v>5185.3999999999996</v>
      </c>
    </row>
    <row r="1095" spans="1:12" ht="16.2" outlineLevel="1" thickBot="1">
      <c r="A1095" s="11">
        <v>1616000140</v>
      </c>
      <c r="B1095" s="40">
        <v>140</v>
      </c>
      <c r="C1095" s="109">
        <v>616000</v>
      </c>
      <c r="D1095" s="42">
        <v>1</v>
      </c>
      <c r="E1095" s="43"/>
      <c r="F1095" s="44" t="s">
        <v>27</v>
      </c>
      <c r="G1095" s="45" t="s">
        <v>22</v>
      </c>
      <c r="H1095" s="51">
        <v>0</v>
      </c>
      <c r="I1095" s="47"/>
      <c r="J1095" s="48">
        <f>VLOOKUP(A1095,'[1]תקציב 2026'!$A$1:$M$65536,9,0)</f>
        <v>0</v>
      </c>
      <c r="K1095" s="49">
        <f>VLOOKUP(A1095,[3]גיליון1!$A$1:$C$7693,3,0)</f>
        <v>0</v>
      </c>
      <c r="L1095" s="50">
        <f>VLOOKUP(A1095,[2]data1761205830331!$A$1:$J$65536,10,0)</f>
        <v>50117.79</v>
      </c>
    </row>
    <row r="1096" spans="1:12" ht="16.2" thickBot="1">
      <c r="A1096" s="11" t="e">
        <v>#VALUE!</v>
      </c>
      <c r="B1096" s="53" t="s">
        <v>831</v>
      </c>
      <c r="C1096" s="223"/>
      <c r="D1096" s="55"/>
      <c r="E1096" s="56"/>
      <c r="F1096" s="116" t="s">
        <v>830</v>
      </c>
      <c r="G1096" s="58"/>
      <c r="H1096" s="166">
        <v>0</v>
      </c>
      <c r="I1096" s="72"/>
      <c r="J1096" s="74">
        <f>SUBTOTAL(9,J1092:J1095)</f>
        <v>0</v>
      </c>
      <c r="K1096" s="92">
        <f>SUBTOTAL(9,K1092:K1095)</f>
        <v>0</v>
      </c>
      <c r="L1096" s="75">
        <f>SUBTOTAL(9,L1092:L1095)</f>
        <v>407538.06</v>
      </c>
    </row>
    <row r="1097" spans="1:12" ht="15.6" outlineLevel="1">
      <c r="A1097" s="11">
        <v>16170000</v>
      </c>
      <c r="B1097" s="40">
        <v>0</v>
      </c>
      <c r="C1097" s="109">
        <v>617000</v>
      </c>
      <c r="D1097" s="42">
        <v>1</v>
      </c>
      <c r="E1097" s="43"/>
      <c r="F1097" s="44" t="s">
        <v>832</v>
      </c>
      <c r="G1097" s="45" t="s">
        <v>15</v>
      </c>
      <c r="H1097" s="51"/>
      <c r="I1097" s="47"/>
      <c r="J1097" s="48"/>
      <c r="K1097" s="49"/>
      <c r="L1097" s="50"/>
    </row>
    <row r="1098" spans="1:12" ht="15.6" outlineLevel="1">
      <c r="A1098" s="11">
        <v>1617000119</v>
      </c>
      <c r="B1098" s="40">
        <v>119</v>
      </c>
      <c r="C1098" s="109">
        <v>617000</v>
      </c>
      <c r="D1098" s="42">
        <v>1</v>
      </c>
      <c r="E1098" s="43"/>
      <c r="F1098" s="44" t="s">
        <v>23</v>
      </c>
      <c r="G1098" s="45" t="s">
        <v>22</v>
      </c>
      <c r="H1098" s="51">
        <f t="shared" si="16"/>
        <v>3.1938322122899043E-2</v>
      </c>
      <c r="I1098" s="47"/>
      <c r="J1098" s="48">
        <v>5875960</v>
      </c>
      <c r="K1098" s="49">
        <f>5526100+168000</f>
        <v>5694100</v>
      </c>
      <c r="L1098" s="50">
        <f>VLOOKUP(A1098,[2]data1761205830331!$A$1:$J$65536,10,0)</f>
        <v>5171560.74</v>
      </c>
    </row>
    <row r="1099" spans="1:12" ht="15.6" outlineLevel="1">
      <c r="A1099" s="11">
        <v>1617000122</v>
      </c>
      <c r="B1099" s="40">
        <v>122</v>
      </c>
      <c r="C1099" s="109">
        <v>617000</v>
      </c>
      <c r="D1099" s="42">
        <v>1</v>
      </c>
      <c r="E1099" s="43"/>
      <c r="F1099" s="44" t="s">
        <v>24</v>
      </c>
      <c r="G1099" s="45" t="s">
        <v>22</v>
      </c>
      <c r="H1099" s="51">
        <f t="shared" si="16"/>
        <v>8.3409090909090988E-2</v>
      </c>
      <c r="I1099" s="47"/>
      <c r="J1099" s="48">
        <v>47670</v>
      </c>
      <c r="K1099" s="49">
        <f>VLOOKUP(A1099,[3]גיליון1!$A$1:$C$7693,3,0)</f>
        <v>44000</v>
      </c>
      <c r="L1099" s="50">
        <f>VLOOKUP(A1099,[2]data1761205830331!$A$1:$J$65536,10,0)</f>
        <v>45116.95</v>
      </c>
    </row>
    <row r="1100" spans="1:12" ht="15.6" outlineLevel="1">
      <c r="A1100" s="11">
        <v>1617000126</v>
      </c>
      <c r="B1100" s="40">
        <v>126</v>
      </c>
      <c r="C1100" s="109">
        <v>617000</v>
      </c>
      <c r="D1100" s="42">
        <v>1</v>
      </c>
      <c r="E1100" s="43"/>
      <c r="F1100" s="44" t="s">
        <v>25</v>
      </c>
      <c r="G1100" s="45" t="s">
        <v>22</v>
      </c>
      <c r="H1100" s="51">
        <f t="shared" si="16"/>
        <v>8.3301886792452873E-2</v>
      </c>
      <c r="I1100" s="47"/>
      <c r="J1100" s="48">
        <v>114830</v>
      </c>
      <c r="K1100" s="49">
        <f>VLOOKUP(A1100,[3]גיליון1!$A$1:$C$7693,3,0)</f>
        <v>106000</v>
      </c>
      <c r="L1100" s="50">
        <f>VLOOKUP(A1100,[2]data1761205830331!$A$1:$J$65536,10,0)</f>
        <v>110778.24000000001</v>
      </c>
    </row>
    <row r="1101" spans="1:12" ht="15.6" outlineLevel="1">
      <c r="A1101" s="11">
        <v>1617000130</v>
      </c>
      <c r="B1101" s="40">
        <v>130</v>
      </c>
      <c r="C1101" s="109">
        <v>617000</v>
      </c>
      <c r="D1101" s="42">
        <v>1</v>
      </c>
      <c r="E1101" s="43"/>
      <c r="F1101" s="44" t="s">
        <v>26</v>
      </c>
      <c r="G1101" s="45" t="s">
        <v>22</v>
      </c>
      <c r="H1101" s="51">
        <f t="shared" si="16"/>
        <v>0</v>
      </c>
      <c r="I1101" s="47"/>
      <c r="J1101" s="48">
        <f>VLOOKUP(A1101,'[1]תקציב 2026'!$A$1:$M$65536,9,0)</f>
        <v>11870</v>
      </c>
      <c r="K1101" s="49">
        <v>11870</v>
      </c>
      <c r="L1101" s="50">
        <f>VLOOKUP(A1101,[2]data1761205830331!$A$1:$J$65536,10,0)</f>
        <v>31506.26</v>
      </c>
    </row>
    <row r="1102" spans="1:12" ht="15.6" outlineLevel="1">
      <c r="A1102" s="11">
        <v>1617000140</v>
      </c>
      <c r="B1102" s="40">
        <v>140</v>
      </c>
      <c r="C1102" s="109">
        <v>617000</v>
      </c>
      <c r="D1102" s="42">
        <v>1</v>
      </c>
      <c r="E1102" s="43"/>
      <c r="F1102" s="44" t="s">
        <v>27</v>
      </c>
      <c r="G1102" s="45" t="s">
        <v>22</v>
      </c>
      <c r="H1102" s="51">
        <f t="shared" si="16"/>
        <v>0</v>
      </c>
      <c r="I1102" s="47"/>
      <c r="J1102" s="48">
        <f>VLOOKUP(A1102,'[1]תקציב 2026'!$A$1:$M$65536,9,0)</f>
        <v>312000</v>
      </c>
      <c r="K1102" s="49">
        <f>VLOOKUP(A1102,[3]גיליון1!$A$1:$C$7693,3,0)</f>
        <v>312000</v>
      </c>
      <c r="L1102" s="50">
        <f>VLOOKUP(A1102,[2]data1761205830331!$A$1:$J$65536,10,0)</f>
        <v>414977.1</v>
      </c>
    </row>
    <row r="1103" spans="1:12" ht="15.6" outlineLevel="1">
      <c r="A1103" s="11">
        <v>1617000350</v>
      </c>
      <c r="B1103" s="40">
        <v>350</v>
      </c>
      <c r="C1103" s="109">
        <v>617000</v>
      </c>
      <c r="D1103" s="42">
        <v>1</v>
      </c>
      <c r="E1103" s="43"/>
      <c r="F1103" s="44" t="s">
        <v>833</v>
      </c>
      <c r="G1103" s="45" t="s">
        <v>22</v>
      </c>
      <c r="H1103" s="51">
        <f t="shared" si="16"/>
        <v>-0.32291666666666663</v>
      </c>
      <c r="I1103" s="47"/>
      <c r="J1103" s="48">
        <f>VLOOKUP(A1103,'[1]תקציב 2026'!$A$1:$M$65536,9,0)</f>
        <v>65000</v>
      </c>
      <c r="K1103" s="49">
        <f>VLOOKUP(A1103,[3]גיליון1!$A$1:$C$7693,3,0)</f>
        <v>96000</v>
      </c>
      <c r="L1103" s="50">
        <f>VLOOKUP(A1103,[2]data1761205830331!$A$1:$J$65536,10,0)</f>
        <v>86081.600000000006</v>
      </c>
    </row>
    <row r="1104" spans="1:12" ht="15.6" outlineLevel="1">
      <c r="A1104" s="11">
        <v>1617000351</v>
      </c>
      <c r="B1104" s="40">
        <v>351</v>
      </c>
      <c r="C1104" s="109">
        <v>617000</v>
      </c>
      <c r="D1104" s="42">
        <v>1</v>
      </c>
      <c r="E1104" s="43"/>
      <c r="F1104" s="44" t="s">
        <v>834</v>
      </c>
      <c r="G1104" s="45" t="s">
        <v>22</v>
      </c>
      <c r="H1104" s="51">
        <f t="shared" si="16"/>
        <v>-0.5</v>
      </c>
      <c r="I1104" s="47"/>
      <c r="J1104" s="48">
        <f>VLOOKUP(A1104,'[1]תקציב 2026'!$A$1:$M$65536,9,0)</f>
        <v>20000</v>
      </c>
      <c r="K1104" s="49">
        <f>VLOOKUP(A1104,[3]גיליון1!$A$1:$C$7693,3,0)</f>
        <v>40000</v>
      </c>
      <c r="L1104" s="50">
        <f>VLOOKUP(A1104,[2]data1761205830331!$A$1:$J$65536,10,0)</f>
        <v>27848.69</v>
      </c>
    </row>
    <row r="1105" spans="1:12" ht="15.6" outlineLevel="1">
      <c r="A1105" s="11">
        <v>1617000470</v>
      </c>
      <c r="B1105" s="40">
        <v>470</v>
      </c>
      <c r="C1105" s="109">
        <v>617000</v>
      </c>
      <c r="D1105" s="42">
        <v>1</v>
      </c>
      <c r="E1105" s="43"/>
      <c r="F1105" s="44" t="s">
        <v>43</v>
      </c>
      <c r="G1105" s="45" t="s">
        <v>37</v>
      </c>
      <c r="H1105" s="51">
        <f t="shared" si="16"/>
        <v>0.51515151515151514</v>
      </c>
      <c r="I1105" s="47"/>
      <c r="J1105" s="48">
        <f>VLOOKUP(A1105,'[1]תקציב 2026'!$A$1:$M$65536,9,0)</f>
        <v>3000</v>
      </c>
      <c r="K1105" s="49">
        <f>VLOOKUP(A1105,[3]גיליון1!$A$1:$C$7693,3,0)*0.9</f>
        <v>1980</v>
      </c>
      <c r="L1105" s="50">
        <f>VLOOKUP(A1105,[2]data1761205830331!$A$1:$J$65536,10,0)</f>
        <v>596.14</v>
      </c>
    </row>
    <row r="1106" spans="1:12" ht="15.6" outlineLevel="1">
      <c r="A1106" s="11">
        <v>1617000471</v>
      </c>
      <c r="B1106" s="40">
        <v>471</v>
      </c>
      <c r="C1106" s="109">
        <v>617000</v>
      </c>
      <c r="D1106" s="42">
        <v>1</v>
      </c>
      <c r="E1106" s="43"/>
      <c r="F1106" s="44" t="s">
        <v>71</v>
      </c>
      <c r="G1106" s="45" t="s">
        <v>37</v>
      </c>
      <c r="H1106" s="51">
        <f t="shared" si="16"/>
        <v>0.18518518518518512</v>
      </c>
      <c r="I1106" s="47"/>
      <c r="J1106" s="48">
        <f>VLOOKUP(A1106,'[1]תקציב 2026'!$A$1:$M$65536,9,0)</f>
        <v>32000</v>
      </c>
      <c r="K1106" s="49">
        <f>VLOOKUP(A1106,[3]גיליון1!$A$1:$C$7693,3,0)*0.9</f>
        <v>27000</v>
      </c>
      <c r="L1106" s="50">
        <f>VLOOKUP(A1106,[2]data1761205830331!$A$1:$J$65536,10,0)</f>
        <v>25476.44</v>
      </c>
    </row>
    <row r="1107" spans="1:12" ht="15.6" outlineLevel="1">
      <c r="A1107" s="11">
        <v>1617000511</v>
      </c>
      <c r="B1107" s="40">
        <v>511</v>
      </c>
      <c r="C1107" s="109">
        <v>617000</v>
      </c>
      <c r="D1107" s="42">
        <v>1</v>
      </c>
      <c r="E1107" s="43"/>
      <c r="F1107" s="44" t="s">
        <v>72</v>
      </c>
      <c r="G1107" s="45" t="s">
        <v>37</v>
      </c>
      <c r="H1107" s="51">
        <f t="shared" si="16"/>
        <v>0.14155251141552516</v>
      </c>
      <c r="I1107" s="47"/>
      <c r="J1107" s="48">
        <f>VLOOKUP(A1107,'[1]תקציב 2026'!$A$1:$M$65536,9,0)</f>
        <v>7500</v>
      </c>
      <c r="K1107" s="49">
        <f>7300*0.9</f>
        <v>6570</v>
      </c>
      <c r="L1107" s="50">
        <f>VLOOKUP(A1107,[2]data1761205830331!$A$1:$J$65536,10,0)</f>
        <v>5276.61</v>
      </c>
    </row>
    <row r="1108" spans="1:12" ht="15.6" outlineLevel="1">
      <c r="A1108" s="11">
        <v>1617000512</v>
      </c>
      <c r="B1108" s="40">
        <v>512</v>
      </c>
      <c r="C1108" s="109">
        <v>617000</v>
      </c>
      <c r="D1108" s="42">
        <v>1</v>
      </c>
      <c r="E1108" s="43"/>
      <c r="F1108" s="44" t="s">
        <v>88</v>
      </c>
      <c r="G1108" s="45" t="s">
        <v>37</v>
      </c>
      <c r="H1108" s="51">
        <f t="shared" si="16"/>
        <v>0</v>
      </c>
      <c r="I1108" s="47"/>
      <c r="J1108" s="48">
        <f>VLOOKUP(A1108,'[1]תקציב 2026'!$A$1:$M$65536,9,0)</f>
        <v>5400</v>
      </c>
      <c r="K1108" s="49">
        <f>6000*0.9</f>
        <v>5400</v>
      </c>
      <c r="L1108" s="50">
        <f>VLOOKUP(A1108,[2]data1761205830331!$A$1:$J$65536,10,0)</f>
        <v>2620.1999999999998</v>
      </c>
    </row>
    <row r="1109" spans="1:12" ht="15.6" outlineLevel="1">
      <c r="A1109" s="11">
        <v>1617000522</v>
      </c>
      <c r="B1109" s="40">
        <v>522</v>
      </c>
      <c r="C1109" s="109">
        <v>617000</v>
      </c>
      <c r="D1109" s="42">
        <v>1</v>
      </c>
      <c r="E1109" s="43"/>
      <c r="F1109" s="44" t="s">
        <v>90</v>
      </c>
      <c r="G1109" s="45" t="s">
        <v>37</v>
      </c>
      <c r="H1109" s="51">
        <f t="shared" si="16"/>
        <v>-1.2345679012345734E-2</v>
      </c>
      <c r="I1109" s="47"/>
      <c r="J1109" s="48">
        <f>VLOOKUP(A1109,'[1]תקציב 2026'!$A$1:$M$65536,9,0)</f>
        <v>4000</v>
      </c>
      <c r="K1109" s="49">
        <f>VLOOKUP(A1109,[3]גיליון1!$A$1:$C$7693,3,0)*0.9</f>
        <v>4050</v>
      </c>
      <c r="L1109" s="50">
        <f>VLOOKUP(A1109,[2]data1761205830331!$A$1:$J$65536,10,0)</f>
        <v>3886.58</v>
      </c>
    </row>
    <row r="1110" spans="1:12" ht="15.6" outlineLevel="1">
      <c r="A1110" s="11">
        <v>1617000525</v>
      </c>
      <c r="B1110" s="40">
        <v>525</v>
      </c>
      <c r="C1110" s="109">
        <v>617000</v>
      </c>
      <c r="D1110" s="42">
        <v>1</v>
      </c>
      <c r="E1110" s="43"/>
      <c r="F1110" s="44" t="s">
        <v>835</v>
      </c>
      <c r="G1110" s="45" t="s">
        <v>37</v>
      </c>
      <c r="H1110" s="51">
        <f t="shared" si="16"/>
        <v>6.6666666666666652E-2</v>
      </c>
      <c r="I1110" s="47"/>
      <c r="J1110" s="48">
        <f>VLOOKUP(A1110,'[1]תקציב 2026'!$A$1:$M$65536,9,0)</f>
        <v>24000</v>
      </c>
      <c r="K1110" s="49">
        <f>25000*0.9</f>
        <v>22500</v>
      </c>
      <c r="L1110" s="50">
        <f>VLOOKUP(A1110,[2]data1761205830331!$A$1:$J$65536,10,0)</f>
        <v>18402</v>
      </c>
    </row>
    <row r="1111" spans="1:12" ht="15.6" outlineLevel="1">
      <c r="A1111" s="11">
        <v>1617000544</v>
      </c>
      <c r="B1111" s="40">
        <v>544</v>
      </c>
      <c r="C1111" s="109">
        <v>617000</v>
      </c>
      <c r="D1111" s="42">
        <v>1</v>
      </c>
      <c r="E1111" s="43"/>
      <c r="F1111" s="44" t="s">
        <v>743</v>
      </c>
      <c r="G1111" s="45" t="s">
        <v>29</v>
      </c>
      <c r="H1111" s="51">
        <f t="shared" si="16"/>
        <v>-0.30232558139534882</v>
      </c>
      <c r="I1111" s="47"/>
      <c r="J1111" s="48">
        <f>VLOOKUP(A1111,'[1]תקציב 2026'!$A$1:$M$65536,9,0)</f>
        <v>3000</v>
      </c>
      <c r="K1111" s="49">
        <v>4300</v>
      </c>
      <c r="L1111" s="50">
        <f>VLOOKUP(A1111,[2]data1761205830331!$A$1:$J$65536,10,0)</f>
        <v>611.79999999999995</v>
      </c>
    </row>
    <row r="1112" spans="1:12" ht="15.6" outlineLevel="1">
      <c r="A1112" s="11">
        <v>1617000561</v>
      </c>
      <c r="B1112" s="40">
        <v>561</v>
      </c>
      <c r="C1112" s="109">
        <v>617000</v>
      </c>
      <c r="D1112" s="42">
        <v>1</v>
      </c>
      <c r="E1112" s="43"/>
      <c r="F1112" s="44" t="s">
        <v>74</v>
      </c>
      <c r="G1112" s="45" t="s">
        <v>37</v>
      </c>
      <c r="H1112" s="51">
        <f t="shared" si="16"/>
        <v>-1</v>
      </c>
      <c r="I1112" s="47"/>
      <c r="J1112" s="48">
        <f>VLOOKUP(A1112,'[1]תקציב 2026'!$A$1:$M$65536,9,0)</f>
        <v>0</v>
      </c>
      <c r="K1112" s="49">
        <f>VLOOKUP(A1112,[3]גיליון1!$A$1:$C$7693,3,0)*0.9</f>
        <v>810</v>
      </c>
      <c r="L1112" s="50">
        <f>VLOOKUP(A1112,[2]data1761205830331!$A$1:$J$65536,10,0)</f>
        <v>0</v>
      </c>
    </row>
    <row r="1113" spans="1:12" ht="15.6" outlineLevel="1">
      <c r="A1113" s="11">
        <v>1617000571</v>
      </c>
      <c r="B1113" s="40">
        <v>571</v>
      </c>
      <c r="C1113" s="109">
        <v>617000</v>
      </c>
      <c r="D1113" s="42">
        <v>1</v>
      </c>
      <c r="E1113" s="43"/>
      <c r="F1113" s="44" t="s">
        <v>75</v>
      </c>
      <c r="G1113" s="45" t="s">
        <v>29</v>
      </c>
      <c r="H1113" s="51">
        <f t="shared" si="16"/>
        <v>0</v>
      </c>
      <c r="I1113" s="47"/>
      <c r="J1113" s="48">
        <f>VLOOKUP(A1113,'[1]תקציב 2026'!$A$1:$M$65536,9,0)</f>
        <v>172600</v>
      </c>
      <c r="K1113" s="49">
        <v>172600</v>
      </c>
      <c r="L1113" s="50">
        <f>VLOOKUP(A1113,[2]data1761205830331!$A$1:$J$65536,10,0)</f>
        <v>156900</v>
      </c>
    </row>
    <row r="1114" spans="1:12" ht="15.6" outlineLevel="1">
      <c r="A1114" s="11">
        <v>1617000581</v>
      </c>
      <c r="B1114" s="40">
        <v>581</v>
      </c>
      <c r="C1114" s="109">
        <v>617000</v>
      </c>
      <c r="D1114" s="42">
        <v>1</v>
      </c>
      <c r="E1114" s="43"/>
      <c r="F1114" s="44" t="s">
        <v>836</v>
      </c>
      <c r="G1114" s="45" t="s">
        <v>29</v>
      </c>
      <c r="H1114" s="51">
        <f t="shared" si="16"/>
        <v>0.77777777777777768</v>
      </c>
      <c r="I1114" s="47"/>
      <c r="J1114" s="48">
        <f>VLOOKUP(A1114,'[1]תקציב 2026'!$A$1:$M$65536,9,0)</f>
        <v>800000</v>
      </c>
      <c r="K1114" s="49">
        <f>VLOOKUP(A1114,[3]גיליון1!$A$1:$C$7693,3,0)*0.9</f>
        <v>450000</v>
      </c>
      <c r="L1114" s="50">
        <f>VLOOKUP(A1114,[2]data1761205830331!$A$1:$J$65536,10,0)</f>
        <v>360791.23</v>
      </c>
    </row>
    <row r="1115" spans="1:12" ht="15.6" outlineLevel="1">
      <c r="A1115" s="11">
        <v>1617000582</v>
      </c>
      <c r="B1115" s="40">
        <v>582</v>
      </c>
      <c r="C1115" s="109">
        <v>617000</v>
      </c>
      <c r="D1115" s="42">
        <v>1</v>
      </c>
      <c r="E1115" s="43"/>
      <c r="F1115" s="44" t="s">
        <v>837</v>
      </c>
      <c r="G1115" s="45" t="s">
        <v>29</v>
      </c>
      <c r="H1115" s="51">
        <f t="shared" si="16"/>
        <v>0.7543859649122806</v>
      </c>
      <c r="I1115" s="47"/>
      <c r="J1115" s="48">
        <f>VLOOKUP(A1115,'[1]תקציב 2026'!$A$1:$M$65536,9,0)</f>
        <v>300000</v>
      </c>
      <c r="K1115" s="49">
        <f>VLOOKUP(A1115,[3]גיליון1!$A$1:$C$7693,3,0)*0.9</f>
        <v>171000</v>
      </c>
      <c r="L1115" s="50">
        <f>VLOOKUP(A1115,[2]data1761205830331!$A$1:$J$65536,10,0)</f>
        <v>532524.94999999995</v>
      </c>
    </row>
    <row r="1116" spans="1:12" ht="16.2" outlineLevel="1" thickBot="1">
      <c r="A1116" s="11">
        <v>1617000781</v>
      </c>
      <c r="B1116" s="40">
        <v>781</v>
      </c>
      <c r="C1116" s="109">
        <v>617000</v>
      </c>
      <c r="D1116" s="42">
        <v>1</v>
      </c>
      <c r="E1116" s="43"/>
      <c r="F1116" s="44" t="s">
        <v>775</v>
      </c>
      <c r="G1116" s="45" t="s">
        <v>37</v>
      </c>
      <c r="H1116" s="51">
        <f t="shared" ref="H1116:H1169" si="17">J1116/K1116-1</f>
        <v>0.93333333333333335</v>
      </c>
      <c r="I1116" s="47"/>
      <c r="J1116" s="48">
        <f>VLOOKUP(A1116,'[1]תקציב 2026'!$A$1:$M$65536,9,0)</f>
        <v>17400</v>
      </c>
      <c r="K1116" s="49">
        <f>VLOOKUP(A1116,[3]גיליון1!$A$1:$C$7693,3,0)*0.9</f>
        <v>9000</v>
      </c>
      <c r="L1116" s="50">
        <f>VLOOKUP(A1116,[2]data1761205830331!$A$1:$J$65536,10,0)</f>
        <v>4981.51</v>
      </c>
    </row>
    <row r="1117" spans="1:12" ht="16.2" thickBot="1">
      <c r="A1117" s="11" t="e">
        <v>#VALUE!</v>
      </c>
      <c r="B1117" s="53" t="s">
        <v>838</v>
      </c>
      <c r="C1117" s="223"/>
      <c r="D1117" s="55"/>
      <c r="E1117" s="56"/>
      <c r="F1117" s="116" t="s">
        <v>832</v>
      </c>
      <c r="G1117" s="58"/>
      <c r="H1117" s="166">
        <f>J1117/K1117-1</f>
        <v>8.8735760908627448E-2</v>
      </c>
      <c r="I1117" s="72"/>
      <c r="J1117" s="74">
        <f>SUBTOTAL(9,J1098:J1116)</f>
        <v>7816230</v>
      </c>
      <c r="K1117" s="92">
        <f>SUBTOTAL(9,K1098:K1116)</f>
        <v>7179180</v>
      </c>
      <c r="L1117" s="75">
        <f>SUBTOTAL(9,L1098:L1116)</f>
        <v>6999937.04</v>
      </c>
    </row>
    <row r="1118" spans="1:12" ht="15.6" outlineLevel="1">
      <c r="A1118" s="11">
        <v>16180000</v>
      </c>
      <c r="B1118" s="64">
        <v>0</v>
      </c>
      <c r="C1118" s="131">
        <v>618000</v>
      </c>
      <c r="D1118" s="66">
        <v>1</v>
      </c>
      <c r="E1118" s="67"/>
      <c r="F1118" s="68" t="s">
        <v>839</v>
      </c>
      <c r="G1118" s="69" t="s">
        <v>15</v>
      </c>
      <c r="H1118" s="51"/>
      <c r="I1118" s="47"/>
      <c r="J1118" s="48"/>
      <c r="K1118" s="49"/>
      <c r="L1118" s="50"/>
    </row>
    <row r="1119" spans="1:12" ht="15.6" outlineLevel="1">
      <c r="A1119" s="11">
        <v>1618000110</v>
      </c>
      <c r="B1119" s="40">
        <v>110</v>
      </c>
      <c r="C1119" s="109">
        <v>618000</v>
      </c>
      <c r="D1119" s="42">
        <v>1</v>
      </c>
      <c r="E1119" s="43"/>
      <c r="F1119" s="44" t="s">
        <v>21</v>
      </c>
      <c r="G1119" s="45" t="s">
        <v>22</v>
      </c>
      <c r="H1119" s="51">
        <f t="shared" si="17"/>
        <v>2.4986149584487416E-2</v>
      </c>
      <c r="I1119" s="47"/>
      <c r="J1119" s="48">
        <f>VLOOKUP(A1119,'[1]תקציב 2026'!$A$1:$M$65536,9,0)</f>
        <v>185009.99999999997</v>
      </c>
      <c r="K1119" s="49">
        <v>180500</v>
      </c>
      <c r="L1119" s="50">
        <f>VLOOKUP(A1119,[2]data1761205830331!$A$1:$J$65536,10,0)</f>
        <v>35215.07</v>
      </c>
    </row>
    <row r="1120" spans="1:12" ht="15.6" outlineLevel="1">
      <c r="A1120" s="11">
        <v>1618000119</v>
      </c>
      <c r="B1120" s="40">
        <v>119</v>
      </c>
      <c r="C1120" s="109">
        <v>618000</v>
      </c>
      <c r="D1120" s="42">
        <v>1</v>
      </c>
      <c r="E1120" s="43"/>
      <c r="F1120" s="44" t="s">
        <v>23</v>
      </c>
      <c r="G1120" s="45" t="s">
        <v>22</v>
      </c>
      <c r="H1120" s="51">
        <f t="shared" si="17"/>
        <v>-0.40070386043699813</v>
      </c>
      <c r="I1120" s="47"/>
      <c r="J1120" s="48">
        <f>VLOOKUP(A1120,'[1]תקציב 2026'!$A$1:$M$65536,9,0)</f>
        <v>1387849.9999999998</v>
      </c>
      <c r="K1120" s="49">
        <v>2315800</v>
      </c>
      <c r="L1120" s="50">
        <f>VLOOKUP(A1120,[2]data1761205830331!$A$1:$J$65536,10,0)</f>
        <v>1481608.89</v>
      </c>
    </row>
    <row r="1121" spans="1:12" ht="15.6" outlineLevel="1">
      <c r="A1121" s="11">
        <v>1618000122</v>
      </c>
      <c r="B1121" s="40">
        <v>122</v>
      </c>
      <c r="C1121" s="109">
        <v>618000</v>
      </c>
      <c r="D1121" s="42">
        <v>1</v>
      </c>
      <c r="E1121" s="43"/>
      <c r="F1121" s="44" t="s">
        <v>24</v>
      </c>
      <c r="G1121" s="45" t="s">
        <v>22</v>
      </c>
      <c r="H1121" s="51">
        <f t="shared" si="17"/>
        <v>0</v>
      </c>
      <c r="I1121" s="47"/>
      <c r="J1121" s="48">
        <f>VLOOKUP(A1121,'[1]תקציב 2026'!$A$1:$M$65536,9,0)</f>
        <v>17000</v>
      </c>
      <c r="K1121" s="49">
        <f>VLOOKUP(A1121,[3]גיליון1!$A$1:$C$7693,3,0)</f>
        <v>17000</v>
      </c>
      <c r="L1121" s="50">
        <f>VLOOKUP(A1121,[2]data1761205830331!$A$1:$J$65536,10,0)</f>
        <v>19633.82</v>
      </c>
    </row>
    <row r="1122" spans="1:12" ht="15.6" outlineLevel="1">
      <c r="A1122" s="11">
        <v>1618000126</v>
      </c>
      <c r="B1122" s="40">
        <v>126</v>
      </c>
      <c r="C1122" s="109">
        <v>618000</v>
      </c>
      <c r="D1122" s="42">
        <v>1</v>
      </c>
      <c r="E1122" s="43"/>
      <c r="F1122" s="44" t="s">
        <v>25</v>
      </c>
      <c r="G1122" s="45" t="s">
        <v>22</v>
      </c>
      <c r="H1122" s="51">
        <f t="shared" si="17"/>
        <v>0</v>
      </c>
      <c r="I1122" s="47"/>
      <c r="J1122" s="48">
        <f>VLOOKUP(A1122,'[1]תקציב 2026'!$A$1:$M$65536,9,0)</f>
        <v>35000</v>
      </c>
      <c r="K1122" s="49">
        <f>VLOOKUP(A1122,[3]גיליון1!$A$1:$C$7693,3,0)</f>
        <v>35000</v>
      </c>
      <c r="L1122" s="50">
        <f>VLOOKUP(A1122,[2]data1761205830331!$A$1:$J$65536,10,0)</f>
        <v>40721.72</v>
      </c>
    </row>
    <row r="1123" spans="1:12" ht="15.6" outlineLevel="1">
      <c r="A1123" s="11">
        <v>1618000130</v>
      </c>
      <c r="B1123" s="40">
        <v>130</v>
      </c>
      <c r="C1123" s="109">
        <v>618000</v>
      </c>
      <c r="D1123" s="42">
        <v>1</v>
      </c>
      <c r="E1123" s="43"/>
      <c r="F1123" s="44" t="s">
        <v>26</v>
      </c>
      <c r="G1123" s="45" t="s">
        <v>22</v>
      </c>
      <c r="H1123" s="51">
        <f t="shared" si="17"/>
        <v>0</v>
      </c>
      <c r="I1123" s="47"/>
      <c r="J1123" s="48">
        <f>VLOOKUP(A1123,'[1]תקציב 2026'!$A$1:$M$65536,9,0)</f>
        <v>27180</v>
      </c>
      <c r="K1123" s="49">
        <v>27180</v>
      </c>
      <c r="L1123" s="50">
        <f>VLOOKUP(A1123,[2]data1761205830331!$A$1:$J$65536,10,0)</f>
        <v>0</v>
      </c>
    </row>
    <row r="1124" spans="1:12" ht="15.6" outlineLevel="1">
      <c r="A1124" s="11">
        <v>1618000140</v>
      </c>
      <c r="B1124" s="40">
        <v>140</v>
      </c>
      <c r="C1124" s="109">
        <v>618000</v>
      </c>
      <c r="D1124" s="42">
        <v>1</v>
      </c>
      <c r="E1124" s="43"/>
      <c r="F1124" s="44" t="s">
        <v>27</v>
      </c>
      <c r="G1124" s="45" t="s">
        <v>22</v>
      </c>
      <c r="H1124" s="51">
        <f t="shared" si="17"/>
        <v>0</v>
      </c>
      <c r="I1124" s="47"/>
      <c r="J1124" s="48">
        <f>VLOOKUP(A1124,'[1]תקציב 2026'!$A$1:$M$65536,9,0)</f>
        <v>180900</v>
      </c>
      <c r="K1124" s="49">
        <f>VLOOKUP(A1124,[3]גיליון1!$A$1:$C$7693,3,0)</f>
        <v>180900</v>
      </c>
      <c r="L1124" s="50">
        <f>VLOOKUP(A1124,[2]data1761205830331!$A$1:$J$65536,10,0)</f>
        <v>189525.94</v>
      </c>
    </row>
    <row r="1125" spans="1:12" ht="15.6" outlineLevel="1">
      <c r="A1125" s="11">
        <v>1618000253</v>
      </c>
      <c r="B1125" s="40">
        <v>253</v>
      </c>
      <c r="C1125" s="109">
        <v>618000</v>
      </c>
      <c r="D1125" s="42">
        <v>1</v>
      </c>
      <c r="E1125" s="43"/>
      <c r="F1125" s="44" t="s">
        <v>738</v>
      </c>
      <c r="G1125" s="45" t="s">
        <v>22</v>
      </c>
      <c r="H1125" s="51">
        <v>0</v>
      </c>
      <c r="I1125" s="47"/>
      <c r="J1125" s="48">
        <f>VLOOKUP(A1125,'[1]תקציב 2026'!$A$1:$M$65536,9,0)</f>
        <v>0</v>
      </c>
      <c r="K1125" s="49">
        <v>0</v>
      </c>
      <c r="L1125" s="50">
        <f>VLOOKUP(A1125,[2]data1761205830331!$A$1:$J$65536,10,0)</f>
        <v>56211.86</v>
      </c>
    </row>
    <row r="1126" spans="1:12" ht="15.6" outlineLevel="1">
      <c r="A1126" s="11">
        <v>1618000471</v>
      </c>
      <c r="B1126" s="40">
        <v>471</v>
      </c>
      <c r="C1126" s="109">
        <v>618000</v>
      </c>
      <c r="D1126" s="42">
        <v>1</v>
      </c>
      <c r="E1126" s="43"/>
      <c r="F1126" s="44" t="s">
        <v>71</v>
      </c>
      <c r="G1126" s="45" t="s">
        <v>37</v>
      </c>
      <c r="H1126" s="51">
        <f t="shared" si="17"/>
        <v>-4.6296296296296502E-3</v>
      </c>
      <c r="I1126" s="47"/>
      <c r="J1126" s="48">
        <f>VLOOKUP(A1126,'[1]תקציב 2026'!$A$1:$M$65536,9,0)</f>
        <v>4300</v>
      </c>
      <c r="K1126" s="49">
        <f>VLOOKUP(A1126,[3]גיליון1!$A$1:$C$7693,3,0)*0.9</f>
        <v>4320</v>
      </c>
      <c r="L1126" s="50">
        <f>VLOOKUP(A1126,[2]data1761205830331!$A$1:$J$65536,10,0)</f>
        <v>4391.72</v>
      </c>
    </row>
    <row r="1127" spans="1:12" ht="15.6" outlineLevel="1">
      <c r="A1127" s="11">
        <v>1618000511</v>
      </c>
      <c r="B1127" s="40">
        <v>511</v>
      </c>
      <c r="C1127" s="109">
        <v>618000</v>
      </c>
      <c r="D1127" s="42">
        <v>1</v>
      </c>
      <c r="E1127" s="43"/>
      <c r="F1127" s="44" t="s">
        <v>72</v>
      </c>
      <c r="G1127" s="45" t="s">
        <v>37</v>
      </c>
      <c r="H1127" s="51">
        <f t="shared" si="17"/>
        <v>-1</v>
      </c>
      <c r="I1127" s="47"/>
      <c r="J1127" s="48">
        <f>VLOOKUP(A1127,'[1]תקציב 2026'!$A$1:$M$65536,9,0)</f>
        <v>0</v>
      </c>
      <c r="K1127" s="49">
        <f>1800*0.9</f>
        <v>1620</v>
      </c>
      <c r="L1127" s="50">
        <f>VLOOKUP(A1127,[2]data1761205830331!$A$1:$J$65536,10,0)</f>
        <v>1146.9100000000001</v>
      </c>
    </row>
    <row r="1128" spans="1:12" ht="15.6" outlineLevel="1">
      <c r="A1128" s="11">
        <v>1618000562</v>
      </c>
      <c r="B1128" s="40">
        <v>562</v>
      </c>
      <c r="C1128" s="109">
        <v>618000</v>
      </c>
      <c r="D1128" s="42">
        <v>1</v>
      </c>
      <c r="E1128" s="43"/>
      <c r="F1128" s="44" t="s">
        <v>840</v>
      </c>
      <c r="G1128" s="45" t="s">
        <v>37</v>
      </c>
      <c r="H1128" s="51">
        <f t="shared" si="17"/>
        <v>0.11111111111111116</v>
      </c>
      <c r="I1128" s="47"/>
      <c r="J1128" s="48">
        <f>VLOOKUP(A1128,'[1]תקציב 2026'!$A$1:$M$65536,9,0)</f>
        <v>60000</v>
      </c>
      <c r="K1128" s="49">
        <f>VLOOKUP(A1128,[3]גיליון1!$A$1:$C$7693,3,0)*0.9</f>
        <v>54000</v>
      </c>
      <c r="L1128" s="50">
        <f>VLOOKUP(A1128,[2]data1761205830331!$A$1:$J$65536,10,0)</f>
        <v>0</v>
      </c>
    </row>
    <row r="1129" spans="1:12" ht="15.6" outlineLevel="1">
      <c r="A1129" s="11">
        <v>1618000571</v>
      </c>
      <c r="B1129" s="40">
        <v>571</v>
      </c>
      <c r="C1129" s="109">
        <v>618000</v>
      </c>
      <c r="D1129" s="42">
        <v>1</v>
      </c>
      <c r="E1129" s="43"/>
      <c r="F1129" s="44" t="s">
        <v>75</v>
      </c>
      <c r="G1129" s="45" t="s">
        <v>29</v>
      </c>
      <c r="H1129" s="51">
        <f t="shared" si="17"/>
        <v>0</v>
      </c>
      <c r="I1129" s="47"/>
      <c r="J1129" s="48">
        <f>VLOOKUP(A1129,'[1]תקציב 2026'!$A$1:$M$65536,9,0)</f>
        <v>75100</v>
      </c>
      <c r="K1129" s="49">
        <v>75100</v>
      </c>
      <c r="L1129" s="50">
        <f>VLOOKUP(A1129,[2]data1761205830331!$A$1:$J$65536,10,0)</f>
        <v>63100</v>
      </c>
    </row>
    <row r="1130" spans="1:12" ht="15.6" outlineLevel="1">
      <c r="A1130" s="11">
        <v>1618000580</v>
      </c>
      <c r="B1130" s="40">
        <v>580</v>
      </c>
      <c r="C1130" s="109">
        <v>618000</v>
      </c>
      <c r="D1130" s="42">
        <v>1</v>
      </c>
      <c r="E1130" s="43"/>
      <c r="F1130" s="44" t="s">
        <v>841</v>
      </c>
      <c r="G1130" s="45" t="s">
        <v>37</v>
      </c>
      <c r="H1130" s="51">
        <f t="shared" si="17"/>
        <v>-0.66666666666666674</v>
      </c>
      <c r="I1130" s="47"/>
      <c r="J1130" s="48">
        <f>VLOOKUP(A1130,'[1]תקציב 2026'!$A$1:$M$65536,9,0)</f>
        <v>60000</v>
      </c>
      <c r="K1130" s="49">
        <f>200000*0.9</f>
        <v>180000</v>
      </c>
      <c r="L1130" s="50">
        <f>VLOOKUP(A1130,[2]data1761205830331!$A$1:$J$65536,10,0)</f>
        <v>39195</v>
      </c>
    </row>
    <row r="1131" spans="1:12" ht="15.6" outlineLevel="1">
      <c r="A1131" s="11">
        <v>1618000582</v>
      </c>
      <c r="B1131" s="40">
        <v>582</v>
      </c>
      <c r="C1131" s="109">
        <v>618000</v>
      </c>
      <c r="D1131" s="42">
        <v>1</v>
      </c>
      <c r="E1131" s="43"/>
      <c r="F1131" s="44" t="s">
        <v>842</v>
      </c>
      <c r="G1131" s="45" t="s">
        <v>37</v>
      </c>
      <c r="H1131" s="51">
        <f t="shared" si="17"/>
        <v>0</v>
      </c>
      <c r="I1131" s="47"/>
      <c r="J1131" s="48">
        <f>VLOOKUP(A1131,'[1]תקציב 2026'!$A$1:$M$65536,9,0)</f>
        <v>40500</v>
      </c>
      <c r="K1131" s="49">
        <f>45000*0.9</f>
        <v>40500</v>
      </c>
      <c r="L1131" s="50">
        <f>VLOOKUP(A1131,[2]data1761205830331!$A$1:$J$65536,10,0)</f>
        <v>20250</v>
      </c>
    </row>
    <row r="1132" spans="1:12" ht="15.6" outlineLevel="1">
      <c r="A1132" s="11">
        <v>1618000780</v>
      </c>
      <c r="B1132" s="40">
        <v>780</v>
      </c>
      <c r="C1132" s="109">
        <v>618000</v>
      </c>
      <c r="D1132" s="42">
        <v>1</v>
      </c>
      <c r="E1132" s="43"/>
      <c r="F1132" s="44" t="str">
        <f>[4]גיליון1!$F$1961</f>
        <v>מערך ארגון ושיטות</v>
      </c>
      <c r="G1132" s="45" t="s">
        <v>37</v>
      </c>
      <c r="H1132" s="51">
        <f t="shared" si="17"/>
        <v>0</v>
      </c>
      <c r="I1132" s="47"/>
      <c r="J1132" s="48">
        <f>VLOOKUP(A1132,'[1]תקציב 2026'!$A$1:$M$65536,9,0)</f>
        <v>85500</v>
      </c>
      <c r="K1132" s="49">
        <f>VLOOKUP(A1132,[3]גיליון1!$A$1:$C$7693,3,0)*0.9</f>
        <v>85500</v>
      </c>
      <c r="L1132" s="50">
        <f>VLOOKUP(A1132,[2]data1761205830331!$A$1:$J$65536,10,0)</f>
        <v>23311.83</v>
      </c>
    </row>
    <row r="1133" spans="1:12" ht="15.6" outlineLevel="1">
      <c r="A1133" s="11">
        <v>1618000781</v>
      </c>
      <c r="B1133" s="40">
        <v>781</v>
      </c>
      <c r="C1133" s="109">
        <v>618000</v>
      </c>
      <c r="D1133" s="42">
        <v>1</v>
      </c>
      <c r="E1133" s="43"/>
      <c r="F1133" s="44" t="s">
        <v>843</v>
      </c>
      <c r="G1133" s="45" t="s">
        <v>37</v>
      </c>
      <c r="H1133" s="51">
        <v>1</v>
      </c>
      <c r="I1133" s="47"/>
      <c r="J1133" s="48">
        <f>VLOOKUP(A1133,'[1]תקציב 2026'!$A$1:$M$65536,9,0)</f>
        <v>30000</v>
      </c>
      <c r="K1133" s="49">
        <v>0</v>
      </c>
      <c r="L1133" s="50">
        <f>VLOOKUP(A1133,[2]data1761205830331!$A$1:$J$65536,10,0)</f>
        <v>0</v>
      </c>
    </row>
    <row r="1134" spans="1:12" ht="16.2" outlineLevel="1" thickBot="1">
      <c r="A1134" s="11">
        <f>[4]גיליון1!$A$1963</f>
        <v>1618000783</v>
      </c>
      <c r="B1134" s="40">
        <f>[4]גיליון1!$B$1963</f>
        <v>783</v>
      </c>
      <c r="C1134" s="109">
        <v>618000</v>
      </c>
      <c r="D1134" s="42">
        <v>1</v>
      </c>
      <c r="E1134" s="43"/>
      <c r="F1134" s="44" t="str">
        <f>[4]גיליון1!$F$1963</f>
        <v>מפגשי מנהלים</v>
      </c>
      <c r="G1134" s="45" t="str">
        <f>[4]גיליון1!$H$1959</f>
        <v>גמיש</v>
      </c>
      <c r="H1134" s="51">
        <f t="shared" si="17"/>
        <v>0.66666666666666674</v>
      </c>
      <c r="I1134" s="47"/>
      <c r="J1134" s="48">
        <f>VLOOKUP(A1134,'[1]תקציב 2026'!$A$1:$M$65536,9,0)</f>
        <v>30000</v>
      </c>
      <c r="K1134" s="49">
        <f>20000*0.9</f>
        <v>18000</v>
      </c>
      <c r="L1134" s="50">
        <f>VLOOKUP(A1134,[2]data1761205830331!$A$1:$J$65536,10,0)</f>
        <v>7020</v>
      </c>
    </row>
    <row r="1135" spans="1:12" ht="16.2" thickBot="1">
      <c r="A1135" s="11" t="e">
        <v>#VALUE!</v>
      </c>
      <c r="B1135" s="53" t="s">
        <v>844</v>
      </c>
      <c r="C1135" s="223"/>
      <c r="D1135" s="55"/>
      <c r="E1135" s="56"/>
      <c r="F1135" s="116" t="s">
        <v>839</v>
      </c>
      <c r="G1135" s="58"/>
      <c r="H1135" s="166">
        <f>J1135/K1135-1</f>
        <v>-0.3100932382083833</v>
      </c>
      <c r="I1135" s="72"/>
      <c r="J1135" s="74">
        <f>SUBTOTAL(9,J1119:J1134)</f>
        <v>2218340</v>
      </c>
      <c r="K1135" s="92">
        <f>SUBTOTAL(9,K1119:K1134)</f>
        <v>3215420</v>
      </c>
      <c r="L1135" s="75">
        <f>SUBTOTAL(9,L1119:L1134)</f>
        <v>1981332.76</v>
      </c>
    </row>
    <row r="1136" spans="1:12" ht="15.6" outlineLevel="1">
      <c r="A1136" s="11">
        <v>16190000</v>
      </c>
      <c r="B1136" s="40">
        <v>0</v>
      </c>
      <c r="C1136" s="109">
        <v>619000</v>
      </c>
      <c r="D1136" s="42">
        <v>1</v>
      </c>
      <c r="E1136" s="43"/>
      <c r="F1136" s="44" t="s">
        <v>156</v>
      </c>
      <c r="G1136" s="45" t="s">
        <v>15</v>
      </c>
      <c r="H1136" s="51"/>
      <c r="I1136" s="47"/>
      <c r="J1136" s="48"/>
      <c r="K1136" s="49"/>
      <c r="L1136" s="50"/>
    </row>
    <row r="1137" spans="1:12" ht="15.6" outlineLevel="1">
      <c r="A1137" s="11">
        <v>1619000980</v>
      </c>
      <c r="B1137" s="40">
        <v>980</v>
      </c>
      <c r="C1137" s="109">
        <v>619000</v>
      </c>
      <c r="D1137" s="42">
        <v>1</v>
      </c>
      <c r="E1137" s="43"/>
      <c r="F1137" s="44" t="s">
        <v>156</v>
      </c>
      <c r="G1137" s="45" t="s">
        <v>37</v>
      </c>
      <c r="H1137" s="51">
        <v>0</v>
      </c>
      <c r="I1137" s="47"/>
      <c r="J1137" s="48">
        <f>VLOOKUP(A1137,'[1]תקציב 2026'!$A$1:$M$65536,9,0)</f>
        <v>0</v>
      </c>
      <c r="K1137" s="49">
        <f>VLOOKUP(A1137,[3]גיליון1!$A$1:$C$7693,3,0)</f>
        <v>0</v>
      </c>
      <c r="L1137" s="50">
        <f>VLOOKUP(A1137,[2]data1761205830331!$A$1:$J$65536,10,0)</f>
        <v>733524.69</v>
      </c>
    </row>
    <row r="1138" spans="1:12" ht="16.2" outlineLevel="1" thickBot="1">
      <c r="A1138" s="11">
        <v>1619000981</v>
      </c>
      <c r="B1138" s="40">
        <v>981</v>
      </c>
      <c r="C1138" s="109">
        <v>619000</v>
      </c>
      <c r="D1138" s="42">
        <v>1</v>
      </c>
      <c r="E1138" s="43"/>
      <c r="F1138" s="44" t="s">
        <v>845</v>
      </c>
      <c r="G1138" s="45" t="s">
        <v>29</v>
      </c>
      <c r="H1138" s="51">
        <v>0</v>
      </c>
      <c r="I1138" s="47"/>
      <c r="J1138" s="48">
        <f>VLOOKUP(A1138,'[1]תקציב 2026'!$A$1:$M$65536,9,0)</f>
        <v>0</v>
      </c>
      <c r="K1138" s="49">
        <f>VLOOKUP(A1138,[3]גיליון1!$A$1:$C$7693,3,0)</f>
        <v>0</v>
      </c>
      <c r="L1138" s="50">
        <f>VLOOKUP(A1138,[2]data1761205830331!$A$1:$J$65536,10,0)</f>
        <v>2433455.4300000002</v>
      </c>
    </row>
    <row r="1139" spans="1:12" ht="16.2" thickBot="1">
      <c r="A1139" s="11" t="e">
        <v>#VALUE!</v>
      </c>
      <c r="B1139" s="53" t="s">
        <v>846</v>
      </c>
      <c r="C1139" s="223"/>
      <c r="D1139" s="55"/>
      <c r="E1139" s="56"/>
      <c r="F1139" s="116" t="s">
        <v>156</v>
      </c>
      <c r="G1139" s="58"/>
      <c r="H1139" s="226">
        <v>0</v>
      </c>
      <c r="I1139" s="72"/>
      <c r="J1139" s="74">
        <f>SUBTOTAL(9,J1137:J1138)</f>
        <v>0</v>
      </c>
      <c r="K1139" s="92">
        <f>SUBTOTAL(9,K1137:K1138)</f>
        <v>0</v>
      </c>
      <c r="L1139" s="75">
        <f>SUBTOTAL(9,L1137:L1138)</f>
        <v>3166980.12</v>
      </c>
    </row>
    <row r="1140" spans="1:12" ht="15.6" outlineLevel="1">
      <c r="A1140" s="11">
        <v>16200000</v>
      </c>
      <c r="B1140" s="40">
        <v>0</v>
      </c>
      <c r="C1140" s="109">
        <v>620000</v>
      </c>
      <c r="D1140" s="42">
        <v>1</v>
      </c>
      <c r="E1140" s="43"/>
      <c r="F1140" s="44" t="s">
        <v>847</v>
      </c>
      <c r="G1140" s="45" t="s">
        <v>15</v>
      </c>
      <c r="H1140" s="51"/>
      <c r="I1140" s="47"/>
      <c r="J1140" s="48"/>
      <c r="K1140" s="49"/>
      <c r="L1140" s="50"/>
    </row>
    <row r="1141" spans="1:12" ht="15.6" outlineLevel="1">
      <c r="A1141" s="11">
        <v>1621100119</v>
      </c>
      <c r="B1141" s="40">
        <v>119</v>
      </c>
      <c r="C1141" s="109">
        <v>621100</v>
      </c>
      <c r="D1141" s="42">
        <v>1</v>
      </c>
      <c r="E1141" s="43"/>
      <c r="F1141" s="44" t="s">
        <v>23</v>
      </c>
      <c r="G1141" s="45" t="s">
        <v>22</v>
      </c>
      <c r="H1141" s="51">
        <f t="shared" si="17"/>
        <v>2.4998426584429412E-2</v>
      </c>
      <c r="I1141" s="47"/>
      <c r="J1141" s="48">
        <f>VLOOKUP(A1141,'[1]תקציב 2026'!$A$1:$M$65536,9,0)</f>
        <v>1628619.9999999998</v>
      </c>
      <c r="K1141" s="49">
        <v>1588900</v>
      </c>
      <c r="L1141" s="50">
        <f>VLOOKUP(A1141,[2]data1761205830331!$A$1:$J$65536,10,0)</f>
        <v>1124730.43</v>
      </c>
    </row>
    <row r="1142" spans="1:12" ht="15.6" outlineLevel="1">
      <c r="A1142" s="11">
        <v>1621100122</v>
      </c>
      <c r="B1142" s="40">
        <v>122</v>
      </c>
      <c r="C1142" s="109">
        <v>621100</v>
      </c>
      <c r="D1142" s="42">
        <v>1</v>
      </c>
      <c r="E1142" s="43"/>
      <c r="F1142" s="44" t="s">
        <v>24</v>
      </c>
      <c r="G1142" s="45" t="s">
        <v>22</v>
      </c>
      <c r="H1142" s="51">
        <f t="shared" si="17"/>
        <v>0</v>
      </c>
      <c r="I1142" s="47"/>
      <c r="J1142" s="48">
        <f>VLOOKUP(A1142,'[1]תקציב 2026'!$A$1:$M$65536,9,0)</f>
        <v>10500</v>
      </c>
      <c r="K1142" s="49">
        <f>VLOOKUP(A1142,[3]גיליון1!$A$1:$C$7693,3,0)</f>
        <v>10500</v>
      </c>
      <c r="L1142" s="50">
        <f>VLOOKUP(A1142,[2]data1761205830331!$A$1:$J$65536,10,0)</f>
        <v>4981.32</v>
      </c>
    </row>
    <row r="1143" spans="1:12" ht="15.6" outlineLevel="1">
      <c r="A1143" s="11">
        <v>1621100126</v>
      </c>
      <c r="B1143" s="40">
        <v>126</v>
      </c>
      <c r="C1143" s="109">
        <v>621100</v>
      </c>
      <c r="D1143" s="42">
        <v>1</v>
      </c>
      <c r="E1143" s="43"/>
      <c r="F1143" s="44" t="s">
        <v>25</v>
      </c>
      <c r="G1143" s="45" t="s">
        <v>22</v>
      </c>
      <c r="H1143" s="51">
        <f t="shared" si="17"/>
        <v>0</v>
      </c>
      <c r="I1143" s="47"/>
      <c r="J1143" s="48">
        <f>VLOOKUP(A1143,'[1]תקציב 2026'!$A$1:$M$65536,9,0)</f>
        <v>22200</v>
      </c>
      <c r="K1143" s="49">
        <f>VLOOKUP(A1143,[3]גיליון1!$A$1:$C$7693,3,0)</f>
        <v>22200</v>
      </c>
      <c r="L1143" s="50">
        <f>VLOOKUP(A1143,[2]data1761205830331!$A$1:$J$65536,10,0)</f>
        <v>11435</v>
      </c>
    </row>
    <row r="1144" spans="1:12" ht="15.6" outlineLevel="1">
      <c r="A1144" s="11">
        <v>1621100130</v>
      </c>
      <c r="B1144" s="40">
        <v>130</v>
      </c>
      <c r="C1144" s="109">
        <v>621100</v>
      </c>
      <c r="D1144" s="42">
        <v>1</v>
      </c>
      <c r="E1144" s="43"/>
      <c r="F1144" s="44" t="s">
        <v>26</v>
      </c>
      <c r="G1144" s="45" t="s">
        <v>22</v>
      </c>
      <c r="H1144" s="51">
        <f t="shared" si="17"/>
        <v>0</v>
      </c>
      <c r="I1144" s="47"/>
      <c r="J1144" s="48">
        <f>VLOOKUP(A1144,'[1]תקציב 2026'!$A$1:$M$65536,9,0)</f>
        <v>3440</v>
      </c>
      <c r="K1144" s="49">
        <f>VLOOKUP(A1144,[3]גיליון1!$A$1:$C$7693,3,0)*0.86</f>
        <v>3440</v>
      </c>
      <c r="L1144" s="50">
        <f>VLOOKUP(A1144,[2]data1761205830331!$A$1:$J$65536,10,0)</f>
        <v>0</v>
      </c>
    </row>
    <row r="1145" spans="1:12" ht="15.6" outlineLevel="1">
      <c r="A1145" s="11">
        <v>1621100140</v>
      </c>
      <c r="B1145" s="40">
        <v>140</v>
      </c>
      <c r="C1145" s="109">
        <v>621100</v>
      </c>
      <c r="D1145" s="42">
        <v>1</v>
      </c>
      <c r="E1145" s="43"/>
      <c r="F1145" s="44" t="s">
        <v>27</v>
      </c>
      <c r="G1145" s="45" t="s">
        <v>22</v>
      </c>
      <c r="H1145" s="51">
        <f t="shared" si="17"/>
        <v>0</v>
      </c>
      <c r="I1145" s="47"/>
      <c r="J1145" s="48">
        <f>VLOOKUP(A1145,'[1]תקציב 2026'!$A$1:$M$65536,9,0)</f>
        <v>93500</v>
      </c>
      <c r="K1145" s="49">
        <f>VLOOKUP(A1145,[3]גיליון1!$A$1:$C$7693,3,0)</f>
        <v>93500</v>
      </c>
      <c r="L1145" s="50">
        <f>VLOOKUP(A1145,[2]data1761205830331!$A$1:$J$65536,10,0)</f>
        <v>62974.31</v>
      </c>
    </row>
    <row r="1146" spans="1:12" ht="15.6" outlineLevel="1">
      <c r="A1146" s="11">
        <v>1621100253</v>
      </c>
      <c r="B1146" s="40">
        <v>253</v>
      </c>
      <c r="C1146" s="109">
        <v>621100</v>
      </c>
      <c r="D1146" s="42">
        <v>1</v>
      </c>
      <c r="E1146" s="43"/>
      <c r="F1146" s="44" t="s">
        <v>738</v>
      </c>
      <c r="G1146" s="45" t="s">
        <v>22</v>
      </c>
      <c r="H1146" s="51">
        <v>0</v>
      </c>
      <c r="I1146" s="47"/>
      <c r="J1146" s="48">
        <f>VLOOKUP(A1146,'[1]תקציב 2026'!$A$1:$M$65536,9,0)</f>
        <v>0</v>
      </c>
      <c r="K1146" s="49">
        <v>0</v>
      </c>
      <c r="L1146" s="50">
        <f>VLOOKUP(A1146,[2]data1761205830331!$A$1:$J$65536,10,0)</f>
        <v>58003.86</v>
      </c>
    </row>
    <row r="1147" spans="1:12" ht="15.6" outlineLevel="1">
      <c r="A1147" s="11">
        <v>1621100350</v>
      </c>
      <c r="B1147" s="40">
        <v>350</v>
      </c>
      <c r="C1147" s="109">
        <v>621100</v>
      </c>
      <c r="D1147" s="42">
        <v>1</v>
      </c>
      <c r="E1147" s="43"/>
      <c r="F1147" s="44" t="s">
        <v>848</v>
      </c>
      <c r="G1147" s="45" t="s">
        <v>22</v>
      </c>
      <c r="H1147" s="51">
        <f t="shared" si="17"/>
        <v>6.3498098859315677E-2</v>
      </c>
      <c r="I1147" s="47"/>
      <c r="J1147" s="48">
        <v>55940</v>
      </c>
      <c r="K1147" s="49">
        <f>VLOOKUP(A1147,[3]גיליון1!$A$1:$C$7693,3,0)</f>
        <v>52600</v>
      </c>
      <c r="L1147" s="50">
        <f>VLOOKUP(A1147,[2]data1761205830331!$A$1:$J$65536,10,0)</f>
        <v>53518.81</v>
      </c>
    </row>
    <row r="1148" spans="1:12" ht="15.6" outlineLevel="1">
      <c r="A1148" s="11">
        <v>1621100351</v>
      </c>
      <c r="B1148" s="40">
        <v>351</v>
      </c>
      <c r="C1148" s="109">
        <v>621100</v>
      </c>
      <c r="D1148" s="42">
        <v>1</v>
      </c>
      <c r="E1148" s="43"/>
      <c r="F1148" s="44" t="s">
        <v>849</v>
      </c>
      <c r="G1148" s="45" t="s">
        <v>22</v>
      </c>
      <c r="H1148" s="51">
        <f t="shared" si="17"/>
        <v>-0.9</v>
      </c>
      <c r="I1148" s="47"/>
      <c r="J1148" s="48">
        <f>VLOOKUP(A1148,'[1]תקציב 2026'!$A$1:$M$65536,9,0)</f>
        <v>1000</v>
      </c>
      <c r="K1148" s="49">
        <v>10000</v>
      </c>
      <c r="L1148" s="50">
        <f>VLOOKUP(A1148,[2]data1761205830331!$A$1:$J$65536,10,0)</f>
        <v>1389.89</v>
      </c>
    </row>
    <row r="1149" spans="1:12" ht="15.6" outlineLevel="1">
      <c r="A1149" s="11">
        <v>1621100470</v>
      </c>
      <c r="B1149" s="40">
        <v>470</v>
      </c>
      <c r="C1149" s="109">
        <v>621100</v>
      </c>
      <c r="D1149" s="42">
        <v>1</v>
      </c>
      <c r="E1149" s="43"/>
      <c r="F1149" s="44" t="s">
        <v>43</v>
      </c>
      <c r="G1149" s="45" t="s">
        <v>37</v>
      </c>
      <c r="H1149" s="51">
        <f t="shared" si="17"/>
        <v>0</v>
      </c>
      <c r="I1149" s="47"/>
      <c r="J1149" s="48">
        <f>VLOOKUP(A1149,'[1]תקציב 2026'!$A$1:$M$65536,9,0)</f>
        <v>5400</v>
      </c>
      <c r="K1149" s="49">
        <f>VLOOKUP(A1149,[3]גיליון1!$A$1:$C$7693,3,0)*0.9</f>
        <v>5400</v>
      </c>
      <c r="L1149" s="50">
        <f>VLOOKUP(A1149,[2]data1761205830331!$A$1:$J$65536,10,0)</f>
        <v>381.6</v>
      </c>
    </row>
    <row r="1150" spans="1:12" ht="15.6" outlineLevel="1">
      <c r="A1150" s="11">
        <v>1621100471</v>
      </c>
      <c r="B1150" s="40">
        <v>471</v>
      </c>
      <c r="C1150" s="109">
        <v>621100</v>
      </c>
      <c r="D1150" s="42">
        <v>1</v>
      </c>
      <c r="E1150" s="43"/>
      <c r="F1150" s="44" t="s">
        <v>71</v>
      </c>
      <c r="G1150" s="45" t="s">
        <v>37</v>
      </c>
      <c r="H1150" s="51">
        <f t="shared" si="17"/>
        <v>0</v>
      </c>
      <c r="I1150" s="47"/>
      <c r="J1150" s="48">
        <f>VLOOKUP(A1150,'[1]תקציב 2026'!$A$1:$M$65536,9,0)</f>
        <v>5670</v>
      </c>
      <c r="K1150" s="49">
        <f>VLOOKUP(A1150,[3]גיליון1!$A$1:$C$7693,3,0)*0.9</f>
        <v>5670</v>
      </c>
      <c r="L1150" s="50">
        <f>VLOOKUP(A1150,[2]data1761205830331!$A$1:$J$65536,10,0)</f>
        <v>1628.88</v>
      </c>
    </row>
    <row r="1151" spans="1:12" ht="15.6" outlineLevel="1">
      <c r="A1151" s="11">
        <v>1621100492</v>
      </c>
      <c r="B1151" s="40">
        <v>492</v>
      </c>
      <c r="C1151" s="109">
        <v>621100</v>
      </c>
      <c r="D1151" s="42">
        <v>1</v>
      </c>
      <c r="E1151" s="43"/>
      <c r="F1151" s="44" t="s">
        <v>66</v>
      </c>
      <c r="G1151" s="45" t="s">
        <v>29</v>
      </c>
      <c r="H1151" s="51">
        <f t="shared" si="17"/>
        <v>7.2489601901366552E-2</v>
      </c>
      <c r="I1151" s="47"/>
      <c r="J1151" s="48">
        <f>VLOOKUP(A1151,'[1]תקציב 2026'!$A$1:$M$65536,9,0)</f>
        <v>361000</v>
      </c>
      <c r="K1151" s="49">
        <v>336600</v>
      </c>
      <c r="L1151" s="50">
        <f>VLOOKUP(A1151,[2]data1761205830331!$A$1:$J$65536,10,0)</f>
        <v>312069</v>
      </c>
    </row>
    <row r="1152" spans="1:12" ht="15.6" outlineLevel="1">
      <c r="A1152" s="11">
        <v>1621100511</v>
      </c>
      <c r="B1152" s="40">
        <v>511</v>
      </c>
      <c r="C1152" s="109">
        <v>621100</v>
      </c>
      <c r="D1152" s="42">
        <v>1</v>
      </c>
      <c r="E1152" s="43"/>
      <c r="F1152" s="44" t="s">
        <v>72</v>
      </c>
      <c r="G1152" s="45" t="s">
        <v>37</v>
      </c>
      <c r="H1152" s="51">
        <f t="shared" si="17"/>
        <v>1.8214936247722413E-3</v>
      </c>
      <c r="I1152" s="47"/>
      <c r="J1152" s="48">
        <f>VLOOKUP(A1152,'[1]תקציב 2026'!$A$1:$M$65536,9,0)</f>
        <v>5500</v>
      </c>
      <c r="K1152" s="49">
        <f>6100*0.9</f>
        <v>5490</v>
      </c>
      <c r="L1152" s="50">
        <f>VLOOKUP(A1152,[2]data1761205830331!$A$1:$J$65536,10,0)</f>
        <v>5100</v>
      </c>
    </row>
    <row r="1153" spans="1:12" ht="15.6" outlineLevel="1">
      <c r="A1153" s="11">
        <v>1621100512</v>
      </c>
      <c r="B1153" s="40">
        <v>512</v>
      </c>
      <c r="C1153" s="109">
        <v>621100</v>
      </c>
      <c r="D1153" s="42">
        <v>1</v>
      </c>
      <c r="E1153" s="43"/>
      <c r="F1153" s="44" t="s">
        <v>88</v>
      </c>
      <c r="G1153" s="45" t="s">
        <v>37</v>
      </c>
      <c r="H1153" s="51">
        <f t="shared" si="17"/>
        <v>0</v>
      </c>
      <c r="I1153" s="47"/>
      <c r="J1153" s="48">
        <f>VLOOKUP(A1153,'[1]תקציב 2026'!$A$1:$M$65536,9,0)</f>
        <v>1980</v>
      </c>
      <c r="K1153" s="49">
        <f>VLOOKUP(A1153,[3]גיליון1!$A$1:$C$7693,3,0)*0.9</f>
        <v>1980</v>
      </c>
      <c r="L1153" s="50">
        <f>VLOOKUP(A1153,[2]data1761205830331!$A$1:$J$65536,10,0)</f>
        <v>2501.44</v>
      </c>
    </row>
    <row r="1154" spans="1:12" ht="15.6" outlineLevel="1">
      <c r="A1154" s="11">
        <v>1621100522</v>
      </c>
      <c r="B1154" s="40">
        <v>522</v>
      </c>
      <c r="C1154" s="109">
        <v>621100</v>
      </c>
      <c r="D1154" s="42">
        <v>1</v>
      </c>
      <c r="E1154" s="43"/>
      <c r="F1154" s="44" t="s">
        <v>90</v>
      </c>
      <c r="G1154" s="45" t="s">
        <v>37</v>
      </c>
      <c r="H1154" s="51">
        <f t="shared" si="17"/>
        <v>0</v>
      </c>
      <c r="I1154" s="47"/>
      <c r="J1154" s="48">
        <f>VLOOKUP(A1154,'[1]תקציב 2026'!$A$1:$M$65536,9,0)</f>
        <v>6930</v>
      </c>
      <c r="K1154" s="49">
        <f>VLOOKUP(A1154,[3]גיליון1!$A$1:$C$7693,3,0)*0.9</f>
        <v>6930</v>
      </c>
      <c r="L1154" s="50">
        <f>VLOOKUP(A1154,[2]data1761205830331!$A$1:$J$65536,10,0)</f>
        <v>2681.64</v>
      </c>
    </row>
    <row r="1155" spans="1:12" ht="15.6" outlineLevel="1">
      <c r="A1155" s="11">
        <v>1621100544</v>
      </c>
      <c r="B1155" s="40">
        <v>544</v>
      </c>
      <c r="C1155" s="109">
        <v>621100</v>
      </c>
      <c r="D1155" s="42">
        <v>1</v>
      </c>
      <c r="E1155" s="43"/>
      <c r="F1155" s="44" t="s">
        <v>743</v>
      </c>
      <c r="G1155" s="45" t="s">
        <v>29</v>
      </c>
      <c r="H1155" s="51">
        <f t="shared" si="17"/>
        <v>0.77777777777777768</v>
      </c>
      <c r="I1155" s="47"/>
      <c r="J1155" s="48">
        <f>VLOOKUP(A1155,'[1]תקציב 2026'!$A$1:$M$65536,9,0)</f>
        <v>8000</v>
      </c>
      <c r="K1155" s="49">
        <f>VLOOKUP(A1155,[3]גיליון1!$A$1:$C$7693,3,0)</f>
        <v>4500</v>
      </c>
      <c r="L1155" s="50">
        <f>VLOOKUP(A1155,[2]data1761205830331!$A$1:$J$65536,10,0)</f>
        <v>7171.9</v>
      </c>
    </row>
    <row r="1156" spans="1:12" ht="15.6" outlineLevel="1">
      <c r="A1156" s="11">
        <v>1621100550</v>
      </c>
      <c r="B1156" s="40">
        <v>550</v>
      </c>
      <c r="C1156" s="109">
        <v>621100</v>
      </c>
      <c r="D1156" s="42">
        <v>1</v>
      </c>
      <c r="E1156" s="43"/>
      <c r="F1156" s="44" t="s">
        <v>850</v>
      </c>
      <c r="G1156" s="45" t="s">
        <v>37</v>
      </c>
      <c r="H1156" s="51">
        <f t="shared" si="17"/>
        <v>0</v>
      </c>
      <c r="I1156" s="47"/>
      <c r="J1156" s="48">
        <f>VLOOKUP(A1156,'[1]תקציב 2026'!$A$1:$M$65536,9,0)</f>
        <v>3870</v>
      </c>
      <c r="K1156" s="49">
        <f>VLOOKUP(A1156,[3]גיליון1!$A$1:$C$7693,3,0)*0.9</f>
        <v>3870</v>
      </c>
      <c r="L1156" s="50">
        <f>VLOOKUP(A1156,[2]data1761205830331!$A$1:$J$65536,10,0)</f>
        <v>0</v>
      </c>
    </row>
    <row r="1157" spans="1:12" ht="15.6" outlineLevel="1">
      <c r="A1157" s="11">
        <v>1621100571</v>
      </c>
      <c r="B1157" s="40">
        <v>571</v>
      </c>
      <c r="C1157" s="109">
        <v>621100</v>
      </c>
      <c r="D1157" s="42">
        <v>1</v>
      </c>
      <c r="E1157" s="43"/>
      <c r="F1157" s="44" t="s">
        <v>75</v>
      </c>
      <c r="G1157" s="45" t="s">
        <v>29</v>
      </c>
      <c r="H1157" s="51">
        <f t="shared" si="17"/>
        <v>0</v>
      </c>
      <c r="I1157" s="47"/>
      <c r="J1157" s="48">
        <f>VLOOKUP(A1157,'[1]תקציב 2026'!$A$1:$M$65536,9,0)</f>
        <v>94300</v>
      </c>
      <c r="K1157" s="49">
        <v>94300</v>
      </c>
      <c r="L1157" s="50">
        <f>VLOOKUP(A1157,[2]data1761205830331!$A$1:$J$65536,10,0)</f>
        <v>82100</v>
      </c>
    </row>
    <row r="1158" spans="1:12" ht="15.6" outlineLevel="1">
      <c r="A1158" s="11">
        <v>1621100580</v>
      </c>
      <c r="B1158" s="40">
        <v>580</v>
      </c>
      <c r="C1158" s="109">
        <v>621100</v>
      </c>
      <c r="D1158" s="42">
        <v>1</v>
      </c>
      <c r="E1158" s="43"/>
      <c r="F1158" s="44" t="s">
        <v>851</v>
      </c>
      <c r="G1158" s="45" t="s">
        <v>37</v>
      </c>
      <c r="H1158" s="51">
        <f t="shared" si="17"/>
        <v>0</v>
      </c>
      <c r="I1158" s="47"/>
      <c r="J1158" s="48">
        <f>VLOOKUP(A1158,'[1]תקציב 2026'!$A$1:$M$65536,9,0)</f>
        <v>450000</v>
      </c>
      <c r="K1158" s="49">
        <f>VLOOKUP(A1158,[3]גיליון1!$A$1:$C$7693,3,0)*0.9</f>
        <v>450000</v>
      </c>
      <c r="L1158" s="50">
        <f>VLOOKUP(A1158,[2]data1761205830331!$A$1:$J$65536,10,0)</f>
        <v>124905</v>
      </c>
    </row>
    <row r="1159" spans="1:12" ht="15.6" outlineLevel="1">
      <c r="A1159" s="11">
        <v>1621100781</v>
      </c>
      <c r="B1159" s="40">
        <v>781</v>
      </c>
      <c r="C1159" s="109">
        <v>621100</v>
      </c>
      <c r="D1159" s="42">
        <v>1</v>
      </c>
      <c r="E1159" s="43"/>
      <c r="F1159" s="44" t="s">
        <v>775</v>
      </c>
      <c r="G1159" s="45" t="s">
        <v>37</v>
      </c>
      <c r="H1159" s="51">
        <f t="shared" si="17"/>
        <v>1.1111111111111072E-2</v>
      </c>
      <c r="I1159" s="47"/>
      <c r="J1159" s="48">
        <f>VLOOKUP(A1159,'[1]תקציב 2026'!$A$1:$M$65536,9,0)</f>
        <v>27300</v>
      </c>
      <c r="K1159" s="49">
        <f>VLOOKUP(A1159,[3]גיליון1!$A$1:$C$7693,3,0)*0.9</f>
        <v>27000</v>
      </c>
      <c r="L1159" s="50">
        <f>VLOOKUP(A1159,[2]data1761205830331!$A$1:$J$65536,10,0)</f>
        <v>31508.45</v>
      </c>
    </row>
    <row r="1160" spans="1:12" ht="15.6" outlineLevel="1">
      <c r="A1160" s="11">
        <v>1621100794</v>
      </c>
      <c r="B1160" s="40">
        <v>794</v>
      </c>
      <c r="C1160" s="109">
        <v>621100</v>
      </c>
      <c r="D1160" s="42">
        <v>1</v>
      </c>
      <c r="E1160" s="43"/>
      <c r="F1160" s="44" t="s">
        <v>58</v>
      </c>
      <c r="G1160" s="45" t="s">
        <v>29</v>
      </c>
      <c r="H1160" s="51">
        <f t="shared" si="17"/>
        <v>0</v>
      </c>
      <c r="I1160" s="47"/>
      <c r="J1160" s="48">
        <f>VLOOKUP(A1160,'[1]תקציב 2026'!$A$1:$M$65536,9,0)</f>
        <v>6500</v>
      </c>
      <c r="K1160" s="49">
        <v>6500</v>
      </c>
      <c r="L1160" s="50">
        <f>VLOOKUP(A1160,[2]data1761205830331!$A$1:$J$65536,10,0)</f>
        <v>7752</v>
      </c>
    </row>
    <row r="1161" spans="1:12" ht="16.2" outlineLevel="1" thickBot="1">
      <c r="A1161" s="11">
        <v>1621100961</v>
      </c>
      <c r="B1161" s="40">
        <v>961</v>
      </c>
      <c r="C1161" s="109">
        <v>621100</v>
      </c>
      <c r="D1161" s="42">
        <v>1</v>
      </c>
      <c r="E1161" s="43"/>
      <c r="F1161" s="44" t="s">
        <v>852</v>
      </c>
      <c r="G1161" s="45" t="s">
        <v>37</v>
      </c>
      <c r="H1161" s="51">
        <f t="shared" si="17"/>
        <v>3.6281179138321962E-2</v>
      </c>
      <c r="I1161" s="47"/>
      <c r="J1161" s="48">
        <f>VLOOKUP(A1161,'[1]תקציב 2026'!$A$1:$M$65536,9,0)</f>
        <v>914000</v>
      </c>
      <c r="K1161" s="49">
        <f>980000*0.9</f>
        <v>882000</v>
      </c>
      <c r="L1161" s="50">
        <f>VLOOKUP(A1161,[2]data1761205830331!$A$1:$J$65536,10,0)</f>
        <v>395948.79</v>
      </c>
    </row>
    <row r="1162" spans="1:12" ht="16.2" thickBot="1">
      <c r="A1162" s="11" t="e">
        <v>#VALUE!</v>
      </c>
      <c r="B1162" s="53" t="s">
        <v>853</v>
      </c>
      <c r="C1162" s="223"/>
      <c r="D1162" s="55"/>
      <c r="E1162" s="56"/>
      <c r="F1162" s="116" t="s">
        <v>854</v>
      </c>
      <c r="G1162" s="58"/>
      <c r="H1162" s="166">
        <f>J1162/K1162-1</f>
        <v>2.6103594747714176E-2</v>
      </c>
      <c r="I1162" s="72"/>
      <c r="J1162" s="74">
        <f>SUBTOTAL(9,J1141:J1161)</f>
        <v>3705650</v>
      </c>
      <c r="K1162" s="92">
        <f>SUBTOTAL(9,K1141:K1161)</f>
        <v>3611380</v>
      </c>
      <c r="L1162" s="75">
        <f>SUBTOTAL(9,L1141:L1161)</f>
        <v>2290782.3199999998</v>
      </c>
    </row>
    <row r="1163" spans="1:12" ht="15.6" outlineLevel="1">
      <c r="A1163" s="11">
        <v>16212000</v>
      </c>
      <c r="B1163" s="64">
        <v>0</v>
      </c>
      <c r="C1163" s="131">
        <v>621200</v>
      </c>
      <c r="D1163" s="66">
        <v>1</v>
      </c>
      <c r="E1163" s="67"/>
      <c r="F1163" s="68" t="s">
        <v>855</v>
      </c>
      <c r="G1163" s="69" t="s">
        <v>15</v>
      </c>
      <c r="H1163" s="51"/>
      <c r="I1163" s="47"/>
      <c r="J1163" s="48"/>
      <c r="K1163" s="49"/>
      <c r="L1163" s="50"/>
    </row>
    <row r="1164" spans="1:12" ht="15.6" outlineLevel="1">
      <c r="A1164" s="11">
        <v>1621200110</v>
      </c>
      <c r="B1164" s="40">
        <v>110</v>
      </c>
      <c r="C1164" s="109">
        <v>621200</v>
      </c>
      <c r="D1164" s="42">
        <v>1</v>
      </c>
      <c r="E1164" s="43"/>
      <c r="F1164" s="44" t="s">
        <v>21</v>
      </c>
      <c r="G1164" s="45" t="s">
        <v>22</v>
      </c>
      <c r="H1164" s="51">
        <f t="shared" si="17"/>
        <v>2.4999999999999911E-2</v>
      </c>
      <c r="I1164" s="47"/>
      <c r="J1164" s="48">
        <f>VLOOKUP(A1164,'[1]תקציב 2026'!$A$1:$M$65536,9,0)</f>
        <v>648210</v>
      </c>
      <c r="K1164" s="49">
        <v>632400</v>
      </c>
      <c r="L1164" s="50">
        <f>VLOOKUP(A1164,[2]data1761205830331!$A$1:$J$65536,10,0)</f>
        <v>614408.89</v>
      </c>
    </row>
    <row r="1165" spans="1:12" ht="15.6" outlineLevel="1">
      <c r="A1165" s="11">
        <v>1621200119</v>
      </c>
      <c r="B1165" s="40">
        <v>119</v>
      </c>
      <c r="C1165" s="109">
        <v>621200</v>
      </c>
      <c r="D1165" s="42">
        <v>1</v>
      </c>
      <c r="E1165" s="43"/>
      <c r="F1165" s="44" t="s">
        <v>23</v>
      </c>
      <c r="G1165" s="45" t="s">
        <v>22</v>
      </c>
      <c r="H1165" s="51">
        <f t="shared" si="17"/>
        <v>0.13144758056286854</v>
      </c>
      <c r="I1165" s="47"/>
      <c r="J1165" s="48">
        <f>VLOOKUP(A1165,'[1]תקציב 2026'!$A$1:$M$65536,9,0)</f>
        <v>5543979.9999999991</v>
      </c>
      <c r="K1165" s="49">
        <f>4839900+60000</f>
        <v>4899900</v>
      </c>
      <c r="L1165" s="50">
        <f>VLOOKUP(A1165,[2]data1761205830331!$A$1:$J$65536,10,0)</f>
        <v>4611081.82</v>
      </c>
    </row>
    <row r="1166" spans="1:12" ht="15.6" outlineLevel="1">
      <c r="A1166" s="11">
        <v>1621200122</v>
      </c>
      <c r="B1166" s="40">
        <v>122</v>
      </c>
      <c r="C1166" s="109">
        <v>621200</v>
      </c>
      <c r="D1166" s="42">
        <v>1</v>
      </c>
      <c r="E1166" s="43"/>
      <c r="F1166" s="44" t="s">
        <v>24</v>
      </c>
      <c r="G1166" s="45" t="s">
        <v>22</v>
      </c>
      <c r="H1166" s="51">
        <f t="shared" si="17"/>
        <v>4.945567651632965E-2</v>
      </c>
      <c r="I1166" s="47"/>
      <c r="J1166" s="48">
        <v>67480</v>
      </c>
      <c r="K1166" s="49">
        <f>VLOOKUP(A1166,[3]גיליון1!$A$1:$C$7693,3,0)</f>
        <v>64300</v>
      </c>
      <c r="L1166" s="50">
        <f>VLOOKUP(A1166,[2]data1761205830331!$A$1:$J$65536,10,0)</f>
        <v>64533.07</v>
      </c>
    </row>
    <row r="1167" spans="1:12" ht="15.6" outlineLevel="1">
      <c r="A1167" s="11">
        <v>1621200126</v>
      </c>
      <c r="B1167" s="40">
        <v>126</v>
      </c>
      <c r="C1167" s="109">
        <v>621200</v>
      </c>
      <c r="D1167" s="42">
        <v>1</v>
      </c>
      <c r="E1167" s="43"/>
      <c r="F1167" s="44" t="s">
        <v>25</v>
      </c>
      <c r="G1167" s="45" t="s">
        <v>22</v>
      </c>
      <c r="H1167" s="51">
        <f t="shared" si="17"/>
        <v>4.9453551912568283E-2</v>
      </c>
      <c r="I1167" s="47"/>
      <c r="J1167" s="48">
        <v>153640</v>
      </c>
      <c r="K1167" s="49">
        <f>VLOOKUP(A1167,[3]גיליון1!$A$1:$C$7693,3,0)</f>
        <v>146400</v>
      </c>
      <c r="L1167" s="50">
        <f>VLOOKUP(A1167,[2]data1761205830331!$A$1:$J$65536,10,0)</f>
        <v>146307.13</v>
      </c>
    </row>
    <row r="1168" spans="1:12" ht="15.6" outlineLevel="1">
      <c r="A1168" s="11">
        <v>1621200130</v>
      </c>
      <c r="B1168" s="40">
        <v>130</v>
      </c>
      <c r="C1168" s="109">
        <v>621200</v>
      </c>
      <c r="D1168" s="42">
        <v>1</v>
      </c>
      <c r="E1168" s="43"/>
      <c r="F1168" s="44" t="s">
        <v>26</v>
      </c>
      <c r="G1168" s="45" t="s">
        <v>22</v>
      </c>
      <c r="H1168" s="51">
        <f t="shared" si="17"/>
        <v>0</v>
      </c>
      <c r="I1168" s="47"/>
      <c r="J1168" s="48">
        <f>VLOOKUP(A1168,'[1]תקציב 2026'!$A$1:$M$65536,9,0)</f>
        <v>61230</v>
      </c>
      <c r="K1168" s="49">
        <v>61230</v>
      </c>
      <c r="L1168" s="50">
        <f>VLOOKUP(A1168,[2]data1761205830331!$A$1:$J$65536,10,0)</f>
        <v>45835.39</v>
      </c>
    </row>
    <row r="1169" spans="1:12" ht="15.6" outlineLevel="1">
      <c r="A1169" s="11">
        <v>1621200140</v>
      </c>
      <c r="B1169" s="40">
        <v>140</v>
      </c>
      <c r="C1169" s="109">
        <v>621200</v>
      </c>
      <c r="D1169" s="42">
        <v>1</v>
      </c>
      <c r="E1169" s="43"/>
      <c r="F1169" s="44" t="s">
        <v>27</v>
      </c>
      <c r="G1169" s="45" t="s">
        <v>22</v>
      </c>
      <c r="H1169" s="51">
        <f t="shared" si="17"/>
        <v>0</v>
      </c>
      <c r="I1169" s="47"/>
      <c r="J1169" s="48">
        <f>VLOOKUP(A1169,'[1]תקציב 2026'!$A$1:$M$65536,9,0)</f>
        <v>646000</v>
      </c>
      <c r="K1169" s="49">
        <f>VLOOKUP(A1169,[3]גיליון1!$A$1:$C$7693,3,0)</f>
        <v>646000</v>
      </c>
      <c r="L1169" s="50">
        <f>VLOOKUP(A1169,[2]data1761205830331!$A$1:$J$65536,10,0)</f>
        <v>665950.97</v>
      </c>
    </row>
    <row r="1170" spans="1:12" ht="15.6" outlineLevel="1">
      <c r="A1170" s="11">
        <v>1621200253</v>
      </c>
      <c r="B1170" s="40">
        <v>253</v>
      </c>
      <c r="C1170" s="109">
        <v>621200</v>
      </c>
      <c r="D1170" s="42">
        <v>1</v>
      </c>
      <c r="E1170" s="43"/>
      <c r="F1170" s="44" t="s">
        <v>856</v>
      </c>
      <c r="G1170" s="45" t="s">
        <v>22</v>
      </c>
      <c r="H1170" s="51">
        <v>0</v>
      </c>
      <c r="I1170" s="47"/>
      <c r="J1170" s="48">
        <f>VLOOKUP(A1170,'[1]תקציב 2026'!$A$1:$M$65536,9,0)</f>
        <v>0</v>
      </c>
      <c r="K1170" s="49">
        <f>VLOOKUP(A1170,[3]גיליון1!$A$1:$C$7693,3,0)</f>
        <v>0</v>
      </c>
      <c r="L1170" s="50">
        <f>VLOOKUP(A1170,[2]data1761205830331!$A$1:$J$65536,10,0)</f>
        <v>6076.56</v>
      </c>
    </row>
    <row r="1171" spans="1:12" ht="15.6" outlineLevel="1">
      <c r="A1171" s="11">
        <v>1621200350</v>
      </c>
      <c r="B1171" s="40">
        <v>350</v>
      </c>
      <c r="C1171" s="109">
        <v>621200</v>
      </c>
      <c r="D1171" s="42">
        <v>1</v>
      </c>
      <c r="E1171" s="43"/>
      <c r="F1171" s="44" t="str">
        <f>[4]גיליון1!$F$2017</f>
        <v xml:space="preserve">ליסינג </v>
      </c>
      <c r="G1171" s="45" t="s">
        <v>22</v>
      </c>
      <c r="H1171" s="51">
        <f t="shared" ref="H1171:H1229" si="18">J1171/K1171-1</f>
        <v>0.2057500000000001</v>
      </c>
      <c r="I1171" s="47"/>
      <c r="J1171" s="48">
        <f>VLOOKUP(A1171,'[1]תקציב 2026'!$A$1:$M$65536,9,0)</f>
        <v>144690</v>
      </c>
      <c r="K1171" s="49">
        <f>VLOOKUP(A1171,[3]גיליון1!$A$1:$C$7693,3,0)</f>
        <v>120000</v>
      </c>
      <c r="L1171" s="50">
        <f>VLOOKUP(A1171,[2]data1761205830331!$A$1:$J$65536,10,0)</f>
        <v>131796.25</v>
      </c>
    </row>
    <row r="1172" spans="1:12" ht="15.6" outlineLevel="1">
      <c r="A1172" s="11">
        <v>1621200351</v>
      </c>
      <c r="B1172" s="40">
        <v>351</v>
      </c>
      <c r="C1172" s="109">
        <v>621200</v>
      </c>
      <c r="D1172" s="42">
        <v>1</v>
      </c>
      <c r="E1172" s="43"/>
      <c r="F1172" s="44" t="str">
        <f>[4]גיליון1!$F$2018</f>
        <v xml:space="preserve">הוצאות ליסינג </v>
      </c>
      <c r="G1172" s="45" t="s">
        <v>22</v>
      </c>
      <c r="H1172" s="51">
        <f t="shared" si="18"/>
        <v>0</v>
      </c>
      <c r="I1172" s="47"/>
      <c r="J1172" s="48">
        <f>VLOOKUP(A1172,'[1]תקציב 2026'!$A$1:$M$65536,9,0)</f>
        <v>64000</v>
      </c>
      <c r="K1172" s="49">
        <f>VLOOKUP(A1172,[3]גיליון1!$A$1:$C$7693,3,0)</f>
        <v>64000</v>
      </c>
      <c r="L1172" s="50">
        <f>VLOOKUP(A1172,[2]data1761205830331!$A$1:$J$65536,10,0)</f>
        <v>51524.95</v>
      </c>
    </row>
    <row r="1173" spans="1:12" ht="15.6" outlineLevel="1">
      <c r="A1173" s="11">
        <v>1621200470</v>
      </c>
      <c r="B1173" s="40">
        <v>470</v>
      </c>
      <c r="C1173" s="109">
        <v>621200</v>
      </c>
      <c r="D1173" s="42">
        <v>1</v>
      </c>
      <c r="E1173" s="43"/>
      <c r="F1173" s="44" t="s">
        <v>43</v>
      </c>
      <c r="G1173" s="45" t="s">
        <v>37</v>
      </c>
      <c r="H1173" s="51">
        <f t="shared" si="18"/>
        <v>0</v>
      </c>
      <c r="I1173" s="47"/>
      <c r="J1173" s="48">
        <f>VLOOKUP(A1173,'[1]תקציב 2026'!$A$1:$M$65536,9,0)</f>
        <v>900</v>
      </c>
      <c r="K1173" s="49">
        <f>VLOOKUP(A1173,[3]גיליון1!$A$1:$C$7693,3,0)*0.9</f>
        <v>900</v>
      </c>
      <c r="L1173" s="50">
        <f>VLOOKUP(A1173,[2]data1761205830331!$A$1:$J$65536,10,0)</f>
        <v>178.14</v>
      </c>
    </row>
    <row r="1174" spans="1:12" ht="15.6" outlineLevel="1">
      <c r="A1174" s="11">
        <v>1621200471</v>
      </c>
      <c r="B1174" s="40">
        <v>471</v>
      </c>
      <c r="C1174" s="109">
        <v>621200</v>
      </c>
      <c r="D1174" s="42">
        <v>1</v>
      </c>
      <c r="E1174" s="43"/>
      <c r="F1174" s="44" t="s">
        <v>71</v>
      </c>
      <c r="G1174" s="45" t="s">
        <v>37</v>
      </c>
      <c r="H1174" s="51">
        <f t="shared" si="18"/>
        <v>0.24366471734892792</v>
      </c>
      <c r="I1174" s="47"/>
      <c r="J1174" s="48">
        <f>VLOOKUP(A1174,'[1]תקציב 2026'!$A$1:$M$65536,9,0)</f>
        <v>25520</v>
      </c>
      <c r="K1174" s="49">
        <f>22800*0.9</f>
        <v>20520</v>
      </c>
      <c r="L1174" s="50">
        <f>VLOOKUP(A1174,[2]data1761205830331!$A$1:$J$65536,10,0)</f>
        <v>20174.830000000002</v>
      </c>
    </row>
    <row r="1175" spans="1:12" ht="15.6" outlineLevel="1">
      <c r="A1175" s="11">
        <v>1621200511</v>
      </c>
      <c r="B1175" s="40">
        <v>511</v>
      </c>
      <c r="C1175" s="109">
        <v>621200</v>
      </c>
      <c r="D1175" s="42">
        <v>1</v>
      </c>
      <c r="E1175" s="43"/>
      <c r="F1175" s="44" t="s">
        <v>72</v>
      </c>
      <c r="G1175" s="45" t="s">
        <v>37</v>
      </c>
      <c r="H1175" s="51">
        <f t="shared" si="18"/>
        <v>0.6507936507936507</v>
      </c>
      <c r="I1175" s="47"/>
      <c r="J1175" s="48">
        <f>VLOOKUP(A1175,'[1]תקציב 2026'!$A$1:$M$65536,9,0)</f>
        <v>5200</v>
      </c>
      <c r="K1175" s="49">
        <f>3500*0.9</f>
        <v>3150</v>
      </c>
      <c r="L1175" s="50">
        <f>VLOOKUP(A1175,[2]data1761205830331!$A$1:$J$65536,10,0)</f>
        <v>1451.44</v>
      </c>
    </row>
    <row r="1176" spans="1:12" ht="15.6" outlineLevel="1">
      <c r="A1176" s="11">
        <v>1621200522</v>
      </c>
      <c r="B1176" s="40">
        <v>522</v>
      </c>
      <c r="C1176" s="109">
        <v>621200</v>
      </c>
      <c r="D1176" s="42">
        <v>1</v>
      </c>
      <c r="E1176" s="43"/>
      <c r="F1176" s="44" t="s">
        <v>90</v>
      </c>
      <c r="G1176" s="45" t="s">
        <v>37</v>
      </c>
      <c r="H1176" s="51">
        <f t="shared" si="18"/>
        <v>0.20772946859903385</v>
      </c>
      <c r="I1176" s="47"/>
      <c r="J1176" s="48">
        <f>VLOOKUP(A1176,'[1]תקציב 2026'!$A$1:$M$65536,9,0)</f>
        <v>2500</v>
      </c>
      <c r="K1176" s="49">
        <f>2300*0.9</f>
        <v>2070</v>
      </c>
      <c r="L1176" s="50">
        <f>VLOOKUP(A1176,[2]data1761205830331!$A$1:$J$65536,10,0)</f>
        <v>0</v>
      </c>
    </row>
    <row r="1177" spans="1:12" ht="15.6" outlineLevel="1">
      <c r="A1177" s="11">
        <v>1621200563</v>
      </c>
      <c r="B1177" s="40">
        <v>563</v>
      </c>
      <c r="C1177" s="109">
        <v>621200</v>
      </c>
      <c r="D1177" s="42">
        <v>1</v>
      </c>
      <c r="E1177" s="43"/>
      <c r="F1177" s="44" t="s">
        <v>748</v>
      </c>
      <c r="G1177" s="45" t="s">
        <v>37</v>
      </c>
      <c r="H1177" s="51">
        <f t="shared" si="18"/>
        <v>0.21031746031746024</v>
      </c>
      <c r="I1177" s="47"/>
      <c r="J1177" s="48">
        <f>VLOOKUP(A1177,'[1]תקציב 2026'!$A$1:$M$65536,9,0)</f>
        <v>6100</v>
      </c>
      <c r="K1177" s="49">
        <f>VLOOKUP(A1177,[3]גיליון1!$A$1:$C$7693,3,0)*0.9</f>
        <v>5040</v>
      </c>
      <c r="L1177" s="50">
        <f>VLOOKUP(A1177,[2]data1761205830331!$A$1:$J$65536,10,0)</f>
        <v>5538.6</v>
      </c>
    </row>
    <row r="1178" spans="1:12" ht="15.6" outlineLevel="1">
      <c r="A1178" s="11">
        <v>1621200571</v>
      </c>
      <c r="B1178" s="40">
        <v>571</v>
      </c>
      <c r="C1178" s="109">
        <v>621200</v>
      </c>
      <c r="D1178" s="42">
        <v>1</v>
      </c>
      <c r="E1178" s="43"/>
      <c r="F1178" s="44" t="s">
        <v>75</v>
      </c>
      <c r="G1178" s="45" t="s">
        <v>29</v>
      </c>
      <c r="H1178" s="51">
        <f t="shared" si="18"/>
        <v>0</v>
      </c>
      <c r="I1178" s="47"/>
      <c r="J1178" s="48">
        <f>VLOOKUP(A1178,'[1]תקציב 2026'!$A$1:$M$65536,9,0)</f>
        <v>206300</v>
      </c>
      <c r="K1178" s="49">
        <v>206300</v>
      </c>
      <c r="L1178" s="50">
        <f>VLOOKUP(A1178,[2]data1761205830331!$A$1:$J$65536,10,0)</f>
        <v>187800</v>
      </c>
    </row>
    <row r="1179" spans="1:12" ht="15.6" outlineLevel="1">
      <c r="A1179" s="11">
        <v>1621200573</v>
      </c>
      <c r="B1179" s="40">
        <v>573</v>
      </c>
      <c r="C1179" s="109">
        <v>621200</v>
      </c>
      <c r="D1179" s="42">
        <v>1</v>
      </c>
      <c r="E1179" s="43"/>
      <c r="F1179" s="44" t="str">
        <f>[4]גיליון1!$F$2027</f>
        <v>מע' חשבונות ממוחשבת</v>
      </c>
      <c r="G1179" s="45" t="s">
        <v>29</v>
      </c>
      <c r="H1179" s="51">
        <f t="shared" si="18"/>
        <v>0</v>
      </c>
      <c r="I1179" s="47"/>
      <c r="J1179" s="48">
        <f>VLOOKUP(A1179,'[1]תקציב 2026'!$A$1:$M$65536,9,0)</f>
        <v>200000</v>
      </c>
      <c r="K1179" s="49">
        <f>VLOOKUP(A1179,[3]גיליון1!$A$1:$C$7693,3,0)</f>
        <v>200000</v>
      </c>
      <c r="L1179" s="50">
        <f>VLOOKUP(A1179,[2]data1761205830331!$A$1:$J$65536,10,0)</f>
        <v>0</v>
      </c>
    </row>
    <row r="1180" spans="1:12" ht="16.2" outlineLevel="1" thickBot="1">
      <c r="A1180" s="11">
        <v>1621200580</v>
      </c>
      <c r="B1180" s="40">
        <v>580</v>
      </c>
      <c r="C1180" s="109">
        <v>621200</v>
      </c>
      <c r="D1180" s="42">
        <v>1</v>
      </c>
      <c r="E1180" s="43"/>
      <c r="F1180" s="44" t="s">
        <v>851</v>
      </c>
      <c r="G1180" s="45" t="s">
        <v>37</v>
      </c>
      <c r="H1180" s="51">
        <f t="shared" si="18"/>
        <v>0</v>
      </c>
      <c r="I1180" s="47"/>
      <c r="J1180" s="48">
        <f>VLOOKUP(A1180,'[1]תקציב 2026'!$A$1:$M$65536,9,0)</f>
        <v>30780</v>
      </c>
      <c r="K1180" s="49">
        <f>VLOOKUP(A1180,[3]גיליון1!$A$1:$C$7693,3,0)*0.9</f>
        <v>30780</v>
      </c>
      <c r="L1180" s="50">
        <f>VLOOKUP(A1180,[2]data1761205830331!$A$1:$J$65536,10,0)</f>
        <v>34200</v>
      </c>
    </row>
    <row r="1181" spans="1:12" ht="16.2" thickBot="1">
      <c r="A1181" s="11" t="e">
        <v>#VALUE!</v>
      </c>
      <c r="B1181" s="53" t="s">
        <v>857</v>
      </c>
      <c r="C1181" s="223"/>
      <c r="D1181" s="55"/>
      <c r="E1181" s="56"/>
      <c r="F1181" s="116" t="s">
        <v>855</v>
      </c>
      <c r="G1181" s="58"/>
      <c r="H1181" s="166">
        <f>J1181/K1181-1</f>
        <v>9.9048428901068242E-2</v>
      </c>
      <c r="I1181" s="72"/>
      <c r="J1181" s="74">
        <f>SUBTOTAL(9,J1164:J1180)</f>
        <v>7806529.9999999991</v>
      </c>
      <c r="K1181" s="92">
        <f>SUBTOTAL(9,K1164:K1180)</f>
        <v>7102990</v>
      </c>
      <c r="L1181" s="75">
        <f>SUBTOTAL(9,L1164:L1180)</f>
        <v>6586858.0399999991</v>
      </c>
    </row>
    <row r="1182" spans="1:12" ht="15.6" outlineLevel="1">
      <c r="A1182" s="11">
        <v>16213000</v>
      </c>
      <c r="B1182" s="40">
        <v>0</v>
      </c>
      <c r="C1182" s="109">
        <v>621300</v>
      </c>
      <c r="D1182" s="42">
        <v>1</v>
      </c>
      <c r="E1182" s="43"/>
      <c r="F1182" s="44" t="s">
        <v>858</v>
      </c>
      <c r="G1182" s="45" t="s">
        <v>15</v>
      </c>
      <c r="H1182" s="51"/>
      <c r="I1182" s="47"/>
      <c r="J1182" s="48"/>
      <c r="K1182" s="49"/>
      <c r="L1182" s="50"/>
    </row>
    <row r="1183" spans="1:12" ht="15.6" outlineLevel="1">
      <c r="A1183" s="11">
        <v>1621300119</v>
      </c>
      <c r="B1183" s="40">
        <v>119</v>
      </c>
      <c r="C1183" s="109">
        <v>621300</v>
      </c>
      <c r="D1183" s="42">
        <v>1</v>
      </c>
      <c r="E1183" s="43"/>
      <c r="F1183" s="44" t="s">
        <v>23</v>
      </c>
      <c r="G1183" s="45" t="s">
        <v>22</v>
      </c>
      <c r="H1183" s="51">
        <f t="shared" si="18"/>
        <v>0.21369105878288908</v>
      </c>
      <c r="I1183" s="47"/>
      <c r="J1183" s="48">
        <f>VLOOKUP(A1183,'[1]תקציב 2026'!$A$1:$M$65536,9,0)</f>
        <v>2108060</v>
      </c>
      <c r="K1183" s="49">
        <v>1736900</v>
      </c>
      <c r="L1183" s="50">
        <f>VLOOKUP(A1183,[2]data1761205830331!$A$1:$J$65536,10,0)</f>
        <v>1469554.83</v>
      </c>
    </row>
    <row r="1184" spans="1:12" ht="15.6" outlineLevel="1">
      <c r="A1184" s="11">
        <v>1621300122</v>
      </c>
      <c r="B1184" s="40">
        <v>122</v>
      </c>
      <c r="C1184" s="109">
        <v>621300</v>
      </c>
      <c r="D1184" s="42">
        <v>1</v>
      </c>
      <c r="E1184" s="43"/>
      <c r="F1184" s="44" t="s">
        <v>24</v>
      </c>
      <c r="G1184" s="45" t="s">
        <v>22</v>
      </c>
      <c r="H1184" s="51">
        <f t="shared" si="18"/>
        <v>0</v>
      </c>
      <c r="I1184" s="47"/>
      <c r="J1184" s="48">
        <f>VLOOKUP(A1184,'[1]תקציב 2026'!$A$1:$M$65536,9,0)</f>
        <v>17000</v>
      </c>
      <c r="K1184" s="49">
        <f>VLOOKUP(A1184,[3]גיליון1!$A$1:$C$7693,3,0)</f>
        <v>17000</v>
      </c>
      <c r="L1184" s="50">
        <f>VLOOKUP(A1184,[2]data1761205830331!$A$1:$J$65536,10,0)</f>
        <v>16423.509999999998</v>
      </c>
    </row>
    <row r="1185" spans="1:12" ht="15.6" outlineLevel="1">
      <c r="A1185" s="11">
        <v>1621300126</v>
      </c>
      <c r="B1185" s="40">
        <v>126</v>
      </c>
      <c r="C1185" s="109">
        <v>621300</v>
      </c>
      <c r="D1185" s="42">
        <v>1</v>
      </c>
      <c r="E1185" s="43"/>
      <c r="F1185" s="44" t="s">
        <v>25</v>
      </c>
      <c r="G1185" s="45" t="s">
        <v>22</v>
      </c>
      <c r="H1185" s="51">
        <f t="shared" si="18"/>
        <v>0</v>
      </c>
      <c r="I1185" s="47"/>
      <c r="J1185" s="48">
        <f>VLOOKUP(A1185,'[1]תקציב 2026'!$A$1:$M$65536,9,0)</f>
        <v>40000</v>
      </c>
      <c r="K1185" s="49">
        <f>VLOOKUP(A1185,[3]גיליון1!$A$1:$C$7693,3,0)</f>
        <v>40000</v>
      </c>
      <c r="L1185" s="50">
        <f>VLOOKUP(A1185,[2]data1761205830331!$A$1:$J$65536,10,0)</f>
        <v>37080.32</v>
      </c>
    </row>
    <row r="1186" spans="1:12" ht="15.6" outlineLevel="1">
      <c r="A1186" s="11">
        <v>1621300130</v>
      </c>
      <c r="B1186" s="40">
        <v>130</v>
      </c>
      <c r="C1186" s="109">
        <v>621300</v>
      </c>
      <c r="D1186" s="42">
        <v>1</v>
      </c>
      <c r="E1186" s="43"/>
      <c r="F1186" s="44" t="s">
        <v>26</v>
      </c>
      <c r="G1186" s="45" t="s">
        <v>22</v>
      </c>
      <c r="H1186" s="51">
        <f t="shared" si="18"/>
        <v>0</v>
      </c>
      <c r="I1186" s="47"/>
      <c r="J1186" s="48">
        <f>VLOOKUP(A1186,'[1]תקציב 2026'!$A$1:$M$65536,9,0)</f>
        <v>26490</v>
      </c>
      <c r="K1186" s="49">
        <v>26490</v>
      </c>
      <c r="L1186" s="50">
        <f>VLOOKUP(A1186,[2]data1761205830331!$A$1:$J$65536,10,0)</f>
        <v>0</v>
      </c>
    </row>
    <row r="1187" spans="1:12" ht="15.6" outlineLevel="1">
      <c r="A1187" s="11">
        <v>1621300140</v>
      </c>
      <c r="B1187" s="40">
        <v>140</v>
      </c>
      <c r="C1187" s="109">
        <v>621300</v>
      </c>
      <c r="D1187" s="42">
        <v>1</v>
      </c>
      <c r="E1187" s="43"/>
      <c r="F1187" s="44" t="s">
        <v>27</v>
      </c>
      <c r="G1187" s="45" t="s">
        <v>22</v>
      </c>
      <c r="H1187" s="51">
        <f t="shared" si="18"/>
        <v>0</v>
      </c>
      <c r="I1187" s="47"/>
      <c r="J1187" s="48">
        <f>VLOOKUP(A1187,'[1]תקציב 2026'!$A$1:$M$65536,9,0)</f>
        <v>169600</v>
      </c>
      <c r="K1187" s="49">
        <f>VLOOKUP(A1187,[3]גיליון1!$A$1:$C$7693,3,0)</f>
        <v>169600</v>
      </c>
      <c r="L1187" s="50">
        <f>VLOOKUP(A1187,[2]data1761205830331!$A$1:$J$65536,10,0)</f>
        <v>173289.44</v>
      </c>
    </row>
    <row r="1188" spans="1:12" ht="15.6" outlineLevel="1">
      <c r="A1188" s="11">
        <v>1621300253</v>
      </c>
      <c r="B1188" s="40">
        <v>253</v>
      </c>
      <c r="C1188" s="109">
        <v>621300</v>
      </c>
      <c r="D1188" s="42">
        <v>1</v>
      </c>
      <c r="E1188" s="43"/>
      <c r="F1188" s="44" t="s">
        <v>859</v>
      </c>
      <c r="G1188" s="45" t="s">
        <v>22</v>
      </c>
      <c r="H1188" s="51">
        <v>0</v>
      </c>
      <c r="I1188" s="47"/>
      <c r="J1188" s="48">
        <f>VLOOKUP(A1188,'[1]תקציב 2026'!$A$1:$M$65536,9,0)</f>
        <v>0</v>
      </c>
      <c r="K1188" s="49">
        <f>VLOOKUP(A1188,[3]גיליון1!$A$1:$C$7693,3,0)</f>
        <v>0</v>
      </c>
      <c r="L1188" s="50">
        <f>VLOOKUP(A1188,[2]data1761205830331!$A$1:$J$65536,10,0)</f>
        <v>84332.61</v>
      </c>
    </row>
    <row r="1189" spans="1:12" ht="15.6" outlineLevel="1">
      <c r="A1189" s="11">
        <v>1621300471</v>
      </c>
      <c r="B1189" s="40">
        <v>471</v>
      </c>
      <c r="C1189" s="109">
        <v>621300</v>
      </c>
      <c r="D1189" s="42">
        <v>1</v>
      </c>
      <c r="E1189" s="43"/>
      <c r="F1189" s="44" t="s">
        <v>71</v>
      </c>
      <c r="G1189" s="45" t="s">
        <v>37</v>
      </c>
      <c r="H1189" s="51">
        <f t="shared" si="18"/>
        <v>0.33333333333333326</v>
      </c>
      <c r="I1189" s="51"/>
      <c r="J1189" s="48">
        <f>VLOOKUP(A1189,'[1]תקציב 2026'!$A$1:$M$65536,9,0)</f>
        <v>12000</v>
      </c>
      <c r="K1189" s="49">
        <f>VLOOKUP(A1189,[3]גיליון1!$A$1:$C$7693,3,0)*0.9</f>
        <v>9000</v>
      </c>
      <c r="L1189" s="50">
        <f>VLOOKUP(A1189,[2]data1761205830331!$A$1:$J$65536,10,0)</f>
        <v>9742.4500000000007</v>
      </c>
    </row>
    <row r="1190" spans="1:12" ht="15.6" outlineLevel="1">
      <c r="A1190" s="11">
        <v>1621300511</v>
      </c>
      <c r="B1190" s="40">
        <v>511</v>
      </c>
      <c r="C1190" s="109">
        <v>621300</v>
      </c>
      <c r="D1190" s="42">
        <v>1</v>
      </c>
      <c r="E1190" s="43"/>
      <c r="F1190" s="44" t="s">
        <v>72</v>
      </c>
      <c r="G1190" s="45" t="s">
        <v>37</v>
      </c>
      <c r="H1190" s="51">
        <f t="shared" si="18"/>
        <v>1.2222222222222223</v>
      </c>
      <c r="I1190" s="47"/>
      <c r="J1190" s="48">
        <f>VLOOKUP(A1190,'[1]תקציב 2026'!$A$1:$M$65536,9,0)</f>
        <v>2600</v>
      </c>
      <c r="K1190" s="49">
        <f>1300*0.9</f>
        <v>1170</v>
      </c>
      <c r="L1190" s="50">
        <f>VLOOKUP(A1190,[2]data1761205830331!$A$1:$J$65536,10,0)</f>
        <v>1203.29</v>
      </c>
    </row>
    <row r="1191" spans="1:12" ht="15.6" outlineLevel="1">
      <c r="A1191" s="11">
        <v>1621300522</v>
      </c>
      <c r="B1191" s="40">
        <v>522</v>
      </c>
      <c r="C1191" s="109">
        <v>621300</v>
      </c>
      <c r="D1191" s="42">
        <v>1</v>
      </c>
      <c r="E1191" s="43"/>
      <c r="F1191" s="44" t="s">
        <v>90</v>
      </c>
      <c r="G1191" s="45" t="s">
        <v>37</v>
      </c>
      <c r="H1191" s="51">
        <f t="shared" si="18"/>
        <v>-0.14529914529914534</v>
      </c>
      <c r="I1191" s="47"/>
      <c r="J1191" s="48">
        <f>VLOOKUP(A1191,'[1]תקציב 2026'!$A$1:$M$65536,9,0)</f>
        <v>9000</v>
      </c>
      <c r="K1191" s="49">
        <f>VLOOKUP(A1191,[3]גיליון1!$A$1:$C$7693,3,0)*0.9</f>
        <v>10530</v>
      </c>
      <c r="L1191" s="50">
        <f>VLOOKUP(A1191,[2]data1761205830331!$A$1:$J$65536,10,0)</f>
        <v>3757.64</v>
      </c>
    </row>
    <row r="1192" spans="1:12" ht="15.6" outlineLevel="1">
      <c r="A1192" s="11">
        <v>1621300561</v>
      </c>
      <c r="B1192" s="40">
        <v>561</v>
      </c>
      <c r="C1192" s="109">
        <v>621300</v>
      </c>
      <c r="D1192" s="42">
        <v>1</v>
      </c>
      <c r="E1192" s="43"/>
      <c r="F1192" s="44" t="s">
        <v>74</v>
      </c>
      <c r="G1192" s="45" t="s">
        <v>37</v>
      </c>
      <c r="H1192" s="51">
        <f t="shared" si="18"/>
        <v>-1</v>
      </c>
      <c r="I1192" s="47"/>
      <c r="J1192" s="48">
        <f>VLOOKUP(A1192,'[1]תקציב 2026'!$A$1:$M$65536,9,0)</f>
        <v>0</v>
      </c>
      <c r="K1192" s="49">
        <f>VLOOKUP(A1192,[3]גיליון1!$A$1:$C$7693,3,0)*0.9</f>
        <v>1620</v>
      </c>
      <c r="L1192" s="50">
        <f>VLOOKUP(A1192,[2]data1761205830331!$A$1:$J$65536,10,0)</f>
        <v>121</v>
      </c>
    </row>
    <row r="1193" spans="1:12" ht="15.6" outlineLevel="1">
      <c r="A1193" s="11">
        <v>1621300562</v>
      </c>
      <c r="B1193" s="40">
        <v>562</v>
      </c>
      <c r="C1193" s="109">
        <v>621300</v>
      </c>
      <c r="D1193" s="42">
        <v>1</v>
      </c>
      <c r="E1193" s="43"/>
      <c r="F1193" s="44" t="s">
        <v>748</v>
      </c>
      <c r="G1193" s="45" t="s">
        <v>37</v>
      </c>
      <c r="H1193" s="51">
        <f t="shared" si="18"/>
        <v>0</v>
      </c>
      <c r="I1193" s="47"/>
      <c r="J1193" s="48">
        <f>VLOOKUP(A1193,'[1]תקציב 2026'!$A$1:$M$65536,9,0)</f>
        <v>1620</v>
      </c>
      <c r="K1193" s="49">
        <f>VLOOKUP(A1193,[3]גיליון1!$A$1:$C$7693,3,0)*0.9</f>
        <v>1620</v>
      </c>
      <c r="L1193" s="50">
        <f>VLOOKUP(A1193,[2]data1761205830331!$A$1:$J$65536,10,0)</f>
        <v>237</v>
      </c>
    </row>
    <row r="1194" spans="1:12" ht="15.6" outlineLevel="1">
      <c r="A1194" s="11">
        <v>1621300563</v>
      </c>
      <c r="B1194" s="40">
        <v>563</v>
      </c>
      <c r="C1194" s="109">
        <v>621300</v>
      </c>
      <c r="D1194" s="42">
        <v>1</v>
      </c>
      <c r="E1194" s="43"/>
      <c r="F1194" s="44" t="s">
        <v>860</v>
      </c>
      <c r="G1194" s="45" t="s">
        <v>29</v>
      </c>
      <c r="H1194" s="51">
        <f t="shared" si="18"/>
        <v>0</v>
      </c>
      <c r="I1194" s="47"/>
      <c r="J1194" s="48">
        <f>VLOOKUP(A1194,'[1]תקציב 2026'!$A$1:$M$65536,9,0)</f>
        <v>4500</v>
      </c>
      <c r="K1194" s="49">
        <f>VLOOKUP(A1194,[3]גיליון1!$A$1:$C$7693,3,0)</f>
        <v>4500</v>
      </c>
      <c r="L1194" s="50">
        <f>VLOOKUP(A1194,[2]data1761205830331!$A$1:$J$65536,10,0)</f>
        <v>3989.06</v>
      </c>
    </row>
    <row r="1195" spans="1:12" ht="15.6" outlineLevel="1">
      <c r="A1195" s="11">
        <v>1621300571</v>
      </c>
      <c r="B1195" s="40">
        <v>571</v>
      </c>
      <c r="C1195" s="109">
        <v>621300</v>
      </c>
      <c r="D1195" s="42">
        <v>1</v>
      </c>
      <c r="E1195" s="43"/>
      <c r="F1195" s="44" t="s">
        <v>75</v>
      </c>
      <c r="G1195" s="45" t="s">
        <v>29</v>
      </c>
      <c r="H1195" s="51">
        <f t="shared" si="18"/>
        <v>0</v>
      </c>
      <c r="I1195" s="47"/>
      <c r="J1195" s="48">
        <f>VLOOKUP(A1195,'[1]תקציב 2026'!$A$1:$M$65536,9,0)</f>
        <v>343900</v>
      </c>
      <c r="K1195" s="49">
        <v>343900</v>
      </c>
      <c r="L1195" s="50">
        <f>VLOOKUP(A1195,[2]data1761205830331!$A$1:$J$65536,10,0)</f>
        <v>315200</v>
      </c>
    </row>
    <row r="1196" spans="1:12" ht="15.6" outlineLevel="1">
      <c r="A1196" s="11">
        <v>1621300573</v>
      </c>
      <c r="B1196" s="40">
        <v>573</v>
      </c>
      <c r="C1196" s="109">
        <v>621300</v>
      </c>
      <c r="D1196" s="42">
        <v>1</v>
      </c>
      <c r="E1196" s="43"/>
      <c r="F1196" s="44" t="str">
        <f>[4]גיליון1!$F$2056</f>
        <v>מיחשוב הנה"ח</v>
      </c>
      <c r="G1196" s="45" t="s">
        <v>29</v>
      </c>
      <c r="H1196" s="51">
        <f t="shared" si="18"/>
        <v>0</v>
      </c>
      <c r="I1196" s="47"/>
      <c r="J1196" s="48">
        <f>VLOOKUP(A1196,'[1]תקציב 2026'!$A$1:$M$65536,9,0)</f>
        <v>982800</v>
      </c>
      <c r="K1196" s="49">
        <f>VLOOKUP(A1196,[3]גיליון1!$A$1:$C$7693,3,0)</f>
        <v>982800</v>
      </c>
      <c r="L1196" s="50">
        <f>VLOOKUP(A1196,[2]data1761205830331!$A$1:$J$65536,10,0)</f>
        <v>0</v>
      </c>
    </row>
    <row r="1197" spans="1:12" ht="15.6" outlineLevel="1">
      <c r="A1197" s="11">
        <v>1621300580</v>
      </c>
      <c r="B1197" s="40">
        <v>580</v>
      </c>
      <c r="C1197" s="109">
        <v>621300</v>
      </c>
      <c r="D1197" s="42">
        <v>1</v>
      </c>
      <c r="E1197" s="43"/>
      <c r="F1197" s="44" t="s">
        <v>861</v>
      </c>
      <c r="G1197" s="45" t="s">
        <v>29</v>
      </c>
      <c r="H1197" s="51">
        <f t="shared" si="18"/>
        <v>0</v>
      </c>
      <c r="I1197" s="47"/>
      <c r="J1197" s="48">
        <f>VLOOKUP(A1197,'[1]תקציב 2026'!$A$1:$M$65536,9,0)</f>
        <v>32400</v>
      </c>
      <c r="K1197" s="49">
        <f>VLOOKUP(A1197,[3]גיליון1!$A$1:$C$7693,3,0)*0.9</f>
        <v>32400</v>
      </c>
      <c r="L1197" s="50">
        <f>VLOOKUP(A1197,[2]data1761205830331!$A$1:$J$65536,10,0)</f>
        <v>5791.5</v>
      </c>
    </row>
    <row r="1198" spans="1:12" ht="16.2" outlineLevel="1" thickBot="1">
      <c r="A1198" s="11">
        <v>1621300757</v>
      </c>
      <c r="B1198" s="40">
        <v>757</v>
      </c>
      <c r="C1198" s="109">
        <v>621300</v>
      </c>
      <c r="D1198" s="42">
        <v>1</v>
      </c>
      <c r="E1198" s="43"/>
      <c r="F1198" s="44" t="s">
        <v>862</v>
      </c>
      <c r="G1198" s="45" t="s">
        <v>29</v>
      </c>
      <c r="H1198" s="51">
        <f t="shared" si="18"/>
        <v>0</v>
      </c>
      <c r="I1198" s="47"/>
      <c r="J1198" s="48">
        <f>VLOOKUP(A1198,'[1]תקציב 2026'!$A$1:$M$65536,9,0)</f>
        <v>45000</v>
      </c>
      <c r="K1198" s="49">
        <f>VLOOKUP(A1198,[3]גיליון1!$A$1:$C$7693,3,0)</f>
        <v>45000</v>
      </c>
      <c r="L1198" s="50">
        <f>VLOOKUP(A1198,[2]data1761205830331!$A$1:$J$65536,10,0)</f>
        <v>35102</v>
      </c>
    </row>
    <row r="1199" spans="1:12" ht="16.2" thickBot="1">
      <c r="A1199" s="11" t="e">
        <v>#VALUE!</v>
      </c>
      <c r="B1199" s="53" t="s">
        <v>863</v>
      </c>
      <c r="C1199" s="223"/>
      <c r="D1199" s="55"/>
      <c r="E1199" s="56"/>
      <c r="F1199" s="116" t="s">
        <v>858</v>
      </c>
      <c r="G1199" s="58"/>
      <c r="H1199" s="166">
        <f>J1199/K1199-1</f>
        <v>0.10882008338860438</v>
      </c>
      <c r="I1199" s="72"/>
      <c r="J1199" s="74">
        <f>SUBTOTAL(9,J1183:J1198)</f>
        <v>3794970</v>
      </c>
      <c r="K1199" s="92">
        <f>SUBTOTAL(9,K1183:K1198)</f>
        <v>3422530</v>
      </c>
      <c r="L1199" s="75">
        <f>SUBTOTAL(9,L1183:L1198)</f>
        <v>2155824.6500000004</v>
      </c>
    </row>
    <row r="1200" spans="1:12" ht="15.6" outlineLevel="1">
      <c r="A1200" s="11">
        <v>16215000</v>
      </c>
      <c r="B1200" s="40">
        <v>0</v>
      </c>
      <c r="C1200" s="109">
        <v>621500</v>
      </c>
      <c r="D1200" s="42">
        <v>1</v>
      </c>
      <c r="E1200" s="43"/>
      <c r="F1200" s="44" t="s">
        <v>824</v>
      </c>
      <c r="G1200" s="45" t="s">
        <v>15</v>
      </c>
      <c r="H1200" s="51"/>
      <c r="I1200" s="47"/>
      <c r="J1200" s="48"/>
      <c r="K1200" s="49"/>
      <c r="L1200" s="50"/>
    </row>
    <row r="1201" spans="1:12" ht="15.6" outlineLevel="1">
      <c r="A1201" s="11">
        <v>1621500110</v>
      </c>
      <c r="B1201" s="40">
        <v>110</v>
      </c>
      <c r="C1201" s="109">
        <v>621500</v>
      </c>
      <c r="D1201" s="42">
        <v>1</v>
      </c>
      <c r="E1201" s="43"/>
      <c r="F1201" s="44" t="s">
        <v>21</v>
      </c>
      <c r="G1201" s="45" t="s">
        <v>22</v>
      </c>
      <c r="H1201" s="51">
        <f t="shared" si="18"/>
        <v>-1</v>
      </c>
      <c r="I1201" s="47"/>
      <c r="J1201" s="48">
        <f>VLOOKUP(A1201,'[1]תקציב 2026'!$A$1:$M$65536,9,0)</f>
        <v>0</v>
      </c>
      <c r="K1201" s="49">
        <v>192000</v>
      </c>
      <c r="L1201" s="50">
        <f>VLOOKUP(A1201,[2]data1761205830331!$A$1:$J$65536,10,0)</f>
        <v>198670.25</v>
      </c>
    </row>
    <row r="1202" spans="1:12" ht="15.6" outlineLevel="1">
      <c r="A1202" s="11">
        <v>1621500119</v>
      </c>
      <c r="B1202" s="40">
        <v>119</v>
      </c>
      <c r="C1202" s="109">
        <v>621500</v>
      </c>
      <c r="D1202" s="42">
        <v>1</v>
      </c>
      <c r="E1202" s="43"/>
      <c r="F1202" s="44" t="s">
        <v>23</v>
      </c>
      <c r="G1202" s="45" t="s">
        <v>22</v>
      </c>
      <c r="H1202" s="51">
        <f t="shared" si="18"/>
        <v>-1</v>
      </c>
      <c r="I1202" s="47"/>
      <c r="J1202" s="48">
        <f>VLOOKUP(A1202,'[1]תקציב 2026'!$A$1:$M$65536,9,0)</f>
        <v>0</v>
      </c>
      <c r="K1202" s="49">
        <f>1174000+60000</f>
        <v>1234000</v>
      </c>
      <c r="L1202" s="50">
        <f>VLOOKUP(A1202,[2]data1761205830331!$A$1:$J$65536,10,0)</f>
        <v>1038172.54</v>
      </c>
    </row>
    <row r="1203" spans="1:12" ht="15.6" outlineLevel="1">
      <c r="A1203" s="11">
        <v>1621500122</v>
      </c>
      <c r="B1203" s="40">
        <v>122</v>
      </c>
      <c r="C1203" s="109">
        <v>621500</v>
      </c>
      <c r="D1203" s="42">
        <v>1</v>
      </c>
      <c r="E1203" s="43"/>
      <c r="F1203" s="44" t="s">
        <v>24</v>
      </c>
      <c r="G1203" s="45" t="s">
        <v>22</v>
      </c>
      <c r="H1203" s="51">
        <f t="shared" si="18"/>
        <v>-1</v>
      </c>
      <c r="I1203" s="47"/>
      <c r="J1203" s="48">
        <f>VLOOKUP(A1203,'[1]תקציב 2026'!$A$1:$M$65536,9,0)</f>
        <v>0</v>
      </c>
      <c r="K1203" s="49">
        <f>VLOOKUP(A1203,[3]גיליון1!$A$1:$C$7693,3,0)</f>
        <v>12600</v>
      </c>
      <c r="L1203" s="50">
        <f>VLOOKUP(A1203,[2]data1761205830331!$A$1:$J$65536,10,0)</f>
        <v>15104.67</v>
      </c>
    </row>
    <row r="1204" spans="1:12" ht="15.6" outlineLevel="1">
      <c r="A1204" s="11">
        <v>1621500126</v>
      </c>
      <c r="B1204" s="40">
        <v>126</v>
      </c>
      <c r="C1204" s="109">
        <v>621500</v>
      </c>
      <c r="D1204" s="42">
        <v>1</v>
      </c>
      <c r="E1204" s="43"/>
      <c r="F1204" s="44" t="s">
        <v>25</v>
      </c>
      <c r="G1204" s="45" t="s">
        <v>22</v>
      </c>
      <c r="H1204" s="51">
        <f t="shared" si="18"/>
        <v>-1</v>
      </c>
      <c r="I1204" s="47"/>
      <c r="J1204" s="48">
        <f>VLOOKUP(A1204,'[1]תקציב 2026'!$A$1:$M$65536,9,0)</f>
        <v>0</v>
      </c>
      <c r="K1204" s="49">
        <f>VLOOKUP(A1204,[3]גיליון1!$A$1:$C$7693,3,0)</f>
        <v>31000</v>
      </c>
      <c r="L1204" s="50">
        <f>VLOOKUP(A1204,[2]data1761205830331!$A$1:$J$65536,10,0)</f>
        <v>36439.86</v>
      </c>
    </row>
    <row r="1205" spans="1:12" ht="15.6" outlineLevel="1">
      <c r="A1205" s="11">
        <v>1621500130</v>
      </c>
      <c r="B1205" s="40">
        <v>130</v>
      </c>
      <c r="C1205" s="109">
        <v>621500</v>
      </c>
      <c r="D1205" s="42">
        <v>1</v>
      </c>
      <c r="E1205" s="43"/>
      <c r="F1205" s="44" t="s">
        <v>26</v>
      </c>
      <c r="G1205" s="45" t="s">
        <v>22</v>
      </c>
      <c r="H1205" s="51">
        <f t="shared" si="18"/>
        <v>-1</v>
      </c>
      <c r="I1205" s="47"/>
      <c r="J1205" s="48">
        <f>VLOOKUP(A1205,'[1]תקציב 2026'!$A$1:$M$65536,9,0)</f>
        <v>0</v>
      </c>
      <c r="K1205" s="49">
        <f>VLOOKUP(A1205,[3]גיליון1!$A$1:$C$7693,3,0)*0.86+6</f>
        <v>45500</v>
      </c>
      <c r="L1205" s="50">
        <f>VLOOKUP(A1205,[2]data1761205830331!$A$1:$J$65536,10,0)</f>
        <v>23402.5</v>
      </c>
    </row>
    <row r="1206" spans="1:12" ht="15.6" outlineLevel="1">
      <c r="A1206" s="11">
        <v>1621500140</v>
      </c>
      <c r="B1206" s="40">
        <v>140</v>
      </c>
      <c r="C1206" s="109">
        <v>621500</v>
      </c>
      <c r="D1206" s="42">
        <v>1</v>
      </c>
      <c r="E1206" s="43"/>
      <c r="F1206" s="44" t="s">
        <v>27</v>
      </c>
      <c r="G1206" s="45" t="s">
        <v>22</v>
      </c>
      <c r="H1206" s="51">
        <f t="shared" si="18"/>
        <v>-1</v>
      </c>
      <c r="I1206" s="47"/>
      <c r="J1206" s="48">
        <f>VLOOKUP(A1206,'[1]תקציב 2026'!$A$1:$M$65536,9,0)</f>
        <v>0</v>
      </c>
      <c r="K1206" s="49">
        <f>VLOOKUP(A1206,[3]גיליון1!$A$1:$C$7693,3,0)</f>
        <v>133500</v>
      </c>
      <c r="L1206" s="50">
        <f>VLOOKUP(A1206,[2]data1761205830331!$A$1:$J$65536,10,0)</f>
        <v>148451.39000000001</v>
      </c>
    </row>
    <row r="1207" spans="1:12" ht="15.6" outlineLevel="1">
      <c r="A1207" s="11">
        <v>1621500471</v>
      </c>
      <c r="B1207" s="40">
        <v>471</v>
      </c>
      <c r="C1207" s="109">
        <v>621500</v>
      </c>
      <c r="D1207" s="42">
        <v>1</v>
      </c>
      <c r="E1207" s="43"/>
      <c r="F1207" s="44" t="s">
        <v>71</v>
      </c>
      <c r="G1207" s="45" t="s">
        <v>37</v>
      </c>
      <c r="H1207" s="51">
        <f t="shared" si="18"/>
        <v>-1</v>
      </c>
      <c r="I1207" s="47"/>
      <c r="J1207" s="48">
        <f>VLOOKUP(A1207,'[1]תקציב 2026'!$A$1:$M$65536,9,0)</f>
        <v>0</v>
      </c>
      <c r="K1207" s="49">
        <f>VLOOKUP(A1207,[3]גיליון1!$A$1:$C$7693,3,0)*0.9</f>
        <v>5400</v>
      </c>
      <c r="L1207" s="50">
        <f>VLOOKUP(A1207,[2]data1761205830331!$A$1:$J$65536,10,0)</f>
        <v>4564.1499999999996</v>
      </c>
    </row>
    <row r="1208" spans="1:12" ht="15.6" outlineLevel="1">
      <c r="A1208" s="11">
        <v>1621500544</v>
      </c>
      <c r="B1208" s="40">
        <v>544</v>
      </c>
      <c r="C1208" s="109">
        <v>621500</v>
      </c>
      <c r="D1208" s="42">
        <v>1</v>
      </c>
      <c r="E1208" s="43"/>
      <c r="F1208" s="44" t="s">
        <v>743</v>
      </c>
      <c r="G1208" s="45" t="s">
        <v>29</v>
      </c>
      <c r="H1208" s="51">
        <f t="shared" si="18"/>
        <v>-1</v>
      </c>
      <c r="I1208" s="47"/>
      <c r="J1208" s="48">
        <f>VLOOKUP(A1208,'[1]תקציב 2026'!$A$1:$M$65536,9,0)</f>
        <v>0</v>
      </c>
      <c r="K1208" s="49">
        <v>5000</v>
      </c>
      <c r="L1208" s="50">
        <f>VLOOKUP(A1208,[2]data1761205830331!$A$1:$J$65536,10,0)</f>
        <v>3209.39</v>
      </c>
    </row>
    <row r="1209" spans="1:12" ht="15.6" outlineLevel="1">
      <c r="A1209" s="11">
        <v>1621500565</v>
      </c>
      <c r="B1209" s="40">
        <v>565</v>
      </c>
      <c r="C1209" s="109">
        <v>621500</v>
      </c>
      <c r="D1209" s="42">
        <v>1</v>
      </c>
      <c r="E1209" s="43"/>
      <c r="F1209" s="44" t="s">
        <v>826</v>
      </c>
      <c r="G1209" s="45" t="s">
        <v>37</v>
      </c>
      <c r="H1209" s="51">
        <f t="shared" si="18"/>
        <v>-1</v>
      </c>
      <c r="I1209" s="47"/>
      <c r="J1209" s="48">
        <f>VLOOKUP(A1209,'[1]תקציב 2026'!$A$1:$M$65536,9,0)</f>
        <v>0</v>
      </c>
      <c r="K1209" s="49">
        <f>VLOOKUP(A1209,[3]גיליון1!$A$1:$C$7693,3,0)*0.9</f>
        <v>4050</v>
      </c>
      <c r="L1209" s="50">
        <f>VLOOKUP(A1209,[2]data1761205830331!$A$1:$J$65536,10,0)</f>
        <v>3822</v>
      </c>
    </row>
    <row r="1210" spans="1:12" ht="15.6" outlineLevel="1">
      <c r="A1210" s="11">
        <v>1621500566</v>
      </c>
      <c r="B1210" s="40">
        <v>566</v>
      </c>
      <c r="C1210" s="109">
        <v>621500</v>
      </c>
      <c r="D1210" s="42">
        <v>1</v>
      </c>
      <c r="E1210" s="43"/>
      <c r="F1210" s="44" t="s">
        <v>864</v>
      </c>
      <c r="G1210" s="45" t="s">
        <v>37</v>
      </c>
      <c r="H1210" s="51">
        <f t="shared" si="18"/>
        <v>-1</v>
      </c>
      <c r="I1210" s="47"/>
      <c r="J1210" s="48">
        <f>VLOOKUP(A1210,'[1]תקציב 2026'!$A$1:$M$65536,9,0)</f>
        <v>0</v>
      </c>
      <c r="K1210" s="49">
        <f>VLOOKUP(A1210,[3]גיליון1!$A$1:$C$7693,3,0)*0.9</f>
        <v>810</v>
      </c>
      <c r="L1210" s="50">
        <f>VLOOKUP(A1210,[2]data1761205830331!$A$1:$J$65536,10,0)</f>
        <v>0</v>
      </c>
    </row>
    <row r="1211" spans="1:12" ht="15.6" outlineLevel="1">
      <c r="A1211" s="11">
        <v>1621500570</v>
      </c>
      <c r="B1211" s="40">
        <v>570</v>
      </c>
      <c r="C1211" s="109">
        <v>621500</v>
      </c>
      <c r="D1211" s="42">
        <v>1</v>
      </c>
      <c r="E1211" s="43"/>
      <c r="F1211" s="44" t="s">
        <v>827</v>
      </c>
      <c r="G1211" s="45" t="s">
        <v>29</v>
      </c>
      <c r="H1211" s="51">
        <f t="shared" si="18"/>
        <v>-1</v>
      </c>
      <c r="I1211" s="47"/>
      <c r="J1211" s="48">
        <f>VLOOKUP(A1211,'[1]תקציב 2026'!$A$1:$M$65536,9,0)</f>
        <v>0</v>
      </c>
      <c r="K1211" s="49">
        <v>650000</v>
      </c>
      <c r="L1211" s="50">
        <f>VLOOKUP(A1211,[2]data1761205830331!$A$1:$J$65536,10,0)</f>
        <v>629544.44999999995</v>
      </c>
    </row>
    <row r="1212" spans="1:12" ht="15.6" outlineLevel="1">
      <c r="A1212" s="11">
        <v>1621500571</v>
      </c>
      <c r="B1212" s="40">
        <v>571</v>
      </c>
      <c r="C1212" s="109">
        <v>621500</v>
      </c>
      <c r="D1212" s="42">
        <v>1</v>
      </c>
      <c r="E1212" s="43"/>
      <c r="F1212" s="44" t="s">
        <v>75</v>
      </c>
      <c r="G1212" s="45" t="s">
        <v>29</v>
      </c>
      <c r="H1212" s="51">
        <f t="shared" si="18"/>
        <v>-1</v>
      </c>
      <c r="I1212" s="47"/>
      <c r="J1212" s="48">
        <f>VLOOKUP(A1212,'[1]תקציב 2026'!$A$1:$M$65536,9,0)</f>
        <v>0</v>
      </c>
      <c r="K1212" s="49">
        <v>193100</v>
      </c>
      <c r="L1212" s="50">
        <f>VLOOKUP(A1212,[2]data1761205830331!$A$1:$J$65536,10,0)</f>
        <v>168100</v>
      </c>
    </row>
    <row r="1213" spans="1:12" ht="16.2" outlineLevel="1" thickBot="1">
      <c r="A1213" s="11">
        <v>1621500758</v>
      </c>
      <c r="B1213" s="40">
        <v>758</v>
      </c>
      <c r="C1213" s="109">
        <v>621500</v>
      </c>
      <c r="D1213" s="42">
        <v>1</v>
      </c>
      <c r="E1213" s="43"/>
      <c r="F1213" s="44" t="s">
        <v>828</v>
      </c>
      <c r="G1213" s="45" t="s">
        <v>37</v>
      </c>
      <c r="H1213" s="51">
        <f t="shared" si="18"/>
        <v>-1</v>
      </c>
      <c r="I1213" s="47"/>
      <c r="J1213" s="48">
        <f>VLOOKUP(A1213,'[1]תקציב 2026'!$A$1:$M$65536,9,0)</f>
        <v>0</v>
      </c>
      <c r="K1213" s="49">
        <f>VLOOKUP(A1213,[3]גיליון1!$A$1:$C$7693,3,0)</f>
        <v>90000</v>
      </c>
      <c r="L1213" s="50">
        <f>VLOOKUP(A1213,[2]data1761205830331!$A$1:$J$65536,10,0)</f>
        <v>90000</v>
      </c>
    </row>
    <row r="1214" spans="1:12" ht="16.2" thickBot="1">
      <c r="A1214" s="11" t="e">
        <v>#VALUE!</v>
      </c>
      <c r="B1214" s="53" t="s">
        <v>865</v>
      </c>
      <c r="C1214" s="223"/>
      <c r="D1214" s="55"/>
      <c r="E1214" s="56"/>
      <c r="F1214" s="116" t="s">
        <v>824</v>
      </c>
      <c r="G1214" s="58"/>
      <c r="H1214" s="166">
        <f>J1214/K1214-1</f>
        <v>-1</v>
      </c>
      <c r="I1214" s="72"/>
      <c r="J1214" s="74">
        <f>SUBTOTAL(9,J1201:J1213)</f>
        <v>0</v>
      </c>
      <c r="K1214" s="92">
        <f>SUBTOTAL(9,K1201:K1213)</f>
        <v>2596960</v>
      </c>
      <c r="L1214" s="75">
        <f>SUBTOTAL(9,L1201:L1213)</f>
        <v>2359481.1999999997</v>
      </c>
    </row>
    <row r="1215" spans="1:12" ht="15.6" outlineLevel="1">
      <c r="A1215" s="11">
        <v>16218000</v>
      </c>
      <c r="B1215" s="64">
        <v>0</v>
      </c>
      <c r="C1215" s="131">
        <v>621800</v>
      </c>
      <c r="D1215" s="66">
        <v>1</v>
      </c>
      <c r="E1215" s="67"/>
      <c r="F1215" s="68" t="s">
        <v>866</v>
      </c>
      <c r="G1215" s="69" t="s">
        <v>15</v>
      </c>
      <c r="H1215" s="51"/>
      <c r="I1215" s="47"/>
      <c r="J1215" s="48"/>
      <c r="K1215" s="49"/>
      <c r="L1215" s="50"/>
    </row>
    <row r="1216" spans="1:12" ht="15.6" outlineLevel="1">
      <c r="A1216" s="11">
        <v>1621800110</v>
      </c>
      <c r="B1216" s="40">
        <v>110</v>
      </c>
      <c r="C1216" s="109">
        <v>621800</v>
      </c>
      <c r="D1216" s="42">
        <v>1</v>
      </c>
      <c r="E1216" s="43"/>
      <c r="F1216" s="44" t="s">
        <v>21</v>
      </c>
      <c r="G1216" s="45" t="s">
        <v>22</v>
      </c>
      <c r="H1216" s="51">
        <v>0</v>
      </c>
      <c r="I1216" s="47"/>
      <c r="J1216" s="48">
        <f>VLOOKUP(A1216,'[1]תקציב 2026'!$A$1:$M$65536,9,0)</f>
        <v>0</v>
      </c>
      <c r="K1216" s="49">
        <v>0</v>
      </c>
      <c r="L1216" s="50">
        <f>VLOOKUP(A1216,[2]data1761205830331!$A$1:$J$65536,10,0)</f>
        <v>343166.74</v>
      </c>
    </row>
    <row r="1217" spans="1:12" ht="15.6" outlineLevel="1">
      <c r="A1217" s="11">
        <v>1621800119</v>
      </c>
      <c r="B1217" s="40">
        <v>119</v>
      </c>
      <c r="C1217" s="109">
        <v>621800</v>
      </c>
      <c r="D1217" s="42">
        <v>1</v>
      </c>
      <c r="E1217" s="43"/>
      <c r="F1217" s="44" t="s">
        <v>23</v>
      </c>
      <c r="G1217" s="45" t="s">
        <v>22</v>
      </c>
      <c r="H1217" s="51">
        <f t="shared" si="18"/>
        <v>2.4999999999999911E-2</v>
      </c>
      <c r="I1217" s="47"/>
      <c r="J1217" s="48">
        <f>VLOOKUP(A1217,'[1]תקציב 2026'!$A$1:$M$65536,9,0)</f>
        <v>1903219.9999999998</v>
      </c>
      <c r="K1217" s="49">
        <f>1037500+460000+359300</f>
        <v>1856800</v>
      </c>
      <c r="L1217" s="50">
        <f>VLOOKUP(A1217,[2]data1761205830331!$A$1:$J$65536,10,0)</f>
        <v>935124.38</v>
      </c>
    </row>
    <row r="1218" spans="1:12" ht="15.6" outlineLevel="1">
      <c r="A1218" s="11">
        <v>1621800122</v>
      </c>
      <c r="B1218" s="40">
        <v>122</v>
      </c>
      <c r="C1218" s="109">
        <v>621800</v>
      </c>
      <c r="D1218" s="42">
        <v>1</v>
      </c>
      <c r="E1218" s="43"/>
      <c r="F1218" s="44" t="s">
        <v>24</v>
      </c>
      <c r="G1218" s="45" t="s">
        <v>22</v>
      </c>
      <c r="H1218" s="51">
        <f t="shared" si="18"/>
        <v>0</v>
      </c>
      <c r="I1218" s="47"/>
      <c r="J1218" s="48">
        <f>VLOOKUP(A1218,'[1]תקציב 2026'!$A$1:$M$65536,9,0)</f>
        <v>7500</v>
      </c>
      <c r="K1218" s="49">
        <f>VLOOKUP(A1218,[3]גיליון1!$A$1:$C$7693,3,0)</f>
        <v>7500</v>
      </c>
      <c r="L1218" s="50">
        <f>VLOOKUP(A1218,[2]data1761205830331!$A$1:$J$65536,10,0)</f>
        <v>12050.26</v>
      </c>
    </row>
    <row r="1219" spans="1:12" ht="15.6" outlineLevel="1">
      <c r="A1219" s="11">
        <v>1621800126</v>
      </c>
      <c r="B1219" s="40">
        <v>126</v>
      </c>
      <c r="C1219" s="109">
        <v>621800</v>
      </c>
      <c r="D1219" s="42">
        <v>1</v>
      </c>
      <c r="E1219" s="43"/>
      <c r="F1219" s="44" t="s">
        <v>25</v>
      </c>
      <c r="G1219" s="45" t="s">
        <v>22</v>
      </c>
      <c r="H1219" s="51">
        <f t="shared" si="18"/>
        <v>0</v>
      </c>
      <c r="I1219" s="47"/>
      <c r="J1219" s="48">
        <f>VLOOKUP(A1219,'[1]תקציב 2026'!$A$1:$M$65536,9,0)</f>
        <v>32000</v>
      </c>
      <c r="K1219" s="49">
        <f>VLOOKUP(A1219,[3]גיליון1!$A$1:$C$7693,3,0)</f>
        <v>32000</v>
      </c>
      <c r="L1219" s="50">
        <f>VLOOKUP(A1219,[2]data1761205830331!$A$1:$J$65536,10,0)</f>
        <v>21928.49</v>
      </c>
    </row>
    <row r="1220" spans="1:12" ht="15.6" outlineLevel="1">
      <c r="A1220" s="11">
        <v>1621800130</v>
      </c>
      <c r="B1220" s="40">
        <v>130</v>
      </c>
      <c r="C1220" s="109">
        <v>621800</v>
      </c>
      <c r="D1220" s="42">
        <v>1</v>
      </c>
      <c r="E1220" s="43"/>
      <c r="F1220" s="44" t="s">
        <v>26</v>
      </c>
      <c r="G1220" s="45" t="s">
        <v>22</v>
      </c>
      <c r="H1220" s="51">
        <f t="shared" si="18"/>
        <v>0</v>
      </c>
      <c r="I1220" s="47"/>
      <c r="J1220" s="48">
        <f>VLOOKUP(A1220,'[1]תקציב 2026'!$A$1:$M$65536,9,0)</f>
        <v>26580</v>
      </c>
      <c r="K1220" s="49">
        <f>VLOOKUP(A1220,[3]גיליון1!$A$1:$C$7693,3,0)*0.86+6</f>
        <v>26580</v>
      </c>
      <c r="L1220" s="50">
        <f>VLOOKUP(A1220,[2]data1761205830331!$A$1:$J$65536,10,0)</f>
        <v>34914.69</v>
      </c>
    </row>
    <row r="1221" spans="1:12" ht="15.6" outlineLevel="1">
      <c r="A1221" s="11">
        <v>1621800140</v>
      </c>
      <c r="B1221" s="40">
        <v>140</v>
      </c>
      <c r="C1221" s="109">
        <v>621800</v>
      </c>
      <c r="D1221" s="42">
        <v>1</v>
      </c>
      <c r="E1221" s="43"/>
      <c r="F1221" s="44" t="s">
        <v>27</v>
      </c>
      <c r="G1221" s="45" t="s">
        <v>22</v>
      </c>
      <c r="H1221" s="51">
        <f t="shared" si="18"/>
        <v>0</v>
      </c>
      <c r="I1221" s="47"/>
      <c r="J1221" s="48">
        <f>VLOOKUP(A1221,'[1]תקציב 2026'!$A$1:$M$65536,9,0)</f>
        <v>165900</v>
      </c>
      <c r="K1221" s="49">
        <f>VLOOKUP(A1221,[3]גיליון1!$A$1:$C$7693,3,0)</f>
        <v>165900</v>
      </c>
      <c r="L1221" s="50">
        <f>VLOOKUP(A1221,[2]data1761205830331!$A$1:$J$65536,10,0)</f>
        <v>158199.37</v>
      </c>
    </row>
    <row r="1222" spans="1:12" ht="15.6" outlineLevel="1">
      <c r="A1222" s="11">
        <v>1621800253</v>
      </c>
      <c r="B1222" s="40">
        <v>253</v>
      </c>
      <c r="C1222" s="109">
        <v>621800</v>
      </c>
      <c r="D1222" s="42">
        <v>1</v>
      </c>
      <c r="E1222" s="43"/>
      <c r="F1222" s="44" t="s">
        <v>738</v>
      </c>
      <c r="G1222" s="45" t="s">
        <v>22</v>
      </c>
      <c r="H1222" s="51">
        <v>0</v>
      </c>
      <c r="I1222" s="47"/>
      <c r="J1222" s="48">
        <f>VLOOKUP(A1222,'[1]תקציב 2026'!$A$1:$M$65536,9,0)</f>
        <v>0</v>
      </c>
      <c r="K1222" s="49">
        <f>VLOOKUP(A1222,[3]גיליון1!$A$1:$C$7693,3,0)</f>
        <v>0</v>
      </c>
      <c r="L1222" s="50">
        <f>VLOOKUP(A1222,[2]data1761205830331!$A$1:$J$65536,10,0)</f>
        <v>29899</v>
      </c>
    </row>
    <row r="1223" spans="1:12" ht="15.6" outlineLevel="1">
      <c r="A1223" s="11">
        <v>1621800471</v>
      </c>
      <c r="B1223" s="40">
        <v>471</v>
      </c>
      <c r="C1223" s="109">
        <v>621800</v>
      </c>
      <c r="D1223" s="42">
        <v>1</v>
      </c>
      <c r="E1223" s="43"/>
      <c r="F1223" s="44" t="s">
        <v>71</v>
      </c>
      <c r="G1223" s="45" t="s">
        <v>37</v>
      </c>
      <c r="H1223" s="51">
        <f t="shared" si="18"/>
        <v>0</v>
      </c>
      <c r="I1223" s="51"/>
      <c r="J1223" s="48">
        <f>VLOOKUP(A1223,'[1]תקציב 2026'!$A$1:$M$65536,9,0)</f>
        <v>5400</v>
      </c>
      <c r="K1223" s="49">
        <f>VLOOKUP(A1223,[3]גיליון1!$A$1:$C$7693,3,0)*0.9</f>
        <v>5400</v>
      </c>
      <c r="L1223" s="50">
        <f>VLOOKUP(A1223,[2]data1761205830331!$A$1:$J$65536,10,0)</f>
        <v>3455.82</v>
      </c>
    </row>
    <row r="1224" spans="1:12" ht="15.6" outlineLevel="1">
      <c r="A1224" s="11">
        <v>1621800511</v>
      </c>
      <c r="B1224" s="40">
        <v>511</v>
      </c>
      <c r="C1224" s="109">
        <v>621800</v>
      </c>
      <c r="D1224" s="42">
        <v>1</v>
      </c>
      <c r="E1224" s="43"/>
      <c r="F1224" s="44" t="s">
        <v>72</v>
      </c>
      <c r="G1224" s="45" t="s">
        <v>37</v>
      </c>
      <c r="H1224" s="51">
        <f t="shared" si="18"/>
        <v>2.3333333333333335</v>
      </c>
      <c r="I1224" s="47"/>
      <c r="J1224" s="48">
        <f>VLOOKUP(A1224,'[1]תקציב 2026'!$A$1:$M$65536,9,0)</f>
        <v>3000</v>
      </c>
      <c r="K1224" s="49">
        <f>1000*0.9</f>
        <v>900</v>
      </c>
      <c r="L1224" s="50">
        <f>VLOOKUP(A1224,[2]data1761205830331!$A$1:$J$65536,10,0)</f>
        <v>1000</v>
      </c>
    </row>
    <row r="1225" spans="1:12" ht="15.6" outlineLevel="1">
      <c r="A1225" s="11">
        <v>1621800522</v>
      </c>
      <c r="B1225" s="40">
        <v>522</v>
      </c>
      <c r="C1225" s="109">
        <v>621800</v>
      </c>
      <c r="D1225" s="42">
        <v>1</v>
      </c>
      <c r="E1225" s="43"/>
      <c r="F1225" s="44" t="s">
        <v>90</v>
      </c>
      <c r="G1225" s="45" t="s">
        <v>37</v>
      </c>
      <c r="H1225" s="51">
        <f t="shared" si="18"/>
        <v>0</v>
      </c>
      <c r="I1225" s="47"/>
      <c r="J1225" s="48">
        <f>VLOOKUP(A1225,'[1]תקציב 2026'!$A$1:$M$65536,9,0)</f>
        <v>2880</v>
      </c>
      <c r="K1225" s="49">
        <f>VLOOKUP(A1225,[3]גיליון1!$A$1:$C$7693,3,0)*0.9</f>
        <v>2880</v>
      </c>
      <c r="L1225" s="50">
        <f>VLOOKUP(A1225,[2]data1761205830331!$A$1:$J$65536,10,0)</f>
        <v>2996.11</v>
      </c>
    </row>
    <row r="1226" spans="1:12" ht="15.6" outlineLevel="1">
      <c r="A1226" s="11">
        <v>1621800550</v>
      </c>
      <c r="B1226" s="40">
        <v>550</v>
      </c>
      <c r="C1226" s="109">
        <v>621800</v>
      </c>
      <c r="D1226" s="42">
        <v>1</v>
      </c>
      <c r="E1226" s="43"/>
      <c r="F1226" s="44" t="s">
        <v>73</v>
      </c>
      <c r="G1226" s="45" t="s">
        <v>37</v>
      </c>
      <c r="H1226" s="51">
        <f t="shared" si="18"/>
        <v>0</v>
      </c>
      <c r="I1226" s="47"/>
      <c r="J1226" s="48">
        <f>VLOOKUP(A1226,'[1]תקציב 2026'!$A$1:$M$65536,9,0)</f>
        <v>1800</v>
      </c>
      <c r="K1226" s="49">
        <f>2000*0.9</f>
        <v>1800</v>
      </c>
      <c r="L1226" s="50">
        <f>VLOOKUP(A1226,[2]data1761205830331!$A$1:$J$65536,10,0)</f>
        <v>926</v>
      </c>
    </row>
    <row r="1227" spans="1:12" ht="15.6" outlineLevel="1">
      <c r="A1227" s="11">
        <v>1621800561</v>
      </c>
      <c r="B1227" s="40">
        <v>561</v>
      </c>
      <c r="C1227" s="109">
        <v>621800</v>
      </c>
      <c r="D1227" s="42">
        <v>1</v>
      </c>
      <c r="E1227" s="43"/>
      <c r="F1227" s="44" t="s">
        <v>74</v>
      </c>
      <c r="G1227" s="45" t="s">
        <v>37</v>
      </c>
      <c r="H1227" s="51">
        <f t="shared" si="18"/>
        <v>0</v>
      </c>
      <c r="I1227" s="47"/>
      <c r="J1227" s="48">
        <f>VLOOKUP(A1227,'[1]תקציב 2026'!$A$1:$M$65536,9,0)</f>
        <v>1530</v>
      </c>
      <c r="K1227" s="49">
        <f>VLOOKUP(A1227,[3]גיליון1!$A$1:$C$7693,3,0)*0.9</f>
        <v>1530</v>
      </c>
      <c r="L1227" s="50">
        <f>VLOOKUP(A1227,[2]data1761205830331!$A$1:$J$65536,10,0)</f>
        <v>436.8</v>
      </c>
    </row>
    <row r="1228" spans="1:12" ht="15.6" outlineLevel="1">
      <c r="A1228" s="11">
        <v>1621800571</v>
      </c>
      <c r="B1228" s="40">
        <v>571</v>
      </c>
      <c r="C1228" s="109">
        <v>621800</v>
      </c>
      <c r="D1228" s="42">
        <v>1</v>
      </c>
      <c r="E1228" s="43"/>
      <c r="F1228" s="44" t="s">
        <v>75</v>
      </c>
      <c r="G1228" s="45" t="s">
        <v>29</v>
      </c>
      <c r="H1228" s="51">
        <f t="shared" si="18"/>
        <v>0</v>
      </c>
      <c r="I1228" s="47"/>
      <c r="J1228" s="48">
        <f>VLOOKUP(A1228,'[1]תקציב 2026'!$A$1:$M$65536,9,0)</f>
        <v>21500</v>
      </c>
      <c r="K1228" s="49">
        <v>21500</v>
      </c>
      <c r="L1228" s="50">
        <f>VLOOKUP(A1228,[2]data1761205830331!$A$1:$J$65536,10,0)</f>
        <v>15600</v>
      </c>
    </row>
    <row r="1229" spans="1:12" ht="16.2" outlineLevel="1" thickBot="1">
      <c r="A1229" s="11">
        <v>1621800580</v>
      </c>
      <c r="B1229" s="40">
        <v>580</v>
      </c>
      <c r="C1229" s="109">
        <v>621800</v>
      </c>
      <c r="D1229" s="42">
        <v>1</v>
      </c>
      <c r="E1229" s="43"/>
      <c r="F1229" s="44" t="s">
        <v>861</v>
      </c>
      <c r="G1229" s="45" t="s">
        <v>37</v>
      </c>
      <c r="H1229" s="51">
        <f t="shared" si="18"/>
        <v>0</v>
      </c>
      <c r="I1229" s="47"/>
      <c r="J1229" s="48">
        <f>VLOOKUP(A1229,'[1]תקציב 2026'!$A$1:$M$65536,9,0)</f>
        <v>8100</v>
      </c>
      <c r="K1229" s="49">
        <f>VLOOKUP(A1229,[3]גיליון1!$A$1:$C$7693,3,0)*0.9</f>
        <v>8100</v>
      </c>
      <c r="L1229" s="50">
        <f>VLOOKUP(A1229,[2]data1761205830331!$A$1:$J$65536,10,0)</f>
        <v>0</v>
      </c>
    </row>
    <row r="1230" spans="1:12" ht="16.2" thickBot="1">
      <c r="A1230" s="11" t="e">
        <v>#VALUE!</v>
      </c>
      <c r="B1230" s="53" t="s">
        <v>867</v>
      </c>
      <c r="C1230" s="223"/>
      <c r="D1230" s="55"/>
      <c r="E1230" s="56"/>
      <c r="F1230" s="227" t="s">
        <v>866</v>
      </c>
      <c r="G1230" s="58"/>
      <c r="H1230" s="166">
        <f>J1230/K1230-1</f>
        <v>2.2769828569283224E-2</v>
      </c>
      <c r="I1230" s="72"/>
      <c r="J1230" s="74">
        <f>SUBTOTAL(9,J1216:J1229)</f>
        <v>2179410</v>
      </c>
      <c r="K1230" s="92">
        <f>SUBTOTAL(9,K1216:K1229)</f>
        <v>2130890</v>
      </c>
      <c r="L1230" s="75">
        <f>SUBTOTAL(9,L1216:L1229)</f>
        <v>1559697.6600000004</v>
      </c>
    </row>
    <row r="1231" spans="1:12" ht="15.6" outlineLevel="1">
      <c r="A1231" s="11">
        <v>16220000</v>
      </c>
      <c r="B1231" s="40">
        <v>0</v>
      </c>
      <c r="C1231" s="109">
        <v>622000</v>
      </c>
      <c r="D1231" s="42">
        <v>1</v>
      </c>
      <c r="E1231" s="43"/>
      <c r="F1231" s="44" t="s">
        <v>868</v>
      </c>
      <c r="G1231" s="45" t="s">
        <v>15</v>
      </c>
      <c r="H1231" s="51"/>
      <c r="I1231" s="47"/>
      <c r="J1231" s="48"/>
      <c r="K1231" s="49"/>
      <c r="L1231" s="50"/>
    </row>
    <row r="1232" spans="1:12" ht="15.6" outlineLevel="1">
      <c r="A1232" s="11">
        <v>1622000119</v>
      </c>
      <c r="B1232" s="40">
        <v>119</v>
      </c>
      <c r="C1232" s="109">
        <v>622000</v>
      </c>
      <c r="D1232" s="42">
        <v>1</v>
      </c>
      <c r="E1232" s="43"/>
      <c r="F1232" s="44" t="s">
        <v>23</v>
      </c>
      <c r="G1232" s="45" t="s">
        <v>22</v>
      </c>
      <c r="H1232" s="51">
        <v>0</v>
      </c>
      <c r="I1232" s="47"/>
      <c r="J1232" s="48">
        <f>VLOOKUP(A1232,'[1]תקציב 2026'!$A$1:$M$65536,9,0)</f>
        <v>0</v>
      </c>
      <c r="K1232" s="49">
        <f>VLOOKUP(A1232,[3]גיליון1!$A$1:$C$7693,3,0)</f>
        <v>0</v>
      </c>
      <c r="L1232" s="50">
        <f>VLOOKUP(A1232,[2]data1761205830331!$A$1:$J$65536,10,0)</f>
        <v>-182.21</v>
      </c>
    </row>
    <row r="1233" spans="1:12" ht="15.6" outlineLevel="1">
      <c r="A1233" s="11">
        <v>1622000350</v>
      </c>
      <c r="B1233" s="40">
        <v>350</v>
      </c>
      <c r="C1233" s="109">
        <v>622000</v>
      </c>
      <c r="D1233" s="42">
        <v>1</v>
      </c>
      <c r="E1233" s="43"/>
      <c r="F1233" s="44" t="s">
        <v>869</v>
      </c>
      <c r="G1233" s="45" t="s">
        <v>22</v>
      </c>
      <c r="H1233" s="51">
        <f t="shared" ref="H1233:H1291" si="19">J1233/K1233-1</f>
        <v>-1</v>
      </c>
      <c r="I1233" s="47"/>
      <c r="J1233" s="48">
        <f>VLOOKUP(A1233,'[1]תקציב 2026'!$A$1:$M$65536,9,0)</f>
        <v>0</v>
      </c>
      <c r="K1233" s="49">
        <f>VLOOKUP(A1233,[3]גיליון1!$A$1:$C$7693,3,0)</f>
        <v>41000</v>
      </c>
      <c r="L1233" s="50">
        <f>VLOOKUP(A1233,[2]data1761205830331!$A$1:$J$65536,10,0)</f>
        <v>29273.15</v>
      </c>
    </row>
    <row r="1234" spans="1:12" ht="15.6" outlineLevel="1">
      <c r="A1234" s="11">
        <v>1622000351</v>
      </c>
      <c r="B1234" s="40">
        <v>351</v>
      </c>
      <c r="C1234" s="109">
        <v>622000</v>
      </c>
      <c r="D1234" s="42">
        <v>1</v>
      </c>
      <c r="E1234" s="43"/>
      <c r="F1234" s="44" t="s">
        <v>870</v>
      </c>
      <c r="G1234" s="45" t="s">
        <v>22</v>
      </c>
      <c r="H1234" s="51">
        <f t="shared" si="19"/>
        <v>-1</v>
      </c>
      <c r="I1234" s="47"/>
      <c r="J1234" s="48">
        <f>VLOOKUP(A1234,'[1]תקציב 2026'!$A$1:$M$65536,9,0)</f>
        <v>0</v>
      </c>
      <c r="K1234" s="49">
        <f>VLOOKUP(A1234,[3]גיליון1!$A$1:$C$7693,3,0)</f>
        <v>18400</v>
      </c>
      <c r="L1234" s="50">
        <f>VLOOKUP(A1234,[2]data1761205830331!$A$1:$J$65536,10,0)</f>
        <v>10660.9</v>
      </c>
    </row>
    <row r="1235" spans="1:12" ht="15.6" outlineLevel="1">
      <c r="A1235" s="11">
        <v>1622000492</v>
      </c>
      <c r="B1235" s="40">
        <v>492</v>
      </c>
      <c r="C1235" s="109">
        <v>622000</v>
      </c>
      <c r="D1235" s="42">
        <v>1</v>
      </c>
      <c r="E1235" s="43"/>
      <c r="F1235" s="44" t="s">
        <v>66</v>
      </c>
      <c r="G1235" s="45" t="s">
        <v>29</v>
      </c>
      <c r="H1235" s="51">
        <f t="shared" si="19"/>
        <v>0.10000000000000009</v>
      </c>
      <c r="I1235" s="47"/>
      <c r="J1235" s="48">
        <f>VLOOKUP(A1235,'[1]תקציב 2026'!$A$1:$M$65536,9,0)</f>
        <v>198000</v>
      </c>
      <c r="K1235" s="49">
        <v>180000</v>
      </c>
      <c r="L1235" s="50">
        <f>VLOOKUP(A1235,[2]data1761205830331!$A$1:$J$65536,10,0)</f>
        <v>166436</v>
      </c>
    </row>
    <row r="1236" spans="1:12" ht="15.6" outlineLevel="1">
      <c r="A1236" s="11">
        <v>1622000563</v>
      </c>
      <c r="B1236" s="40">
        <v>563</v>
      </c>
      <c r="C1236" s="109">
        <v>622000</v>
      </c>
      <c r="D1236" s="42">
        <v>1</v>
      </c>
      <c r="E1236" s="43"/>
      <c r="F1236" s="44" t="s">
        <v>749</v>
      </c>
      <c r="G1236" s="45" t="s">
        <v>37</v>
      </c>
      <c r="H1236" s="51">
        <f t="shared" si="19"/>
        <v>-1</v>
      </c>
      <c r="I1236" s="47"/>
      <c r="J1236" s="48">
        <f>VLOOKUP(A1236,'[1]תקציב 2026'!$A$1:$M$65536,9,0)</f>
        <v>0</v>
      </c>
      <c r="K1236" s="49">
        <f>VLOOKUP(A1236,[3]גיליון1!$A$1:$C$7693,3,0)*0.9</f>
        <v>25200</v>
      </c>
      <c r="L1236" s="50">
        <f>VLOOKUP(A1236,[2]data1761205830331!$A$1:$J$65536,10,0)</f>
        <v>897</v>
      </c>
    </row>
    <row r="1237" spans="1:12" ht="15.6" outlineLevel="1">
      <c r="A1237" s="11">
        <v>1622000571</v>
      </c>
      <c r="B1237" s="40">
        <v>571</v>
      </c>
      <c r="C1237" s="109">
        <v>622000</v>
      </c>
      <c r="D1237" s="42">
        <v>1</v>
      </c>
      <c r="E1237" s="43"/>
      <c r="F1237" s="44" t="s">
        <v>75</v>
      </c>
      <c r="G1237" s="45" t="s">
        <v>29</v>
      </c>
      <c r="H1237" s="51">
        <f t="shared" si="19"/>
        <v>0</v>
      </c>
      <c r="I1237" s="47"/>
      <c r="J1237" s="48">
        <f>VLOOKUP(A1237,'[1]תקציב 2026'!$A$1:$M$65536,9,0)</f>
        <v>421500</v>
      </c>
      <c r="K1237" s="49">
        <v>421500</v>
      </c>
      <c r="L1237" s="50">
        <f>VLOOKUP(A1237,[2]data1761205830331!$A$1:$J$65536,10,0)</f>
        <v>389500</v>
      </c>
    </row>
    <row r="1238" spans="1:12" ht="15.6" outlineLevel="1">
      <c r="A1238" s="11">
        <v>1622000580</v>
      </c>
      <c r="B1238" s="40">
        <v>580</v>
      </c>
      <c r="C1238" s="109">
        <v>622000</v>
      </c>
      <c r="D1238" s="42">
        <v>1</v>
      </c>
      <c r="E1238" s="43"/>
      <c r="F1238" s="44" t="s">
        <v>841</v>
      </c>
      <c r="G1238" s="45" t="s">
        <v>29</v>
      </c>
      <c r="H1238" s="51">
        <f t="shared" si="19"/>
        <v>0.44032921810699599</v>
      </c>
      <c r="I1238" s="47"/>
      <c r="J1238" s="48">
        <f>VLOOKUP(A1238,'[1]תקציב 2026'!$A$1:$M$65536,9,0)</f>
        <v>700000</v>
      </c>
      <c r="K1238" s="49">
        <f>540000*0.9</f>
        <v>486000</v>
      </c>
      <c r="L1238" s="50">
        <f>VLOOKUP(A1238,[2]data1761205830331!$A$1:$J$65536,10,0)</f>
        <v>729254</v>
      </c>
    </row>
    <row r="1239" spans="1:12" ht="15.6" outlineLevel="1">
      <c r="A1239" s="11">
        <v>1622000581</v>
      </c>
      <c r="B1239" s="40">
        <v>581</v>
      </c>
      <c r="C1239" s="109">
        <v>622000</v>
      </c>
      <c r="D1239" s="42">
        <v>1</v>
      </c>
      <c r="E1239" s="43"/>
      <c r="F1239" s="44" t="s">
        <v>871</v>
      </c>
      <c r="G1239" s="45" t="s">
        <v>37</v>
      </c>
      <c r="H1239" s="51">
        <f t="shared" si="19"/>
        <v>0.11111111111111116</v>
      </c>
      <c r="I1239" s="47"/>
      <c r="J1239" s="48">
        <f>VLOOKUP(A1239,'[1]תקציב 2026'!$A$1:$M$65536,9,0)</f>
        <v>1100000</v>
      </c>
      <c r="K1239" s="49">
        <f>VLOOKUP(A1239,[3]גיליון1!$A$1:$C$7693,3,0)*0.9</f>
        <v>990000</v>
      </c>
      <c r="L1239" s="50">
        <f>VLOOKUP(A1239,[2]data1761205830331!$A$1:$J$65536,10,0)</f>
        <v>915831.73</v>
      </c>
    </row>
    <row r="1240" spans="1:12" ht="15.6" outlineLevel="1">
      <c r="A1240" s="11">
        <v>1622000780</v>
      </c>
      <c r="B1240" s="40">
        <v>780</v>
      </c>
      <c r="C1240" s="109">
        <v>622000</v>
      </c>
      <c r="D1240" s="42">
        <v>1</v>
      </c>
      <c r="E1240" s="43"/>
      <c r="F1240" s="44" t="s">
        <v>872</v>
      </c>
      <c r="G1240" s="45" t="s">
        <v>37</v>
      </c>
      <c r="H1240" s="51">
        <f t="shared" si="19"/>
        <v>0.55555555555555558</v>
      </c>
      <c r="I1240" s="47"/>
      <c r="J1240" s="48">
        <f>VLOOKUP(A1240,'[1]תקציב 2026'!$A$1:$M$65536,9,0)</f>
        <v>280000</v>
      </c>
      <c r="K1240" s="49">
        <f>200000*0.9</f>
        <v>180000</v>
      </c>
      <c r="L1240" s="50">
        <f>VLOOKUP(A1240,[2]data1761205830331!$A$1:$J$65536,10,0)</f>
        <v>175783.35</v>
      </c>
    </row>
    <row r="1241" spans="1:12" ht="15.6" outlineLevel="1">
      <c r="A1241" s="11">
        <v>1622000794</v>
      </c>
      <c r="B1241" s="40">
        <v>794</v>
      </c>
      <c r="C1241" s="109">
        <v>622000</v>
      </c>
      <c r="D1241" s="42">
        <v>1</v>
      </c>
      <c r="E1241" s="43"/>
      <c r="F1241" s="44" t="s">
        <v>58</v>
      </c>
      <c r="G1241" s="45" t="s">
        <v>29</v>
      </c>
      <c r="H1241" s="51">
        <f t="shared" si="19"/>
        <v>0</v>
      </c>
      <c r="I1241" s="47"/>
      <c r="J1241" s="48">
        <f>VLOOKUP(A1241,'[1]תקציב 2026'!$A$1:$M$65536,9,0)</f>
        <v>8300</v>
      </c>
      <c r="K1241" s="49">
        <v>8300</v>
      </c>
      <c r="L1241" s="50">
        <f>VLOOKUP(A1241,[2]data1761205830331!$A$1:$J$65536,10,0)</f>
        <v>9899</v>
      </c>
    </row>
    <row r="1242" spans="1:12" ht="16.2" outlineLevel="1" thickBot="1">
      <c r="A1242" s="11">
        <v>1622000961</v>
      </c>
      <c r="B1242" s="40">
        <v>961</v>
      </c>
      <c r="C1242" s="109">
        <v>622000</v>
      </c>
      <c r="D1242" s="42">
        <v>1</v>
      </c>
      <c r="E1242" s="43"/>
      <c r="F1242" s="44" t="s">
        <v>873</v>
      </c>
      <c r="G1242" s="45" t="s">
        <v>37</v>
      </c>
      <c r="H1242" s="51">
        <f t="shared" si="19"/>
        <v>0</v>
      </c>
      <c r="I1242" s="47"/>
      <c r="J1242" s="48">
        <f>VLOOKUP(A1242,'[1]תקציב 2026'!$A$1:$M$65536,9,0)</f>
        <v>3870</v>
      </c>
      <c r="K1242" s="49">
        <f>VLOOKUP(A1242,[3]גיליון1!$A$1:$C$7693,3,0)*0.9</f>
        <v>3870</v>
      </c>
      <c r="L1242" s="50">
        <f>VLOOKUP(A1242,[2]data1761205830331!$A$1:$J$65536,10,0)</f>
        <v>180.9</v>
      </c>
    </row>
    <row r="1243" spans="1:12" ht="16.2" thickBot="1">
      <c r="A1243" s="11" t="e">
        <v>#VALUE!</v>
      </c>
      <c r="B1243" s="53" t="s">
        <v>874</v>
      </c>
      <c r="C1243" s="223"/>
      <c r="D1243" s="55"/>
      <c r="E1243" s="56"/>
      <c r="F1243" s="116" t="s">
        <v>868</v>
      </c>
      <c r="G1243" s="58"/>
      <c r="H1243" s="166">
        <f>J1243/K1243-1</f>
        <v>0.15180926571718611</v>
      </c>
      <c r="I1243" s="72"/>
      <c r="J1243" s="74">
        <f>SUBTOTAL(9,J1232:J1242)</f>
        <v>2711670</v>
      </c>
      <c r="K1243" s="92">
        <f>SUBTOTAL(9,K1232:K1242)</f>
        <v>2354270</v>
      </c>
      <c r="L1243" s="75">
        <f>SUBTOTAL(9,L1232:L1242)</f>
        <v>2427533.8199999998</v>
      </c>
    </row>
    <row r="1244" spans="1:12" ht="15.6" outlineLevel="1">
      <c r="A1244" s="11">
        <v>16230000</v>
      </c>
      <c r="B1244" s="40">
        <v>0</v>
      </c>
      <c r="C1244" s="109">
        <v>623000</v>
      </c>
      <c r="D1244" s="42">
        <v>1</v>
      </c>
      <c r="E1244" s="43"/>
      <c r="F1244" s="44" t="s">
        <v>875</v>
      </c>
      <c r="G1244" s="45" t="s">
        <v>15</v>
      </c>
      <c r="H1244" s="51"/>
      <c r="I1244" s="47"/>
      <c r="J1244" s="48"/>
      <c r="K1244" s="49"/>
      <c r="L1244" s="50"/>
    </row>
    <row r="1245" spans="1:12" ht="15.6" outlineLevel="1">
      <c r="A1245" s="11">
        <v>16231000</v>
      </c>
      <c r="B1245" s="40">
        <v>0</v>
      </c>
      <c r="C1245" s="109">
        <v>623100</v>
      </c>
      <c r="D1245" s="42">
        <v>1</v>
      </c>
      <c r="E1245" s="43"/>
      <c r="F1245" s="44" t="s">
        <v>876</v>
      </c>
      <c r="G1245" s="45" t="s">
        <v>15</v>
      </c>
      <c r="H1245" s="51"/>
      <c r="I1245" s="47"/>
      <c r="J1245" s="48"/>
      <c r="K1245" s="49"/>
      <c r="L1245" s="50"/>
    </row>
    <row r="1246" spans="1:12" ht="15.6" outlineLevel="1">
      <c r="A1246" s="11">
        <v>1623100110</v>
      </c>
      <c r="B1246" s="40">
        <v>110</v>
      </c>
      <c r="C1246" s="109">
        <v>623100</v>
      </c>
      <c r="D1246" s="42">
        <v>1</v>
      </c>
      <c r="E1246" s="43"/>
      <c r="F1246" s="44" t="s">
        <v>21</v>
      </c>
      <c r="G1246" s="45" t="s">
        <v>22</v>
      </c>
      <c r="H1246" s="51">
        <f t="shared" si="19"/>
        <v>4.8965697826656163E-2</v>
      </c>
      <c r="I1246" s="47"/>
      <c r="J1246" s="48">
        <v>400600</v>
      </c>
      <c r="K1246" s="49">
        <f>441900-60000</f>
        <v>381900</v>
      </c>
      <c r="L1246" s="50">
        <f>VLOOKUP(A1246,[2]data1761205830331!$A$1:$J$65536,10,0)</f>
        <v>466308.62</v>
      </c>
    </row>
    <row r="1247" spans="1:12" ht="15.6" outlineLevel="1">
      <c r="A1247" s="11">
        <v>1623100119</v>
      </c>
      <c r="B1247" s="40">
        <v>119</v>
      </c>
      <c r="C1247" s="109">
        <v>623100</v>
      </c>
      <c r="D1247" s="42">
        <v>1</v>
      </c>
      <c r="E1247" s="43"/>
      <c r="F1247" s="44" t="s">
        <v>23</v>
      </c>
      <c r="G1247" s="45" t="s">
        <v>22</v>
      </c>
      <c r="H1247" s="51">
        <f t="shared" si="19"/>
        <v>0.20132569779501286</v>
      </c>
      <c r="I1247" s="47"/>
      <c r="J1247" s="48">
        <f>VLOOKUP(A1247,'[1]תקציב 2026'!$A$1:$M$65536,9,0)</f>
        <v>10656720</v>
      </c>
      <c r="K1247" s="49">
        <f>8654800+216000</f>
        <v>8870800</v>
      </c>
      <c r="L1247" s="50">
        <f>VLOOKUP(A1247,[2]data1761205830331!$A$1:$J$65536,10,0)</f>
        <v>8689664.7200000007</v>
      </c>
    </row>
    <row r="1248" spans="1:12" ht="15.6" outlineLevel="1">
      <c r="A1248" s="11">
        <v>1623100122</v>
      </c>
      <c r="B1248" s="40">
        <v>122</v>
      </c>
      <c r="C1248" s="109">
        <v>623100</v>
      </c>
      <c r="D1248" s="42">
        <v>1</v>
      </c>
      <c r="E1248" s="43"/>
      <c r="F1248" s="44" t="s">
        <v>24</v>
      </c>
      <c r="G1248" s="45" t="s">
        <v>22</v>
      </c>
      <c r="H1248" s="51">
        <f t="shared" si="19"/>
        <v>8.0930232558139581E-2</v>
      </c>
      <c r="I1248" s="47"/>
      <c r="J1248" s="48">
        <v>139440</v>
      </c>
      <c r="K1248" s="49">
        <f>VLOOKUP(A1248,[3]גיליון1!$A$1:$C$7693,3,0)</f>
        <v>129000</v>
      </c>
      <c r="L1248" s="50">
        <f>VLOOKUP(A1248,[2]data1761205830331!$A$1:$J$65536,10,0)</f>
        <v>133451.91</v>
      </c>
    </row>
    <row r="1249" spans="1:12" ht="15.6" outlineLevel="1">
      <c r="A1249" s="11">
        <v>1623100126</v>
      </c>
      <c r="B1249" s="40">
        <v>126</v>
      </c>
      <c r="C1249" s="109">
        <v>623100</v>
      </c>
      <c r="D1249" s="42">
        <v>1</v>
      </c>
      <c r="E1249" s="43"/>
      <c r="F1249" s="44" t="s">
        <v>25</v>
      </c>
      <c r="G1249" s="45" t="s">
        <v>22</v>
      </c>
      <c r="H1249" s="51">
        <f t="shared" si="19"/>
        <v>8.0933333333333302E-2</v>
      </c>
      <c r="I1249" s="47"/>
      <c r="J1249" s="48">
        <v>324280</v>
      </c>
      <c r="K1249" s="49">
        <f>VLOOKUP(A1249,[3]גיליון1!$A$1:$C$7693,3,0)</f>
        <v>300000</v>
      </c>
      <c r="L1249" s="50">
        <f>VLOOKUP(A1249,[2]data1761205830331!$A$1:$J$65536,10,0)</f>
        <v>311287.42</v>
      </c>
    </row>
    <row r="1250" spans="1:12" ht="15.6" outlineLevel="1">
      <c r="A1250" s="11">
        <v>1623100130</v>
      </c>
      <c r="B1250" s="40">
        <v>130</v>
      </c>
      <c r="C1250" s="109">
        <v>623100</v>
      </c>
      <c r="D1250" s="42">
        <v>1</v>
      </c>
      <c r="E1250" s="43"/>
      <c r="F1250" s="44" t="s">
        <v>26</v>
      </c>
      <c r="G1250" s="45" t="s">
        <v>22</v>
      </c>
      <c r="H1250" s="51">
        <f t="shared" si="19"/>
        <v>0</v>
      </c>
      <c r="I1250" s="47"/>
      <c r="J1250" s="48">
        <f>VLOOKUP(A1250,'[1]תקציב 2026'!$A$1:$M$65536,9,0)</f>
        <v>79120</v>
      </c>
      <c r="K1250" s="49">
        <f>VLOOKUP(A1250,[3]גיליון1!$A$1:$C$7693,3,0)*0.86</f>
        <v>79120</v>
      </c>
      <c r="L1250" s="50">
        <f>VLOOKUP(A1250,[2]data1761205830331!$A$1:$J$65536,10,0)</f>
        <v>37297.24</v>
      </c>
    </row>
    <row r="1251" spans="1:12" ht="15.6" outlineLevel="1">
      <c r="A1251" s="11">
        <v>1623100140</v>
      </c>
      <c r="B1251" s="40">
        <v>140</v>
      </c>
      <c r="C1251" s="109">
        <v>623100</v>
      </c>
      <c r="D1251" s="42">
        <v>1</v>
      </c>
      <c r="E1251" s="43"/>
      <c r="F1251" s="44" t="s">
        <v>27</v>
      </c>
      <c r="G1251" s="45" t="s">
        <v>22</v>
      </c>
      <c r="H1251" s="51">
        <f t="shared" si="19"/>
        <v>0</v>
      </c>
      <c r="I1251" s="47"/>
      <c r="J1251" s="48">
        <f>VLOOKUP(A1251,'[1]תקציב 2026'!$A$1:$M$65536,9,0)</f>
        <v>990800</v>
      </c>
      <c r="K1251" s="49">
        <f>VLOOKUP(A1251,[3]גיליון1!$A$1:$C$7693,3,0)</f>
        <v>990800</v>
      </c>
      <c r="L1251" s="50">
        <f>VLOOKUP(A1251,[2]data1761205830331!$A$1:$J$65536,10,0)</f>
        <v>1244503.4099999999</v>
      </c>
    </row>
    <row r="1252" spans="1:12" ht="15.6" outlineLevel="1">
      <c r="A1252" s="11">
        <v>1623100253</v>
      </c>
      <c r="B1252" s="40">
        <v>253</v>
      </c>
      <c r="C1252" s="109">
        <v>623100</v>
      </c>
      <c r="D1252" s="42">
        <v>1</v>
      </c>
      <c r="E1252" s="43"/>
      <c r="F1252" s="44" t="s">
        <v>738</v>
      </c>
      <c r="G1252" s="45" t="s">
        <v>22</v>
      </c>
      <c r="H1252" s="51">
        <f t="shared" si="19"/>
        <v>0.19999999999999996</v>
      </c>
      <c r="I1252" s="47"/>
      <c r="J1252" s="48">
        <f>VLOOKUP(A1252,'[1]תקציב 2026'!$A$1:$M$65536,9,0)</f>
        <v>120000</v>
      </c>
      <c r="K1252" s="49">
        <f>VLOOKUP(A1252,[3]גיליון1!$A$1:$C$7693,3,0)</f>
        <v>100000</v>
      </c>
      <c r="L1252" s="50">
        <f>VLOOKUP(A1252,[2]data1761205830331!$A$1:$J$65536,10,0)</f>
        <v>278675.09000000003</v>
      </c>
    </row>
    <row r="1253" spans="1:12" ht="15.6" outlineLevel="1">
      <c r="A1253" s="11">
        <v>1623100471</v>
      </c>
      <c r="B1253" s="40">
        <v>471</v>
      </c>
      <c r="C1253" s="109">
        <v>623100</v>
      </c>
      <c r="D1253" s="42">
        <v>1</v>
      </c>
      <c r="E1253" s="43"/>
      <c r="F1253" s="44" t="s">
        <v>71</v>
      </c>
      <c r="G1253" s="45" t="s">
        <v>37</v>
      </c>
      <c r="H1253" s="51">
        <f t="shared" si="19"/>
        <v>0</v>
      </c>
      <c r="I1253" s="47"/>
      <c r="J1253" s="48">
        <f>VLOOKUP(A1253,'[1]תקציב 2026'!$A$1:$M$65536,9,0)</f>
        <v>115470</v>
      </c>
      <c r="K1253" s="49">
        <f>VLOOKUP(A1253,[3]גיליון1!$A$1:$C$7693,3,0)*0.9</f>
        <v>115470</v>
      </c>
      <c r="L1253" s="50">
        <f>VLOOKUP(A1253,[2]data1761205830331!$A$1:$J$65536,10,0)</f>
        <v>88510.28</v>
      </c>
    </row>
    <row r="1254" spans="1:12" ht="15.6" outlineLevel="1">
      <c r="A1254" s="11">
        <v>1623100511</v>
      </c>
      <c r="B1254" s="40">
        <v>511</v>
      </c>
      <c r="C1254" s="109">
        <v>623100</v>
      </c>
      <c r="D1254" s="42">
        <v>1</v>
      </c>
      <c r="E1254" s="43"/>
      <c r="F1254" s="44" t="s">
        <v>72</v>
      </c>
      <c r="G1254" s="45" t="s">
        <v>37</v>
      </c>
      <c r="H1254" s="51">
        <f t="shared" si="19"/>
        <v>1.1963824289405687</v>
      </c>
      <c r="I1254" s="47"/>
      <c r="J1254" s="48">
        <f>VLOOKUP(A1254,'[1]תקציב 2026'!$A$1:$M$65536,9,0)</f>
        <v>8500</v>
      </c>
      <c r="K1254" s="49">
        <f>4300*0.9</f>
        <v>3870</v>
      </c>
      <c r="L1254" s="50">
        <f>VLOOKUP(A1254,[2]data1761205830331!$A$1:$J$65536,10,0)</f>
        <v>3547.67</v>
      </c>
    </row>
    <row r="1255" spans="1:12" ht="15.6" outlineLevel="1">
      <c r="A1255" s="11">
        <v>1623100541</v>
      </c>
      <c r="B1255" s="40">
        <v>541</v>
      </c>
      <c r="C1255" s="109">
        <v>623100</v>
      </c>
      <c r="D1255" s="42">
        <v>1</v>
      </c>
      <c r="E1255" s="43"/>
      <c r="F1255" s="44" t="s">
        <v>773</v>
      </c>
      <c r="G1255" s="45" t="s">
        <v>29</v>
      </c>
      <c r="H1255" s="51">
        <f t="shared" si="19"/>
        <v>0</v>
      </c>
      <c r="I1255" s="47"/>
      <c r="J1255" s="48">
        <f>VLOOKUP(A1255,'[1]תקציב 2026'!$A$1:$M$65536,9,0)</f>
        <v>500000</v>
      </c>
      <c r="K1255" s="49">
        <f>VLOOKUP(A1255,[3]גיליון1!$A$1:$C$7693,3,0)</f>
        <v>500000</v>
      </c>
      <c r="L1255" s="50">
        <f>VLOOKUP(A1255,[2]data1761205830331!$A$1:$J$65536,10,0)</f>
        <v>570480</v>
      </c>
    </row>
    <row r="1256" spans="1:12" ht="15.6" outlineLevel="1">
      <c r="A1256" s="11">
        <v>1623100562</v>
      </c>
      <c r="B1256" s="40">
        <v>562</v>
      </c>
      <c r="C1256" s="109">
        <v>623100</v>
      </c>
      <c r="D1256" s="42">
        <v>1</v>
      </c>
      <c r="E1256" s="43"/>
      <c r="F1256" s="44" t="s">
        <v>748</v>
      </c>
      <c r="G1256" s="45" t="s">
        <v>37</v>
      </c>
      <c r="H1256" s="51">
        <f t="shared" si="19"/>
        <v>0.7407407407407407</v>
      </c>
      <c r="I1256" s="47"/>
      <c r="J1256" s="48">
        <f>VLOOKUP(A1256,'[1]תקציב 2026'!$A$1:$M$65536,9,0)</f>
        <v>625100</v>
      </c>
      <c r="K1256" s="49">
        <f>VLOOKUP(A1256,[3]גיליון1!$A$1:$C$7693,3,0)*0.9</f>
        <v>359100</v>
      </c>
      <c r="L1256" s="50">
        <f>VLOOKUP(A1256,[2]data1761205830331!$A$1:$J$65536,10,0)</f>
        <v>190768.36</v>
      </c>
    </row>
    <row r="1257" spans="1:12" ht="15.6" outlineLevel="1">
      <c r="A1257" s="11">
        <v>1623100571</v>
      </c>
      <c r="B1257" s="40">
        <v>571</v>
      </c>
      <c r="C1257" s="109">
        <v>623100</v>
      </c>
      <c r="D1257" s="42">
        <v>1</v>
      </c>
      <c r="E1257" s="43"/>
      <c r="F1257" s="44" t="s">
        <v>75</v>
      </c>
      <c r="G1257" s="45" t="s">
        <v>29</v>
      </c>
      <c r="H1257" s="51">
        <f t="shared" si="19"/>
        <v>0</v>
      </c>
      <c r="I1257" s="47"/>
      <c r="J1257" s="48">
        <f>VLOOKUP(A1257,'[1]תקציב 2026'!$A$1:$M$65536,9,0)</f>
        <v>241000</v>
      </c>
      <c r="K1257" s="49">
        <v>241000</v>
      </c>
      <c r="L1257" s="50">
        <f>VLOOKUP(A1257,[2]data1761205830331!$A$1:$J$65536,10,0)</f>
        <v>214800</v>
      </c>
    </row>
    <row r="1258" spans="1:12" ht="16.2" outlineLevel="1" thickBot="1">
      <c r="A1258" s="11">
        <v>1623100758</v>
      </c>
      <c r="B1258" s="40">
        <v>758</v>
      </c>
      <c r="C1258" s="109">
        <v>623100</v>
      </c>
      <c r="D1258" s="42">
        <v>1</v>
      </c>
      <c r="E1258" s="43"/>
      <c r="F1258" s="44" t="s">
        <v>877</v>
      </c>
      <c r="G1258" s="45" t="s">
        <v>37</v>
      </c>
      <c r="H1258" s="51">
        <f t="shared" si="19"/>
        <v>-1</v>
      </c>
      <c r="I1258" s="47"/>
      <c r="J1258" s="48">
        <f>VLOOKUP(A1258,'[1]תקציב 2026'!$A$1:$M$65536,9,0)</f>
        <v>0</v>
      </c>
      <c r="K1258" s="49">
        <f>VLOOKUP(A1258,[3]גיליון1!$A$1:$C$7693,3,0)*0.9</f>
        <v>6300</v>
      </c>
      <c r="L1258" s="50">
        <f>VLOOKUP(A1258,[2]data1761205830331!$A$1:$J$65536,10,0)</f>
        <v>0</v>
      </c>
    </row>
    <row r="1259" spans="1:12" ht="16.2" thickBot="1">
      <c r="A1259" s="11" t="e">
        <v>#VALUE!</v>
      </c>
      <c r="B1259" s="53" t="s">
        <v>878</v>
      </c>
      <c r="C1259" s="223"/>
      <c r="D1259" s="55"/>
      <c r="E1259" s="56"/>
      <c r="F1259" s="116" t="s">
        <v>876</v>
      </c>
      <c r="G1259" s="58"/>
      <c r="H1259" s="166">
        <f>J1259/K1259-1</f>
        <v>0.17583892506309318</v>
      </c>
      <c r="I1259" s="72"/>
      <c r="J1259" s="74">
        <f>SUBTOTAL(9,J1246:J1258)</f>
        <v>14201030</v>
      </c>
      <c r="K1259" s="92">
        <f>SUBTOTAL(9,K1246:K1258)</f>
        <v>12077360</v>
      </c>
      <c r="L1259" s="75">
        <f>SUBTOTAL(9,L1246:L1258)</f>
        <v>12229294.719999999</v>
      </c>
    </row>
    <row r="1260" spans="1:12" ht="15.6" outlineLevel="1">
      <c r="A1260" s="11">
        <v>16232000</v>
      </c>
      <c r="B1260" s="64">
        <v>0</v>
      </c>
      <c r="C1260" s="131">
        <v>623200</v>
      </c>
      <c r="D1260" s="66">
        <v>1</v>
      </c>
      <c r="E1260" s="67"/>
      <c r="F1260" s="68" t="s">
        <v>875</v>
      </c>
      <c r="G1260" s="69" t="s">
        <v>15</v>
      </c>
      <c r="H1260" s="51"/>
      <c r="I1260" s="47"/>
      <c r="J1260" s="48"/>
      <c r="K1260" s="49"/>
      <c r="L1260" s="50"/>
    </row>
    <row r="1261" spans="1:12" ht="15.6" outlineLevel="1">
      <c r="A1261" s="11">
        <v>1623200119</v>
      </c>
      <c r="B1261" s="40">
        <v>119</v>
      </c>
      <c r="C1261" s="109">
        <v>623200</v>
      </c>
      <c r="D1261" s="42">
        <v>1</v>
      </c>
      <c r="E1261" s="43"/>
      <c r="F1261" s="44" t="s">
        <v>23</v>
      </c>
      <c r="G1261" s="45" t="s">
        <v>22</v>
      </c>
      <c r="H1261" s="51">
        <v>0</v>
      </c>
      <c r="I1261" s="47"/>
      <c r="J1261" s="48">
        <f>VLOOKUP(A1261,'[1]תקציב 2026'!$A$1:$M$65536,9,0)</f>
        <v>0</v>
      </c>
      <c r="K1261" s="49">
        <f>VLOOKUP(A1261,[3]גיליון1!$A$1:$C$7693,3,0)</f>
        <v>0</v>
      </c>
      <c r="L1261" s="50">
        <f>VLOOKUP(A1261,[2]data1761205830331!$A$1:$J$65536,10,0)</f>
        <v>117998.41</v>
      </c>
    </row>
    <row r="1262" spans="1:12" ht="15.6" outlineLevel="1">
      <c r="A1262" s="11">
        <v>1623200122</v>
      </c>
      <c r="B1262" s="40">
        <v>122</v>
      </c>
      <c r="C1262" s="109">
        <v>623200</v>
      </c>
      <c r="D1262" s="42">
        <v>1</v>
      </c>
      <c r="E1262" s="43"/>
      <c r="F1262" s="44" t="s">
        <v>24</v>
      </c>
      <c r="G1262" s="45" t="s">
        <v>22</v>
      </c>
      <c r="H1262" s="51">
        <v>0</v>
      </c>
      <c r="I1262" s="47"/>
      <c r="J1262" s="48">
        <f>VLOOKUP(A1262,'[1]תקציב 2026'!$A$1:$M$65536,9,0)</f>
        <v>0</v>
      </c>
      <c r="K1262" s="49">
        <v>0</v>
      </c>
      <c r="L1262" s="50">
        <f>VLOOKUP(A1262,[2]data1761205830331!$A$1:$J$65536,10,0)</f>
        <v>831.3</v>
      </c>
    </row>
    <row r="1263" spans="1:12" ht="15.6" outlineLevel="1">
      <c r="A1263" s="11">
        <v>1623200126</v>
      </c>
      <c r="B1263" s="40">
        <v>126</v>
      </c>
      <c r="C1263" s="109">
        <v>623200</v>
      </c>
      <c r="D1263" s="42">
        <v>1</v>
      </c>
      <c r="E1263" s="43"/>
      <c r="F1263" s="44" t="s">
        <v>25</v>
      </c>
      <c r="G1263" s="45" t="s">
        <v>22</v>
      </c>
      <c r="H1263" s="51">
        <v>0</v>
      </c>
      <c r="I1263" s="47"/>
      <c r="J1263" s="48">
        <f>VLOOKUP(A1263,'[1]תקציב 2026'!$A$1:$M$65536,9,0)</f>
        <v>0</v>
      </c>
      <c r="K1263" s="49">
        <v>0</v>
      </c>
      <c r="L1263" s="50">
        <f>VLOOKUP(A1263,[2]data1761205830331!$A$1:$J$65536,10,0)</f>
        <v>2045.75</v>
      </c>
    </row>
    <row r="1264" spans="1:12" ht="15.6" outlineLevel="1">
      <c r="A1264" s="11">
        <v>1623200492</v>
      </c>
      <c r="B1264" s="40">
        <v>492</v>
      </c>
      <c r="C1264" s="109">
        <v>623200</v>
      </c>
      <c r="D1264" s="42">
        <v>1</v>
      </c>
      <c r="E1264" s="43"/>
      <c r="F1264" s="44" t="s">
        <v>66</v>
      </c>
      <c r="G1264" s="45" t="s">
        <v>29</v>
      </c>
      <c r="H1264" s="51">
        <f t="shared" si="19"/>
        <v>3.125E-2</v>
      </c>
      <c r="I1264" s="47"/>
      <c r="J1264" s="48">
        <f>VLOOKUP(A1264,'[1]תקציב 2026'!$A$1:$M$65536,9,0)</f>
        <v>396000</v>
      </c>
      <c r="K1264" s="49">
        <v>384000</v>
      </c>
      <c r="L1264" s="50">
        <f>VLOOKUP(A1264,[2]data1761205830331!$A$1:$J$65536,10,0)</f>
        <v>356590</v>
      </c>
    </row>
    <row r="1265" spans="1:12" ht="15.6" outlineLevel="1">
      <c r="A1265" s="11">
        <v>1623200542</v>
      </c>
      <c r="B1265" s="40">
        <v>542</v>
      </c>
      <c r="C1265" s="109">
        <v>623200</v>
      </c>
      <c r="D1265" s="42">
        <v>1</v>
      </c>
      <c r="E1265" s="43"/>
      <c r="F1265" s="44" t="s">
        <v>879</v>
      </c>
      <c r="G1265" s="45" t="s">
        <v>29</v>
      </c>
      <c r="H1265" s="51">
        <f t="shared" si="19"/>
        <v>0</v>
      </c>
      <c r="I1265" s="47"/>
      <c r="J1265" s="48">
        <f>VLOOKUP(A1265,'[1]תקציב 2026'!$A$1:$M$65536,9,0)</f>
        <v>2400000</v>
      </c>
      <c r="K1265" s="49">
        <v>2400000</v>
      </c>
      <c r="L1265" s="50">
        <f>VLOOKUP(A1265,[2]data1761205830331!$A$1:$J$65536,10,0)</f>
        <v>2186971.39</v>
      </c>
    </row>
    <row r="1266" spans="1:12" ht="15.6" outlineLevel="1">
      <c r="A1266" s="11">
        <v>1623200544</v>
      </c>
      <c r="B1266" s="40">
        <v>544</v>
      </c>
      <c r="C1266" s="109">
        <v>623200</v>
      </c>
      <c r="D1266" s="42">
        <v>1</v>
      </c>
      <c r="E1266" s="43"/>
      <c r="F1266" s="44" t="s">
        <v>743</v>
      </c>
      <c r="G1266" s="45" t="s">
        <v>29</v>
      </c>
      <c r="H1266" s="51">
        <f t="shared" si="19"/>
        <v>0</v>
      </c>
      <c r="I1266" s="47"/>
      <c r="J1266" s="48">
        <f>VLOOKUP(A1266,'[1]תקציב 2026'!$A$1:$M$65536,9,0)</f>
        <v>150000</v>
      </c>
      <c r="K1266" s="49">
        <v>150000</v>
      </c>
      <c r="L1266" s="50">
        <f>VLOOKUP(A1266,[2]data1761205830331!$A$1:$J$65536,10,0)</f>
        <v>322492.68</v>
      </c>
    </row>
    <row r="1267" spans="1:12" ht="15.6" outlineLevel="1">
      <c r="A1267" s="11">
        <v>1623200550</v>
      </c>
      <c r="B1267" s="40">
        <v>550</v>
      </c>
      <c r="C1267" s="109">
        <v>623200</v>
      </c>
      <c r="D1267" s="42">
        <v>1</v>
      </c>
      <c r="E1267" s="43"/>
      <c r="F1267" s="44" t="s">
        <v>73</v>
      </c>
      <c r="G1267" s="45" t="s">
        <v>37</v>
      </c>
      <c r="H1267" s="51">
        <f t="shared" si="19"/>
        <v>0</v>
      </c>
      <c r="I1267" s="47"/>
      <c r="J1267" s="48">
        <f>VLOOKUP(A1267,'[1]תקציב 2026'!$A$1:$M$65536,9,0)</f>
        <v>4500</v>
      </c>
      <c r="K1267" s="49">
        <f>5000*0.9</f>
        <v>4500</v>
      </c>
      <c r="L1267" s="50">
        <f>VLOOKUP(A1267,[2]data1761205830331!$A$1:$J$65536,10,0)</f>
        <v>6063</v>
      </c>
    </row>
    <row r="1268" spans="1:12" ht="15.6" outlineLevel="1">
      <c r="A1268" s="11">
        <v>1623200571</v>
      </c>
      <c r="B1268" s="40">
        <v>571</v>
      </c>
      <c r="C1268" s="109">
        <v>623200</v>
      </c>
      <c r="D1268" s="42">
        <v>1</v>
      </c>
      <c r="E1268" s="43"/>
      <c r="F1268" s="44" t="s">
        <v>75</v>
      </c>
      <c r="G1268" s="45" t="s">
        <v>29</v>
      </c>
      <c r="H1268" s="51">
        <f t="shared" si="19"/>
        <v>0</v>
      </c>
      <c r="I1268" s="47"/>
      <c r="J1268" s="48">
        <f>VLOOKUP(A1268,'[1]תקציב 2026'!$A$1:$M$65536,9,0)</f>
        <v>2276000</v>
      </c>
      <c r="K1268" s="49">
        <v>2276000</v>
      </c>
      <c r="L1268" s="50">
        <f>VLOOKUP(A1268,[2]data1761205830331!$A$1:$J$65536,10,0)</f>
        <v>2358900</v>
      </c>
    </row>
    <row r="1269" spans="1:12" ht="15.6" outlineLevel="1">
      <c r="A1269" s="11">
        <v>1623200573</v>
      </c>
      <c r="B1269" s="40">
        <v>573</v>
      </c>
      <c r="C1269" s="109">
        <v>623200</v>
      </c>
      <c r="D1269" s="42">
        <v>1</v>
      </c>
      <c r="E1269" s="43"/>
      <c r="F1269" s="44" t="str">
        <f>[4]גיליון1!$F$2185</f>
        <v>מיחשוב גבייה</v>
      </c>
      <c r="G1269" s="45" t="s">
        <v>37</v>
      </c>
      <c r="H1269" s="51">
        <f t="shared" si="19"/>
        <v>0.11111111111111116</v>
      </c>
      <c r="I1269" s="47"/>
      <c r="J1269" s="48">
        <f>VLOOKUP(A1269,'[1]תקציב 2026'!$A$1:$M$65536,9,0)</f>
        <v>1207500</v>
      </c>
      <c r="K1269" s="49">
        <f>VLOOKUP(A1269,[3]גיליון1!$A$1:$C$7693,3,0)*0.9</f>
        <v>1086750</v>
      </c>
      <c r="L1269" s="50">
        <f>VLOOKUP(A1269,[2]data1761205830331!$A$1:$J$65536,10,0)</f>
        <v>0</v>
      </c>
    </row>
    <row r="1270" spans="1:12" ht="15.6" outlineLevel="1">
      <c r="A1270" s="11">
        <v>1623200581</v>
      </c>
      <c r="B1270" s="40">
        <v>581</v>
      </c>
      <c r="C1270" s="109">
        <v>623200</v>
      </c>
      <c r="D1270" s="42">
        <v>1</v>
      </c>
      <c r="E1270" s="43"/>
      <c r="F1270" s="44" t="s">
        <v>837</v>
      </c>
      <c r="G1270" s="45" t="s">
        <v>37</v>
      </c>
      <c r="H1270" s="51">
        <f t="shared" si="19"/>
        <v>0</v>
      </c>
      <c r="I1270" s="47"/>
      <c r="J1270" s="48">
        <f>VLOOKUP(A1270,'[1]תקציב 2026'!$A$1:$M$65536,9,0)</f>
        <v>1080000</v>
      </c>
      <c r="K1270" s="49">
        <f>VLOOKUP(A1270,[3]גיליון1!$A$1:$C$7693,3,0)*0.9</f>
        <v>1080000</v>
      </c>
      <c r="L1270" s="50">
        <f>VLOOKUP(A1270,[2]data1761205830331!$A$1:$J$65536,10,0)</f>
        <v>924236.7</v>
      </c>
    </row>
    <row r="1271" spans="1:12" ht="15.6" outlineLevel="1">
      <c r="A1271" s="11">
        <v>1623200582</v>
      </c>
      <c r="B1271" s="40">
        <v>582</v>
      </c>
      <c r="C1271" s="109">
        <v>623200</v>
      </c>
      <c r="D1271" s="42">
        <v>1</v>
      </c>
      <c r="E1271" s="43"/>
      <c r="F1271" s="44" t="s">
        <v>115</v>
      </c>
      <c r="G1271" s="45" t="s">
        <v>29</v>
      </c>
      <c r="H1271" s="51">
        <f t="shared" si="19"/>
        <v>6.6666666666666652E-2</v>
      </c>
      <c r="I1271" s="47"/>
      <c r="J1271" s="48">
        <f>VLOOKUP(A1271,'[1]תקציב 2026'!$A$1:$M$65536,9,0)</f>
        <v>320000</v>
      </c>
      <c r="K1271" s="49">
        <f>VLOOKUP(A1271,[3]גיליון1!$A$1:$C$7693,3,0)</f>
        <v>300000</v>
      </c>
      <c r="L1271" s="50">
        <f>VLOOKUP(A1271,[2]data1761205830331!$A$1:$J$65536,10,0)</f>
        <v>315394.11</v>
      </c>
    </row>
    <row r="1272" spans="1:12" ht="15.6" outlineLevel="1">
      <c r="A1272" s="11">
        <v>1623200756</v>
      </c>
      <c r="B1272" s="40">
        <v>756</v>
      </c>
      <c r="C1272" s="109">
        <v>623200</v>
      </c>
      <c r="D1272" s="42">
        <v>1</v>
      </c>
      <c r="E1272" s="43"/>
      <c r="F1272" s="44" t="s">
        <v>55</v>
      </c>
      <c r="G1272" s="45" t="s">
        <v>29</v>
      </c>
      <c r="H1272" s="51">
        <f t="shared" si="19"/>
        <v>-0.1333333333333333</v>
      </c>
      <c r="I1272" s="47"/>
      <c r="J1272" s="48">
        <f>VLOOKUP(A1272,'[1]תקציב 2026'!$A$1:$M$65536,9,0)</f>
        <v>130000</v>
      </c>
      <c r="K1272" s="49">
        <f>VLOOKUP(A1272,[3]גיליון1!$A$1:$C$7693,3,0)</f>
        <v>150000</v>
      </c>
      <c r="L1272" s="50">
        <f>VLOOKUP(A1272,[2]data1761205830331!$A$1:$J$65536,10,0)</f>
        <v>116081.46</v>
      </c>
    </row>
    <row r="1273" spans="1:12" ht="15.6" outlineLevel="1">
      <c r="A1273" s="11">
        <v>1623200757</v>
      </c>
      <c r="B1273" s="40">
        <v>757</v>
      </c>
      <c r="C1273" s="109">
        <v>623200</v>
      </c>
      <c r="D1273" s="42">
        <v>1</v>
      </c>
      <c r="E1273" s="43"/>
      <c r="F1273" s="44" t="s">
        <v>880</v>
      </c>
      <c r="G1273" s="45" t="s">
        <v>29</v>
      </c>
      <c r="H1273" s="51">
        <f t="shared" si="19"/>
        <v>0</v>
      </c>
      <c r="I1273" s="47"/>
      <c r="J1273" s="48">
        <f>VLOOKUP(A1273,'[1]תקציב 2026'!$A$1:$M$65536,9,0)</f>
        <v>900000</v>
      </c>
      <c r="K1273" s="49">
        <f>1000000*0.9</f>
        <v>900000</v>
      </c>
      <c r="L1273" s="50">
        <f>VLOOKUP(A1273,[2]data1761205830331!$A$1:$J$65536,10,0)</f>
        <v>1095413.57</v>
      </c>
    </row>
    <row r="1274" spans="1:12" ht="15.6" outlineLevel="1">
      <c r="A1274" s="11">
        <v>1623200758</v>
      </c>
      <c r="B1274" s="40">
        <v>758</v>
      </c>
      <c r="C1274" s="109">
        <v>623200</v>
      </c>
      <c r="D1274" s="42">
        <v>1</v>
      </c>
      <c r="E1274" s="43"/>
      <c r="F1274" s="154" t="s">
        <v>881</v>
      </c>
      <c r="G1274" s="45" t="s">
        <v>29</v>
      </c>
      <c r="H1274" s="51">
        <f t="shared" si="19"/>
        <v>0</v>
      </c>
      <c r="I1274" s="47"/>
      <c r="J1274" s="48">
        <f>VLOOKUP(A1274,'[1]תקציב 2026'!$A$1:$M$65536,9,0)</f>
        <v>1350000</v>
      </c>
      <c r="K1274" s="49">
        <f>1500000*0.9</f>
        <v>1350000</v>
      </c>
      <c r="L1274" s="50">
        <f>VLOOKUP(A1274,[2]data1761205830331!$A$1:$J$65536,10,0)</f>
        <v>195092.77</v>
      </c>
    </row>
    <row r="1275" spans="1:12" ht="15.6" outlineLevel="1">
      <c r="A1275" s="11">
        <v>1623200759</v>
      </c>
      <c r="B1275" s="40">
        <v>759</v>
      </c>
      <c r="C1275" s="109">
        <v>623200</v>
      </c>
      <c r="D1275" s="42">
        <v>1</v>
      </c>
      <c r="E1275" s="43"/>
      <c r="F1275" s="44" t="s">
        <v>882</v>
      </c>
      <c r="G1275" s="45" t="s">
        <v>37</v>
      </c>
      <c r="H1275" s="51">
        <f t="shared" si="19"/>
        <v>0</v>
      </c>
      <c r="I1275" s="47"/>
      <c r="J1275" s="48">
        <f>VLOOKUP(A1275,'[1]תקציב 2026'!$A$1:$M$65536,9,0)</f>
        <v>9000</v>
      </c>
      <c r="K1275" s="49">
        <f>VLOOKUP(A1275,[3]גיליון1!$A$1:$C$7693,3,0)*0.9</f>
        <v>9000</v>
      </c>
      <c r="L1275" s="50">
        <f>VLOOKUP(A1275,[2]data1761205830331!$A$1:$J$65536,10,0)</f>
        <v>5752.77</v>
      </c>
    </row>
    <row r="1276" spans="1:12" ht="16.2" outlineLevel="1" thickBot="1">
      <c r="A1276" s="11">
        <v>1623200794</v>
      </c>
      <c r="B1276" s="40">
        <v>794</v>
      </c>
      <c r="C1276" s="109">
        <v>623200</v>
      </c>
      <c r="D1276" s="42">
        <v>1</v>
      </c>
      <c r="E1276" s="43"/>
      <c r="F1276" s="44" t="s">
        <v>58</v>
      </c>
      <c r="G1276" s="45" t="s">
        <v>29</v>
      </c>
      <c r="H1276" s="51">
        <f t="shared" si="19"/>
        <v>0</v>
      </c>
      <c r="I1276" s="47"/>
      <c r="J1276" s="48">
        <f>VLOOKUP(A1276,'[1]תקציב 2026'!$A$1:$M$65536,9,0)</f>
        <v>8400</v>
      </c>
      <c r="K1276" s="49">
        <v>8400</v>
      </c>
      <c r="L1276" s="50">
        <f>VLOOKUP(A1276,[2]data1761205830331!$A$1:$J$65536,10,0)</f>
        <v>10019</v>
      </c>
    </row>
    <row r="1277" spans="1:12" ht="16.2" thickBot="1">
      <c r="A1277" s="11" t="e">
        <v>#VALUE!</v>
      </c>
      <c r="B1277" s="53" t="s">
        <v>883</v>
      </c>
      <c r="C1277" s="223"/>
      <c r="D1277" s="55"/>
      <c r="E1277" s="56"/>
      <c r="F1277" s="116" t="s">
        <v>875</v>
      </c>
      <c r="G1277" s="58"/>
      <c r="H1277" s="166">
        <f>J1277/K1277-1</f>
        <v>1.3145321404346211E-2</v>
      </c>
      <c r="I1277" s="72"/>
      <c r="J1277" s="74">
        <f>SUBTOTAL(9,J1261:J1276)</f>
        <v>10231400</v>
      </c>
      <c r="K1277" s="92">
        <f>SUBTOTAL(9,K1261:K1276)</f>
        <v>10098650</v>
      </c>
      <c r="L1277" s="75">
        <f>SUBTOTAL(9,L1261:L1276)</f>
        <v>8013882.9100000001</v>
      </c>
    </row>
    <row r="1278" spans="1:12" ht="15.6" outlineLevel="1">
      <c r="A1278" s="11">
        <v>16237000</v>
      </c>
      <c r="B1278" s="40">
        <v>0</v>
      </c>
      <c r="C1278" s="109">
        <v>623700</v>
      </c>
      <c r="D1278" s="42">
        <v>1</v>
      </c>
      <c r="E1278" s="43"/>
      <c r="F1278" s="44" t="s">
        <v>884</v>
      </c>
      <c r="G1278" s="45" t="s">
        <v>15</v>
      </c>
      <c r="H1278" s="51"/>
      <c r="I1278" s="47"/>
      <c r="J1278" s="48"/>
      <c r="K1278" s="49"/>
      <c r="L1278" s="50"/>
    </row>
    <row r="1279" spans="1:12" ht="15.6" outlineLevel="1">
      <c r="A1279" s="11">
        <v>1623700437</v>
      </c>
      <c r="B1279" s="40">
        <v>437</v>
      </c>
      <c r="C1279" s="109">
        <v>623700</v>
      </c>
      <c r="D1279" s="42">
        <v>1</v>
      </c>
      <c r="E1279" s="43"/>
      <c r="F1279" s="44" t="str">
        <f>[4]גיליון1!$F$2209</f>
        <v xml:space="preserve">אחזקת אזעקה       </v>
      </c>
      <c r="G1279" s="45" t="s">
        <v>29</v>
      </c>
      <c r="H1279" s="51">
        <f t="shared" si="19"/>
        <v>0</v>
      </c>
      <c r="I1279" s="47"/>
      <c r="J1279" s="48">
        <f>VLOOKUP(A1279,'[1]תקציב 2026'!$A$1:$M$65536,9,0)</f>
        <v>1300</v>
      </c>
      <c r="K1279" s="49">
        <f>VLOOKUP(A1279,[3]גיליון1!$A$1:$C$7693,3,0)</f>
        <v>1300</v>
      </c>
      <c r="L1279" s="50">
        <f>VLOOKUP(A1279,[2]data1761205830331!$A$1:$J$65536,10,0)</f>
        <v>861.17</v>
      </c>
    </row>
    <row r="1280" spans="1:12" ht="15.6" outlineLevel="1">
      <c r="A1280" s="11">
        <v>1623700441</v>
      </c>
      <c r="B1280" s="40">
        <v>441</v>
      </c>
      <c r="C1280" s="109">
        <v>623700</v>
      </c>
      <c r="D1280" s="42">
        <v>1</v>
      </c>
      <c r="E1280" s="43"/>
      <c r="F1280" s="44" t="s">
        <v>885</v>
      </c>
      <c r="G1280" s="45" t="s">
        <v>29</v>
      </c>
      <c r="H1280" s="51">
        <f t="shared" si="19"/>
        <v>-0.45121951219512191</v>
      </c>
      <c r="I1280" s="47"/>
      <c r="J1280" s="48">
        <f>VLOOKUP(A1280,'[1]תקציב 2026'!$A$1:$M$65536,9,0)</f>
        <v>4500</v>
      </c>
      <c r="K1280" s="49">
        <f>VLOOKUP(A1280,[3]גיליון1!$A$1:$C$7693,3,0)</f>
        <v>8200</v>
      </c>
      <c r="L1280" s="50">
        <f>VLOOKUP(A1280,[2]data1761205830331!$A$1:$J$65536,10,0)</f>
        <v>0</v>
      </c>
    </row>
    <row r="1281" spans="1:12" ht="16.2" outlineLevel="1" thickBot="1">
      <c r="A1281" s="11">
        <v>1623700571</v>
      </c>
      <c r="B1281" s="40">
        <v>571</v>
      </c>
      <c r="C1281" s="109">
        <v>623700</v>
      </c>
      <c r="D1281" s="42">
        <v>1</v>
      </c>
      <c r="E1281" s="43"/>
      <c r="F1281" s="44" t="s">
        <v>75</v>
      </c>
      <c r="G1281" s="45" t="s">
        <v>29</v>
      </c>
      <c r="H1281" s="51">
        <f t="shared" si="19"/>
        <v>0</v>
      </c>
      <c r="I1281" s="47"/>
      <c r="J1281" s="48">
        <f>VLOOKUP(A1281,'[1]תקציב 2026'!$A$1:$M$65536,9,0)</f>
        <v>76100</v>
      </c>
      <c r="K1281" s="49">
        <v>76100</v>
      </c>
      <c r="L1281" s="50">
        <f>VLOOKUP(A1281,[2]data1761205830331!$A$1:$J$65536,10,0)</f>
        <v>63100</v>
      </c>
    </row>
    <row r="1282" spans="1:12" ht="16.2" thickBot="1">
      <c r="A1282" s="11" t="e">
        <v>#VALUE!</v>
      </c>
      <c r="B1282" s="53" t="s">
        <v>886</v>
      </c>
      <c r="C1282" s="223"/>
      <c r="D1282" s="55"/>
      <c r="E1282" s="56"/>
      <c r="F1282" s="116" t="s">
        <v>884</v>
      </c>
      <c r="G1282" s="58"/>
      <c r="H1282" s="166">
        <f>J1282/K1282-1</f>
        <v>-4.3224299065420579E-2</v>
      </c>
      <c r="I1282" s="72"/>
      <c r="J1282" s="74">
        <f>SUBTOTAL(9,J1279:J1281)</f>
        <v>81900</v>
      </c>
      <c r="K1282" s="92">
        <f>SUBTOTAL(9,K1279:K1281)</f>
        <v>85600</v>
      </c>
      <c r="L1282" s="75">
        <f>SUBTOTAL(9,L1279:L1281)</f>
        <v>63961.17</v>
      </c>
    </row>
    <row r="1283" spans="1:12" ht="15.6" outlineLevel="1">
      <c r="A1283" s="11">
        <v>16300000</v>
      </c>
      <c r="B1283" s="40">
        <v>0</v>
      </c>
      <c r="C1283" s="109">
        <v>630000</v>
      </c>
      <c r="D1283" s="42">
        <v>1</v>
      </c>
      <c r="E1283" s="43"/>
      <c r="F1283" s="44" t="s">
        <v>887</v>
      </c>
      <c r="G1283" s="45" t="s">
        <v>15</v>
      </c>
      <c r="H1283" s="51"/>
      <c r="I1283" s="47"/>
      <c r="J1283" s="48"/>
      <c r="K1283" s="49"/>
      <c r="L1283" s="50"/>
    </row>
    <row r="1284" spans="1:12" ht="15.6" outlineLevel="1">
      <c r="A1284" s="11">
        <v>1631000610</v>
      </c>
      <c r="B1284" s="40">
        <v>610</v>
      </c>
      <c r="C1284" s="109">
        <v>631000</v>
      </c>
      <c r="D1284" s="42">
        <v>1</v>
      </c>
      <c r="E1284" s="43"/>
      <c r="F1284" s="44" t="s">
        <v>888</v>
      </c>
      <c r="G1284" s="45" t="s">
        <v>29</v>
      </c>
      <c r="H1284" s="51">
        <f t="shared" si="19"/>
        <v>0</v>
      </c>
      <c r="I1284" s="47"/>
      <c r="J1284" s="48">
        <f>VLOOKUP(A1284,'[1]תקציב 2026'!$A$1:$M$65536,9,0)</f>
        <v>100000</v>
      </c>
      <c r="K1284" s="49">
        <v>100000</v>
      </c>
      <c r="L1284" s="50">
        <f>VLOOKUP(A1284,[2]data1761205830331!$A$1:$J$65536,10,0)</f>
        <v>93685.55</v>
      </c>
    </row>
    <row r="1285" spans="1:12" ht="15.6" outlineLevel="1">
      <c r="A1285" s="11">
        <v>1631000611</v>
      </c>
      <c r="B1285" s="40">
        <v>611</v>
      </c>
      <c r="C1285" s="109">
        <v>631000</v>
      </c>
      <c r="D1285" s="42">
        <v>1</v>
      </c>
      <c r="E1285" s="43"/>
      <c r="F1285" s="44" t="s">
        <v>889</v>
      </c>
      <c r="G1285" s="45" t="s">
        <v>29</v>
      </c>
      <c r="H1285" s="51">
        <f t="shared" si="19"/>
        <v>1.5625E-2</v>
      </c>
      <c r="I1285" s="47"/>
      <c r="J1285" s="48">
        <f>VLOOKUP(A1285,'[1]תקציב 2026'!$A$1:$M$65536,9,0)</f>
        <v>2600000</v>
      </c>
      <c r="K1285" s="49">
        <f>VLOOKUP(A1285,[3]גיליון1!$A$1:$C$7693,3,0)</f>
        <v>2560000</v>
      </c>
      <c r="L1285" s="50">
        <f>VLOOKUP(A1285,[2]data1761205830331!$A$1:$J$65536,10,0)</f>
        <v>2730682.61</v>
      </c>
    </row>
    <row r="1286" spans="1:12" ht="15.6" outlineLevel="1">
      <c r="A1286" s="11">
        <v>1631000612</v>
      </c>
      <c r="B1286" s="40">
        <v>612</v>
      </c>
      <c r="C1286" s="109">
        <v>631000</v>
      </c>
      <c r="D1286" s="42">
        <v>1</v>
      </c>
      <c r="E1286" s="43"/>
      <c r="F1286" s="44" t="s">
        <v>890</v>
      </c>
      <c r="G1286" s="45" t="s">
        <v>29</v>
      </c>
      <c r="H1286" s="51">
        <f t="shared" si="19"/>
        <v>0</v>
      </c>
      <c r="I1286" s="47"/>
      <c r="J1286" s="48">
        <f>VLOOKUP(A1286,'[1]תקציב 2026'!$A$1:$M$65536,9,0)</f>
        <v>6000</v>
      </c>
      <c r="K1286" s="49">
        <v>6000</v>
      </c>
      <c r="L1286" s="50">
        <f>VLOOKUP(A1286,[2]data1761205830331!$A$1:$J$65536,10,0)</f>
        <v>4497.78</v>
      </c>
    </row>
    <row r="1287" spans="1:12" ht="15.6" outlineLevel="1">
      <c r="A1287" s="11">
        <v>1631000613</v>
      </c>
      <c r="B1287" s="40">
        <v>613</v>
      </c>
      <c r="C1287" s="109">
        <v>631000</v>
      </c>
      <c r="D1287" s="42">
        <v>1</v>
      </c>
      <c r="E1287" s="43"/>
      <c r="F1287" s="44" t="s">
        <v>891</v>
      </c>
      <c r="G1287" s="45" t="s">
        <v>29</v>
      </c>
      <c r="H1287" s="51">
        <f t="shared" si="19"/>
        <v>-0.5</v>
      </c>
      <c r="I1287" s="47"/>
      <c r="J1287" s="48">
        <f>VLOOKUP(A1287,'[1]תקציב 2026'!$A$1:$M$65536,9,0)</f>
        <v>10000</v>
      </c>
      <c r="K1287" s="49">
        <v>20000</v>
      </c>
      <c r="L1287" s="50">
        <f>VLOOKUP(A1287,[2]data1761205830331!$A$1:$J$65536,10,0)</f>
        <v>9304.5499999999993</v>
      </c>
    </row>
    <row r="1288" spans="1:12" ht="15.6" outlineLevel="1">
      <c r="A1288" s="11">
        <v>1631000616</v>
      </c>
      <c r="B1288" s="40">
        <v>616</v>
      </c>
      <c r="C1288" s="109">
        <v>631000</v>
      </c>
      <c r="D1288" s="42">
        <v>1</v>
      </c>
      <c r="E1288" s="43"/>
      <c r="F1288" s="44" t="s">
        <v>892</v>
      </c>
      <c r="G1288" s="45" t="s">
        <v>29</v>
      </c>
      <c r="H1288" s="51">
        <f t="shared" si="19"/>
        <v>0</v>
      </c>
      <c r="I1288" s="47"/>
      <c r="J1288" s="48">
        <f>VLOOKUP(A1288,'[1]תקציב 2026'!$A$1:$M$65536,9,0)</f>
        <v>7000</v>
      </c>
      <c r="K1288" s="49">
        <v>7000</v>
      </c>
      <c r="L1288" s="50">
        <f>VLOOKUP(A1288,[2]data1761205830331!$A$1:$J$65536,10,0)</f>
        <v>5544.06</v>
      </c>
    </row>
    <row r="1289" spans="1:12" ht="15.6" outlineLevel="1">
      <c r="A1289" s="11">
        <v>1631000617</v>
      </c>
      <c r="B1289" s="40">
        <v>617</v>
      </c>
      <c r="C1289" s="109">
        <v>631000</v>
      </c>
      <c r="D1289" s="42">
        <v>1</v>
      </c>
      <c r="E1289" s="43"/>
      <c r="F1289" s="44" t="s">
        <v>893</v>
      </c>
      <c r="G1289" s="45" t="s">
        <v>29</v>
      </c>
      <c r="H1289" s="51">
        <f t="shared" si="19"/>
        <v>0</v>
      </c>
      <c r="I1289" s="47"/>
      <c r="J1289" s="48">
        <f>VLOOKUP(A1289,'[1]תקציב 2026'!$A$1:$M$65536,9,0)</f>
        <v>3000</v>
      </c>
      <c r="K1289" s="49">
        <v>3000</v>
      </c>
      <c r="L1289" s="50">
        <f>VLOOKUP(A1289,[2]data1761205830331!$A$1:$J$65536,10,0)</f>
        <v>1589.73</v>
      </c>
    </row>
    <row r="1290" spans="1:12" ht="15.6" outlineLevel="1">
      <c r="A1290" s="11">
        <v>1631000619</v>
      </c>
      <c r="B1290" s="40">
        <v>619</v>
      </c>
      <c r="C1290" s="109">
        <v>631000</v>
      </c>
      <c r="D1290" s="42">
        <v>1</v>
      </c>
      <c r="E1290" s="43"/>
      <c r="F1290" s="44" t="s">
        <v>894</v>
      </c>
      <c r="G1290" s="45" t="s">
        <v>29</v>
      </c>
      <c r="H1290" s="51">
        <f t="shared" si="19"/>
        <v>-8.333333333333337E-2</v>
      </c>
      <c r="I1290" s="47" t="s">
        <v>137</v>
      </c>
      <c r="J1290" s="48">
        <f>VLOOKUP(A1290,'[1]תקציב 2026'!$A$1:$M$65536,9,0)</f>
        <v>550000</v>
      </c>
      <c r="K1290" s="49">
        <v>600000</v>
      </c>
      <c r="L1290" s="50">
        <f>VLOOKUP(A1290,[2]data1761205830331!$A$1:$J$65536,10,0)</f>
        <v>417628.39</v>
      </c>
    </row>
    <row r="1291" spans="1:12" ht="16.2" outlineLevel="1" thickBot="1">
      <c r="A1291" s="11">
        <v>1631000694</v>
      </c>
      <c r="B1291" s="40">
        <v>694</v>
      </c>
      <c r="C1291" s="109">
        <v>631000</v>
      </c>
      <c r="D1291" s="42">
        <v>1</v>
      </c>
      <c r="E1291" s="43"/>
      <c r="F1291" s="44" t="s">
        <v>895</v>
      </c>
      <c r="G1291" s="45" t="s">
        <v>29</v>
      </c>
      <c r="H1291" s="51">
        <f t="shared" si="19"/>
        <v>0</v>
      </c>
      <c r="I1291" s="47"/>
      <c r="J1291" s="48">
        <f>VLOOKUP(A1291,'[1]תקציב 2026'!$A$1:$M$65536,9,0)</f>
        <v>5000</v>
      </c>
      <c r="K1291" s="49">
        <v>5000</v>
      </c>
      <c r="L1291" s="50">
        <f>VLOOKUP(A1291,[2]data1761205830331!$A$1:$J$65536,10,0)</f>
        <v>7310</v>
      </c>
    </row>
    <row r="1292" spans="1:12" ht="16.2" thickBot="1">
      <c r="A1292" s="11" t="e">
        <v>#VALUE!</v>
      </c>
      <c r="B1292" s="53" t="s">
        <v>896</v>
      </c>
      <c r="C1292" s="223"/>
      <c r="D1292" s="55"/>
      <c r="E1292" s="56"/>
      <c r="F1292" s="116" t="s">
        <v>897</v>
      </c>
      <c r="G1292" s="58"/>
      <c r="H1292" s="166">
        <f>J1292/K1292-1</f>
        <v>-6.0587700696758118E-3</v>
      </c>
      <c r="I1292" s="72"/>
      <c r="J1292" s="74">
        <f>SUBTOTAL(9,J1284:J1291)</f>
        <v>3281000</v>
      </c>
      <c r="K1292" s="92">
        <f>SUBTOTAL(9,K1284:K1291)</f>
        <v>3301000</v>
      </c>
      <c r="L1292" s="75">
        <f>SUBTOTAL(9,L1284:L1291)</f>
        <v>3270242.6699999995</v>
      </c>
    </row>
    <row r="1293" spans="1:12" ht="15.6" outlineLevel="1">
      <c r="A1293" s="11">
        <v>16320000</v>
      </c>
      <c r="B1293" s="40">
        <v>0</v>
      </c>
      <c r="C1293" s="109">
        <v>632000</v>
      </c>
      <c r="D1293" s="42">
        <v>1</v>
      </c>
      <c r="E1293" s="43"/>
      <c r="F1293" s="44" t="s">
        <v>887</v>
      </c>
      <c r="G1293" s="45" t="s">
        <v>15</v>
      </c>
      <c r="H1293" s="51"/>
      <c r="I1293" s="47"/>
      <c r="J1293" s="48"/>
      <c r="K1293" s="49"/>
      <c r="L1293" s="50"/>
    </row>
    <row r="1294" spans="1:12" ht="16.2" outlineLevel="1" thickBot="1">
      <c r="A1294" s="11">
        <v>1632000620</v>
      </c>
      <c r="B1294" s="40">
        <v>620</v>
      </c>
      <c r="C1294" s="109">
        <v>632000</v>
      </c>
      <c r="D1294" s="42">
        <v>1</v>
      </c>
      <c r="E1294" s="43"/>
      <c r="F1294" s="44" t="s">
        <v>898</v>
      </c>
      <c r="G1294" s="45" t="s">
        <v>29</v>
      </c>
      <c r="H1294" s="51">
        <f t="shared" ref="H1294:H1357" si="20">J1294/K1294-1</f>
        <v>0</v>
      </c>
      <c r="I1294" s="47"/>
      <c r="J1294" s="48">
        <f>VLOOKUP(A1294,'[1]תקציב 2026'!$A$1:$M$65536,9,0)</f>
        <v>2000</v>
      </c>
      <c r="K1294" s="49">
        <v>2000</v>
      </c>
      <c r="L1294" s="50">
        <f>VLOOKUP(A1294,[2]data1761205830331!$A$1:$J$65536,10,0)</f>
        <v>43.83</v>
      </c>
    </row>
    <row r="1295" spans="1:12" ht="16.2" thickBot="1">
      <c r="A1295" s="11" t="e">
        <v>#VALUE!</v>
      </c>
      <c r="B1295" s="53" t="s">
        <v>899</v>
      </c>
      <c r="C1295" s="223"/>
      <c r="D1295" s="55"/>
      <c r="E1295" s="56"/>
      <c r="F1295" s="116" t="s">
        <v>887</v>
      </c>
      <c r="G1295" s="58"/>
      <c r="H1295" s="166">
        <v>0</v>
      </c>
      <c r="I1295" s="72"/>
      <c r="J1295" s="74">
        <f>SUBTOTAL(9,J1294:J1294)</f>
        <v>2000</v>
      </c>
      <c r="K1295" s="92">
        <f>SUBTOTAL(9,K1294:K1294)</f>
        <v>2000</v>
      </c>
      <c r="L1295" s="75">
        <f>SUBTOTAL(9,L1294:L1294)</f>
        <v>43.83</v>
      </c>
    </row>
    <row r="1296" spans="1:12" ht="15.6" outlineLevel="1">
      <c r="A1296" s="11">
        <v>16330000</v>
      </c>
      <c r="B1296" s="40">
        <v>0</v>
      </c>
      <c r="C1296" s="109">
        <v>633000</v>
      </c>
      <c r="D1296" s="42">
        <v>1</v>
      </c>
      <c r="E1296" s="43"/>
      <c r="F1296" s="44" t="s">
        <v>900</v>
      </c>
      <c r="G1296" s="45" t="s">
        <v>15</v>
      </c>
      <c r="H1296" s="51"/>
      <c r="I1296" s="47"/>
      <c r="J1296" s="48"/>
      <c r="K1296" s="49"/>
      <c r="L1296" s="50"/>
    </row>
    <row r="1297" spans="1:12" ht="16.2" outlineLevel="1" thickBot="1">
      <c r="A1297" s="11">
        <v>1633000860</v>
      </c>
      <c r="B1297" s="40">
        <v>860</v>
      </c>
      <c r="C1297" s="109">
        <v>633000</v>
      </c>
      <c r="D1297" s="42">
        <v>1</v>
      </c>
      <c r="E1297" s="43"/>
      <c r="F1297" s="44" t="s">
        <v>901</v>
      </c>
      <c r="G1297" s="45" t="s">
        <v>29</v>
      </c>
      <c r="H1297" s="51">
        <f t="shared" si="20"/>
        <v>3.3333333333333437E-2</v>
      </c>
      <c r="I1297" s="47"/>
      <c r="J1297" s="48">
        <f>VLOOKUP(A1297,'[1]תקציב 2026'!$A$1:$M$65536,9,0)</f>
        <v>1550000</v>
      </c>
      <c r="K1297" s="49">
        <v>1500000</v>
      </c>
      <c r="L1297" s="50">
        <f>VLOOKUP(A1297,[2]data1761205830331!$A$1:$J$65536,10,0)</f>
        <v>1595381.44</v>
      </c>
    </row>
    <row r="1298" spans="1:12" ht="16.2" thickBot="1">
      <c r="A1298" s="11" t="e">
        <v>#VALUE!</v>
      </c>
      <c r="B1298" s="53" t="s">
        <v>902</v>
      </c>
      <c r="C1298" s="223"/>
      <c r="D1298" s="55"/>
      <c r="E1298" s="56"/>
      <c r="F1298" s="116" t="s">
        <v>900</v>
      </c>
      <c r="G1298" s="58"/>
      <c r="H1298" s="166">
        <f>J1298/K1298-1</f>
        <v>3.3333333333333437E-2</v>
      </c>
      <c r="I1298" s="72"/>
      <c r="J1298" s="74">
        <f>SUBTOTAL(9,J1297:J1297)</f>
        <v>1550000</v>
      </c>
      <c r="K1298" s="92">
        <f>SUBTOTAL(9,K1297:K1297)</f>
        <v>1500000</v>
      </c>
      <c r="L1298" s="75">
        <f>SUBTOTAL(9,L1297:L1297)</f>
        <v>1595381.44</v>
      </c>
    </row>
    <row r="1299" spans="1:12" ht="15.6" outlineLevel="1">
      <c r="A1299" s="11">
        <v>16400000</v>
      </c>
      <c r="B1299" s="40">
        <v>0</v>
      </c>
      <c r="C1299" s="109">
        <v>640000</v>
      </c>
      <c r="D1299" s="42">
        <v>1</v>
      </c>
      <c r="E1299" s="43"/>
      <c r="F1299" s="44" t="s">
        <v>903</v>
      </c>
      <c r="G1299" s="45" t="s">
        <v>15</v>
      </c>
      <c r="H1299" s="51"/>
      <c r="I1299" s="47"/>
      <c r="J1299" s="48"/>
      <c r="K1299" s="49"/>
      <c r="L1299" s="50"/>
    </row>
    <row r="1300" spans="1:12" ht="15.6" outlineLevel="1">
      <c r="A1300" s="11">
        <v>1648000691</v>
      </c>
      <c r="B1300" s="40">
        <v>691</v>
      </c>
      <c r="C1300" s="109">
        <v>648000</v>
      </c>
      <c r="D1300" s="42">
        <v>1</v>
      </c>
      <c r="E1300" s="43"/>
      <c r="F1300" s="44" t="s">
        <v>904</v>
      </c>
      <c r="G1300" s="45" t="s">
        <v>29</v>
      </c>
      <c r="H1300" s="51">
        <f t="shared" si="20"/>
        <v>0.2047252833342037</v>
      </c>
      <c r="I1300" s="47"/>
      <c r="J1300" s="48">
        <f>VLOOKUP(A1300,'[1]תקציב 2026'!$A$1:$M$65536,9,0)</f>
        <v>36907000</v>
      </c>
      <c r="K1300" s="49">
        <v>30635200</v>
      </c>
      <c r="L1300" s="50">
        <f>VLOOKUP(A1300,[2]data1761205830331!$A$1:$J$65536,10,0)</f>
        <v>61036931.350000001</v>
      </c>
    </row>
    <row r="1301" spans="1:12" ht="15.6" outlineLevel="1">
      <c r="A1301" s="11">
        <v>1648000692</v>
      </c>
      <c r="B1301" s="40">
        <v>692</v>
      </c>
      <c r="C1301" s="109">
        <v>648000</v>
      </c>
      <c r="D1301" s="42">
        <v>1</v>
      </c>
      <c r="E1301" s="43"/>
      <c r="F1301" s="44" t="s">
        <v>905</v>
      </c>
      <c r="G1301" s="45" t="s">
        <v>29</v>
      </c>
      <c r="H1301" s="51">
        <f t="shared" si="20"/>
        <v>0.68661961770336299</v>
      </c>
      <c r="I1301" s="47"/>
      <c r="J1301" s="48">
        <f>VLOOKUP(A1301,'[1]תקציב 2026'!$A$1:$M$65536,9,0)</f>
        <v>5903000</v>
      </c>
      <c r="K1301" s="49">
        <v>3499900</v>
      </c>
      <c r="L1301" s="50">
        <f>VLOOKUP(A1301,[2]data1761205830331!$A$1:$J$65536,10,0)</f>
        <v>2868722.8</v>
      </c>
    </row>
    <row r="1302" spans="1:12" ht="15.6" outlineLevel="1">
      <c r="A1302" s="11">
        <v>1648000693</v>
      </c>
      <c r="B1302" s="40">
        <v>693</v>
      </c>
      <c r="C1302" s="109">
        <v>648000</v>
      </c>
      <c r="D1302" s="42">
        <v>1</v>
      </c>
      <c r="E1302" s="43"/>
      <c r="F1302" s="44" t="s">
        <v>906</v>
      </c>
      <c r="G1302" s="45" t="s">
        <v>29</v>
      </c>
      <c r="H1302" s="51">
        <f t="shared" si="20"/>
        <v>-0.19415900486749593</v>
      </c>
      <c r="I1302" s="47"/>
      <c r="J1302" s="48">
        <f>VLOOKUP(A1302,'[1]תקציב 2026'!$A$1:$M$65536,9,0)</f>
        <v>745000</v>
      </c>
      <c r="K1302" s="49">
        <v>924500</v>
      </c>
      <c r="L1302" s="50">
        <f>VLOOKUP(A1302,[2]data1761205830331!$A$1:$J$65536,10,0)</f>
        <v>1702321.88</v>
      </c>
    </row>
    <row r="1303" spans="1:12" ht="15.6" outlineLevel="1">
      <c r="A1303" s="11">
        <v>1648000701</v>
      </c>
      <c r="B1303" s="40">
        <v>701</v>
      </c>
      <c r="C1303" s="109">
        <v>648000</v>
      </c>
      <c r="D1303" s="42">
        <v>1</v>
      </c>
      <c r="E1303" s="43"/>
      <c r="F1303" s="44" t="s">
        <v>907</v>
      </c>
      <c r="G1303" s="45" t="s">
        <v>29</v>
      </c>
      <c r="H1303" s="51">
        <f t="shared" si="20"/>
        <v>-1</v>
      </c>
      <c r="I1303" s="47"/>
      <c r="J1303" s="48">
        <f>VLOOKUP(A1303,'[1]תקציב 2026'!$A$1:$M$65536,9,0)</f>
        <v>0</v>
      </c>
      <c r="K1303" s="49">
        <f>VLOOKUP(A1303,[3]גיליון1!$A$1:$C$7693,3,0)</f>
        <v>888100</v>
      </c>
      <c r="L1303" s="50">
        <f>VLOOKUP(A1303,[2]data1761205830331!$A$1:$J$65536,10,0)</f>
        <v>1776200</v>
      </c>
    </row>
    <row r="1304" spans="1:12" ht="16.2" outlineLevel="1" thickBot="1">
      <c r="A1304" s="11">
        <v>1648000702</v>
      </c>
      <c r="B1304" s="40">
        <v>702</v>
      </c>
      <c r="C1304" s="109">
        <v>648000</v>
      </c>
      <c r="D1304" s="42">
        <v>1</v>
      </c>
      <c r="E1304" s="43"/>
      <c r="F1304" s="44" t="s">
        <v>908</v>
      </c>
      <c r="G1304" s="45" t="s">
        <v>29</v>
      </c>
      <c r="H1304" s="51">
        <f t="shared" si="20"/>
        <v>-1</v>
      </c>
      <c r="I1304" s="47"/>
      <c r="J1304" s="48">
        <f>VLOOKUP(A1304,'[1]תקציב 2026'!$A$1:$M$65536,9,0)</f>
        <v>0</v>
      </c>
      <c r="K1304" s="49">
        <f>VLOOKUP(A1304,[3]גיליון1!$A$1:$C$7693,3,0)</f>
        <v>18700</v>
      </c>
      <c r="L1304" s="50">
        <f>VLOOKUP(A1304,[2]data1761205830331!$A$1:$J$65536,10,0)</f>
        <v>112805</v>
      </c>
    </row>
    <row r="1305" spans="1:12" ht="16.2" thickBot="1">
      <c r="A1305" s="11" t="e">
        <v>#VALUE!</v>
      </c>
      <c r="B1305" s="53" t="s">
        <v>909</v>
      </c>
      <c r="C1305" s="223"/>
      <c r="D1305" s="55"/>
      <c r="E1305" s="56"/>
      <c r="F1305" s="116" t="s">
        <v>910</v>
      </c>
      <c r="G1305" s="58"/>
      <c r="H1305" s="166">
        <f>J1305/K1305-1</f>
        <v>0.21099136972285248</v>
      </c>
      <c r="I1305" s="72"/>
      <c r="J1305" s="74">
        <f>SUBTOTAL(9,J1300:J1304)</f>
        <v>43555000</v>
      </c>
      <c r="K1305" s="92">
        <f>SUBTOTAL(9,K1300:K1304)</f>
        <v>35966400</v>
      </c>
      <c r="L1305" s="75">
        <f>SUBTOTAL(9,L1300:L1304)</f>
        <v>67496981.030000001</v>
      </c>
    </row>
    <row r="1306" spans="1:12" ht="15.6" outlineLevel="1">
      <c r="A1306" s="11">
        <v>17000000</v>
      </c>
      <c r="B1306" s="40">
        <v>0</v>
      </c>
      <c r="C1306" s="109">
        <v>700000</v>
      </c>
      <c r="D1306" s="42">
        <v>1</v>
      </c>
      <c r="E1306" s="43"/>
      <c r="F1306" s="44" t="s">
        <v>911</v>
      </c>
      <c r="G1306" s="45" t="s">
        <v>15</v>
      </c>
      <c r="H1306" s="51"/>
      <c r="I1306" s="47"/>
      <c r="J1306" s="48"/>
      <c r="K1306" s="49"/>
      <c r="L1306" s="50"/>
    </row>
    <row r="1307" spans="1:12" ht="15.6" outlineLevel="1">
      <c r="A1307" s="11">
        <v>1711100110</v>
      </c>
      <c r="B1307" s="40">
        <v>110</v>
      </c>
      <c r="C1307" s="109">
        <v>711100</v>
      </c>
      <c r="D1307" s="42">
        <v>1</v>
      </c>
      <c r="E1307" s="43"/>
      <c r="F1307" s="44" t="s">
        <v>21</v>
      </c>
      <c r="G1307" s="45" t="s">
        <v>22</v>
      </c>
      <c r="H1307" s="51">
        <f t="shared" si="20"/>
        <v>2.5003885003884951E-2</v>
      </c>
      <c r="I1307" s="47"/>
      <c r="J1307" s="48">
        <f>VLOOKUP(A1307,'[1]תקציב 2026'!$A$1:$M$65536,9,0)</f>
        <v>1319180</v>
      </c>
      <c r="K1307" s="49">
        <f>VLOOKUP(A1307,[3]גיליון1!$A$1:$C$7693,3,0)</f>
        <v>1287000</v>
      </c>
      <c r="L1307" s="50">
        <f>VLOOKUP(A1307,[2]data1761205830331!$A$1:$J$65536,10,0)</f>
        <v>1357729.33</v>
      </c>
    </row>
    <row r="1308" spans="1:12" ht="15.6" outlineLevel="1">
      <c r="A1308" s="11">
        <v>1711100119</v>
      </c>
      <c r="B1308" s="40">
        <v>119</v>
      </c>
      <c r="C1308" s="109">
        <v>711100</v>
      </c>
      <c r="D1308" s="42">
        <v>1</v>
      </c>
      <c r="E1308" s="43"/>
      <c r="F1308" s="44" t="s">
        <v>23</v>
      </c>
      <c r="G1308" s="45" t="s">
        <v>22</v>
      </c>
      <c r="H1308" s="51">
        <f t="shared" si="20"/>
        <v>0.17272350707628581</v>
      </c>
      <c r="I1308" s="47"/>
      <c r="J1308" s="48">
        <f>VLOOKUP(A1308,'[1]תקציב 2026'!$A$1:$M$65536,9,0)</f>
        <v>5096070</v>
      </c>
      <c r="K1308" s="49">
        <v>4345500</v>
      </c>
      <c r="L1308" s="50">
        <f>VLOOKUP(A1308,[2]data1761205830331!$A$1:$J$65536,10,0)</f>
        <v>4050119.5</v>
      </c>
    </row>
    <row r="1309" spans="1:12" ht="15.6" outlineLevel="1">
      <c r="A1309" s="11">
        <v>1711100122</v>
      </c>
      <c r="B1309" s="40">
        <v>122</v>
      </c>
      <c r="C1309" s="109">
        <v>711100</v>
      </c>
      <c r="D1309" s="42">
        <v>1</v>
      </c>
      <c r="E1309" s="43"/>
      <c r="F1309" s="44" t="s">
        <v>24</v>
      </c>
      <c r="G1309" s="45" t="s">
        <v>22</v>
      </c>
      <c r="H1309" s="51">
        <f t="shared" si="20"/>
        <v>0.29633333333333334</v>
      </c>
      <c r="I1309" s="47"/>
      <c r="J1309" s="48">
        <v>77780</v>
      </c>
      <c r="K1309" s="49">
        <f>VLOOKUP(A1309,[3]גיליון1!$A$1:$C$7693,3,0)</f>
        <v>60000</v>
      </c>
      <c r="L1309" s="50">
        <f>VLOOKUP(A1309,[2]data1761205830331!$A$1:$J$65536,10,0)</f>
        <v>58592.55</v>
      </c>
    </row>
    <row r="1310" spans="1:12" ht="15.6" outlineLevel="1">
      <c r="A1310" s="11">
        <v>1711100126</v>
      </c>
      <c r="B1310" s="40">
        <v>126</v>
      </c>
      <c r="C1310" s="109">
        <v>711100</v>
      </c>
      <c r="D1310" s="42">
        <v>1</v>
      </c>
      <c r="E1310" s="43"/>
      <c r="F1310" s="44" t="s">
        <v>25</v>
      </c>
      <c r="G1310" s="45" t="s">
        <v>22</v>
      </c>
      <c r="H1310" s="51">
        <f t="shared" si="20"/>
        <v>0.29628571428571426</v>
      </c>
      <c r="I1310" s="47"/>
      <c r="J1310" s="48">
        <v>181480</v>
      </c>
      <c r="K1310" s="49">
        <f>VLOOKUP(A1310,[3]גיליון1!$A$1:$C$7693,3,0)</f>
        <v>140000</v>
      </c>
      <c r="L1310" s="50">
        <f>VLOOKUP(A1310,[2]data1761205830331!$A$1:$J$65536,10,0)</f>
        <v>138289.04999999999</v>
      </c>
    </row>
    <row r="1311" spans="1:12" ht="15.6" outlineLevel="1">
      <c r="A1311" s="11">
        <v>1711100130</v>
      </c>
      <c r="B1311" s="40">
        <v>130</v>
      </c>
      <c r="C1311" s="109">
        <v>711100</v>
      </c>
      <c r="D1311" s="42">
        <v>1</v>
      </c>
      <c r="E1311" s="43"/>
      <c r="F1311" s="44" t="s">
        <v>26</v>
      </c>
      <c r="G1311" s="45" t="s">
        <v>22</v>
      </c>
      <c r="H1311" s="51">
        <f t="shared" si="20"/>
        <v>0.26714659317791956</v>
      </c>
      <c r="I1311" s="47"/>
      <c r="J1311" s="48">
        <f>VLOOKUP(A1311,'[1]תקציב 2026'!$A$1:$M$65536,9,0)</f>
        <v>901220</v>
      </c>
      <c r="K1311" s="49">
        <f>VLOOKUP(A1311,[3]גיליון1!$A$1:$C$7693,3,0)*0.86</f>
        <v>711220</v>
      </c>
      <c r="L1311" s="50">
        <f>VLOOKUP(A1311,[2]data1761205830331!$A$1:$J$65536,10,0)</f>
        <v>727135.65</v>
      </c>
    </row>
    <row r="1312" spans="1:12" ht="15.6" outlineLevel="1">
      <c r="A1312" s="11">
        <v>1711100140</v>
      </c>
      <c r="B1312" s="40">
        <v>140</v>
      </c>
      <c r="C1312" s="109">
        <v>711100</v>
      </c>
      <c r="D1312" s="42">
        <v>1</v>
      </c>
      <c r="E1312" s="43"/>
      <c r="F1312" s="44" t="s">
        <v>27</v>
      </c>
      <c r="G1312" s="45" t="s">
        <v>22</v>
      </c>
      <c r="H1312" s="51">
        <f t="shared" si="20"/>
        <v>0</v>
      </c>
      <c r="I1312" s="47"/>
      <c r="J1312" s="48">
        <f>VLOOKUP(A1312,'[1]תקציב 2026'!$A$1:$M$65536,9,0)</f>
        <v>475500</v>
      </c>
      <c r="K1312" s="49">
        <f>VLOOKUP(A1312,[3]גיליון1!$A$1:$C$7693,3,0)</f>
        <v>475500</v>
      </c>
      <c r="L1312" s="50">
        <f>VLOOKUP(A1312,[2]data1761205830331!$A$1:$J$65536,10,0)</f>
        <v>635011.79</v>
      </c>
    </row>
    <row r="1313" spans="1:12" ht="15.6" outlineLevel="1">
      <c r="A1313" s="11">
        <v>1711100253</v>
      </c>
      <c r="B1313" s="40">
        <v>253</v>
      </c>
      <c r="C1313" s="109">
        <v>711100</v>
      </c>
      <c r="D1313" s="42">
        <v>1</v>
      </c>
      <c r="E1313" s="43"/>
      <c r="F1313" s="44" t="str">
        <f>[4]גיליון1!$F$2270</f>
        <v xml:space="preserve">עובדים חיצוניים   </v>
      </c>
      <c r="G1313" s="45" t="s">
        <v>22</v>
      </c>
      <c r="H1313" s="51">
        <v>0</v>
      </c>
      <c r="I1313" s="47"/>
      <c r="J1313" s="48">
        <f>VLOOKUP(A1313,'[1]תקציב 2026'!$A$1:$M$65536,9,0)</f>
        <v>0</v>
      </c>
      <c r="K1313" s="49">
        <f>VLOOKUP(A1313,[3]גיליון1!$A$1:$C$7693,3,0)</f>
        <v>0</v>
      </c>
      <c r="L1313" s="50">
        <f>VLOOKUP(A1313,[2]data1761205830331!$A$1:$J$65536,10,0)</f>
        <v>62319.99</v>
      </c>
    </row>
    <row r="1314" spans="1:12" ht="15.6" outlineLevel="1">
      <c r="A1314" s="11">
        <v>1711100350</v>
      </c>
      <c r="B1314" s="40">
        <v>350</v>
      </c>
      <c r="C1314" s="109">
        <v>711100</v>
      </c>
      <c r="D1314" s="42">
        <v>1</v>
      </c>
      <c r="E1314" s="43"/>
      <c r="F1314" s="44" t="s">
        <v>912</v>
      </c>
      <c r="G1314" s="45" t="s">
        <v>22</v>
      </c>
      <c r="H1314" s="51">
        <f t="shared" si="20"/>
        <v>-1</v>
      </c>
      <c r="I1314" s="47"/>
      <c r="J1314" s="48">
        <f>VLOOKUP(A1314,'[1]תקציב 2026'!$A$1:$M$65536,9,0)</f>
        <v>0</v>
      </c>
      <c r="K1314" s="49">
        <f>VLOOKUP(A1314,[3]גיליון1!$A$1:$C$7693,3,0)</f>
        <v>53000</v>
      </c>
      <c r="L1314" s="50">
        <f>VLOOKUP(A1314,[2]data1761205830331!$A$1:$J$65536,10,0)</f>
        <v>48556.83</v>
      </c>
    </row>
    <row r="1315" spans="1:12" ht="15.6" outlineLevel="1">
      <c r="A1315" s="11">
        <v>1711100351</v>
      </c>
      <c r="B1315" s="40">
        <v>351</v>
      </c>
      <c r="C1315" s="109">
        <v>711100</v>
      </c>
      <c r="D1315" s="42">
        <v>1</v>
      </c>
      <c r="E1315" s="43"/>
      <c r="F1315" s="44" t="s">
        <v>913</v>
      </c>
      <c r="G1315" s="45" t="s">
        <v>22</v>
      </c>
      <c r="H1315" s="51">
        <f t="shared" si="20"/>
        <v>0</v>
      </c>
      <c r="I1315" s="47"/>
      <c r="J1315" s="48">
        <f>VLOOKUP(A1315,'[1]תקציב 2026'!$A$1:$M$65536,9,0)</f>
        <v>10000</v>
      </c>
      <c r="K1315" s="49">
        <f>VLOOKUP(A1315,[3]גיליון1!$A$1:$C$7693,3,0)</f>
        <v>10000</v>
      </c>
      <c r="L1315" s="50">
        <f>VLOOKUP(A1315,[2]data1761205830331!$A$1:$J$65536,10,0)</f>
        <v>1135.44</v>
      </c>
    </row>
    <row r="1316" spans="1:12" ht="15.6" outlineLevel="1">
      <c r="A1316" s="11">
        <v>1711100470</v>
      </c>
      <c r="B1316" s="40">
        <v>470</v>
      </c>
      <c r="C1316" s="109">
        <v>711100</v>
      </c>
      <c r="D1316" s="42">
        <v>1</v>
      </c>
      <c r="E1316" s="43"/>
      <c r="F1316" s="44" t="s">
        <v>43</v>
      </c>
      <c r="G1316" s="45" t="s">
        <v>37</v>
      </c>
      <c r="H1316" s="51">
        <f t="shared" si="20"/>
        <v>0.15873015873015883</v>
      </c>
      <c r="I1316" s="47"/>
      <c r="J1316" s="48">
        <f>VLOOKUP(A1316,'[1]תקציב 2026'!$A$1:$M$65536,9,0)</f>
        <v>2190</v>
      </c>
      <c r="K1316" s="49">
        <f>VLOOKUP(A1316,[3]גיליון1!$A$1:$C$7693,3,0)*0.9</f>
        <v>1890</v>
      </c>
      <c r="L1316" s="50">
        <f>VLOOKUP(A1316,[2]data1761205830331!$A$1:$J$65536,10,0)</f>
        <v>1375.91</v>
      </c>
    </row>
    <row r="1317" spans="1:12" ht="15.6" outlineLevel="1">
      <c r="A1317" s="11">
        <v>1711100471</v>
      </c>
      <c r="B1317" s="40">
        <v>471</v>
      </c>
      <c r="C1317" s="109">
        <v>711100</v>
      </c>
      <c r="D1317" s="42">
        <v>1</v>
      </c>
      <c r="E1317" s="43"/>
      <c r="F1317" s="44" t="s">
        <v>71</v>
      </c>
      <c r="G1317" s="45" t="s">
        <v>37</v>
      </c>
      <c r="H1317" s="51">
        <f t="shared" si="20"/>
        <v>0.21616947686986587</v>
      </c>
      <c r="I1317" s="47"/>
      <c r="J1317" s="48">
        <f>VLOOKUP(A1317,'[1]תקציב 2026'!$A$1:$M$65536,9,0)</f>
        <v>28130</v>
      </c>
      <c r="K1317" s="49">
        <f>VLOOKUP(A1317,[3]גיליון1!$A$1:$C$7693,3,0)*0.9</f>
        <v>23130</v>
      </c>
      <c r="L1317" s="50">
        <f>VLOOKUP(A1317,[2]data1761205830331!$A$1:$J$65536,10,0)</f>
        <v>18016.349999999999</v>
      </c>
    </row>
    <row r="1318" spans="1:12" ht="15.6" outlineLevel="1">
      <c r="A1318" s="11">
        <v>1711100492</v>
      </c>
      <c r="B1318" s="40">
        <v>492</v>
      </c>
      <c r="C1318" s="109">
        <v>711100</v>
      </c>
      <c r="D1318" s="42">
        <v>1</v>
      </c>
      <c r="E1318" s="43"/>
      <c r="F1318" s="44" t="s">
        <v>66</v>
      </c>
      <c r="G1318" s="45" t="s">
        <v>29</v>
      </c>
      <c r="H1318" s="51">
        <f t="shared" si="20"/>
        <v>6.8739770867430439E-2</v>
      </c>
      <c r="I1318" s="47"/>
      <c r="J1318" s="48">
        <f>VLOOKUP(A1318,'[1]תקציב 2026'!$A$1:$M$65536,9,0)</f>
        <v>326500</v>
      </c>
      <c r="K1318" s="49">
        <v>305500</v>
      </c>
      <c r="L1318" s="50">
        <f>VLOOKUP(A1318,[2]data1761205830331!$A$1:$J$65536,10,0)</f>
        <v>264984</v>
      </c>
    </row>
    <row r="1319" spans="1:12" ht="15.6" outlineLevel="1">
      <c r="A1319" s="11">
        <v>1711100511</v>
      </c>
      <c r="B1319" s="40">
        <v>511</v>
      </c>
      <c r="C1319" s="109">
        <v>711100</v>
      </c>
      <c r="D1319" s="42">
        <v>1</v>
      </c>
      <c r="E1319" s="43"/>
      <c r="F1319" s="44" t="s">
        <v>72</v>
      </c>
      <c r="G1319" s="45" t="s">
        <v>37</v>
      </c>
      <c r="H1319" s="51">
        <f t="shared" si="20"/>
        <v>1.6455026455026456</v>
      </c>
      <c r="I1319" s="47"/>
      <c r="J1319" s="48">
        <f>VLOOKUP(A1319,'[1]תקציב 2026'!$A$1:$M$65536,9,0)</f>
        <v>5000</v>
      </c>
      <c r="K1319" s="49">
        <f>2100*0.9</f>
        <v>1890</v>
      </c>
      <c r="L1319" s="50">
        <f>VLOOKUP(A1319,[2]data1761205830331!$A$1:$J$65536,10,0)</f>
        <v>908.38</v>
      </c>
    </row>
    <row r="1320" spans="1:12" ht="15.6" outlineLevel="1">
      <c r="A1320" s="11">
        <v>1711100512</v>
      </c>
      <c r="B1320" s="40">
        <v>512</v>
      </c>
      <c r="C1320" s="109">
        <v>711100</v>
      </c>
      <c r="D1320" s="42">
        <v>1</v>
      </c>
      <c r="E1320" s="43"/>
      <c r="F1320" s="44" t="s">
        <v>88</v>
      </c>
      <c r="G1320" s="45" t="s">
        <v>37</v>
      </c>
      <c r="H1320" s="51">
        <f t="shared" si="20"/>
        <v>0</v>
      </c>
      <c r="I1320" s="47"/>
      <c r="J1320" s="48">
        <f>VLOOKUP(A1320,'[1]תקציב 2026'!$A$1:$M$65536,9,0)</f>
        <v>810</v>
      </c>
      <c r="K1320" s="49">
        <f>VLOOKUP(A1320,[3]גיליון1!$A$1:$C$7693,3,0)*0.9</f>
        <v>810</v>
      </c>
      <c r="L1320" s="50">
        <f>VLOOKUP(A1320,[2]data1761205830331!$A$1:$J$65536,10,0)</f>
        <v>85</v>
      </c>
    </row>
    <row r="1321" spans="1:12" ht="15.6" outlineLevel="1">
      <c r="A1321" s="11">
        <v>1711100544</v>
      </c>
      <c r="B1321" s="40">
        <v>544</v>
      </c>
      <c r="C1321" s="109">
        <v>711100</v>
      </c>
      <c r="D1321" s="42">
        <v>1</v>
      </c>
      <c r="E1321" s="43"/>
      <c r="F1321" s="44" t="s">
        <v>743</v>
      </c>
      <c r="G1321" s="45" t="s">
        <v>29</v>
      </c>
      <c r="H1321" s="51">
        <f t="shared" si="20"/>
        <v>-1</v>
      </c>
      <c r="I1321" s="47"/>
      <c r="J1321" s="48">
        <f>VLOOKUP(A1321,'[1]תקציב 2026'!$A$1:$M$65536,9,0)</f>
        <v>0</v>
      </c>
      <c r="K1321" s="49">
        <f>VLOOKUP(A1321,[3]גיליון1!$A$1:$C$7693,3,0)</f>
        <v>1700</v>
      </c>
      <c r="L1321" s="50">
        <f>VLOOKUP(A1321,[2]data1761205830331!$A$1:$J$65536,10,0)</f>
        <v>0</v>
      </c>
    </row>
    <row r="1322" spans="1:12" ht="15.6" outlineLevel="1">
      <c r="A1322" s="11">
        <v>1711100561</v>
      </c>
      <c r="B1322" s="40">
        <v>561</v>
      </c>
      <c r="C1322" s="109">
        <v>711100</v>
      </c>
      <c r="D1322" s="42">
        <v>1</v>
      </c>
      <c r="E1322" s="43"/>
      <c r="F1322" s="44" t="s">
        <v>74</v>
      </c>
      <c r="G1322" s="45" t="s">
        <v>37</v>
      </c>
      <c r="H1322" s="51">
        <f t="shared" si="20"/>
        <v>-1</v>
      </c>
      <c r="I1322" s="47"/>
      <c r="J1322" s="48">
        <f>VLOOKUP(A1322,'[1]תקציב 2026'!$A$1:$M$65536,9,0)</f>
        <v>0</v>
      </c>
      <c r="K1322" s="49">
        <f>VLOOKUP(A1322,[3]גיליון1!$A$1:$C$7693,3,0)*0.9</f>
        <v>720</v>
      </c>
      <c r="L1322" s="50">
        <f>VLOOKUP(A1322,[2]data1761205830331!$A$1:$J$65536,10,0)</f>
        <v>634.94000000000005</v>
      </c>
    </row>
    <row r="1323" spans="1:12" ht="15.6" outlineLevel="1">
      <c r="A1323" s="11">
        <v>1711100562</v>
      </c>
      <c r="B1323" s="40">
        <v>562</v>
      </c>
      <c r="C1323" s="109">
        <v>711100</v>
      </c>
      <c r="D1323" s="42">
        <v>1</v>
      </c>
      <c r="E1323" s="43"/>
      <c r="F1323" s="44" t="s">
        <v>748</v>
      </c>
      <c r="G1323" s="45" t="s">
        <v>37</v>
      </c>
      <c r="H1323" s="51">
        <f t="shared" si="20"/>
        <v>0</v>
      </c>
      <c r="I1323" s="47"/>
      <c r="J1323" s="48">
        <f>VLOOKUP(A1323,'[1]תקציב 2026'!$A$1:$M$65536,9,0)</f>
        <v>2520</v>
      </c>
      <c r="K1323" s="49">
        <f>VLOOKUP(A1323,[3]גיליון1!$A$1:$C$7693,3,0)*0.9</f>
        <v>2520</v>
      </c>
      <c r="L1323" s="50">
        <f>VLOOKUP(A1323,[2]data1761205830331!$A$1:$J$65536,10,0)</f>
        <v>0</v>
      </c>
    </row>
    <row r="1324" spans="1:12" ht="15.6" outlineLevel="1">
      <c r="A1324" s="11">
        <v>1711100571</v>
      </c>
      <c r="B1324" s="40">
        <v>571</v>
      </c>
      <c r="C1324" s="109">
        <v>711100</v>
      </c>
      <c r="D1324" s="42">
        <v>1</v>
      </c>
      <c r="E1324" s="43"/>
      <c r="F1324" s="44" t="s">
        <v>75</v>
      </c>
      <c r="G1324" s="45" t="s">
        <v>29</v>
      </c>
      <c r="H1324" s="51">
        <f t="shared" si="20"/>
        <v>0</v>
      </c>
      <c r="I1324" s="47"/>
      <c r="J1324" s="48">
        <f>VLOOKUP(A1324,'[1]תקציב 2026'!$A$1:$M$65536,9,0)</f>
        <v>201000</v>
      </c>
      <c r="K1324" s="49">
        <v>201000</v>
      </c>
      <c r="L1324" s="50">
        <f>VLOOKUP(A1324,[2]data1761205830331!$A$1:$J$65536,10,0)</f>
        <v>173800</v>
      </c>
    </row>
    <row r="1325" spans="1:12" ht="15.6" outlineLevel="1">
      <c r="A1325" s="11">
        <v>1711100580</v>
      </c>
      <c r="B1325" s="40">
        <v>580</v>
      </c>
      <c r="C1325" s="109">
        <v>711100</v>
      </c>
      <c r="D1325" s="42">
        <v>1</v>
      </c>
      <c r="E1325" s="43"/>
      <c r="F1325" s="44" t="s">
        <v>861</v>
      </c>
      <c r="G1325" s="45" t="s">
        <v>37</v>
      </c>
      <c r="H1325" s="51">
        <v>1</v>
      </c>
      <c r="I1325" s="47"/>
      <c r="J1325" s="48">
        <f>VLOOKUP(A1325,'[1]תקציב 2026'!$A$1:$M$65536,9,0)</f>
        <v>50000</v>
      </c>
      <c r="K1325" s="49">
        <v>0</v>
      </c>
      <c r="L1325" s="50">
        <f>VLOOKUP(A1325,[2]data1761205830331!$A$1:$J$65536,10,0)</f>
        <v>29500</v>
      </c>
    </row>
    <row r="1326" spans="1:12" ht="15.6" outlineLevel="1">
      <c r="A1326" s="11">
        <v>1711100596</v>
      </c>
      <c r="B1326" s="40">
        <v>596</v>
      </c>
      <c r="C1326" s="109">
        <v>711100</v>
      </c>
      <c r="D1326" s="42">
        <v>1</v>
      </c>
      <c r="E1326" s="43"/>
      <c r="F1326" s="44" t="s">
        <v>76</v>
      </c>
      <c r="G1326" s="45" t="s">
        <v>29</v>
      </c>
      <c r="H1326" s="51">
        <f t="shared" si="20"/>
        <v>-6.0975609756097615E-2</v>
      </c>
      <c r="I1326" s="47"/>
      <c r="J1326" s="48">
        <f>VLOOKUP(A1326,'[1]תקציב 2026'!$A$1:$M$65536,9,0)</f>
        <v>1078000</v>
      </c>
      <c r="K1326" s="49">
        <v>1148000</v>
      </c>
      <c r="L1326" s="50">
        <f>VLOOKUP(A1326,[2]data1761205830331!$A$1:$J$65536,10,0)</f>
        <v>1005209.6</v>
      </c>
    </row>
    <row r="1327" spans="1:12" ht="16.2" outlineLevel="1" thickBot="1">
      <c r="A1327" s="11">
        <v>1711100794</v>
      </c>
      <c r="B1327" s="40">
        <v>794</v>
      </c>
      <c r="C1327" s="109">
        <v>711100</v>
      </c>
      <c r="D1327" s="42">
        <v>1</v>
      </c>
      <c r="E1327" s="43"/>
      <c r="F1327" s="44" t="s">
        <v>58</v>
      </c>
      <c r="G1327" s="45" t="s">
        <v>29</v>
      </c>
      <c r="H1327" s="51">
        <f t="shared" si="20"/>
        <v>0</v>
      </c>
      <c r="I1327" s="47"/>
      <c r="J1327" s="48">
        <f>VLOOKUP(A1327,'[1]תקציב 2026'!$A$1:$M$65536,9,0)</f>
        <v>75000</v>
      </c>
      <c r="K1327" s="49">
        <v>75000</v>
      </c>
      <c r="L1327" s="50">
        <f>VLOOKUP(A1327,[2]data1761205830331!$A$1:$J$65536,10,0)</f>
        <v>89453</v>
      </c>
    </row>
    <row r="1328" spans="1:12" ht="16.2" thickBot="1">
      <c r="A1328" s="11" t="e">
        <v>#VALUE!</v>
      </c>
      <c r="B1328" s="53" t="s">
        <v>914</v>
      </c>
      <c r="C1328" s="223"/>
      <c r="D1328" s="55"/>
      <c r="E1328" s="56"/>
      <c r="F1328" s="116" t="s">
        <v>915</v>
      </c>
      <c r="G1328" s="58"/>
      <c r="H1328" s="166">
        <f>J1328/K1328-1</f>
        <v>0.11148322437525304</v>
      </c>
      <c r="I1328" s="72"/>
      <c r="J1328" s="74">
        <f>SUBTOTAL(9,J1307:J1327)</f>
        <v>9830380</v>
      </c>
      <c r="K1328" s="92">
        <f>SUBTOTAL(9,K1307:K1327)</f>
        <v>8844380</v>
      </c>
      <c r="L1328" s="75">
        <f>SUBTOTAL(9,L1307:L1327)</f>
        <v>8662857.3100000005</v>
      </c>
    </row>
    <row r="1329" spans="1:12" ht="15.6" outlineLevel="1">
      <c r="A1329" s="11">
        <v>17120000</v>
      </c>
      <c r="B1329" s="40">
        <v>0</v>
      </c>
      <c r="C1329" s="109">
        <v>712000</v>
      </c>
      <c r="D1329" s="42">
        <v>1</v>
      </c>
      <c r="E1329" s="43"/>
      <c r="F1329" s="44" t="s">
        <v>916</v>
      </c>
      <c r="G1329" s="45" t="s">
        <v>15</v>
      </c>
      <c r="H1329" s="51"/>
      <c r="I1329" s="47"/>
      <c r="J1329" s="48"/>
      <c r="K1329" s="49"/>
      <c r="L1329" s="50"/>
    </row>
    <row r="1330" spans="1:12" ht="15.6" outlineLevel="1">
      <c r="A1330" s="11">
        <v>1712200431</v>
      </c>
      <c r="B1330" s="40">
        <v>431</v>
      </c>
      <c r="C1330" s="109">
        <v>712200</v>
      </c>
      <c r="D1330" s="42">
        <v>1</v>
      </c>
      <c r="E1330" s="43"/>
      <c r="F1330" s="44" t="s">
        <v>32</v>
      </c>
      <c r="G1330" s="45" t="s">
        <v>29</v>
      </c>
      <c r="H1330" s="51">
        <f t="shared" si="20"/>
        <v>-0.32835820895522383</v>
      </c>
      <c r="I1330" s="47"/>
      <c r="J1330" s="48">
        <f>VLOOKUP(A1330,'[1]תקציב 2026'!$A$1:$M$65536,9,0)</f>
        <v>4500</v>
      </c>
      <c r="K1330" s="49">
        <v>6700</v>
      </c>
      <c r="L1330" s="50">
        <f>VLOOKUP(A1330,[2]data1761205830331!$A$1:$J$65536,10,0)</f>
        <v>3875.82</v>
      </c>
    </row>
    <row r="1331" spans="1:12" ht="15.6" outlineLevel="1">
      <c r="A1331" s="11">
        <v>1712200561</v>
      </c>
      <c r="B1331" s="40">
        <v>561</v>
      </c>
      <c r="C1331" s="109">
        <v>712200</v>
      </c>
      <c r="D1331" s="42">
        <v>1</v>
      </c>
      <c r="E1331" s="43"/>
      <c r="F1331" s="44" t="s">
        <v>74</v>
      </c>
      <c r="G1331" s="45" t="s">
        <v>37</v>
      </c>
      <c r="H1331" s="51">
        <f t="shared" si="20"/>
        <v>-1</v>
      </c>
      <c r="I1331" s="47"/>
      <c r="J1331" s="48">
        <f>VLOOKUP(A1331,'[1]תקציב 2026'!$A$1:$M$65536,9,0)</f>
        <v>0</v>
      </c>
      <c r="K1331" s="49">
        <f>VLOOKUP(A1331,[3]גיליון1!$A$1:$C$7693,3,0)*0.9</f>
        <v>3690</v>
      </c>
      <c r="L1331" s="50">
        <f>VLOOKUP(A1331,[2]data1761205830331!$A$1:$J$65536,10,0)</f>
        <v>173.54</v>
      </c>
    </row>
    <row r="1332" spans="1:12" ht="15.6" outlineLevel="1">
      <c r="A1332" s="11">
        <v>1712200715</v>
      </c>
      <c r="B1332" s="40">
        <v>715</v>
      </c>
      <c r="C1332" s="109">
        <v>712200</v>
      </c>
      <c r="D1332" s="42">
        <v>1</v>
      </c>
      <c r="E1332" s="43"/>
      <c r="F1332" s="44" t="s">
        <v>917</v>
      </c>
      <c r="G1332" s="45" t="s">
        <v>37</v>
      </c>
      <c r="H1332" s="51">
        <f t="shared" si="20"/>
        <v>-0.22480620155038755</v>
      </c>
      <c r="I1332" s="47"/>
      <c r="J1332" s="48">
        <f>VLOOKUP(A1332,'[1]תקציב 2026'!$A$1:$M$65536,9,0)</f>
        <v>600000</v>
      </c>
      <c r="K1332" s="49">
        <f>VLOOKUP(A1332,[3]גיליון1!$A$1:$C$7693,3,0)*0.9</f>
        <v>774000</v>
      </c>
      <c r="L1332" s="50">
        <f>VLOOKUP(A1332,[2]data1761205830331!$A$1:$J$65536,10,0)</f>
        <v>781402.87</v>
      </c>
    </row>
    <row r="1333" spans="1:12" ht="15.6" outlineLevel="1">
      <c r="A1333" s="11">
        <v>1712200722</v>
      </c>
      <c r="B1333" s="40">
        <v>722</v>
      </c>
      <c r="C1333" s="109">
        <v>712200</v>
      </c>
      <c r="D1333" s="42">
        <v>1</v>
      </c>
      <c r="E1333" s="43"/>
      <c r="F1333" s="44" t="s">
        <v>51</v>
      </c>
      <c r="G1333" s="45" t="s">
        <v>37</v>
      </c>
      <c r="H1333" s="51">
        <f t="shared" si="20"/>
        <v>0</v>
      </c>
      <c r="I1333" s="47"/>
      <c r="J1333" s="48">
        <f>VLOOKUP(A1333,'[1]תקציב 2026'!$A$1:$M$65536,9,0)</f>
        <v>6030</v>
      </c>
      <c r="K1333" s="49">
        <f>VLOOKUP(A1333,[3]גיליון1!$A$1:$C$7693,3,0)*0.9</f>
        <v>6030</v>
      </c>
      <c r="L1333" s="50">
        <f>VLOOKUP(A1333,[2]data1761205830331!$A$1:$J$65536,10,0)</f>
        <v>6526.98</v>
      </c>
    </row>
    <row r="1334" spans="1:12" ht="15.6" outlineLevel="1">
      <c r="A1334" s="11">
        <v>1712200723</v>
      </c>
      <c r="B1334" s="40">
        <v>723</v>
      </c>
      <c r="C1334" s="109">
        <v>712200</v>
      </c>
      <c r="D1334" s="42">
        <v>1</v>
      </c>
      <c r="E1334" s="43"/>
      <c r="F1334" s="44" t="s">
        <v>918</v>
      </c>
      <c r="G1334" s="45" t="s">
        <v>37</v>
      </c>
      <c r="H1334" s="51">
        <f t="shared" si="20"/>
        <v>0</v>
      </c>
      <c r="I1334" s="47"/>
      <c r="J1334" s="48">
        <f>VLOOKUP(A1334,'[1]תקציב 2026'!$A$1:$M$65536,9,0)</f>
        <v>40050</v>
      </c>
      <c r="K1334" s="49">
        <f>VLOOKUP(A1334,[3]גיליון1!$A$1:$C$7693,3,0)*0.9</f>
        <v>40050</v>
      </c>
      <c r="L1334" s="50">
        <f>VLOOKUP(A1334,[2]data1761205830331!$A$1:$J$65536,10,0)</f>
        <v>43536</v>
      </c>
    </row>
    <row r="1335" spans="1:12" ht="15.6" outlineLevel="1">
      <c r="A1335" s="11">
        <v>1712200751</v>
      </c>
      <c r="B1335" s="40">
        <v>751</v>
      </c>
      <c r="C1335" s="109">
        <v>712200</v>
      </c>
      <c r="D1335" s="42">
        <v>1</v>
      </c>
      <c r="E1335" s="43"/>
      <c r="F1335" s="44" t="s">
        <v>919</v>
      </c>
      <c r="G1335" s="45" t="s">
        <v>29</v>
      </c>
      <c r="H1335" s="51">
        <v>1</v>
      </c>
      <c r="I1335" s="47" t="s">
        <v>86</v>
      </c>
      <c r="J1335" s="48">
        <f>VLOOKUP(A1335,'[1]תקציב 2026'!$A$1:$M$65536,9,0)</f>
        <v>13500</v>
      </c>
      <c r="K1335" s="49">
        <v>0</v>
      </c>
      <c r="L1335" s="50">
        <v>0</v>
      </c>
    </row>
    <row r="1336" spans="1:12" ht="15.6" outlineLevel="1">
      <c r="A1336" s="11">
        <v>1712200754</v>
      </c>
      <c r="B1336" s="40">
        <v>754</v>
      </c>
      <c r="C1336" s="109">
        <v>712200</v>
      </c>
      <c r="D1336" s="42">
        <v>1</v>
      </c>
      <c r="E1336" s="43"/>
      <c r="F1336" s="44" t="s">
        <v>920</v>
      </c>
      <c r="G1336" s="45" t="s">
        <v>37</v>
      </c>
      <c r="H1336" s="51">
        <f t="shared" si="20"/>
        <v>-0.77777777777777779</v>
      </c>
      <c r="I1336" s="47"/>
      <c r="J1336" s="48">
        <f>VLOOKUP(A1336,'[1]תקציב 2026'!$A$1:$M$65536,9,0)</f>
        <v>50000</v>
      </c>
      <c r="K1336" s="49">
        <f>250000*0.9</f>
        <v>225000</v>
      </c>
      <c r="L1336" s="50">
        <f>VLOOKUP(A1336,[2]data1761205830331!$A$1:$J$65536,10,0)</f>
        <v>0</v>
      </c>
    </row>
    <row r="1337" spans="1:12" ht="15.6" outlineLevel="1">
      <c r="A1337" s="11">
        <v>1712200757</v>
      </c>
      <c r="B1337" s="40">
        <v>757</v>
      </c>
      <c r="C1337" s="109">
        <v>712200</v>
      </c>
      <c r="D1337" s="42">
        <v>1</v>
      </c>
      <c r="E1337" s="43"/>
      <c r="F1337" s="44" t="s">
        <v>921</v>
      </c>
      <c r="G1337" s="45" t="s">
        <v>37</v>
      </c>
      <c r="H1337" s="51">
        <f t="shared" si="20"/>
        <v>-1</v>
      </c>
      <c r="I1337" s="47"/>
      <c r="J1337" s="48">
        <f>VLOOKUP(A1337,'[1]תקציב 2026'!$A$1:$M$65536,9,0)</f>
        <v>0</v>
      </c>
      <c r="K1337" s="49">
        <f>15000*0.9</f>
        <v>13500</v>
      </c>
      <c r="L1337" s="50">
        <f>VLOOKUP(A1337,[2]data1761205830331!$A$1:$J$65536,10,0)</f>
        <v>0</v>
      </c>
    </row>
    <row r="1338" spans="1:12" ht="15.6" outlineLevel="1">
      <c r="A1338" s="11">
        <v>1712200758</v>
      </c>
      <c r="B1338" s="40">
        <v>758</v>
      </c>
      <c r="C1338" s="109">
        <v>712200</v>
      </c>
      <c r="D1338" s="42">
        <v>1</v>
      </c>
      <c r="E1338" s="43"/>
      <c r="F1338" s="44" t="s">
        <v>922</v>
      </c>
      <c r="G1338" s="45" t="s">
        <v>29</v>
      </c>
      <c r="H1338" s="51">
        <f t="shared" si="20"/>
        <v>0.17276067863751265</v>
      </c>
      <c r="I1338" s="47"/>
      <c r="J1338" s="48">
        <f>VLOOKUP(A1338,'[1]תקציב 2026'!$A$1:$M$65536,9,0)</f>
        <v>45000000</v>
      </c>
      <c r="K1338" s="49">
        <v>38371000</v>
      </c>
      <c r="L1338" s="50">
        <f>VLOOKUP(A1338,[2]data1761205830331!$A$1:$J$65536,10,0)</f>
        <v>29606334.190000001</v>
      </c>
    </row>
    <row r="1339" spans="1:12" ht="15.6" outlineLevel="1">
      <c r="A1339" s="11">
        <v>1712200759</v>
      </c>
      <c r="B1339" s="40">
        <v>759</v>
      </c>
      <c r="C1339" s="109">
        <v>712200</v>
      </c>
      <c r="D1339" s="42">
        <v>1</v>
      </c>
      <c r="E1339" s="43"/>
      <c r="F1339" s="44" t="s">
        <v>923</v>
      </c>
      <c r="G1339" s="45" t="s">
        <v>29</v>
      </c>
      <c r="H1339" s="51">
        <f t="shared" si="20"/>
        <v>0.14942528735632177</v>
      </c>
      <c r="I1339" s="47"/>
      <c r="J1339" s="48">
        <f>VLOOKUP(A1339,'[1]תקציב 2026'!$A$1:$M$65536,9,0)</f>
        <v>9000000</v>
      </c>
      <c r="K1339" s="49">
        <f>VLOOKUP(A1339,[3]גיליון1!$A$1:$C$7693,3,0)*0.9</f>
        <v>7830000</v>
      </c>
      <c r="L1339" s="50">
        <f>VLOOKUP(A1339,[2]data1761205830331!$A$1:$J$65536,10,0)</f>
        <v>7932392.2400000002</v>
      </c>
    </row>
    <row r="1340" spans="1:12" ht="16.2" outlineLevel="1" thickBot="1">
      <c r="A1340" s="11">
        <v>1712200794</v>
      </c>
      <c r="B1340" s="40">
        <v>794</v>
      </c>
      <c r="C1340" s="109">
        <v>712200</v>
      </c>
      <c r="D1340" s="42">
        <v>1</v>
      </c>
      <c r="E1340" s="43"/>
      <c r="F1340" s="44" t="s">
        <v>58</v>
      </c>
      <c r="G1340" s="45" t="s">
        <v>29</v>
      </c>
      <c r="H1340" s="51">
        <f t="shared" si="20"/>
        <v>0</v>
      </c>
      <c r="I1340" s="47"/>
      <c r="J1340" s="48">
        <f>VLOOKUP(A1340,'[1]תקציב 2026'!$A$1:$M$65536,9,0)</f>
        <v>301000</v>
      </c>
      <c r="K1340" s="49">
        <v>301000</v>
      </c>
      <c r="L1340" s="50">
        <f>VLOOKUP(A1340,[2]data1761205830331!$A$1:$J$65536,10,0)</f>
        <v>313684</v>
      </c>
    </row>
    <row r="1341" spans="1:12" ht="16.2" thickBot="1">
      <c r="A1341" s="11" t="e">
        <v>#VALUE!</v>
      </c>
      <c r="B1341" s="53" t="s">
        <v>924</v>
      </c>
      <c r="C1341" s="223"/>
      <c r="D1341" s="55"/>
      <c r="E1341" s="56"/>
      <c r="F1341" s="116" t="s">
        <v>925</v>
      </c>
      <c r="G1341" s="58"/>
      <c r="H1341" s="166">
        <f>J1341/K1341-1</f>
        <v>0.15648430124506607</v>
      </c>
      <c r="I1341" s="72"/>
      <c r="J1341" s="74">
        <f>SUBTOTAL(9,J1330:J1340)</f>
        <v>55015080</v>
      </c>
      <c r="K1341" s="92">
        <f>SUBTOTAL(9,K1330:K1340)</f>
        <v>47570970</v>
      </c>
      <c r="L1341" s="75">
        <f>SUBTOTAL(9,L1330:L1340)</f>
        <v>38687925.640000001</v>
      </c>
    </row>
    <row r="1342" spans="1:12" ht="15.6" outlineLevel="1">
      <c r="A1342" s="11">
        <v>17123000</v>
      </c>
      <c r="B1342" s="64">
        <v>0</v>
      </c>
      <c r="C1342" s="131">
        <v>712300</v>
      </c>
      <c r="D1342" s="66">
        <v>1</v>
      </c>
      <c r="E1342" s="67"/>
      <c r="F1342" s="68" t="s">
        <v>926</v>
      </c>
      <c r="G1342" s="69" t="s">
        <v>15</v>
      </c>
      <c r="H1342" s="51"/>
      <c r="I1342" s="47"/>
      <c r="J1342" s="48"/>
      <c r="K1342" s="49"/>
      <c r="L1342" s="50"/>
    </row>
    <row r="1343" spans="1:12" ht="15.6" outlineLevel="1">
      <c r="A1343" s="11">
        <v>1712300110</v>
      </c>
      <c r="B1343" s="40">
        <v>110</v>
      </c>
      <c r="C1343" s="109">
        <v>712300</v>
      </c>
      <c r="D1343" s="42">
        <v>1</v>
      </c>
      <c r="E1343" s="43"/>
      <c r="F1343" s="44" t="s">
        <v>21</v>
      </c>
      <c r="G1343" s="45" t="s">
        <v>22</v>
      </c>
      <c r="H1343" s="51">
        <f t="shared" si="20"/>
        <v>2.4999999999999911E-2</v>
      </c>
      <c r="I1343" s="47"/>
      <c r="J1343" s="48">
        <f>VLOOKUP(A1343,'[1]תקציב 2026'!$A$1:$M$65536,9,0)</f>
        <v>5213150</v>
      </c>
      <c r="K1343" s="49">
        <f>VLOOKUP(A1343,[3]גיליון1!$A$1:$C$7693,3,0)</f>
        <v>5086000</v>
      </c>
      <c r="L1343" s="50">
        <f>VLOOKUP(A1343,[2]data1761205830331!$A$1:$J$65536,10,0)</f>
        <v>5157801.1900000004</v>
      </c>
    </row>
    <row r="1344" spans="1:12" ht="15.6" outlineLevel="1">
      <c r="A1344" s="11">
        <v>1712300119</v>
      </c>
      <c r="B1344" s="40">
        <v>119</v>
      </c>
      <c r="C1344" s="109">
        <v>712300</v>
      </c>
      <c r="D1344" s="42">
        <v>1</v>
      </c>
      <c r="E1344" s="43"/>
      <c r="F1344" s="44" t="s">
        <v>23</v>
      </c>
      <c r="G1344" s="45" t="s">
        <v>22</v>
      </c>
      <c r="H1344" s="51">
        <f t="shared" si="20"/>
        <v>0.25961491163346317</v>
      </c>
      <c r="I1344" s="47"/>
      <c r="J1344" s="48">
        <f>VLOOKUP(A1344,'[1]תקציב 2026'!$A$1:$M$65536,9,0)</f>
        <v>7169979.9999999991</v>
      </c>
      <c r="K1344" s="49">
        <f>4804200+888000</f>
        <v>5692200</v>
      </c>
      <c r="L1344" s="50">
        <f>VLOOKUP(A1344,[2]data1761205830331!$A$1:$J$65536,10,0)</f>
        <v>5172621.57</v>
      </c>
    </row>
    <row r="1345" spans="1:12" ht="15.6" outlineLevel="1">
      <c r="A1345" s="11">
        <v>1712300122</v>
      </c>
      <c r="B1345" s="40">
        <v>122</v>
      </c>
      <c r="C1345" s="109">
        <v>712300</v>
      </c>
      <c r="D1345" s="42">
        <v>1</v>
      </c>
      <c r="E1345" s="43"/>
      <c r="F1345" s="44" t="s">
        <v>24</v>
      </c>
      <c r="G1345" s="45" t="s">
        <v>22</v>
      </c>
      <c r="H1345" s="51">
        <f t="shared" si="20"/>
        <v>6.5760000000000041E-2</v>
      </c>
      <c r="I1345" s="47"/>
      <c r="J1345" s="48">
        <v>133220</v>
      </c>
      <c r="K1345" s="49">
        <f>VLOOKUP(A1345,[3]גיליון1!$A$1:$C$7693,3,0)</f>
        <v>125000</v>
      </c>
      <c r="L1345" s="50">
        <f>VLOOKUP(A1345,[2]data1761205830331!$A$1:$J$65536,10,0)</f>
        <v>121115.52</v>
      </c>
    </row>
    <row r="1346" spans="1:12" ht="15.6" outlineLevel="1">
      <c r="A1346" s="11">
        <v>1712300126</v>
      </c>
      <c r="B1346" s="40">
        <v>126</v>
      </c>
      <c r="C1346" s="109">
        <v>712300</v>
      </c>
      <c r="D1346" s="42">
        <v>1</v>
      </c>
      <c r="E1346" s="43"/>
      <c r="F1346" s="44" t="s">
        <v>25</v>
      </c>
      <c r="G1346" s="45" t="s">
        <v>22</v>
      </c>
      <c r="H1346" s="51">
        <f t="shared" si="20"/>
        <v>6.5779569892473022E-2</v>
      </c>
      <c r="I1346" s="47"/>
      <c r="J1346" s="48">
        <v>396470</v>
      </c>
      <c r="K1346" s="49">
        <f>VLOOKUP(A1346,[3]גיליון1!$A$1:$C$7693,3,0)</f>
        <v>372000</v>
      </c>
      <c r="L1346" s="50">
        <f>VLOOKUP(A1346,[2]data1761205830331!$A$1:$J$65536,10,0)</f>
        <v>361055.6</v>
      </c>
    </row>
    <row r="1347" spans="1:12" ht="15.6" outlineLevel="1">
      <c r="A1347" s="11">
        <v>1712300130</v>
      </c>
      <c r="B1347" s="40">
        <v>130</v>
      </c>
      <c r="C1347" s="109">
        <v>712300</v>
      </c>
      <c r="D1347" s="42">
        <v>1</v>
      </c>
      <c r="E1347" s="43"/>
      <c r="F1347" s="44" t="s">
        <v>26</v>
      </c>
      <c r="G1347" s="45" t="s">
        <v>22</v>
      </c>
      <c r="H1347" s="51">
        <f t="shared" si="20"/>
        <v>0</v>
      </c>
      <c r="I1347" s="47"/>
      <c r="J1347" s="48">
        <f>VLOOKUP(A1347,'[1]תקציב 2026'!$A$1:$M$65536,9,0)</f>
        <v>4042000</v>
      </c>
      <c r="K1347" s="49">
        <f>VLOOKUP(A1347,[3]גיליון1!$A$1:$C$7693,3,0)*0.86</f>
        <v>4042000</v>
      </c>
      <c r="L1347" s="50">
        <f>VLOOKUP(A1347,[2]data1761205830331!$A$1:$J$65536,10,0)</f>
        <v>4967774.5199999996</v>
      </c>
    </row>
    <row r="1348" spans="1:12" ht="15" customHeight="1" outlineLevel="1">
      <c r="A1348" s="11">
        <v>1712300140</v>
      </c>
      <c r="B1348" s="40">
        <v>140</v>
      </c>
      <c r="C1348" s="109">
        <v>712300</v>
      </c>
      <c r="D1348" s="42">
        <v>1</v>
      </c>
      <c r="E1348" s="43"/>
      <c r="F1348" s="44" t="s">
        <v>27</v>
      </c>
      <c r="G1348" s="45" t="s">
        <v>22</v>
      </c>
      <c r="H1348" s="51">
        <f t="shared" si="20"/>
        <v>0</v>
      </c>
      <c r="I1348" s="47"/>
      <c r="J1348" s="48">
        <f>VLOOKUP(A1348,'[1]תקציב 2026'!$A$1:$M$65536,9,0)</f>
        <v>304800</v>
      </c>
      <c r="K1348" s="49">
        <f>VLOOKUP(A1348,[3]גיליון1!$A$1:$C$7693,3,0)</f>
        <v>304800</v>
      </c>
      <c r="L1348" s="50">
        <f>VLOOKUP(A1348,[2]data1761205830331!$A$1:$J$65536,10,0)</f>
        <v>228162.86</v>
      </c>
    </row>
    <row r="1349" spans="1:12" ht="15.75" customHeight="1" outlineLevel="1">
      <c r="A1349" s="11">
        <v>1712300253</v>
      </c>
      <c r="B1349" s="40">
        <v>253</v>
      </c>
      <c r="C1349" s="109">
        <v>712300</v>
      </c>
      <c r="D1349" s="42">
        <v>1</v>
      </c>
      <c r="E1349" s="43"/>
      <c r="F1349" s="44" t="s">
        <v>927</v>
      </c>
      <c r="G1349" s="45" t="s">
        <v>22</v>
      </c>
      <c r="H1349" s="51">
        <f t="shared" si="20"/>
        <v>-0.4175285792052259</v>
      </c>
      <c r="I1349" s="51"/>
      <c r="J1349" s="48">
        <f>VLOOKUP(A1349,'[1]תקציב 2026'!$A$1:$M$65536,9,0)</f>
        <v>642000</v>
      </c>
      <c r="K1349" s="49">
        <f>VLOOKUP(A1349,[3]גיליון1!$A$1:$C$7693,3,0)-631800</f>
        <v>1102200</v>
      </c>
      <c r="L1349" s="50">
        <f>VLOOKUP(A1349,[2]data1761205830331!$A$1:$J$65536,10,0)</f>
        <v>1573226.65</v>
      </c>
    </row>
    <row r="1350" spans="1:12" ht="15.6" outlineLevel="1">
      <c r="A1350" s="11">
        <v>1712300255</v>
      </c>
      <c r="B1350" s="40">
        <v>255</v>
      </c>
      <c r="C1350" s="109">
        <v>712300</v>
      </c>
      <c r="D1350" s="42">
        <v>1</v>
      </c>
      <c r="E1350" s="43"/>
      <c r="F1350" s="44" t="s">
        <v>928</v>
      </c>
      <c r="G1350" s="45" t="s">
        <v>22</v>
      </c>
      <c r="H1350" s="51">
        <f t="shared" si="20"/>
        <v>0</v>
      </c>
      <c r="I1350" s="47"/>
      <c r="J1350" s="48">
        <f>VLOOKUP(A1350,'[1]תקציב 2026'!$A$1:$M$65536,9,0)</f>
        <v>111000</v>
      </c>
      <c r="K1350" s="49">
        <f>VLOOKUP(A1350,[3]גיליון1!$A$1:$C$7693,3,0)</f>
        <v>111000</v>
      </c>
      <c r="L1350" s="50">
        <f>VLOOKUP(A1350,[2]data1761205830331!$A$1:$J$65536,10,0)</f>
        <v>69680</v>
      </c>
    </row>
    <row r="1351" spans="1:12" ht="15.6" outlineLevel="1">
      <c r="A1351" s="11">
        <v>1712300437</v>
      </c>
      <c r="B1351" s="40">
        <v>437</v>
      </c>
      <c r="C1351" s="109">
        <v>712300</v>
      </c>
      <c r="D1351" s="42">
        <v>1</v>
      </c>
      <c r="E1351" s="43"/>
      <c r="F1351" s="44" t="s">
        <v>38</v>
      </c>
      <c r="G1351" s="45" t="s">
        <v>29</v>
      </c>
      <c r="H1351" s="51">
        <f t="shared" si="20"/>
        <v>0</v>
      </c>
      <c r="I1351" s="47"/>
      <c r="J1351" s="48">
        <f>VLOOKUP(A1351,'[1]תקציב 2026'!$A$1:$M$65536,9,0)</f>
        <v>1300</v>
      </c>
      <c r="K1351" s="49">
        <f>VLOOKUP(A1351,[3]גיליון1!$A$1:$C$7693,3,0)</f>
        <v>1300</v>
      </c>
      <c r="L1351" s="50">
        <f>VLOOKUP(A1351,[2]data1761205830331!$A$1:$J$65536,10,0)</f>
        <v>1221.48</v>
      </c>
    </row>
    <row r="1352" spans="1:12" ht="15.6" outlineLevel="1">
      <c r="A1352" s="11">
        <v>1712300511</v>
      </c>
      <c r="B1352" s="40">
        <v>511</v>
      </c>
      <c r="C1352" s="109">
        <v>712300</v>
      </c>
      <c r="D1352" s="42">
        <v>1</v>
      </c>
      <c r="E1352" s="43"/>
      <c r="F1352" s="44" t="s">
        <v>72</v>
      </c>
      <c r="G1352" s="45" t="s">
        <v>37</v>
      </c>
      <c r="H1352" s="51">
        <f t="shared" si="20"/>
        <v>-0.17777777777777781</v>
      </c>
      <c r="I1352" s="47"/>
      <c r="J1352" s="48">
        <f>VLOOKUP(A1352,'[1]תקציב 2026'!$A$1:$M$65536,9,0)</f>
        <v>11100</v>
      </c>
      <c r="K1352" s="49">
        <f>15000*0.9</f>
        <v>13500</v>
      </c>
      <c r="L1352" s="50">
        <f>VLOOKUP(A1352,[2]data1761205830331!$A$1:$J$65536,10,0)</f>
        <v>15800.16</v>
      </c>
    </row>
    <row r="1353" spans="1:12" ht="15.6" outlineLevel="1">
      <c r="A1353" s="11">
        <v>1712300513</v>
      </c>
      <c r="B1353" s="40">
        <v>513</v>
      </c>
      <c r="C1353" s="109">
        <v>712300</v>
      </c>
      <c r="D1353" s="42">
        <v>1</v>
      </c>
      <c r="E1353" s="43"/>
      <c r="F1353" s="44" t="s">
        <v>929</v>
      </c>
      <c r="G1353" s="45" t="s">
        <v>37</v>
      </c>
      <c r="H1353" s="51">
        <v>1</v>
      </c>
      <c r="I1353" s="47" t="s">
        <v>86</v>
      </c>
      <c r="J1353" s="48">
        <f>VLOOKUP(A1353,'[1]תקציב 2026'!$A$1:$M$65536,9,0)</f>
        <v>16500</v>
      </c>
      <c r="K1353" s="49">
        <v>0</v>
      </c>
      <c r="L1353" s="50">
        <v>0</v>
      </c>
    </row>
    <row r="1354" spans="1:12" ht="15.6" outlineLevel="1">
      <c r="A1354" s="11">
        <v>1712300596</v>
      </c>
      <c r="B1354" s="40">
        <v>596</v>
      </c>
      <c r="C1354" s="109">
        <v>712300</v>
      </c>
      <c r="D1354" s="42">
        <v>1</v>
      </c>
      <c r="E1354" s="43"/>
      <c r="F1354" s="44" t="s">
        <v>76</v>
      </c>
      <c r="G1354" s="45" t="s">
        <v>29</v>
      </c>
      <c r="H1354" s="51">
        <f t="shared" si="20"/>
        <v>5.6186351398806123E-2</v>
      </c>
      <c r="I1354" s="47"/>
      <c r="J1354" s="48">
        <f>VLOOKUP(A1354,'[1]תקציב 2026'!$A$1:$M$65536,9,0)</f>
        <v>1804600</v>
      </c>
      <c r="K1354" s="49">
        <v>1708600</v>
      </c>
      <c r="L1354" s="50">
        <f>VLOOKUP(A1354,[2]data1761205830331!$A$1:$J$65536,10,0)</f>
        <v>1566548.27</v>
      </c>
    </row>
    <row r="1355" spans="1:12" ht="15.6" outlineLevel="1">
      <c r="A1355" s="11">
        <v>1712300742</v>
      </c>
      <c r="B1355" s="40">
        <v>742</v>
      </c>
      <c r="C1355" s="109">
        <v>712300</v>
      </c>
      <c r="D1355" s="42">
        <v>1</v>
      </c>
      <c r="E1355" s="43"/>
      <c r="F1355" s="44" t="s">
        <v>52</v>
      </c>
      <c r="G1355" s="45" t="s">
        <v>37</v>
      </c>
      <c r="H1355" s="51">
        <f t="shared" si="20"/>
        <v>0</v>
      </c>
      <c r="I1355" s="47"/>
      <c r="J1355" s="48">
        <f>VLOOKUP(A1355,'[1]תקציב 2026'!$A$1:$M$65536,9,0)</f>
        <v>136980</v>
      </c>
      <c r="K1355" s="49">
        <f>VLOOKUP(A1355,[3]גיליון1!$A$1:$C$7693,3,0)*0.9</f>
        <v>136980</v>
      </c>
      <c r="L1355" s="50">
        <f>VLOOKUP(A1355,[2]data1761205830331!$A$1:$J$65536,10,0)</f>
        <v>140087.73000000001</v>
      </c>
    </row>
    <row r="1356" spans="1:12" ht="15.6" outlineLevel="1">
      <c r="A1356" s="11">
        <v>1712300750</v>
      </c>
      <c r="B1356" s="40">
        <v>750</v>
      </c>
      <c r="C1356" s="109">
        <v>712300</v>
      </c>
      <c r="D1356" s="42">
        <v>1</v>
      </c>
      <c r="E1356" s="43"/>
      <c r="F1356" s="44" t="s">
        <v>930</v>
      </c>
      <c r="G1356" s="45" t="s">
        <v>29</v>
      </c>
      <c r="H1356" s="51">
        <f t="shared" si="20"/>
        <v>0</v>
      </c>
      <c r="I1356" s="47"/>
      <c r="J1356" s="48">
        <f>VLOOKUP(A1356,'[1]תקציב 2026'!$A$1:$M$65536,9,0)</f>
        <v>50000</v>
      </c>
      <c r="K1356" s="49">
        <v>50000</v>
      </c>
      <c r="L1356" s="50">
        <f>VLOOKUP(A1356,[2]data1761205830331!$A$1:$J$65536,10,0)</f>
        <v>0</v>
      </c>
    </row>
    <row r="1357" spans="1:12" ht="15.6" outlineLevel="1">
      <c r="A1357" s="11">
        <v>1712300752</v>
      </c>
      <c r="B1357" s="40">
        <v>752</v>
      </c>
      <c r="C1357" s="109">
        <v>712300</v>
      </c>
      <c r="D1357" s="42">
        <v>1</v>
      </c>
      <c r="E1357" s="43"/>
      <c r="F1357" s="44" t="s">
        <v>54</v>
      </c>
      <c r="G1357" s="45" t="s">
        <v>29</v>
      </c>
      <c r="H1357" s="51">
        <f t="shared" si="20"/>
        <v>1.5531914893617023</v>
      </c>
      <c r="I1357" s="47"/>
      <c r="J1357" s="48">
        <f>VLOOKUP(A1357,'[1]תקציב 2026'!$A$1:$M$65536,9,0)</f>
        <v>12000</v>
      </c>
      <c r="K1357" s="49">
        <f>VLOOKUP(A1357,[3]גיליון1!$A$1:$C$7693,3,0)</f>
        <v>4700</v>
      </c>
      <c r="L1357" s="50">
        <f>VLOOKUP(A1357,[2]data1761205830331!$A$1:$J$65536,10,0)</f>
        <v>3313.56</v>
      </c>
    </row>
    <row r="1358" spans="1:12" ht="15.6" outlineLevel="1">
      <c r="A1358" s="11">
        <v>1712300754</v>
      </c>
      <c r="B1358" s="40">
        <v>754</v>
      </c>
      <c r="C1358" s="109">
        <v>712300</v>
      </c>
      <c r="D1358" s="42">
        <v>1</v>
      </c>
      <c r="E1358" s="43"/>
      <c r="F1358" s="44" t="s">
        <v>931</v>
      </c>
      <c r="G1358" s="45" t="s">
        <v>29</v>
      </c>
      <c r="H1358" s="51">
        <f t="shared" ref="H1358:H1420" si="21">J1358/K1358-1</f>
        <v>0.13636363636363646</v>
      </c>
      <c r="I1358" s="47"/>
      <c r="J1358" s="48">
        <f>VLOOKUP(A1358,'[1]תקציב 2026'!$A$1:$M$65536,9,0)</f>
        <v>13500000</v>
      </c>
      <c r="K1358" s="49">
        <f>VLOOKUP(A1358,[3]גיליון1!$A$1:$C$7693,3,0)</f>
        <v>11880000</v>
      </c>
      <c r="L1358" s="50">
        <f>VLOOKUP(A1358,[2]data1761205830331!$A$1:$J$65536,10,0)</f>
        <v>11583664.140000001</v>
      </c>
    </row>
    <row r="1359" spans="1:12" ht="15.6" outlineLevel="1">
      <c r="A1359" s="11">
        <v>1712300755</v>
      </c>
      <c r="B1359" s="40">
        <v>755</v>
      </c>
      <c r="C1359" s="109">
        <v>712300</v>
      </c>
      <c r="D1359" s="42">
        <v>1</v>
      </c>
      <c r="E1359" s="43"/>
      <c r="F1359" s="44" t="s">
        <v>932</v>
      </c>
      <c r="G1359" s="45" t="s">
        <v>29</v>
      </c>
      <c r="H1359" s="51">
        <f t="shared" si="21"/>
        <v>7.7519379844961378E-3</v>
      </c>
      <c r="I1359" s="47"/>
      <c r="J1359" s="48">
        <f>VLOOKUP(A1359,'[1]תקציב 2026'!$A$1:$M$65536,9,0)</f>
        <v>2600000</v>
      </c>
      <c r="K1359" s="49">
        <f>VLOOKUP(A1359,[3]גיליון1!$A$1:$C$7693,3,0)</f>
        <v>2580000</v>
      </c>
      <c r="L1359" s="50">
        <f>VLOOKUP(A1359,[2]data1761205830331!$A$1:$J$65536,10,0)</f>
        <v>2452804.33</v>
      </c>
    </row>
    <row r="1360" spans="1:12" ht="15.6" outlineLevel="1">
      <c r="A1360" s="11">
        <v>1712300757</v>
      </c>
      <c r="B1360" s="40">
        <v>757</v>
      </c>
      <c r="C1360" s="109">
        <v>712300</v>
      </c>
      <c r="D1360" s="42">
        <v>1</v>
      </c>
      <c r="E1360" s="43"/>
      <c r="F1360" s="44" t="s">
        <v>933</v>
      </c>
      <c r="G1360" s="45" t="s">
        <v>29</v>
      </c>
      <c r="H1360" s="51">
        <f t="shared" si="21"/>
        <v>3.0729833546734975E-2</v>
      </c>
      <c r="I1360" s="47"/>
      <c r="J1360" s="48">
        <f>VLOOKUP(A1360,'[1]תקציב 2026'!$A$1:$M$65536,9,0)</f>
        <v>16100000</v>
      </c>
      <c r="K1360" s="49">
        <v>15620000</v>
      </c>
      <c r="L1360" s="50">
        <f>VLOOKUP(A1360,[2]data1761205830331!$A$1:$J$65536,10,0)</f>
        <v>13986642.4</v>
      </c>
    </row>
    <row r="1361" spans="1:12" ht="15.6" outlineLevel="1">
      <c r="A1361" s="11">
        <v>1712300758</v>
      </c>
      <c r="B1361" s="40">
        <v>758</v>
      </c>
      <c r="C1361" s="109">
        <v>712300</v>
      </c>
      <c r="D1361" s="42">
        <v>1</v>
      </c>
      <c r="E1361" s="43"/>
      <c r="F1361" s="44" t="s">
        <v>934</v>
      </c>
      <c r="G1361" s="45" t="s">
        <v>29</v>
      </c>
      <c r="H1361" s="51">
        <f t="shared" si="21"/>
        <v>-7.8947368421052655E-2</v>
      </c>
      <c r="I1361" s="47"/>
      <c r="J1361" s="48">
        <f>VLOOKUP(A1361,'[1]תקציב 2026'!$A$1:$M$65536,9,0)</f>
        <v>3500000</v>
      </c>
      <c r="K1361" s="49">
        <v>3800000</v>
      </c>
      <c r="L1361" s="50">
        <f>VLOOKUP(A1361,[2]data1761205830331!$A$1:$J$65536,10,0)</f>
        <v>3684111.27</v>
      </c>
    </row>
    <row r="1362" spans="1:12" ht="15.6" outlineLevel="1">
      <c r="A1362" s="11">
        <v>1712300759</v>
      </c>
      <c r="B1362" s="40">
        <v>759</v>
      </c>
      <c r="C1362" s="109">
        <v>712300</v>
      </c>
      <c r="D1362" s="42">
        <v>1</v>
      </c>
      <c r="E1362" s="43"/>
      <c r="F1362" s="44" t="s">
        <v>935</v>
      </c>
      <c r="G1362" s="45" t="s">
        <v>29</v>
      </c>
      <c r="H1362" s="51">
        <f t="shared" si="21"/>
        <v>1.4679487179487181</v>
      </c>
      <c r="I1362" s="47"/>
      <c r="J1362" s="48">
        <f>VLOOKUP(A1362,'[1]תקציב 2026'!$A$1:$M$65536,9,0)</f>
        <v>385000</v>
      </c>
      <c r="K1362" s="49">
        <f>VLOOKUP(A1362,[3]גיליון1!$A$1:$C$7693,3,0)</f>
        <v>156000</v>
      </c>
      <c r="L1362" s="50">
        <f>VLOOKUP(A1362,[2]data1761205830331!$A$1:$J$65536,10,0)</f>
        <v>140412</v>
      </c>
    </row>
    <row r="1363" spans="1:12" ht="15.6" outlineLevel="1">
      <c r="A1363" s="11">
        <v>1712300760</v>
      </c>
      <c r="B1363" s="40">
        <v>760</v>
      </c>
      <c r="C1363" s="109">
        <v>712300</v>
      </c>
      <c r="D1363" s="42">
        <v>1</v>
      </c>
      <c r="E1363" s="43"/>
      <c r="F1363" s="44" t="s">
        <v>936</v>
      </c>
      <c r="G1363" s="45" t="s">
        <v>29</v>
      </c>
      <c r="H1363" s="51">
        <f t="shared" si="21"/>
        <v>2.2727272727272707E-2</v>
      </c>
      <c r="I1363" s="47"/>
      <c r="J1363" s="48">
        <f>VLOOKUP(A1363,'[1]תקציב 2026'!$A$1:$M$65536,9,0)</f>
        <v>900000</v>
      </c>
      <c r="K1363" s="49">
        <f>VLOOKUP(A1363,[3]גיליון1!$A$1:$C$7693,3,0)</f>
        <v>880000</v>
      </c>
      <c r="L1363" s="50">
        <f>VLOOKUP(A1363,[2]data1761205830331!$A$1:$J$65536,10,0)</f>
        <v>747749.52</v>
      </c>
    </row>
    <row r="1364" spans="1:12" ht="15.6" outlineLevel="1">
      <c r="A1364" s="11">
        <v>1712300794</v>
      </c>
      <c r="B1364" s="40">
        <v>794</v>
      </c>
      <c r="C1364" s="109">
        <v>712300</v>
      </c>
      <c r="D1364" s="42">
        <v>1</v>
      </c>
      <c r="E1364" s="43"/>
      <c r="F1364" s="44" t="s">
        <v>58</v>
      </c>
      <c r="G1364" s="45" t="s">
        <v>29</v>
      </c>
      <c r="H1364" s="51">
        <f t="shared" si="21"/>
        <v>0</v>
      </c>
      <c r="I1364" s="47"/>
      <c r="J1364" s="48">
        <f>VLOOKUP(A1364,'[1]תקציב 2026'!$A$1:$M$65536,9,0)</f>
        <v>182000</v>
      </c>
      <c r="K1364" s="49">
        <v>182000</v>
      </c>
      <c r="L1364" s="50">
        <f>VLOOKUP(A1364,[2]data1761205830331!$A$1:$J$65536,10,0)</f>
        <v>200376</v>
      </c>
    </row>
    <row r="1365" spans="1:12" s="204" customFormat="1" ht="16.2" outlineLevel="1" thickBot="1">
      <c r="A1365" s="11">
        <v>1712300830</v>
      </c>
      <c r="B1365" s="40">
        <v>830</v>
      </c>
      <c r="C1365" s="109">
        <v>712300</v>
      </c>
      <c r="D1365" s="42">
        <v>1</v>
      </c>
      <c r="E1365" s="43"/>
      <c r="F1365" s="44" t="s">
        <v>937</v>
      </c>
      <c r="G1365" s="45" t="s">
        <v>29</v>
      </c>
      <c r="H1365" s="51">
        <f t="shared" si="21"/>
        <v>6.5134187955362854E-2</v>
      </c>
      <c r="I1365" s="51"/>
      <c r="J1365" s="48">
        <f>VLOOKUP(A1365,'[1]תקציב 2026'!$A$1:$M$65536,9,0)</f>
        <v>46197000</v>
      </c>
      <c r="K1365" s="49">
        <v>43372000</v>
      </c>
      <c r="L1365" s="50">
        <f>VLOOKUP(A1365,[2]data1761205830331!$A$1:$J$65536,10,0)</f>
        <v>39613000</v>
      </c>
    </row>
    <row r="1366" spans="1:12" ht="16.2" thickBot="1">
      <c r="A1366" s="11" t="e">
        <v>#VALUE!</v>
      </c>
      <c r="B1366" s="53" t="s">
        <v>938</v>
      </c>
      <c r="C1366" s="223"/>
      <c r="D1366" s="55"/>
      <c r="E1366" s="56"/>
      <c r="F1366" s="116" t="s">
        <v>926</v>
      </c>
      <c r="G1366" s="58"/>
      <c r="H1366" s="166">
        <f>J1366/K1366-1</f>
        <v>6.3657705984800694E-2</v>
      </c>
      <c r="I1366" s="72"/>
      <c r="J1366" s="74">
        <f>SUBTOTAL(9,J1343:J1365)</f>
        <v>103409100</v>
      </c>
      <c r="K1366" s="92">
        <f>SUBTOTAL(9,K1343:K1365)</f>
        <v>97220280</v>
      </c>
      <c r="L1366" s="75">
        <f>SUBTOTAL(9,L1343:L1365)</f>
        <v>91787168.770000011</v>
      </c>
    </row>
    <row r="1367" spans="1:12" ht="15.6" outlineLevel="1">
      <c r="A1367" s="11">
        <v>17125000</v>
      </c>
      <c r="B1367" s="40">
        <v>0</v>
      </c>
      <c r="C1367" s="109">
        <v>712500</v>
      </c>
      <c r="D1367" s="42">
        <v>1</v>
      </c>
      <c r="E1367" s="43"/>
      <c r="F1367" s="44" t="s">
        <v>939</v>
      </c>
      <c r="G1367" s="45" t="s">
        <v>15</v>
      </c>
      <c r="H1367" s="51"/>
      <c r="I1367" s="47"/>
      <c r="J1367" s="48"/>
      <c r="K1367" s="49"/>
      <c r="L1367" s="50"/>
    </row>
    <row r="1368" spans="1:12" ht="15.6" outlineLevel="1">
      <c r="A1368" s="11">
        <v>1712500110</v>
      </c>
      <c r="B1368" s="40">
        <v>110</v>
      </c>
      <c r="C1368" s="109">
        <v>712500</v>
      </c>
      <c r="D1368" s="42">
        <v>1</v>
      </c>
      <c r="E1368" s="43"/>
      <c r="F1368" s="44" t="s">
        <v>21</v>
      </c>
      <c r="G1368" s="45" t="s">
        <v>22</v>
      </c>
      <c r="H1368" s="51">
        <f t="shared" si="21"/>
        <v>2.5030303030302958E-2</v>
      </c>
      <c r="I1368" s="47"/>
      <c r="J1368" s="48">
        <f>VLOOKUP(A1368,'[1]תקציב 2026'!$A$1:$M$65536,9,0)</f>
        <v>169129.99999999997</v>
      </c>
      <c r="K1368" s="49">
        <f>VLOOKUP(A1368,[3]גיליון1!$A$1:$C$7693,3,0)</f>
        <v>165000</v>
      </c>
      <c r="L1368" s="50">
        <f>VLOOKUP(A1368,[2]data1761205830331!$A$1:$J$65536,10,0)</f>
        <v>180350.6</v>
      </c>
    </row>
    <row r="1369" spans="1:12" ht="15.6" outlineLevel="1">
      <c r="A1369" s="11">
        <v>1712500122</v>
      </c>
      <c r="B1369" s="40">
        <v>122</v>
      </c>
      <c r="C1369" s="109">
        <v>712500</v>
      </c>
      <c r="D1369" s="42">
        <v>1</v>
      </c>
      <c r="E1369" s="43"/>
      <c r="F1369" s="44" t="s">
        <v>24</v>
      </c>
      <c r="G1369" s="45" t="s">
        <v>22</v>
      </c>
      <c r="H1369" s="51">
        <f t="shared" si="21"/>
        <v>0</v>
      </c>
      <c r="I1369" s="47"/>
      <c r="J1369" s="48">
        <f>VLOOKUP(A1369,'[1]תקציב 2026'!$A$1:$M$65536,9,0)</f>
        <v>2500</v>
      </c>
      <c r="K1369" s="49">
        <f>VLOOKUP(A1369,[3]גיליון1!$A$1:$C$7693,3,0)</f>
        <v>2500</v>
      </c>
      <c r="L1369" s="50">
        <f>VLOOKUP(A1369,[2]data1761205830331!$A$1:$J$65536,10,0)</f>
        <v>1935.16</v>
      </c>
    </row>
    <row r="1370" spans="1:12" ht="15.6" outlineLevel="1">
      <c r="A1370" s="11">
        <v>1712500126</v>
      </c>
      <c r="B1370" s="40">
        <v>126</v>
      </c>
      <c r="C1370" s="109">
        <v>712500</v>
      </c>
      <c r="D1370" s="42">
        <v>1</v>
      </c>
      <c r="E1370" s="43"/>
      <c r="F1370" s="44" t="s">
        <v>25</v>
      </c>
      <c r="G1370" s="45" t="s">
        <v>22</v>
      </c>
      <c r="H1370" s="51">
        <f t="shared" si="21"/>
        <v>0</v>
      </c>
      <c r="I1370" s="47"/>
      <c r="J1370" s="48">
        <f>VLOOKUP(A1370,'[1]תקציב 2026'!$A$1:$M$65536,9,0)</f>
        <v>6500</v>
      </c>
      <c r="K1370" s="49">
        <f>VLOOKUP(A1370,[3]גיליון1!$A$1:$C$7693,3,0)</f>
        <v>6500</v>
      </c>
      <c r="L1370" s="50">
        <f>VLOOKUP(A1370,[2]data1761205830331!$A$1:$J$65536,10,0)</f>
        <v>6128.2</v>
      </c>
    </row>
    <row r="1371" spans="1:12" ht="15.6" outlineLevel="1">
      <c r="A1371" s="11">
        <v>1712500130</v>
      </c>
      <c r="B1371" s="40">
        <v>130</v>
      </c>
      <c r="C1371" s="109">
        <v>712500</v>
      </c>
      <c r="D1371" s="42">
        <v>1</v>
      </c>
      <c r="E1371" s="43"/>
      <c r="F1371" s="44" t="s">
        <v>26</v>
      </c>
      <c r="G1371" s="45" t="s">
        <v>22</v>
      </c>
      <c r="H1371" s="51">
        <f t="shared" si="21"/>
        <v>3.9189189189189193</v>
      </c>
      <c r="I1371" s="47"/>
      <c r="J1371" s="48">
        <f>VLOOKUP(A1371,'[1]תקציב 2026'!$A$1:$M$65536,9,0)</f>
        <v>72800</v>
      </c>
      <c r="K1371" s="49">
        <f>VLOOKUP(A1371,[3]גיליון1!$A$1:$C$7693,3,0)*0.86+8</f>
        <v>14800</v>
      </c>
      <c r="L1371" s="50">
        <f>VLOOKUP(A1371,[2]data1761205830331!$A$1:$J$65536,10,0)</f>
        <v>83632.960000000006</v>
      </c>
    </row>
    <row r="1372" spans="1:12" ht="15.6" outlineLevel="1">
      <c r="A1372" s="11">
        <v>1712500140</v>
      </c>
      <c r="B1372" s="40">
        <v>140</v>
      </c>
      <c r="C1372" s="109">
        <v>712500</v>
      </c>
      <c r="D1372" s="42">
        <v>1</v>
      </c>
      <c r="E1372" s="43"/>
      <c r="F1372" s="44" t="s">
        <v>27</v>
      </c>
      <c r="G1372" s="45" t="s">
        <v>22</v>
      </c>
      <c r="H1372" s="51">
        <f t="shared" si="21"/>
        <v>0</v>
      </c>
      <c r="I1372" s="47"/>
      <c r="J1372" s="48">
        <f>VLOOKUP(A1372,'[1]תקציב 2026'!$A$1:$M$65536,9,0)</f>
        <v>18300</v>
      </c>
      <c r="K1372" s="49">
        <f>VLOOKUP(A1372,[3]גיליון1!$A$1:$C$7693,3,0)</f>
        <v>18300</v>
      </c>
      <c r="L1372" s="50">
        <f>VLOOKUP(A1372,[2]data1761205830331!$A$1:$J$65536,10,0)</f>
        <v>21141.18</v>
      </c>
    </row>
    <row r="1373" spans="1:12" ht="15.6" outlineLevel="1">
      <c r="A1373" s="11">
        <v>1712500722</v>
      </c>
      <c r="B1373" s="40">
        <v>722</v>
      </c>
      <c r="C1373" s="109">
        <v>712500</v>
      </c>
      <c r="D1373" s="42">
        <v>1</v>
      </c>
      <c r="E1373" s="43"/>
      <c r="F1373" s="44" t="s">
        <v>51</v>
      </c>
      <c r="G1373" s="45" t="s">
        <v>37</v>
      </c>
      <c r="H1373" s="51">
        <f t="shared" si="21"/>
        <v>0</v>
      </c>
      <c r="I1373" s="47"/>
      <c r="J1373" s="48">
        <f>VLOOKUP(A1373,'[1]תקציב 2026'!$A$1:$M$65536,9,0)</f>
        <v>30780</v>
      </c>
      <c r="K1373" s="49">
        <f>VLOOKUP(A1373,[3]גיליון1!$A$1:$C$7693,3,0)*0.9</f>
        <v>30780</v>
      </c>
      <c r="L1373" s="50">
        <f>VLOOKUP(A1373,[2]data1761205830331!$A$1:$J$65536,10,0)</f>
        <v>24200</v>
      </c>
    </row>
    <row r="1374" spans="1:12" ht="15.6" outlineLevel="1">
      <c r="A1374" s="11">
        <v>1712500742</v>
      </c>
      <c r="B1374" s="40">
        <v>742</v>
      </c>
      <c r="C1374" s="109">
        <v>712500</v>
      </c>
      <c r="D1374" s="42">
        <v>1</v>
      </c>
      <c r="E1374" s="43"/>
      <c r="F1374" s="44" t="s">
        <v>52</v>
      </c>
      <c r="G1374" s="45" t="s">
        <v>37</v>
      </c>
      <c r="H1374" s="51">
        <f t="shared" si="21"/>
        <v>0</v>
      </c>
      <c r="I1374" s="47"/>
      <c r="J1374" s="48">
        <f>VLOOKUP(A1374,'[1]תקציב 2026'!$A$1:$M$65536,9,0)</f>
        <v>6120</v>
      </c>
      <c r="K1374" s="49">
        <f>VLOOKUP(A1374,[3]גיליון1!$A$1:$C$7693,3,0)*0.9</f>
        <v>6120</v>
      </c>
      <c r="L1374" s="50">
        <f>VLOOKUP(A1374,[2]data1761205830331!$A$1:$J$65536,10,0)</f>
        <v>16800</v>
      </c>
    </row>
    <row r="1375" spans="1:12" ht="17.25" customHeight="1" outlineLevel="1">
      <c r="A1375" s="11">
        <v>1712500751</v>
      </c>
      <c r="B1375" s="40">
        <v>751</v>
      </c>
      <c r="C1375" s="109">
        <v>712500</v>
      </c>
      <c r="D1375" s="42">
        <v>1</v>
      </c>
      <c r="E1375" s="43"/>
      <c r="F1375" s="44" t="s">
        <v>53</v>
      </c>
      <c r="G1375" s="45" t="s">
        <v>37</v>
      </c>
      <c r="H1375" s="51">
        <f t="shared" si="21"/>
        <v>0.46296296296296302</v>
      </c>
      <c r="I1375" s="47"/>
      <c r="J1375" s="48">
        <f>VLOOKUP(A1375,'[1]תקציב 2026'!$A$1:$M$65536,9,0)</f>
        <v>31600</v>
      </c>
      <c r="K1375" s="49">
        <f>VLOOKUP(A1375,[3]גיליון1!$A$1:$C$7693,3,0)*0.9</f>
        <v>21600</v>
      </c>
      <c r="L1375" s="50">
        <f>VLOOKUP(A1375,[2]data1761205830331!$A$1:$J$65536,10,0)</f>
        <v>23922.2</v>
      </c>
    </row>
    <row r="1376" spans="1:12" ht="15.6" outlineLevel="1">
      <c r="A1376" s="11">
        <v>1712500752</v>
      </c>
      <c r="B1376" s="40">
        <v>752</v>
      </c>
      <c r="C1376" s="109">
        <v>712500</v>
      </c>
      <c r="D1376" s="42">
        <v>1</v>
      </c>
      <c r="E1376" s="43"/>
      <c r="F1376" s="44" t="s">
        <v>940</v>
      </c>
      <c r="G1376" s="45" t="s">
        <v>29</v>
      </c>
      <c r="H1376" s="51">
        <f t="shared" si="21"/>
        <v>9.0265486725663813E-2</v>
      </c>
      <c r="I1376" s="47"/>
      <c r="J1376" s="48">
        <f>VLOOKUP(A1376,'[1]תקציב 2026'!$A$1:$M$65536,9,0)</f>
        <v>1232000</v>
      </c>
      <c r="K1376" s="49">
        <f>VLOOKUP(A1376,[3]גיליון1!$A$1:$C$7693,3,0)</f>
        <v>1130000</v>
      </c>
      <c r="L1376" s="50">
        <f>VLOOKUP(A1376,[2]data1761205830331!$A$1:$J$65536,10,0)</f>
        <v>1092248.5</v>
      </c>
    </row>
    <row r="1377" spans="1:12" s="204" customFormat="1" ht="15.6" outlineLevel="1">
      <c r="A1377" s="11">
        <v>1712500757</v>
      </c>
      <c r="B1377" s="40">
        <v>757</v>
      </c>
      <c r="C1377" s="109">
        <v>712500</v>
      </c>
      <c r="D1377" s="42">
        <v>1</v>
      </c>
      <c r="E1377" s="43"/>
      <c r="F1377" s="44" t="s">
        <v>941</v>
      </c>
      <c r="G1377" s="45" t="s">
        <v>29</v>
      </c>
      <c r="H1377" s="51">
        <f t="shared" si="21"/>
        <v>0.14137483787289229</v>
      </c>
      <c r="I1377" s="51"/>
      <c r="J1377" s="48">
        <v>528000</v>
      </c>
      <c r="K1377" s="49">
        <f>VLOOKUP(A1377,[3]גיליון1!$A$1:$C$7693,3,0)*0.9</f>
        <v>462600</v>
      </c>
      <c r="L1377" s="50">
        <f>VLOOKUP(A1377,[2]data1761205830331!$A$1:$J$65536,10,0)</f>
        <v>499789.2</v>
      </c>
    </row>
    <row r="1378" spans="1:12" ht="15.6" outlineLevel="1">
      <c r="A1378" s="11">
        <v>1712500794</v>
      </c>
      <c r="B1378" s="40">
        <v>794</v>
      </c>
      <c r="C1378" s="109">
        <v>712500</v>
      </c>
      <c r="D1378" s="42">
        <v>1</v>
      </c>
      <c r="E1378" s="43"/>
      <c r="F1378" s="44" t="s">
        <v>58</v>
      </c>
      <c r="G1378" s="45" t="s">
        <v>29</v>
      </c>
      <c r="H1378" s="51">
        <f t="shared" si="21"/>
        <v>0</v>
      </c>
      <c r="I1378" s="47"/>
      <c r="J1378" s="48">
        <f>VLOOKUP(A1378,'[1]תקציב 2026'!$A$1:$M$65536,9,0)</f>
        <v>15500</v>
      </c>
      <c r="K1378" s="49">
        <v>15500</v>
      </c>
      <c r="L1378" s="50">
        <f>VLOOKUP(A1378,[2]data1761205830331!$A$1:$J$65536,10,0)</f>
        <v>18487</v>
      </c>
    </row>
    <row r="1379" spans="1:12" ht="16.2" outlineLevel="1" thickBot="1">
      <c r="A1379" s="11">
        <v>1712500931</v>
      </c>
      <c r="B1379" s="40">
        <v>931</v>
      </c>
      <c r="C1379" s="109">
        <v>712500</v>
      </c>
      <c r="D1379" s="42">
        <v>1</v>
      </c>
      <c r="E1379" s="43"/>
      <c r="F1379" s="44" t="s">
        <v>942</v>
      </c>
      <c r="G1379" s="45" t="s">
        <v>37</v>
      </c>
      <c r="H1379" s="51">
        <f t="shared" si="21"/>
        <v>0</v>
      </c>
      <c r="I1379" s="47"/>
      <c r="J1379" s="48">
        <f>VLOOKUP(A1379,'[1]תקציב 2026'!$A$1:$M$65536,9,0)</f>
        <v>9000</v>
      </c>
      <c r="K1379" s="49">
        <f>10000*0.9</f>
        <v>9000</v>
      </c>
      <c r="L1379" s="50">
        <f>VLOOKUP(A1379,[2]data1761205830331!$A$1:$J$65536,10,0)</f>
        <v>13305.28</v>
      </c>
    </row>
    <row r="1380" spans="1:12" ht="16.2" thickBot="1">
      <c r="A1380" s="11" t="e">
        <v>#VALUE!</v>
      </c>
      <c r="B1380" s="53" t="s">
        <v>943</v>
      </c>
      <c r="C1380" s="223"/>
      <c r="D1380" s="55"/>
      <c r="E1380" s="56"/>
      <c r="F1380" s="116" t="s">
        <v>939</v>
      </c>
      <c r="G1380" s="58"/>
      <c r="H1380" s="228">
        <f>J1380/K1380-1</f>
        <v>0.12722685504860043</v>
      </c>
      <c r="I1380" s="72"/>
      <c r="J1380" s="74">
        <f>SUBTOTAL(9,J1368:J1379)</f>
        <v>2122230</v>
      </c>
      <c r="K1380" s="92">
        <f>SUBTOTAL(9,K1368:K1379)</f>
        <v>1882700</v>
      </c>
      <c r="L1380" s="75">
        <f>SUBTOTAL(9,L1368:L1379)</f>
        <v>1981940.28</v>
      </c>
    </row>
    <row r="1381" spans="1:12" ht="15.6" outlineLevel="1">
      <c r="A1381" s="11">
        <v>17126000</v>
      </c>
      <c r="B1381" s="64">
        <v>0</v>
      </c>
      <c r="C1381" s="131">
        <v>712600</v>
      </c>
      <c r="D1381" s="66">
        <v>1</v>
      </c>
      <c r="E1381" s="67"/>
      <c r="F1381" s="68" t="s">
        <v>944</v>
      </c>
      <c r="G1381" s="69" t="s">
        <v>15</v>
      </c>
      <c r="H1381" s="51"/>
      <c r="I1381" s="47"/>
      <c r="J1381" s="48"/>
      <c r="K1381" s="49"/>
      <c r="L1381" s="50"/>
    </row>
    <row r="1382" spans="1:12" ht="15.6" outlineLevel="1">
      <c r="A1382" s="11">
        <v>1712600119</v>
      </c>
      <c r="B1382" s="40">
        <v>119</v>
      </c>
      <c r="C1382" s="109">
        <v>712600</v>
      </c>
      <c r="D1382" s="42">
        <v>1</v>
      </c>
      <c r="E1382" s="43"/>
      <c r="F1382" s="44" t="s">
        <v>23</v>
      </c>
      <c r="G1382" s="45" t="s">
        <v>22</v>
      </c>
      <c r="H1382" s="51">
        <f t="shared" si="21"/>
        <v>0.37815126050420145</v>
      </c>
      <c r="I1382" s="47"/>
      <c r="J1382" s="48">
        <f>VLOOKUP(A1382,'[1]תקציב 2026'!$A$1:$M$65536,9,0)</f>
        <v>491999.99999999994</v>
      </c>
      <c r="K1382" s="49">
        <f>207000+150000</f>
        <v>357000</v>
      </c>
      <c r="L1382" s="50">
        <f>VLOOKUP(A1382,[2]data1761205830331!$A$1:$J$65536,10,0)</f>
        <v>177820.02</v>
      </c>
    </row>
    <row r="1383" spans="1:12" ht="15.6" outlineLevel="1">
      <c r="A1383" s="11">
        <v>1712600122</v>
      </c>
      <c r="B1383" s="40">
        <v>122</v>
      </c>
      <c r="C1383" s="109">
        <v>712600</v>
      </c>
      <c r="D1383" s="42">
        <v>1</v>
      </c>
      <c r="E1383" s="43"/>
      <c r="F1383" s="44" t="s">
        <v>24</v>
      </c>
      <c r="G1383" s="45" t="s">
        <v>22</v>
      </c>
      <c r="H1383" s="51">
        <f t="shared" si="21"/>
        <v>1.5</v>
      </c>
      <c r="I1383" s="47"/>
      <c r="J1383" s="48">
        <f>VLOOKUP(A1383,'[1]תקציב 2026'!$A$1:$M$65536,9,0)</f>
        <v>6750</v>
      </c>
      <c r="K1383" s="49">
        <f>VLOOKUP(A1383,[3]גיליון1!$A$1:$C$7693,3,0)</f>
        <v>2700</v>
      </c>
      <c r="L1383" s="50">
        <f>VLOOKUP(A1383,[2]data1761205830331!$A$1:$J$65536,10,0)</f>
        <v>2405</v>
      </c>
    </row>
    <row r="1384" spans="1:12" ht="15.6" outlineLevel="1">
      <c r="A1384" s="11">
        <v>1712600126</v>
      </c>
      <c r="B1384" s="40">
        <v>126</v>
      </c>
      <c r="C1384" s="109">
        <v>712600</v>
      </c>
      <c r="D1384" s="42">
        <v>1</v>
      </c>
      <c r="E1384" s="43"/>
      <c r="F1384" s="44" t="s">
        <v>25</v>
      </c>
      <c r="G1384" s="45" t="s">
        <v>22</v>
      </c>
      <c r="H1384" s="51">
        <f t="shared" si="21"/>
        <v>1.5</v>
      </c>
      <c r="I1384" s="47"/>
      <c r="J1384" s="48">
        <f>VLOOKUP(A1384,'[1]תקציב 2026'!$A$1:$M$65536,9,0)</f>
        <v>16250</v>
      </c>
      <c r="K1384" s="49">
        <f>VLOOKUP(A1384,[3]גיליון1!$A$1:$C$7693,3,0)</f>
        <v>6500</v>
      </c>
      <c r="L1384" s="50">
        <f>VLOOKUP(A1384,[2]data1761205830331!$A$1:$J$65536,10,0)</f>
        <v>6128.2</v>
      </c>
    </row>
    <row r="1385" spans="1:12" ht="15.6" outlineLevel="1">
      <c r="A1385" s="11">
        <v>1712600130</v>
      </c>
      <c r="B1385" s="40">
        <v>130</v>
      </c>
      <c r="C1385" s="109">
        <v>712600</v>
      </c>
      <c r="D1385" s="42">
        <v>1</v>
      </c>
      <c r="E1385" s="43"/>
      <c r="F1385" s="44" t="s">
        <v>26</v>
      </c>
      <c r="G1385" s="45" t="s">
        <v>22</v>
      </c>
      <c r="H1385" s="51">
        <f t="shared" si="21"/>
        <v>0</v>
      </c>
      <c r="I1385" s="47"/>
      <c r="J1385" s="48">
        <f>VLOOKUP(A1385,'[1]תקציב 2026'!$A$1:$M$65536,9,0)</f>
        <v>41460</v>
      </c>
      <c r="K1385" s="49">
        <f>VLOOKUP(A1385,[3]גיליון1!$A$1:$C$7693,3,0)*0.86+8</f>
        <v>41460</v>
      </c>
      <c r="L1385" s="50">
        <f>VLOOKUP(A1385,[2]data1761205830331!$A$1:$J$65536,10,0)</f>
        <v>46977.72</v>
      </c>
    </row>
    <row r="1386" spans="1:12" ht="15.6" outlineLevel="1">
      <c r="A1386" s="11">
        <v>1712600140</v>
      </c>
      <c r="B1386" s="40">
        <v>140</v>
      </c>
      <c r="C1386" s="109">
        <v>712600</v>
      </c>
      <c r="D1386" s="42">
        <v>1</v>
      </c>
      <c r="E1386" s="43"/>
      <c r="F1386" s="44" t="s">
        <v>27</v>
      </c>
      <c r="G1386" s="45" t="s">
        <v>22</v>
      </c>
      <c r="H1386" s="51">
        <f t="shared" si="21"/>
        <v>0</v>
      </c>
      <c r="I1386" s="47"/>
      <c r="J1386" s="48">
        <f>VLOOKUP(A1386,'[1]תקציב 2026'!$A$1:$M$65536,9,0)</f>
        <v>32800</v>
      </c>
      <c r="K1386" s="49">
        <f>VLOOKUP(A1386,[3]גיליון1!$A$1:$C$7693,3,0)</f>
        <v>32800</v>
      </c>
      <c r="L1386" s="50">
        <f>VLOOKUP(A1386,[2]data1761205830331!$A$1:$J$65536,10,0)</f>
        <v>21144.45</v>
      </c>
    </row>
    <row r="1387" spans="1:12" ht="15.6" outlineLevel="1">
      <c r="A1387" s="11">
        <v>1712600431</v>
      </c>
      <c r="B1387" s="40">
        <v>431</v>
      </c>
      <c r="C1387" s="109">
        <v>712600</v>
      </c>
      <c r="D1387" s="42">
        <v>1</v>
      </c>
      <c r="E1387" s="43"/>
      <c r="F1387" s="44" t="s">
        <v>32</v>
      </c>
      <c r="G1387" s="45" t="s">
        <v>29</v>
      </c>
      <c r="H1387" s="51">
        <f t="shared" si="21"/>
        <v>-0.41275167785234901</v>
      </c>
      <c r="I1387" s="47"/>
      <c r="J1387" s="48">
        <f>VLOOKUP(A1387,'[1]תקציב 2026'!$A$1:$M$65536,9,0)</f>
        <v>70000</v>
      </c>
      <c r="K1387" s="49">
        <v>119200</v>
      </c>
      <c r="L1387" s="50">
        <f>VLOOKUP(A1387,[2]data1761205830331!$A$1:$J$65536,10,0)</f>
        <v>67324.84</v>
      </c>
    </row>
    <row r="1388" spans="1:12" ht="15.6" outlineLevel="1">
      <c r="A1388" s="11">
        <v>1712600432</v>
      </c>
      <c r="B1388" s="40">
        <v>432</v>
      </c>
      <c r="C1388" s="109">
        <v>712600</v>
      </c>
      <c r="D1388" s="42">
        <v>1</v>
      </c>
      <c r="E1388" s="43"/>
      <c r="F1388" s="44" t="s">
        <v>33</v>
      </c>
      <c r="G1388" s="45" t="s">
        <v>29</v>
      </c>
      <c r="H1388" s="51">
        <f t="shared" si="21"/>
        <v>-3.558718861209953E-3</v>
      </c>
      <c r="I1388" s="47"/>
      <c r="J1388" s="48">
        <f>VLOOKUP(A1388,'[1]תקציב 2026'!$A$1:$M$65536,9,0)</f>
        <v>56000</v>
      </c>
      <c r="K1388" s="49">
        <f>VLOOKUP(A1388,[3]גיליון1!$A$1:$C$7693,3,0)</f>
        <v>56200</v>
      </c>
      <c r="L1388" s="50">
        <f>VLOOKUP(A1388,[2]data1761205830331!$A$1:$J$65536,10,0)</f>
        <v>55980.02</v>
      </c>
    </row>
    <row r="1389" spans="1:12" ht="15.6" outlineLevel="1">
      <c r="A1389" s="11">
        <v>1712600476</v>
      </c>
      <c r="B1389" s="40">
        <v>476</v>
      </c>
      <c r="C1389" s="109">
        <v>712600</v>
      </c>
      <c r="D1389" s="42">
        <v>1</v>
      </c>
      <c r="E1389" s="43"/>
      <c r="F1389" s="44" t="s">
        <v>945</v>
      </c>
      <c r="G1389" s="45" t="s">
        <v>37</v>
      </c>
      <c r="H1389" s="51">
        <f t="shared" si="21"/>
        <v>0</v>
      </c>
      <c r="I1389" s="47"/>
      <c r="J1389" s="48">
        <f>VLOOKUP(A1389,'[1]תקציב 2026'!$A$1:$M$65536,9,0)</f>
        <v>7740</v>
      </c>
      <c r="K1389" s="49">
        <f>VLOOKUP(A1389,[3]גיליון1!$A$1:$C$7693,3,0)*0.9</f>
        <v>7740</v>
      </c>
      <c r="L1389" s="50">
        <f>VLOOKUP(A1389,[2]data1761205830331!$A$1:$J$65536,10,0)</f>
        <v>0</v>
      </c>
    </row>
    <row r="1390" spans="1:12" ht="15.6" outlineLevel="1">
      <c r="A1390" s="11">
        <v>1712600511</v>
      </c>
      <c r="B1390" s="40">
        <v>511</v>
      </c>
      <c r="C1390" s="109">
        <v>712600</v>
      </c>
      <c r="D1390" s="42">
        <v>1</v>
      </c>
      <c r="E1390" s="43"/>
      <c r="F1390" s="44" t="s">
        <v>72</v>
      </c>
      <c r="G1390" s="45" t="s">
        <v>37</v>
      </c>
      <c r="H1390" s="51">
        <f t="shared" si="21"/>
        <v>0.38888888888888884</v>
      </c>
      <c r="I1390" s="47"/>
      <c r="J1390" s="48">
        <f>VLOOKUP(A1390,'[1]תקציב 2026'!$A$1:$M$65536,9,0)</f>
        <v>500</v>
      </c>
      <c r="K1390" s="49">
        <f>400*0.9</f>
        <v>360</v>
      </c>
      <c r="L1390" s="50">
        <f>VLOOKUP(A1390,[2]data1761205830331!$A$1:$J$65536,10,0)</f>
        <v>399.36</v>
      </c>
    </row>
    <row r="1391" spans="1:12" ht="15.6" outlineLevel="1">
      <c r="A1391" s="11">
        <v>1712600540</v>
      </c>
      <c r="B1391" s="40">
        <v>540</v>
      </c>
      <c r="C1391" s="109">
        <v>712600</v>
      </c>
      <c r="D1391" s="42">
        <v>1</v>
      </c>
      <c r="E1391" s="43"/>
      <c r="F1391" s="44" t="s">
        <v>47</v>
      </c>
      <c r="G1391" s="45" t="s">
        <v>29</v>
      </c>
      <c r="H1391" s="51">
        <f t="shared" si="21"/>
        <v>0</v>
      </c>
      <c r="I1391" s="47"/>
      <c r="J1391" s="48">
        <f>VLOOKUP(A1391,'[1]תקציב 2026'!$A$1:$M$65536,9,0)</f>
        <v>2000</v>
      </c>
      <c r="K1391" s="49">
        <v>2000</v>
      </c>
      <c r="L1391" s="50">
        <f>VLOOKUP(A1391,[2]data1761205830331!$A$1:$J$65536,10,0)</f>
        <v>2018.97</v>
      </c>
    </row>
    <row r="1392" spans="1:12" ht="15.75" customHeight="1" outlineLevel="1">
      <c r="A1392" s="11">
        <v>1712600571</v>
      </c>
      <c r="B1392" s="40">
        <v>571</v>
      </c>
      <c r="C1392" s="109">
        <v>712600</v>
      </c>
      <c r="D1392" s="42">
        <v>1</v>
      </c>
      <c r="E1392" s="43"/>
      <c r="F1392" s="44" t="s">
        <v>75</v>
      </c>
      <c r="G1392" s="45" t="s">
        <v>29</v>
      </c>
      <c r="H1392" s="51">
        <f t="shared" si="21"/>
        <v>0</v>
      </c>
      <c r="I1392" s="47"/>
      <c r="J1392" s="48">
        <f>VLOOKUP(A1392,'[1]תקציב 2026'!$A$1:$M$65536,9,0)</f>
        <v>75000</v>
      </c>
      <c r="K1392" s="49">
        <v>75000</v>
      </c>
      <c r="L1392" s="50">
        <f>VLOOKUP(A1392,[2]data1761205830331!$A$1:$J$65536,10,0)</f>
        <v>63100</v>
      </c>
    </row>
    <row r="1393" spans="1:12" ht="15.6" outlineLevel="1">
      <c r="A1393" s="11">
        <v>1712600722</v>
      </c>
      <c r="B1393" s="40">
        <v>722</v>
      </c>
      <c r="C1393" s="109">
        <v>712600</v>
      </c>
      <c r="D1393" s="42">
        <v>1</v>
      </c>
      <c r="E1393" s="43"/>
      <c r="F1393" s="44" t="s">
        <v>51</v>
      </c>
      <c r="G1393" s="45" t="s">
        <v>37</v>
      </c>
      <c r="H1393" s="51">
        <f t="shared" si="21"/>
        <v>0</v>
      </c>
      <c r="I1393" s="47"/>
      <c r="J1393" s="48">
        <f>VLOOKUP(A1393,'[1]תקציב 2026'!$A$1:$M$65536,9,0)</f>
        <v>810</v>
      </c>
      <c r="K1393" s="49">
        <f>VLOOKUP(A1393,[3]גיליון1!$A$1:$C$7693,3,0)*0.9</f>
        <v>810</v>
      </c>
      <c r="L1393" s="50">
        <f>VLOOKUP(A1393,[2]data1761205830331!$A$1:$J$65536,10,0)</f>
        <v>899.57</v>
      </c>
    </row>
    <row r="1394" spans="1:12" ht="15.75" customHeight="1" outlineLevel="1">
      <c r="A1394" s="11">
        <v>1712600751</v>
      </c>
      <c r="B1394" s="40">
        <v>751</v>
      </c>
      <c r="C1394" s="109">
        <v>712600</v>
      </c>
      <c r="D1394" s="42">
        <v>1</v>
      </c>
      <c r="E1394" s="43"/>
      <c r="F1394" s="44" t="s">
        <v>53</v>
      </c>
      <c r="G1394" s="45" t="s">
        <v>37</v>
      </c>
      <c r="H1394" s="51">
        <f t="shared" si="21"/>
        <v>0</v>
      </c>
      <c r="I1394" s="47"/>
      <c r="J1394" s="48">
        <f>VLOOKUP(A1394,'[1]תקציב 2026'!$A$1:$M$65536,9,0)</f>
        <v>3060</v>
      </c>
      <c r="K1394" s="49">
        <f>VLOOKUP(A1394,[3]גיליון1!$A$1:$C$7693,3,0)*0.9</f>
        <v>3060</v>
      </c>
      <c r="L1394" s="50">
        <f>VLOOKUP(A1394,[2]data1761205830331!$A$1:$J$65536,10,0)</f>
        <v>1488</v>
      </c>
    </row>
    <row r="1395" spans="1:12" ht="15.75" customHeight="1" outlineLevel="1">
      <c r="A1395" s="11">
        <v>1712600752</v>
      </c>
      <c r="B1395" s="40">
        <v>752</v>
      </c>
      <c r="C1395" s="109">
        <v>712600</v>
      </c>
      <c r="D1395" s="42">
        <v>1</v>
      </c>
      <c r="E1395" s="43"/>
      <c r="F1395" s="44" t="s">
        <v>54</v>
      </c>
      <c r="G1395" s="45" t="s">
        <v>29</v>
      </c>
      <c r="H1395" s="51">
        <f t="shared" si="21"/>
        <v>-0.35672514619883045</v>
      </c>
      <c r="I1395" s="47"/>
      <c r="J1395" s="48">
        <f>VLOOKUP(A1395,'[1]תקציב 2026'!$A$1:$M$65536,9,0)</f>
        <v>22000</v>
      </c>
      <c r="K1395" s="49">
        <f>VLOOKUP(A1395,[3]גיליון1!$A$1:$C$7693,3,0)</f>
        <v>34200</v>
      </c>
      <c r="L1395" s="50">
        <f>VLOOKUP(A1395,[2]data1761205830331!$A$1:$J$65536,10,0)</f>
        <v>20101.900000000001</v>
      </c>
    </row>
    <row r="1396" spans="1:12" s="204" customFormat="1" ht="16.2" outlineLevel="1" thickBot="1">
      <c r="A1396" s="11">
        <v>1712600756</v>
      </c>
      <c r="B1396" s="40">
        <v>756</v>
      </c>
      <c r="C1396" s="109">
        <v>712600</v>
      </c>
      <c r="D1396" s="42">
        <v>1</v>
      </c>
      <c r="E1396" s="43"/>
      <c r="F1396" s="44" t="s">
        <v>946</v>
      </c>
      <c r="G1396" s="45" t="s">
        <v>29</v>
      </c>
      <c r="H1396" s="51">
        <f t="shared" si="21"/>
        <v>-0.59166666666666667</v>
      </c>
      <c r="I1396" s="51"/>
      <c r="J1396" s="48">
        <f>VLOOKUP(A1396,'[1]תקציב 2026'!$A$1:$M$65536,9,0)</f>
        <v>294000</v>
      </c>
      <c r="K1396" s="49">
        <f>VLOOKUP(A1396,[3]גיליון1!$A$1:$C$7693,3,0)</f>
        <v>720000</v>
      </c>
      <c r="L1396" s="50">
        <f>VLOOKUP(A1396,[2]data1761205830331!$A$1:$J$65536,10,0)</f>
        <v>681847.12</v>
      </c>
    </row>
    <row r="1397" spans="1:12" ht="15.75" customHeight="1" thickBot="1">
      <c r="A1397" s="11" t="e">
        <v>#VALUE!</v>
      </c>
      <c r="B1397" s="53" t="s">
        <v>947</v>
      </c>
      <c r="C1397" s="223"/>
      <c r="D1397" s="55"/>
      <c r="E1397" s="56"/>
      <c r="F1397" s="116" t="s">
        <v>944</v>
      </c>
      <c r="G1397" s="58"/>
      <c r="H1397" s="166">
        <f>J1397/K1397-1</f>
        <v>-0.23211311624846642</v>
      </c>
      <c r="I1397" s="72"/>
      <c r="J1397" s="74">
        <f>SUBTOTAL(9,J1382:J1396)</f>
        <v>1120370</v>
      </c>
      <c r="K1397" s="92">
        <f>SUBTOTAL(9,K1382:K1396)</f>
        <v>1459030</v>
      </c>
      <c r="L1397" s="75">
        <f>SUBTOTAL(9,L1382:L1396)</f>
        <v>1147635.17</v>
      </c>
    </row>
    <row r="1398" spans="1:12" ht="15.6" outlineLevel="1">
      <c r="A1398" s="11">
        <v>17130000</v>
      </c>
      <c r="B1398" s="40">
        <v>0</v>
      </c>
      <c r="C1398" s="109">
        <v>713000</v>
      </c>
      <c r="D1398" s="42">
        <v>1</v>
      </c>
      <c r="E1398" s="43"/>
      <c r="F1398" s="44" t="s">
        <v>171</v>
      </c>
      <c r="G1398" s="45" t="s">
        <v>15</v>
      </c>
      <c r="H1398" s="51"/>
      <c r="I1398" s="47"/>
      <c r="J1398" s="48"/>
      <c r="K1398" s="49"/>
      <c r="L1398" s="50"/>
    </row>
    <row r="1399" spans="1:12" ht="15.75" customHeight="1" outlineLevel="1">
      <c r="A1399" s="11">
        <v>1713300119</v>
      </c>
      <c r="B1399" s="40">
        <v>119</v>
      </c>
      <c r="C1399" s="109">
        <v>713300</v>
      </c>
      <c r="D1399" s="42">
        <v>1</v>
      </c>
      <c r="E1399" s="43"/>
      <c r="F1399" s="44" t="s">
        <v>23</v>
      </c>
      <c r="G1399" s="45" t="s">
        <v>22</v>
      </c>
      <c r="H1399" s="51">
        <f t="shared" si="21"/>
        <v>-8.9699392122574717E-2</v>
      </c>
      <c r="I1399" s="47"/>
      <c r="J1399" s="48">
        <v>3279540</v>
      </c>
      <c r="K1399" s="49">
        <v>3602700</v>
      </c>
      <c r="L1399" s="50">
        <f>VLOOKUP(A1399,[2]data1761205830331!$A$1:$J$65536,10,0)</f>
        <v>2220565.46</v>
      </c>
    </row>
    <row r="1400" spans="1:12" ht="15.75" customHeight="1" outlineLevel="1">
      <c r="A1400" s="11">
        <v>1713300122</v>
      </c>
      <c r="B1400" s="40">
        <v>122</v>
      </c>
      <c r="C1400" s="109">
        <v>713300</v>
      </c>
      <c r="D1400" s="42">
        <v>1</v>
      </c>
      <c r="E1400" s="43"/>
      <c r="F1400" s="44" t="s">
        <v>24</v>
      </c>
      <c r="G1400" s="45" t="s">
        <v>22</v>
      </c>
      <c r="H1400" s="51">
        <f t="shared" si="21"/>
        <v>-8.9999999999999969E-2</v>
      </c>
      <c r="I1400" s="47"/>
      <c r="J1400" s="48">
        <v>40040</v>
      </c>
      <c r="K1400" s="49">
        <f>VLOOKUP(A1400,[3]גיליון1!$A$1:$C$7693,3,0)</f>
        <v>44000</v>
      </c>
      <c r="L1400" s="50">
        <f>VLOOKUP(A1400,[2]data1761205830331!$A$1:$J$65536,10,0)</f>
        <v>28101.5</v>
      </c>
    </row>
    <row r="1401" spans="1:12" ht="15.6" outlineLevel="1">
      <c r="A1401" s="11">
        <v>1713300126</v>
      </c>
      <c r="B1401" s="40">
        <v>126</v>
      </c>
      <c r="C1401" s="109">
        <v>713300</v>
      </c>
      <c r="D1401" s="42">
        <v>1</v>
      </c>
      <c r="E1401" s="43"/>
      <c r="F1401" s="44" t="s">
        <v>25</v>
      </c>
      <c r="G1401" s="45" t="s">
        <v>22</v>
      </c>
      <c r="H1401" s="51">
        <f t="shared" si="21"/>
        <v>-8.9999999999999969E-2</v>
      </c>
      <c r="I1401" s="47"/>
      <c r="J1401" s="48">
        <v>90090</v>
      </c>
      <c r="K1401" s="49">
        <f>VLOOKUP(A1401,[3]גיליון1!$A$1:$C$7693,3,0)</f>
        <v>99000</v>
      </c>
      <c r="L1401" s="50">
        <f>VLOOKUP(A1401,[2]data1761205830331!$A$1:$J$65536,10,0)</f>
        <v>60801.56</v>
      </c>
    </row>
    <row r="1402" spans="1:12" ht="15.6" outlineLevel="1">
      <c r="A1402" s="11">
        <v>1713300130</v>
      </c>
      <c r="B1402" s="40">
        <v>130</v>
      </c>
      <c r="C1402" s="109">
        <v>713300</v>
      </c>
      <c r="D1402" s="42">
        <v>1</v>
      </c>
      <c r="E1402" s="43"/>
      <c r="F1402" s="44" t="s">
        <v>26</v>
      </c>
      <c r="G1402" s="45" t="s">
        <v>22</v>
      </c>
      <c r="H1402" s="51">
        <f t="shared" si="21"/>
        <v>0</v>
      </c>
      <c r="I1402" s="47"/>
      <c r="J1402" s="48">
        <f>VLOOKUP(A1402,'[1]תקציב 2026'!$A$1:$M$65536,9,0)</f>
        <v>32860</v>
      </c>
      <c r="K1402" s="49">
        <f>VLOOKUP(A1402,[3]גיליון1!$A$1:$C$7693,3,0)*0.86+8</f>
        <v>32860</v>
      </c>
      <c r="L1402" s="50">
        <f>VLOOKUP(A1402,[2]data1761205830331!$A$1:$J$65536,10,0)</f>
        <v>18089.349999999999</v>
      </c>
    </row>
    <row r="1403" spans="1:12" ht="15.6" outlineLevel="1">
      <c r="A1403" s="11">
        <v>1713300140</v>
      </c>
      <c r="B1403" s="40">
        <v>140</v>
      </c>
      <c r="C1403" s="109">
        <v>713300</v>
      </c>
      <c r="D1403" s="42">
        <v>1</v>
      </c>
      <c r="E1403" s="43"/>
      <c r="F1403" s="44" t="s">
        <v>27</v>
      </c>
      <c r="G1403" s="45" t="s">
        <v>22</v>
      </c>
      <c r="H1403" s="51">
        <f t="shared" si="21"/>
        <v>0</v>
      </c>
      <c r="I1403" s="47"/>
      <c r="J1403" s="48">
        <f>VLOOKUP(A1403,'[1]תקציב 2026'!$A$1:$M$65536,9,0)</f>
        <v>369000</v>
      </c>
      <c r="K1403" s="49">
        <f>VLOOKUP(A1403,[3]גיליון1!$A$1:$C$7693,3,0)</f>
        <v>369000</v>
      </c>
      <c r="L1403" s="50">
        <f>VLOOKUP(A1403,[2]data1761205830331!$A$1:$J$65536,10,0)</f>
        <v>258638.06</v>
      </c>
    </row>
    <row r="1404" spans="1:12" ht="15.6" outlineLevel="1">
      <c r="A1404" s="11">
        <v>1713300253</v>
      </c>
      <c r="B1404" s="40">
        <v>253</v>
      </c>
      <c r="C1404" s="109">
        <v>713300</v>
      </c>
      <c r="D1404" s="42">
        <v>1</v>
      </c>
      <c r="E1404" s="43"/>
      <c r="F1404" s="44" t="s">
        <v>738</v>
      </c>
      <c r="G1404" s="45" t="s">
        <v>22</v>
      </c>
      <c r="H1404" s="51">
        <v>1</v>
      </c>
      <c r="I1404" s="47"/>
      <c r="J1404" s="48">
        <f>VLOOKUP(A1404,'[1]תקציב 2026'!$A$1:$M$65536,9,0)</f>
        <v>234000</v>
      </c>
      <c r="K1404" s="49">
        <f>VLOOKUP(A1404,[3]גיליון1!$A$1:$C$7693,3,0)</f>
        <v>0</v>
      </c>
      <c r="L1404" s="50">
        <f>VLOOKUP(A1404,[2]data1761205830331!$A$1:$J$65536,10,0)</f>
        <v>40410.589999999997</v>
      </c>
    </row>
    <row r="1405" spans="1:12" ht="15.6" outlineLevel="1">
      <c r="A1405" s="11">
        <v>1713300471</v>
      </c>
      <c r="B1405" s="40">
        <v>471</v>
      </c>
      <c r="C1405" s="109">
        <v>713300</v>
      </c>
      <c r="D1405" s="42">
        <v>1</v>
      </c>
      <c r="E1405" s="43"/>
      <c r="F1405" s="44" t="s">
        <v>71</v>
      </c>
      <c r="G1405" s="45" t="s">
        <v>37</v>
      </c>
      <c r="H1405" s="51">
        <f t="shared" si="21"/>
        <v>0</v>
      </c>
      <c r="I1405" s="47"/>
      <c r="J1405" s="48">
        <f>VLOOKUP(A1405,'[1]תקציב 2026'!$A$1:$M$65536,9,0)</f>
        <v>33210</v>
      </c>
      <c r="K1405" s="49">
        <f>VLOOKUP(A1405,[3]גיליון1!$A$1:$C$7693,3,0)*0.9</f>
        <v>33210</v>
      </c>
      <c r="L1405" s="50">
        <f>VLOOKUP(A1405,[2]data1761205830331!$A$1:$J$65536,10,0)</f>
        <v>26397.119999999999</v>
      </c>
    </row>
    <row r="1406" spans="1:12" ht="15.6" outlineLevel="1">
      <c r="A1406" s="11">
        <v>1713300511</v>
      </c>
      <c r="B1406" s="40">
        <v>511</v>
      </c>
      <c r="C1406" s="109">
        <v>713300</v>
      </c>
      <c r="D1406" s="42">
        <v>1</v>
      </c>
      <c r="E1406" s="43"/>
      <c r="F1406" s="44" t="s">
        <v>72</v>
      </c>
      <c r="G1406" s="45" t="s">
        <v>37</v>
      </c>
      <c r="H1406" s="51">
        <f t="shared" si="21"/>
        <v>-0.72789115646258495</v>
      </c>
      <c r="I1406" s="47"/>
      <c r="J1406" s="48">
        <f>VLOOKUP(A1406,'[1]תקציב 2026'!$A$1:$M$65536,9,0)</f>
        <v>3600</v>
      </c>
      <c r="K1406" s="49">
        <f>14700*0.9</f>
        <v>13230</v>
      </c>
      <c r="L1406" s="50">
        <f>VLOOKUP(A1406,[2]data1761205830331!$A$1:$J$65536,10,0)</f>
        <v>4935.0200000000004</v>
      </c>
    </row>
    <row r="1407" spans="1:12" ht="15.6" outlineLevel="1">
      <c r="A1407" s="11">
        <v>1713300522</v>
      </c>
      <c r="B1407" s="40">
        <v>522</v>
      </c>
      <c r="C1407" s="109">
        <v>713300</v>
      </c>
      <c r="D1407" s="42">
        <v>1</v>
      </c>
      <c r="E1407" s="43"/>
      <c r="F1407" s="44" t="s">
        <v>90</v>
      </c>
      <c r="G1407" s="45" t="s">
        <v>37</v>
      </c>
      <c r="H1407" s="51">
        <f t="shared" si="21"/>
        <v>0</v>
      </c>
      <c r="I1407" s="47"/>
      <c r="J1407" s="48">
        <f>VLOOKUP(A1407,'[1]תקציב 2026'!$A$1:$M$65536,9,0)</f>
        <v>1350</v>
      </c>
      <c r="K1407" s="49">
        <f>VLOOKUP(A1407,[3]גיליון1!$A$1:$C$7693,3,0)*0.9</f>
        <v>1350</v>
      </c>
      <c r="L1407" s="50">
        <f>VLOOKUP(A1407,[2]data1761205830331!$A$1:$J$65536,10,0)</f>
        <v>0</v>
      </c>
    </row>
    <row r="1408" spans="1:12" ht="15.6" outlineLevel="1">
      <c r="A1408" s="11">
        <v>1713300544</v>
      </c>
      <c r="B1408" s="40">
        <v>544</v>
      </c>
      <c r="C1408" s="109">
        <v>713300</v>
      </c>
      <c r="D1408" s="42">
        <v>1</v>
      </c>
      <c r="E1408" s="43"/>
      <c r="F1408" s="44" t="s">
        <v>743</v>
      </c>
      <c r="G1408" s="45" t="s">
        <v>29</v>
      </c>
      <c r="H1408" s="51">
        <f t="shared" si="21"/>
        <v>0.4285714285714286</v>
      </c>
      <c r="I1408" s="47"/>
      <c r="J1408" s="48">
        <f>VLOOKUP(A1408,'[1]תקציב 2026'!$A$1:$M$65536,9,0)</f>
        <v>50000</v>
      </c>
      <c r="K1408" s="49">
        <v>35000</v>
      </c>
      <c r="L1408" s="50">
        <f>VLOOKUP(A1408,[2]data1761205830331!$A$1:$J$65536,10,0)</f>
        <v>46704.24</v>
      </c>
    </row>
    <row r="1409" spans="1:12" ht="15.6" outlineLevel="1">
      <c r="A1409" s="11">
        <v>1713300550</v>
      </c>
      <c r="B1409" s="40">
        <v>550</v>
      </c>
      <c r="C1409" s="109">
        <v>713300</v>
      </c>
      <c r="D1409" s="42">
        <v>1</v>
      </c>
      <c r="E1409" s="43"/>
      <c r="F1409" s="44" t="s">
        <v>73</v>
      </c>
      <c r="G1409" s="45" t="s">
        <v>37</v>
      </c>
      <c r="H1409" s="51">
        <f t="shared" si="21"/>
        <v>-0.31833674164962511</v>
      </c>
      <c r="I1409" s="47"/>
      <c r="J1409" s="48">
        <f>VLOOKUP(A1409,'[1]תקציב 2026'!$A$1:$M$65536,9,0)</f>
        <v>10000</v>
      </c>
      <c r="K1409" s="49">
        <f>VLOOKUP(A1409,[3]גיליון1!$A$1:$C$7693,3,0)*0.9</f>
        <v>14670</v>
      </c>
      <c r="L1409" s="50">
        <f>VLOOKUP(A1409,[2]data1761205830331!$A$1:$J$65536,10,0)</f>
        <v>4856</v>
      </c>
    </row>
    <row r="1410" spans="1:12" ht="15.6" outlineLevel="1">
      <c r="A1410" s="11">
        <v>1713300561</v>
      </c>
      <c r="B1410" s="40">
        <v>561</v>
      </c>
      <c r="C1410" s="109">
        <v>713300</v>
      </c>
      <c r="D1410" s="42">
        <v>1</v>
      </c>
      <c r="E1410" s="43"/>
      <c r="F1410" s="44" t="s">
        <v>74</v>
      </c>
      <c r="G1410" s="45" t="s">
        <v>37</v>
      </c>
      <c r="H1410" s="51">
        <f t="shared" si="21"/>
        <v>0</v>
      </c>
      <c r="I1410" s="47"/>
      <c r="J1410" s="48">
        <f>VLOOKUP(A1410,'[1]תקציב 2026'!$A$1:$M$65536,9,0)</f>
        <v>2520</v>
      </c>
      <c r="K1410" s="49">
        <f>VLOOKUP(A1410,[3]גיליון1!$A$1:$C$7693,3,0)*0.9</f>
        <v>2520</v>
      </c>
      <c r="L1410" s="50">
        <f>VLOOKUP(A1410,[2]data1761205830331!$A$1:$J$65536,10,0)</f>
        <v>0</v>
      </c>
    </row>
    <row r="1411" spans="1:12" ht="15.6" outlineLevel="1">
      <c r="A1411" s="11">
        <v>1713300562</v>
      </c>
      <c r="B1411" s="40">
        <v>562</v>
      </c>
      <c r="C1411" s="109">
        <v>713300</v>
      </c>
      <c r="D1411" s="42">
        <v>1</v>
      </c>
      <c r="E1411" s="43"/>
      <c r="F1411" s="44" t="s">
        <v>748</v>
      </c>
      <c r="G1411" s="45" t="s">
        <v>37</v>
      </c>
      <c r="H1411" s="51">
        <f t="shared" si="21"/>
        <v>0</v>
      </c>
      <c r="I1411" s="47"/>
      <c r="J1411" s="48">
        <f>VLOOKUP(A1411,'[1]תקציב 2026'!$A$1:$M$65536,9,0)</f>
        <v>24660</v>
      </c>
      <c r="K1411" s="49">
        <f>VLOOKUP(A1411,[3]גיליון1!$A$1:$C$7693,3,0)*0.9</f>
        <v>24660</v>
      </c>
      <c r="L1411" s="50">
        <f>VLOOKUP(A1411,[2]data1761205830331!$A$1:$J$65536,10,0)</f>
        <v>2000</v>
      </c>
    </row>
    <row r="1412" spans="1:12" ht="15.6" outlineLevel="1">
      <c r="A1412" s="11">
        <v>1713300566</v>
      </c>
      <c r="B1412" s="206">
        <v>566</v>
      </c>
      <c r="C1412" s="109">
        <v>713300</v>
      </c>
      <c r="D1412" s="208">
        <v>1</v>
      </c>
      <c r="E1412" s="229"/>
      <c r="F1412" s="44" t="s">
        <v>948</v>
      </c>
      <c r="G1412" s="45" t="s">
        <v>37</v>
      </c>
      <c r="H1412" s="51">
        <f t="shared" si="21"/>
        <v>-1</v>
      </c>
      <c r="I1412" s="47"/>
      <c r="J1412" s="48">
        <f>VLOOKUP(A1412,'[1]תקציב 2026'!$A$1:$M$65536,9,0)</f>
        <v>0</v>
      </c>
      <c r="K1412" s="49">
        <f>VLOOKUP(A1412,[3]גיליון1!$A$1:$C$7693,3,0)*0.9</f>
        <v>3960</v>
      </c>
      <c r="L1412" s="50">
        <f>VLOOKUP(A1412,[2]data1761205830331!$A$1:$J$65536,10,0)</f>
        <v>0</v>
      </c>
    </row>
    <row r="1413" spans="1:12" ht="15.6" outlineLevel="1">
      <c r="A1413" s="11">
        <v>1713300570</v>
      </c>
      <c r="B1413" s="206">
        <v>570</v>
      </c>
      <c r="C1413" s="109">
        <v>713300</v>
      </c>
      <c r="D1413" s="208">
        <v>1</v>
      </c>
      <c r="E1413" s="229"/>
      <c r="F1413" s="44" t="s">
        <v>949</v>
      </c>
      <c r="G1413" s="45" t="s">
        <v>37</v>
      </c>
      <c r="H1413" s="51">
        <v>1</v>
      </c>
      <c r="I1413" s="47" t="s">
        <v>86</v>
      </c>
      <c r="J1413" s="48">
        <f>VLOOKUP(A1413,'[1]תקציב 2026'!$A$1:$M$65536,9,0)</f>
        <v>8000</v>
      </c>
      <c r="K1413" s="49">
        <v>0</v>
      </c>
      <c r="L1413" s="50">
        <v>0</v>
      </c>
    </row>
    <row r="1414" spans="1:12" ht="15.6" outlineLevel="1">
      <c r="A1414" s="11">
        <v>1713300571</v>
      </c>
      <c r="B1414" s="40">
        <v>571</v>
      </c>
      <c r="C1414" s="109">
        <v>713300</v>
      </c>
      <c r="D1414" s="42">
        <v>1</v>
      </c>
      <c r="E1414" s="43"/>
      <c r="F1414" s="44" t="s">
        <v>75</v>
      </c>
      <c r="G1414" s="45" t="s">
        <v>29</v>
      </c>
      <c r="H1414" s="51">
        <f t="shared" si="21"/>
        <v>0</v>
      </c>
      <c r="I1414" s="47"/>
      <c r="J1414" s="48">
        <f>VLOOKUP(A1414,'[1]תקציב 2026'!$A$1:$M$65536,9,0)</f>
        <v>201000</v>
      </c>
      <c r="K1414" s="49">
        <v>201000</v>
      </c>
      <c r="L1414" s="50">
        <f>VLOOKUP(A1414,[2]data1761205830331!$A$1:$J$65536,10,0)</f>
        <v>173000</v>
      </c>
    </row>
    <row r="1415" spans="1:12" ht="15.6" outlineLevel="1">
      <c r="A1415" s="11">
        <v>1713300573</v>
      </c>
      <c r="B1415" s="40">
        <v>573</v>
      </c>
      <c r="C1415" s="109">
        <v>713300</v>
      </c>
      <c r="D1415" s="42">
        <v>1</v>
      </c>
      <c r="E1415" s="43"/>
      <c r="F1415" s="44" t="str">
        <f>[4]גיליון1!$F$2441</f>
        <v>מיחשוב רישוי עסקים</v>
      </c>
      <c r="G1415" s="45" t="s">
        <v>37</v>
      </c>
      <c r="H1415" s="51">
        <f t="shared" si="21"/>
        <v>0.26453143534994061</v>
      </c>
      <c r="I1415" s="47"/>
      <c r="J1415" s="48">
        <f>VLOOKUP(A1415,'[1]תקציב 2026'!$A$1:$M$65536,9,0)</f>
        <v>95940</v>
      </c>
      <c r="K1415" s="49">
        <f>VLOOKUP(A1415,[3]גיליון1!$A$1:$C$7693,3,0)*0.9</f>
        <v>75870</v>
      </c>
      <c r="L1415" s="50">
        <f>VLOOKUP(A1415,[2]data1761205830331!$A$1:$J$65536,10,0)</f>
        <v>639</v>
      </c>
    </row>
    <row r="1416" spans="1:12" ht="15.6" outlineLevel="1">
      <c r="A1416" s="11">
        <v>1713300580</v>
      </c>
      <c r="B1416" s="40">
        <v>580</v>
      </c>
      <c r="C1416" s="109">
        <v>713300</v>
      </c>
      <c r="D1416" s="42">
        <v>1</v>
      </c>
      <c r="E1416" s="43"/>
      <c r="F1416" s="44" t="s">
        <v>861</v>
      </c>
      <c r="G1416" s="45" t="s">
        <v>37</v>
      </c>
      <c r="H1416" s="51">
        <f t="shared" si="21"/>
        <v>-1</v>
      </c>
      <c r="I1416" s="47"/>
      <c r="J1416" s="48">
        <f>VLOOKUP(A1416,'[1]תקציב 2026'!$A$1:$M$65536,9,0)</f>
        <v>0</v>
      </c>
      <c r="K1416" s="49">
        <f>VLOOKUP(A1416,[3]גיליון1!$A$1:$C$7693,3,0)*0.9</f>
        <v>15390</v>
      </c>
      <c r="L1416" s="50">
        <f>VLOOKUP(A1416,[2]data1761205830331!$A$1:$J$65536,10,0)</f>
        <v>0</v>
      </c>
    </row>
    <row r="1417" spans="1:12" ht="15.6" outlineLevel="1">
      <c r="A1417" s="11">
        <v>1713300581</v>
      </c>
      <c r="B1417" s="40">
        <v>581</v>
      </c>
      <c r="C1417" s="109">
        <v>713300</v>
      </c>
      <c r="D1417" s="42">
        <v>1</v>
      </c>
      <c r="E1417" s="43"/>
      <c r="F1417" s="44" t="s">
        <v>950</v>
      </c>
      <c r="G1417" s="45" t="s">
        <v>37</v>
      </c>
      <c r="H1417" s="51">
        <f t="shared" si="21"/>
        <v>0.96078431372549011</v>
      </c>
      <c r="I1417" s="47"/>
      <c r="J1417" s="48">
        <f>VLOOKUP(A1417,'[1]תקציב 2026'!$A$1:$M$65536,9,0)</f>
        <v>3000</v>
      </c>
      <c r="K1417" s="49">
        <f>VLOOKUP(A1417,[3]גיליון1!$A$1:$C$7693,3,0)*0.9</f>
        <v>1530</v>
      </c>
      <c r="L1417" s="50">
        <f>VLOOKUP(A1417,[2]data1761205830331!$A$1:$J$65536,10,0)</f>
        <v>1700</v>
      </c>
    </row>
    <row r="1418" spans="1:12" ht="15.6" outlineLevel="1">
      <c r="A1418" s="11">
        <v>1713300582</v>
      </c>
      <c r="B1418" s="40">
        <v>582</v>
      </c>
      <c r="C1418" s="109">
        <v>713300</v>
      </c>
      <c r="D1418" s="42">
        <v>1</v>
      </c>
      <c r="E1418" s="43"/>
      <c r="F1418" s="44" t="s">
        <v>951</v>
      </c>
      <c r="G1418" s="45" t="s">
        <v>37</v>
      </c>
      <c r="H1418" s="51">
        <f t="shared" si="21"/>
        <v>-1</v>
      </c>
      <c r="I1418" s="47"/>
      <c r="J1418" s="48">
        <f>VLOOKUP(A1418,'[1]תקציב 2026'!$A$1:$M$65536,9,0)</f>
        <v>0</v>
      </c>
      <c r="K1418" s="49">
        <f>200000*0.9</f>
        <v>180000</v>
      </c>
      <c r="L1418" s="50">
        <f>VLOOKUP(A1418,[2]data1761205830331!$A$1:$J$65536,10,0)</f>
        <v>0</v>
      </c>
    </row>
    <row r="1419" spans="1:12" ht="15.6" outlineLevel="1">
      <c r="A1419" s="11">
        <v>1713300585</v>
      </c>
      <c r="B1419" s="40">
        <v>585</v>
      </c>
      <c r="C1419" s="109">
        <v>713300</v>
      </c>
      <c r="D1419" s="42">
        <v>1</v>
      </c>
      <c r="E1419" s="43"/>
      <c r="F1419" s="44" t="s">
        <v>952</v>
      </c>
      <c r="G1419" s="45" t="s">
        <v>29</v>
      </c>
      <c r="H1419" s="51">
        <f t="shared" si="21"/>
        <v>0.87134502923976598</v>
      </c>
      <c r="I1419" s="47"/>
      <c r="J1419" s="48">
        <f>VLOOKUP(A1419,'[1]תקציב 2026'!$A$1:$M$65536,9,0)</f>
        <v>160000</v>
      </c>
      <c r="K1419" s="49">
        <f>VLOOKUP(A1419,[3]גיליון1!$A$1:$C$7693,3,0)</f>
        <v>85500</v>
      </c>
      <c r="L1419" s="50">
        <f>VLOOKUP(A1419,[2]data1761205830331!$A$1:$J$65536,10,0)</f>
        <v>93188.95</v>
      </c>
    </row>
    <row r="1420" spans="1:12" ht="15.6" outlineLevel="1">
      <c r="A1420" s="11">
        <v>1713300750</v>
      </c>
      <c r="B1420" s="40">
        <v>750</v>
      </c>
      <c r="C1420" s="109">
        <v>713300</v>
      </c>
      <c r="D1420" s="42">
        <v>1</v>
      </c>
      <c r="E1420" s="43"/>
      <c r="F1420" s="44" t="s">
        <v>953</v>
      </c>
      <c r="G1420" s="45" t="s">
        <v>37</v>
      </c>
      <c r="H1420" s="51">
        <f t="shared" si="21"/>
        <v>-1</v>
      </c>
      <c r="I1420" s="47"/>
      <c r="J1420" s="48">
        <f>VLOOKUP(A1420,'[1]תקציב 2026'!$A$1:$M$65536,9,0)</f>
        <v>0</v>
      </c>
      <c r="K1420" s="49">
        <v>10000</v>
      </c>
      <c r="L1420" s="50">
        <f>VLOOKUP(A1420,[2]data1761205830331!$A$1:$J$65536,10,0)</f>
        <v>237</v>
      </c>
    </row>
    <row r="1421" spans="1:12" ht="15.6" outlineLevel="1">
      <c r="A1421" s="11">
        <v>1713300751</v>
      </c>
      <c r="B1421" s="40">
        <v>751</v>
      </c>
      <c r="C1421" s="109">
        <v>713300</v>
      </c>
      <c r="D1421" s="42">
        <v>1</v>
      </c>
      <c r="E1421" s="43"/>
      <c r="F1421" s="44" t="s">
        <v>954</v>
      </c>
      <c r="G1421" s="45" t="s">
        <v>29</v>
      </c>
      <c r="H1421" s="51">
        <v>1</v>
      </c>
      <c r="I1421" s="47" t="s">
        <v>86</v>
      </c>
      <c r="J1421" s="48">
        <f>VLOOKUP(A1421,'[1]תקציב 2026'!$A$1:$M$65536,9,0)</f>
        <v>140000</v>
      </c>
      <c r="K1421" s="49">
        <v>0</v>
      </c>
      <c r="L1421" s="50">
        <v>0</v>
      </c>
    </row>
    <row r="1422" spans="1:12" ht="15.6" outlineLevel="1">
      <c r="A1422" s="11">
        <v>1713300754</v>
      </c>
      <c r="B1422" s="40">
        <v>754</v>
      </c>
      <c r="C1422" s="109">
        <v>713300</v>
      </c>
      <c r="D1422" s="42">
        <v>1</v>
      </c>
      <c r="E1422" s="43"/>
      <c r="F1422" s="44" t="s">
        <v>955</v>
      </c>
      <c r="G1422" s="45" t="s">
        <v>37</v>
      </c>
      <c r="H1422" s="51">
        <f t="shared" ref="H1422:H1485" si="22">J1422/K1422-1</f>
        <v>-1</v>
      </c>
      <c r="I1422" s="47"/>
      <c r="J1422" s="48">
        <f>VLOOKUP(A1422,'[1]תקציב 2026'!$A$1:$M$65536,9,0)</f>
        <v>0</v>
      </c>
      <c r="K1422" s="49">
        <f>119700*0.9</f>
        <v>107730</v>
      </c>
      <c r="L1422" s="50">
        <f>VLOOKUP(A1422,[2]data1761205830331!$A$1:$J$65536,10,0)</f>
        <v>119700</v>
      </c>
    </row>
    <row r="1423" spans="1:12" ht="15.6" outlineLevel="1">
      <c r="A1423" s="11">
        <v>1713300932</v>
      </c>
      <c r="B1423" s="40">
        <v>932</v>
      </c>
      <c r="C1423" s="109">
        <v>713300</v>
      </c>
      <c r="D1423" s="42">
        <v>1</v>
      </c>
      <c r="E1423" s="43"/>
      <c r="F1423" s="44" t="s">
        <v>956</v>
      </c>
      <c r="G1423" s="45" t="s">
        <v>37</v>
      </c>
      <c r="H1423" s="51">
        <f t="shared" si="22"/>
        <v>0</v>
      </c>
      <c r="I1423" s="47"/>
      <c r="J1423" s="48">
        <f>VLOOKUP(A1423,'[1]תקציב 2026'!$A$1:$M$65536,9,0)</f>
        <v>4590</v>
      </c>
      <c r="K1423" s="49">
        <f>VLOOKUP(A1423,[3]גיליון1!$A$1:$C$7693,3,0)*0.9</f>
        <v>4590</v>
      </c>
      <c r="L1423" s="50">
        <f>VLOOKUP(A1423,[2]data1761205830331!$A$1:$J$65536,10,0)</f>
        <v>2787.14</v>
      </c>
    </row>
    <row r="1424" spans="1:12" ht="16.2" outlineLevel="1" thickBot="1">
      <c r="A1424" s="11">
        <v>1713300933</v>
      </c>
      <c r="B1424" s="40">
        <v>933</v>
      </c>
      <c r="C1424" s="109">
        <v>713300</v>
      </c>
      <c r="D1424" s="42">
        <v>1</v>
      </c>
      <c r="E1424" s="43"/>
      <c r="F1424" s="44" t="s">
        <v>957</v>
      </c>
      <c r="G1424" s="45" t="s">
        <v>37</v>
      </c>
      <c r="H1424" s="51">
        <f t="shared" si="22"/>
        <v>0.42916536742542366</v>
      </c>
      <c r="I1424" s="47"/>
      <c r="J1424" s="48">
        <f>VLOOKUP(A1424,'[1]תקציב 2026'!$A$1:$M$65536,9,0)</f>
        <v>275000</v>
      </c>
      <c r="K1424" s="49">
        <f>VLOOKUP(A1424,[3]גיליון1!$A$1:$C$7693,3,0)*0.9</f>
        <v>192420</v>
      </c>
      <c r="L1424" s="50">
        <f>VLOOKUP(A1424,[2]data1761205830331!$A$1:$J$65536,10,0)</f>
        <v>127164.18</v>
      </c>
    </row>
    <row r="1425" spans="1:12" ht="16.2" thickBot="1">
      <c r="A1425" s="11" t="e">
        <v>#VALUE!</v>
      </c>
      <c r="B1425" s="53" t="s">
        <v>958</v>
      </c>
      <c r="C1425" s="223"/>
      <c r="D1425" s="55"/>
      <c r="E1425" s="56"/>
      <c r="F1425" s="116" t="s">
        <v>959</v>
      </c>
      <c r="G1425" s="58"/>
      <c r="H1425" s="166">
        <f>J1425/K1425-1</f>
        <v>-1.7822643436455787E-2</v>
      </c>
      <c r="I1425" s="72"/>
      <c r="J1425" s="74">
        <f>SUBTOTAL(9,J1399:J1424)</f>
        <v>5058400</v>
      </c>
      <c r="K1425" s="92">
        <f>SUBTOTAL(9,K1399:K1424)</f>
        <v>5150190</v>
      </c>
      <c r="L1425" s="75">
        <f>SUBTOTAL(9,L1399:L1424)</f>
        <v>3229915.1700000009</v>
      </c>
    </row>
    <row r="1426" spans="1:12" ht="15.6" outlineLevel="1">
      <c r="A1426" s="11">
        <v>17140000</v>
      </c>
      <c r="B1426" s="64">
        <v>0</v>
      </c>
      <c r="C1426" s="131">
        <v>714000</v>
      </c>
      <c r="D1426" s="66">
        <v>1</v>
      </c>
      <c r="E1426" s="67"/>
      <c r="F1426" s="68" t="s">
        <v>175</v>
      </c>
      <c r="G1426" s="69" t="s">
        <v>15</v>
      </c>
      <c r="H1426" s="51"/>
      <c r="I1426" s="47"/>
      <c r="J1426" s="48"/>
      <c r="K1426" s="49"/>
      <c r="L1426" s="50"/>
    </row>
    <row r="1427" spans="1:12" ht="15.6" outlineLevel="1">
      <c r="A1427" s="11">
        <v>1714000110</v>
      </c>
      <c r="B1427" s="40">
        <v>110</v>
      </c>
      <c r="C1427" s="109">
        <v>714000</v>
      </c>
      <c r="D1427" s="42">
        <v>1</v>
      </c>
      <c r="E1427" s="43"/>
      <c r="F1427" s="44" t="s">
        <v>21</v>
      </c>
      <c r="G1427" s="45" t="s">
        <v>22</v>
      </c>
      <c r="H1427" s="51">
        <f t="shared" si="22"/>
        <v>2.5024390243902239E-2</v>
      </c>
      <c r="I1427" s="47"/>
      <c r="J1427" s="48">
        <f>VLOOKUP(A1427,'[1]תקציב 2026'!$A$1:$M$65536,9,0)</f>
        <v>210129.99999999997</v>
      </c>
      <c r="K1427" s="49">
        <f>VLOOKUP(A1427,[3]גיליון1!$A$1:$C$7693,3,0)</f>
        <v>205000</v>
      </c>
      <c r="L1427" s="50">
        <f>VLOOKUP(A1427,[2]data1761205830331!$A$1:$J$65536,10,0)</f>
        <v>203117.25</v>
      </c>
    </row>
    <row r="1428" spans="1:12" ht="15.6" outlineLevel="1">
      <c r="A1428" s="11">
        <v>1714000119</v>
      </c>
      <c r="B1428" s="40">
        <v>119</v>
      </c>
      <c r="C1428" s="109">
        <v>714000</v>
      </c>
      <c r="D1428" s="42">
        <v>1</v>
      </c>
      <c r="E1428" s="43"/>
      <c r="F1428" s="44" t="s">
        <v>23</v>
      </c>
      <c r="G1428" s="45" t="s">
        <v>22</v>
      </c>
      <c r="H1428" s="51">
        <f t="shared" si="22"/>
        <v>2.5001758210844383E-2</v>
      </c>
      <c r="I1428" s="47"/>
      <c r="J1428" s="48">
        <f>VLOOKUP(A1428,'[1]תקציב 2026'!$A$1:$M$65536,9,0)</f>
        <v>2914899.9999999995</v>
      </c>
      <c r="K1428" s="49">
        <v>2843800</v>
      </c>
      <c r="L1428" s="50">
        <f>VLOOKUP(A1428,[2]data1761205830331!$A$1:$J$65536,10,0)</f>
        <v>2474798.91</v>
      </c>
    </row>
    <row r="1429" spans="1:12" ht="15.6" outlineLevel="1">
      <c r="A1429" s="11">
        <v>1714000122</v>
      </c>
      <c r="B1429" s="40">
        <v>122</v>
      </c>
      <c r="C1429" s="109">
        <v>714000</v>
      </c>
      <c r="D1429" s="42">
        <v>1</v>
      </c>
      <c r="E1429" s="43"/>
      <c r="F1429" s="44" t="s">
        <v>24</v>
      </c>
      <c r="G1429" s="45" t="s">
        <v>22</v>
      </c>
      <c r="H1429" s="51">
        <f t="shared" si="22"/>
        <v>0</v>
      </c>
      <c r="I1429" s="47"/>
      <c r="J1429" s="48">
        <f>VLOOKUP(A1429,'[1]תקציב 2026'!$A$1:$M$65536,9,0)</f>
        <v>20800</v>
      </c>
      <c r="K1429" s="49">
        <f>VLOOKUP(A1429,[3]גיליון1!$A$1:$C$7693,3,0)</f>
        <v>20800</v>
      </c>
      <c r="L1429" s="50">
        <f>VLOOKUP(A1429,[2]data1761205830331!$A$1:$J$65536,10,0)</f>
        <v>17675.27</v>
      </c>
    </row>
    <row r="1430" spans="1:12" ht="15.6" outlineLevel="1">
      <c r="A1430" s="11">
        <v>1714000126</v>
      </c>
      <c r="B1430" s="40">
        <v>126</v>
      </c>
      <c r="C1430" s="109">
        <v>714000</v>
      </c>
      <c r="D1430" s="42">
        <v>1</v>
      </c>
      <c r="E1430" s="43"/>
      <c r="F1430" s="44" t="s">
        <v>25</v>
      </c>
      <c r="G1430" s="45" t="s">
        <v>22</v>
      </c>
      <c r="H1430" s="51">
        <f t="shared" si="22"/>
        <v>0</v>
      </c>
      <c r="I1430" s="47"/>
      <c r="J1430" s="48">
        <f>VLOOKUP(A1430,'[1]תקציב 2026'!$A$1:$M$65536,9,0)</f>
        <v>48000</v>
      </c>
      <c r="K1430" s="49">
        <f>VLOOKUP(A1430,[3]גיליון1!$A$1:$C$7693,3,0)</f>
        <v>48000</v>
      </c>
      <c r="L1430" s="50">
        <f>VLOOKUP(A1430,[2]data1761205830331!$A$1:$J$65536,10,0)</f>
        <v>44252.84</v>
      </c>
    </row>
    <row r="1431" spans="1:12" ht="15.6" outlineLevel="1">
      <c r="A1431" s="11">
        <v>1714000130</v>
      </c>
      <c r="B1431" s="40">
        <v>130</v>
      </c>
      <c r="C1431" s="109">
        <v>714000</v>
      </c>
      <c r="D1431" s="42">
        <v>1</v>
      </c>
      <c r="E1431" s="43"/>
      <c r="F1431" s="44" t="s">
        <v>26</v>
      </c>
      <c r="G1431" s="45" t="s">
        <v>22</v>
      </c>
      <c r="H1431" s="51">
        <f t="shared" si="22"/>
        <v>0</v>
      </c>
      <c r="I1431" s="47"/>
      <c r="J1431" s="48">
        <f>VLOOKUP(A1431,'[1]תקציב 2026'!$A$1:$M$65536,9,0)</f>
        <v>57100</v>
      </c>
      <c r="K1431" s="49">
        <f>VLOOKUP(A1431,[3]גיליון1!$A$1:$C$7693,3,0)*0.86-4</f>
        <v>57100</v>
      </c>
      <c r="L1431" s="50">
        <f>VLOOKUP(A1431,[2]data1761205830331!$A$1:$J$65536,10,0)</f>
        <v>80239.990000000005</v>
      </c>
    </row>
    <row r="1432" spans="1:12" ht="15.6" outlineLevel="1">
      <c r="A1432" s="11">
        <v>1714000140</v>
      </c>
      <c r="B1432" s="40">
        <v>140</v>
      </c>
      <c r="C1432" s="109">
        <v>714000</v>
      </c>
      <c r="D1432" s="42">
        <v>1</v>
      </c>
      <c r="E1432" s="43"/>
      <c r="F1432" s="44" t="s">
        <v>27</v>
      </c>
      <c r="G1432" s="45" t="s">
        <v>22</v>
      </c>
      <c r="H1432" s="51">
        <f t="shared" si="22"/>
        <v>0</v>
      </c>
      <c r="I1432" s="47"/>
      <c r="J1432" s="48">
        <f>VLOOKUP(A1432,'[1]תקציב 2026'!$A$1:$M$65536,9,0)</f>
        <v>194400</v>
      </c>
      <c r="K1432" s="49">
        <f>VLOOKUP(A1432,[3]גיליון1!$A$1:$C$7693,3,0)</f>
        <v>194400</v>
      </c>
      <c r="L1432" s="50">
        <f>VLOOKUP(A1432,[2]data1761205830331!$A$1:$J$65536,10,0)</f>
        <v>211923.34</v>
      </c>
    </row>
    <row r="1433" spans="1:12" ht="15.6" outlineLevel="1">
      <c r="A1433" s="11">
        <v>1714000433</v>
      </c>
      <c r="B1433" s="40">
        <v>433</v>
      </c>
      <c r="C1433" s="109">
        <v>714000</v>
      </c>
      <c r="D1433" s="42">
        <v>1</v>
      </c>
      <c r="E1433" s="43"/>
      <c r="F1433" s="44" t="s">
        <v>34</v>
      </c>
      <c r="G1433" s="45" t="s">
        <v>37</v>
      </c>
      <c r="H1433" s="51">
        <f t="shared" si="22"/>
        <v>0.33333333333333326</v>
      </c>
      <c r="I1433" s="47"/>
      <c r="J1433" s="48">
        <f>VLOOKUP(A1433,'[1]תקציב 2026'!$A$1:$M$65536,9,0)</f>
        <v>3000</v>
      </c>
      <c r="K1433" s="49">
        <f>VLOOKUP(A1433,[3]גיליון1!$A$1:$C$7693,3,0)*0.9</f>
        <v>2250</v>
      </c>
      <c r="L1433" s="50">
        <f>VLOOKUP(A1433,[2]data1761205830331!$A$1:$J$65536,10,0)</f>
        <v>2159</v>
      </c>
    </row>
    <row r="1434" spans="1:12" ht="15.6" outlineLevel="1">
      <c r="A1434" s="11">
        <v>1714000437</v>
      </c>
      <c r="B1434" s="40">
        <v>437</v>
      </c>
      <c r="C1434" s="109">
        <v>714000</v>
      </c>
      <c r="D1434" s="42">
        <v>1</v>
      </c>
      <c r="E1434" s="43"/>
      <c r="F1434" s="44" t="s">
        <v>38</v>
      </c>
      <c r="G1434" s="45" t="s">
        <v>29</v>
      </c>
      <c r="H1434" s="51">
        <f t="shared" si="22"/>
        <v>0</v>
      </c>
      <c r="I1434" s="47"/>
      <c r="J1434" s="48">
        <f>VLOOKUP(A1434,'[1]תקציב 2026'!$A$1:$M$65536,9,0)</f>
        <v>1300</v>
      </c>
      <c r="K1434" s="49">
        <f>VLOOKUP(A1434,[3]גיליון1!$A$1:$C$7693,3,0)</f>
        <v>1300</v>
      </c>
      <c r="L1434" s="50">
        <f>VLOOKUP(A1434,[2]data1761205830331!$A$1:$J$65536,10,0)</f>
        <v>1221.48</v>
      </c>
    </row>
    <row r="1435" spans="1:12" ht="15.6" outlineLevel="1">
      <c r="A1435" s="11">
        <v>1714000470</v>
      </c>
      <c r="B1435" s="40">
        <v>470</v>
      </c>
      <c r="C1435" s="109">
        <v>714000</v>
      </c>
      <c r="D1435" s="42">
        <v>1</v>
      </c>
      <c r="E1435" s="43"/>
      <c r="F1435" s="44" t="s">
        <v>43</v>
      </c>
      <c r="G1435" s="45" t="s">
        <v>37</v>
      </c>
      <c r="H1435" s="51">
        <f t="shared" si="22"/>
        <v>0</v>
      </c>
      <c r="I1435" s="47"/>
      <c r="J1435" s="48">
        <f>VLOOKUP(A1435,'[1]תקציב 2026'!$A$1:$M$65536,9,0)</f>
        <v>630</v>
      </c>
      <c r="K1435" s="49">
        <f>VLOOKUP(A1435,[3]גיליון1!$A$1:$C$7693,3,0)*0.9</f>
        <v>630</v>
      </c>
      <c r="L1435" s="50">
        <f>VLOOKUP(A1435,[2]data1761205830331!$A$1:$J$65536,10,0)</f>
        <v>456.71</v>
      </c>
    </row>
    <row r="1436" spans="1:12" ht="15.6" outlineLevel="1">
      <c r="A1436" s="11">
        <v>1714000471</v>
      </c>
      <c r="B1436" s="40">
        <v>471</v>
      </c>
      <c r="C1436" s="109">
        <v>714000</v>
      </c>
      <c r="D1436" s="42">
        <v>1</v>
      </c>
      <c r="E1436" s="43"/>
      <c r="F1436" s="44" t="s">
        <v>71</v>
      </c>
      <c r="G1436" s="45" t="s">
        <v>37</v>
      </c>
      <c r="H1436" s="51">
        <f t="shared" si="22"/>
        <v>0.33333333333333326</v>
      </c>
      <c r="I1436" s="47"/>
      <c r="J1436" s="48">
        <f>VLOOKUP(A1436,'[1]תקציב 2026'!$A$1:$M$65536,9,0)</f>
        <v>6000</v>
      </c>
      <c r="K1436" s="49">
        <f>5000*0.9</f>
        <v>4500</v>
      </c>
      <c r="L1436" s="50">
        <f>VLOOKUP(A1436,[2]data1761205830331!$A$1:$J$65536,10,0)</f>
        <v>8116.6</v>
      </c>
    </row>
    <row r="1437" spans="1:12" ht="15.6" outlineLevel="1">
      <c r="A1437" s="11">
        <v>1714000511</v>
      </c>
      <c r="B1437" s="40">
        <v>511</v>
      </c>
      <c r="C1437" s="109">
        <v>714000</v>
      </c>
      <c r="D1437" s="42">
        <v>1</v>
      </c>
      <c r="E1437" s="43"/>
      <c r="F1437" s="44" t="s">
        <v>72</v>
      </c>
      <c r="G1437" s="45" t="s">
        <v>37</v>
      </c>
      <c r="H1437" s="51">
        <f t="shared" si="22"/>
        <v>0.79487179487179493</v>
      </c>
      <c r="I1437" s="47"/>
      <c r="J1437" s="48">
        <f>VLOOKUP(A1437,'[1]תקציב 2026'!$A$1:$M$65536,9,0)</f>
        <v>8400</v>
      </c>
      <c r="K1437" s="49">
        <f>5200*0.9</f>
        <v>4680</v>
      </c>
      <c r="L1437" s="50">
        <f>VLOOKUP(A1437,[2]data1761205830331!$A$1:$J$65536,10,0)</f>
        <v>4558.2</v>
      </c>
    </row>
    <row r="1438" spans="1:12" ht="15.6" outlineLevel="1">
      <c r="A1438" s="11">
        <v>1714000522</v>
      </c>
      <c r="B1438" s="40">
        <v>522</v>
      </c>
      <c r="C1438" s="109">
        <v>714000</v>
      </c>
      <c r="D1438" s="42">
        <v>1</v>
      </c>
      <c r="E1438" s="43"/>
      <c r="F1438" s="44" t="s">
        <v>90</v>
      </c>
      <c r="G1438" s="45" t="s">
        <v>37</v>
      </c>
      <c r="H1438" s="51">
        <f t="shared" si="22"/>
        <v>0.23456790123456783</v>
      </c>
      <c r="I1438" s="47"/>
      <c r="J1438" s="48">
        <f>VLOOKUP(A1438,'[1]תקציב 2026'!$A$1:$M$65536,9,0)</f>
        <v>1000</v>
      </c>
      <c r="K1438" s="49">
        <f>VLOOKUP(A1438,[3]גיליון1!$A$1:$C$7693,3,0)*0.9</f>
        <v>810</v>
      </c>
      <c r="L1438" s="50">
        <f>VLOOKUP(A1438,[2]data1761205830331!$A$1:$J$65536,10,0)</f>
        <v>0</v>
      </c>
    </row>
    <row r="1439" spans="1:12" ht="15.6" outlineLevel="1">
      <c r="A1439" s="11">
        <v>1714000540</v>
      </c>
      <c r="B1439" s="40">
        <v>540</v>
      </c>
      <c r="C1439" s="109">
        <v>714000</v>
      </c>
      <c r="D1439" s="42">
        <v>1</v>
      </c>
      <c r="E1439" s="43"/>
      <c r="F1439" s="44" t="s">
        <v>47</v>
      </c>
      <c r="G1439" s="45" t="s">
        <v>29</v>
      </c>
      <c r="H1439" s="51">
        <f t="shared" si="22"/>
        <v>0.33333333333333326</v>
      </c>
      <c r="I1439" s="47"/>
      <c r="J1439" s="48">
        <f>VLOOKUP(A1439,'[1]תקציב 2026'!$A$1:$M$65536,9,0)</f>
        <v>2000</v>
      </c>
      <c r="K1439" s="49">
        <v>1500</v>
      </c>
      <c r="L1439" s="50">
        <f>VLOOKUP(A1439,[2]data1761205830331!$A$1:$J$65536,10,0)</f>
        <v>2073.02</v>
      </c>
    </row>
    <row r="1440" spans="1:12" ht="15.6" outlineLevel="1">
      <c r="A1440" s="11">
        <v>1714000544</v>
      </c>
      <c r="B1440" s="40">
        <v>544</v>
      </c>
      <c r="C1440" s="109">
        <v>714000</v>
      </c>
      <c r="D1440" s="42">
        <v>1</v>
      </c>
      <c r="E1440" s="43"/>
      <c r="F1440" s="44" t="s">
        <v>743</v>
      </c>
      <c r="G1440" s="45" t="s">
        <v>29</v>
      </c>
      <c r="H1440" s="51">
        <f t="shared" si="22"/>
        <v>0</v>
      </c>
      <c r="I1440" s="47"/>
      <c r="J1440" s="48">
        <f>VLOOKUP(A1440,'[1]תקציב 2026'!$A$1:$M$65536,9,0)</f>
        <v>5000</v>
      </c>
      <c r="K1440" s="49">
        <v>5000</v>
      </c>
      <c r="L1440" s="50">
        <f>VLOOKUP(A1440,[2]data1761205830331!$A$1:$J$65536,10,0)</f>
        <v>2401.1999999999998</v>
      </c>
    </row>
    <row r="1441" spans="1:12" ht="15.6" outlineLevel="1">
      <c r="A1441" s="11">
        <v>1714000550</v>
      </c>
      <c r="B1441" s="40">
        <v>550</v>
      </c>
      <c r="C1441" s="109">
        <v>714000</v>
      </c>
      <c r="D1441" s="42">
        <v>1</v>
      </c>
      <c r="E1441" s="43"/>
      <c r="F1441" s="44" t="s">
        <v>73</v>
      </c>
      <c r="G1441" s="45" t="s">
        <v>37</v>
      </c>
      <c r="H1441" s="51">
        <f t="shared" si="22"/>
        <v>-0.84567901234567899</v>
      </c>
      <c r="I1441" s="47"/>
      <c r="J1441" s="48">
        <f>VLOOKUP(A1441,'[1]תקציב 2026'!$A$1:$M$65536,9,0)</f>
        <v>3000</v>
      </c>
      <c r="K1441" s="49">
        <f>VLOOKUP(A1441,[3]גיליון1!$A$1:$C$7693,3,0)*0.9</f>
        <v>19440</v>
      </c>
      <c r="L1441" s="50">
        <f>VLOOKUP(A1441,[2]data1761205830331!$A$1:$J$65536,10,0)</f>
        <v>617</v>
      </c>
    </row>
    <row r="1442" spans="1:12" ht="15.6" outlineLevel="1">
      <c r="A1442" s="11">
        <v>1714000562</v>
      </c>
      <c r="B1442" s="40">
        <v>562</v>
      </c>
      <c r="C1442" s="109">
        <v>714000</v>
      </c>
      <c r="D1442" s="42">
        <v>1</v>
      </c>
      <c r="E1442" s="43"/>
      <c r="F1442" s="44" t="s">
        <v>748</v>
      </c>
      <c r="G1442" s="45" t="s">
        <v>37</v>
      </c>
      <c r="H1442" s="51">
        <f t="shared" si="22"/>
        <v>-0.77777777777777779</v>
      </c>
      <c r="I1442" s="47"/>
      <c r="J1442" s="48">
        <f>VLOOKUP(A1442,'[1]תקציב 2026'!$A$1:$M$65536,9,0)</f>
        <v>1000</v>
      </c>
      <c r="K1442" s="49">
        <f>5000*0.9</f>
        <v>4500</v>
      </c>
      <c r="L1442" s="50">
        <f>VLOOKUP(A1442,[2]data1761205830331!$A$1:$J$65536,10,0)</f>
        <v>0</v>
      </c>
    </row>
    <row r="1443" spans="1:12" ht="15.6" outlineLevel="1">
      <c r="A1443" s="11">
        <v>1714000571</v>
      </c>
      <c r="B1443" s="40">
        <v>571</v>
      </c>
      <c r="C1443" s="109">
        <v>714000</v>
      </c>
      <c r="D1443" s="42">
        <v>1</v>
      </c>
      <c r="E1443" s="43"/>
      <c r="F1443" s="44" t="s">
        <v>75</v>
      </c>
      <c r="G1443" s="45" t="s">
        <v>29</v>
      </c>
      <c r="H1443" s="51">
        <f t="shared" si="22"/>
        <v>0</v>
      </c>
      <c r="I1443" s="47"/>
      <c r="J1443" s="48">
        <f>VLOOKUP(A1443,'[1]תקציב 2026'!$A$1:$M$65536,9,0)</f>
        <v>58600</v>
      </c>
      <c r="K1443" s="49">
        <v>58600</v>
      </c>
      <c r="L1443" s="50">
        <f>VLOOKUP(A1443,[2]data1761205830331!$A$1:$J$65536,10,0)</f>
        <v>47200</v>
      </c>
    </row>
    <row r="1444" spans="1:12" ht="15.6" outlineLevel="1">
      <c r="A1444" s="11">
        <v>1714000585</v>
      </c>
      <c r="B1444" s="40">
        <v>585</v>
      </c>
      <c r="C1444" s="109">
        <v>714000</v>
      </c>
      <c r="D1444" s="42">
        <v>1</v>
      </c>
      <c r="E1444" s="43"/>
      <c r="F1444" s="44" t="s">
        <v>960</v>
      </c>
      <c r="G1444" s="45" t="s">
        <v>37</v>
      </c>
      <c r="H1444" s="51">
        <f t="shared" si="22"/>
        <v>4.5751633986928164E-2</v>
      </c>
      <c r="I1444" s="47"/>
      <c r="J1444" s="48">
        <f>VLOOKUP(A1444,'[1]תקציב 2026'!$A$1:$M$65536,9,0)</f>
        <v>1600</v>
      </c>
      <c r="K1444" s="49">
        <f>VLOOKUP(A1444,[3]גיליון1!$A$1:$C$7693,3,0)*0.9</f>
        <v>1530</v>
      </c>
      <c r="L1444" s="50">
        <f>VLOOKUP(A1444,[2]data1761205830331!$A$1:$J$65536,10,0)</f>
        <v>0</v>
      </c>
    </row>
    <row r="1445" spans="1:12" ht="15.6" outlineLevel="1">
      <c r="A1445" s="11">
        <v>1714000596</v>
      </c>
      <c r="B1445" s="40">
        <v>596</v>
      </c>
      <c r="C1445" s="109">
        <v>714000</v>
      </c>
      <c r="D1445" s="42">
        <v>1</v>
      </c>
      <c r="E1445" s="43"/>
      <c r="F1445" s="44" t="s">
        <v>76</v>
      </c>
      <c r="G1445" s="45" t="s">
        <v>29</v>
      </c>
      <c r="H1445" s="51">
        <f t="shared" si="22"/>
        <v>4.020100502512558E-2</v>
      </c>
      <c r="I1445" s="47"/>
      <c r="J1445" s="48">
        <f>VLOOKUP(A1445,'[1]תקציב 2026'!$A$1:$M$65536,9,0)</f>
        <v>103500</v>
      </c>
      <c r="K1445" s="49">
        <v>99500</v>
      </c>
      <c r="L1445" s="50">
        <f>VLOOKUP(A1445,[2]data1761205830331!$A$1:$J$65536,10,0)</f>
        <v>100480</v>
      </c>
    </row>
    <row r="1446" spans="1:12" ht="15.6" outlineLevel="1">
      <c r="A1446" s="11">
        <v>1714000723</v>
      </c>
      <c r="B1446" s="40">
        <v>723</v>
      </c>
      <c r="C1446" s="109">
        <v>714000</v>
      </c>
      <c r="D1446" s="42">
        <v>1</v>
      </c>
      <c r="E1446" s="43"/>
      <c r="F1446" s="44" t="s">
        <v>961</v>
      </c>
      <c r="G1446" s="45" t="s">
        <v>29</v>
      </c>
      <c r="H1446" s="51">
        <f t="shared" si="22"/>
        <v>-0.10256410256410253</v>
      </c>
      <c r="I1446" s="47"/>
      <c r="J1446" s="48">
        <f>VLOOKUP(A1446,'[1]תקציב 2026'!$A$1:$M$65536,9,0)</f>
        <v>210000</v>
      </c>
      <c r="K1446" s="49">
        <v>234000</v>
      </c>
      <c r="L1446" s="50">
        <f>VLOOKUP(A1446,[2]data1761205830331!$A$1:$J$65536,10,0)</f>
        <v>182077.36</v>
      </c>
    </row>
    <row r="1447" spans="1:12" ht="15.6" outlineLevel="1">
      <c r="A1447" s="11">
        <v>1714000751</v>
      </c>
      <c r="B1447" s="40">
        <v>751</v>
      </c>
      <c r="C1447" s="109">
        <v>714000</v>
      </c>
      <c r="D1447" s="42">
        <v>1</v>
      </c>
      <c r="E1447" s="43"/>
      <c r="F1447" s="44" t="s">
        <v>53</v>
      </c>
      <c r="G1447" s="45" t="s">
        <v>37</v>
      </c>
      <c r="H1447" s="51">
        <f t="shared" si="22"/>
        <v>0</v>
      </c>
      <c r="I1447" s="47"/>
      <c r="J1447" s="48">
        <f>VLOOKUP(A1447,'[1]תקציב 2026'!$A$1:$M$65536,9,0)</f>
        <v>2700</v>
      </c>
      <c r="K1447" s="49">
        <f>3000*0.9</f>
        <v>2700</v>
      </c>
      <c r="L1447" s="50">
        <f>VLOOKUP(A1447,[2]data1761205830331!$A$1:$J$65536,10,0)</f>
        <v>0</v>
      </c>
    </row>
    <row r="1448" spans="1:12" ht="15.6" outlineLevel="1">
      <c r="A1448" s="11">
        <v>1714000752</v>
      </c>
      <c r="B1448" s="40">
        <v>752</v>
      </c>
      <c r="C1448" s="109">
        <v>714000</v>
      </c>
      <c r="D1448" s="42">
        <v>1</v>
      </c>
      <c r="E1448" s="43"/>
      <c r="F1448" s="44" t="s">
        <v>54</v>
      </c>
      <c r="G1448" s="45" t="s">
        <v>29</v>
      </c>
      <c r="H1448" s="51">
        <f t="shared" si="22"/>
        <v>-7.407407407407407E-2</v>
      </c>
      <c r="I1448" s="47"/>
      <c r="J1448" s="48">
        <f>VLOOKUP(A1448,'[1]תקציב 2026'!$A$1:$M$65536,9,0)</f>
        <v>60000</v>
      </c>
      <c r="K1448" s="49">
        <f>VLOOKUP(A1448,[3]גיליון1!$A$1:$C$7693,3,0)</f>
        <v>64800</v>
      </c>
      <c r="L1448" s="50">
        <f>VLOOKUP(A1448,[2]data1761205830331!$A$1:$J$65536,10,0)</f>
        <v>60469.03</v>
      </c>
    </row>
    <row r="1449" spans="1:12" ht="15.6" outlineLevel="1">
      <c r="A1449" s="11">
        <v>1714000754</v>
      </c>
      <c r="B1449" s="40">
        <v>754</v>
      </c>
      <c r="C1449" s="109">
        <v>714000</v>
      </c>
      <c r="D1449" s="42">
        <v>1</v>
      </c>
      <c r="E1449" s="43"/>
      <c r="F1449" s="44" t="s">
        <v>962</v>
      </c>
      <c r="G1449" s="45" t="s">
        <v>37</v>
      </c>
      <c r="H1449" s="51">
        <f t="shared" si="22"/>
        <v>0.19047619047619047</v>
      </c>
      <c r="I1449" s="47"/>
      <c r="J1449" s="48">
        <f>VLOOKUP(A1449,'[1]תקציב 2026'!$A$1:$M$65536,9,0)</f>
        <v>75000</v>
      </c>
      <c r="K1449" s="49">
        <f>70000*0.9</f>
        <v>63000</v>
      </c>
      <c r="L1449" s="50">
        <f>VLOOKUP(A1449,[2]data1761205830331!$A$1:$J$65536,10,0)</f>
        <v>43493</v>
      </c>
    </row>
    <row r="1450" spans="1:12" ht="15.6" outlineLevel="1">
      <c r="A1450" s="11">
        <v>1714000757</v>
      </c>
      <c r="B1450" s="40">
        <v>757</v>
      </c>
      <c r="C1450" s="109">
        <v>714000</v>
      </c>
      <c r="D1450" s="42">
        <v>1</v>
      </c>
      <c r="E1450" s="43"/>
      <c r="F1450" s="44" t="s">
        <v>963</v>
      </c>
      <c r="G1450" s="45" t="s">
        <v>29</v>
      </c>
      <c r="H1450" s="51">
        <v>0</v>
      </c>
      <c r="I1450" s="47"/>
      <c r="J1450" s="48">
        <f>VLOOKUP(A1450,'[1]תקציב 2026'!$A$1:$M$65536,9,0)</f>
        <v>0</v>
      </c>
      <c r="K1450" s="49">
        <f>VLOOKUP(A1450,[3]גיליון1!$A$1:$C$7693,3,0)</f>
        <v>0</v>
      </c>
      <c r="L1450" s="50">
        <f>VLOOKUP(A1450,[2]data1761205830331!$A$1:$J$65536,10,0)</f>
        <v>1231</v>
      </c>
    </row>
    <row r="1451" spans="1:12" ht="15.6" outlineLevel="1">
      <c r="A1451" s="11">
        <v>1714000758</v>
      </c>
      <c r="B1451" s="40">
        <v>758</v>
      </c>
      <c r="C1451" s="109">
        <v>714000</v>
      </c>
      <c r="D1451" s="42">
        <v>1</v>
      </c>
      <c r="E1451" s="43"/>
      <c r="F1451" s="44" t="s">
        <v>964</v>
      </c>
      <c r="G1451" s="45" t="s">
        <v>29</v>
      </c>
      <c r="H1451" s="51">
        <f t="shared" si="22"/>
        <v>0.43333333333333335</v>
      </c>
      <c r="I1451" s="47"/>
      <c r="J1451" s="48">
        <f>VLOOKUP(A1451,'[1]תקציב 2026'!$A$1:$M$65536,9,0)</f>
        <v>301000</v>
      </c>
      <c r="K1451" s="49">
        <v>210000</v>
      </c>
      <c r="L1451" s="50">
        <f>VLOOKUP(A1451,[2]data1761205830331!$A$1:$J$65536,10,0)</f>
        <v>232379.19</v>
      </c>
    </row>
    <row r="1452" spans="1:12" ht="15.6" outlineLevel="1">
      <c r="A1452" s="11">
        <v>1714000759</v>
      </c>
      <c r="B1452" s="40">
        <v>759</v>
      </c>
      <c r="C1452" s="109">
        <v>714000</v>
      </c>
      <c r="D1452" s="42">
        <v>1</v>
      </c>
      <c r="E1452" s="43"/>
      <c r="F1452" s="146" t="s">
        <v>181</v>
      </c>
      <c r="G1452" s="45" t="s">
        <v>29</v>
      </c>
      <c r="H1452" s="51">
        <f t="shared" si="22"/>
        <v>-7.4497838799898242E-2</v>
      </c>
      <c r="I1452" s="47"/>
      <c r="J1452" s="48">
        <f>VLOOKUP(A1452,'[1]תקציב 2026'!$A$1:$M$65536,9,0)</f>
        <v>364000</v>
      </c>
      <c r="K1452" s="49">
        <f>437000*0.9</f>
        <v>393300</v>
      </c>
      <c r="L1452" s="50">
        <f>VLOOKUP(A1452,[2]data1761205830331!$A$1:$J$65536,10,0)</f>
        <v>373520</v>
      </c>
    </row>
    <row r="1453" spans="1:12" ht="15.6" outlineLevel="1">
      <c r="A1453" s="11">
        <v>1714000780</v>
      </c>
      <c r="B1453" s="40">
        <v>780</v>
      </c>
      <c r="C1453" s="109">
        <v>714000</v>
      </c>
      <c r="D1453" s="42">
        <v>1</v>
      </c>
      <c r="E1453" s="43"/>
      <c r="F1453" s="44" t="s">
        <v>965</v>
      </c>
      <c r="G1453" s="45" t="s">
        <v>29</v>
      </c>
      <c r="H1453" s="51">
        <f t="shared" si="22"/>
        <v>0.11111111111111116</v>
      </c>
      <c r="I1453" s="47"/>
      <c r="J1453" s="48">
        <f>VLOOKUP(A1453,'[1]תקציב 2026'!$A$1:$M$65536,9,0)</f>
        <v>77000</v>
      </c>
      <c r="K1453" s="49">
        <f>VLOOKUP(A1453,[3]גיליון1!$A$1:$C$7693,3,0)*0.9</f>
        <v>69300</v>
      </c>
      <c r="L1453" s="50">
        <f>VLOOKUP(A1453,[2]data1761205830331!$A$1:$J$65536,10,0)</f>
        <v>69033.100000000006</v>
      </c>
    </row>
    <row r="1454" spans="1:12" ht="15.6" outlineLevel="1">
      <c r="A1454" s="11">
        <v>1714000781</v>
      </c>
      <c r="B1454" s="206">
        <v>781</v>
      </c>
      <c r="C1454" s="207">
        <v>714000</v>
      </c>
      <c r="D1454" s="208">
        <v>1</v>
      </c>
      <c r="E1454" s="229"/>
      <c r="F1454" s="44" t="s">
        <v>966</v>
      </c>
      <c r="G1454" s="45" t="s">
        <v>37</v>
      </c>
      <c r="H1454" s="51">
        <f t="shared" si="22"/>
        <v>2.3333333333333335</v>
      </c>
      <c r="I1454" s="47" t="s">
        <v>137</v>
      </c>
      <c r="J1454" s="48">
        <f>VLOOKUP(A1454,'[1]תקציב 2026'!$A$1:$M$65536,9,0)</f>
        <v>90000</v>
      </c>
      <c r="K1454" s="49">
        <f>VLOOKUP(A1454,[3]גיליון1!$A$1:$C$7693,3,0)*0.9</f>
        <v>27000</v>
      </c>
      <c r="L1454" s="50">
        <f>VLOOKUP(A1454,[2]data1761205830331!$A$1:$J$65536,10,0)</f>
        <v>25451.83</v>
      </c>
    </row>
    <row r="1455" spans="1:12" ht="16.2" outlineLevel="1" thickBot="1">
      <c r="A1455" s="11">
        <v>1714000931</v>
      </c>
      <c r="B1455" s="40">
        <v>931</v>
      </c>
      <c r="C1455" s="109">
        <v>714000</v>
      </c>
      <c r="D1455" s="42">
        <v>1</v>
      </c>
      <c r="E1455" s="43"/>
      <c r="F1455" s="44" t="s">
        <v>967</v>
      </c>
      <c r="G1455" s="45" t="s">
        <v>37</v>
      </c>
      <c r="H1455" s="51">
        <f t="shared" si="22"/>
        <v>-0.2592592592592593</v>
      </c>
      <c r="I1455" s="47"/>
      <c r="J1455" s="48">
        <f>VLOOKUP(A1455,'[1]תקציב 2026'!$A$1:$M$65536,9,0)</f>
        <v>20000</v>
      </c>
      <c r="K1455" s="49">
        <f>30000*0.9</f>
        <v>27000</v>
      </c>
      <c r="L1455" s="50">
        <f>VLOOKUP(A1455,[2]data1761205830331!$A$1:$J$65536,10,0)</f>
        <v>30857.200000000001</v>
      </c>
    </row>
    <row r="1456" spans="1:12" ht="16.2" thickBot="1">
      <c r="A1456" s="11" t="e">
        <v>#VALUE!</v>
      </c>
      <c r="B1456" s="53" t="s">
        <v>968</v>
      </c>
      <c r="C1456" s="223"/>
      <c r="D1456" s="55"/>
      <c r="E1456" s="56"/>
      <c r="F1456" s="116" t="s">
        <v>175</v>
      </c>
      <c r="G1456" s="58"/>
      <c r="H1456" s="166">
        <f>J1456/K1456-1</f>
        <v>3.7650821963622683E-2</v>
      </c>
      <c r="I1456" s="72"/>
      <c r="J1456" s="74">
        <f>SUBTOTAL(9,J1427:J1455)</f>
        <v>4840060</v>
      </c>
      <c r="K1456" s="92">
        <f>SUBTOTAL(9,K1427:K1455)</f>
        <v>4664440</v>
      </c>
      <c r="L1456" s="75">
        <f>SUBTOTAL(9,L1427:L1455)</f>
        <v>4219802.5200000005</v>
      </c>
    </row>
    <row r="1457" spans="1:12" ht="15.6" outlineLevel="1">
      <c r="A1457" s="11">
        <v>17150000</v>
      </c>
      <c r="B1457" s="40">
        <v>0</v>
      </c>
      <c r="C1457" s="109">
        <v>715000</v>
      </c>
      <c r="D1457" s="42">
        <v>1</v>
      </c>
      <c r="E1457" s="43"/>
      <c r="F1457" s="44" t="s">
        <v>969</v>
      </c>
      <c r="G1457" s="45" t="s">
        <v>15</v>
      </c>
      <c r="H1457" s="51"/>
      <c r="I1457" s="47"/>
      <c r="J1457" s="48"/>
      <c r="K1457" s="49"/>
      <c r="L1457" s="50"/>
    </row>
    <row r="1458" spans="1:12" s="204" customFormat="1" ht="15.6" outlineLevel="1">
      <c r="A1458" s="11">
        <v>1715300550</v>
      </c>
      <c r="B1458" s="40">
        <v>550</v>
      </c>
      <c r="C1458" s="109">
        <v>715300</v>
      </c>
      <c r="D1458" s="42">
        <v>1</v>
      </c>
      <c r="E1458" s="43"/>
      <c r="F1458" s="44" t="s">
        <v>970</v>
      </c>
      <c r="G1458" s="45" t="s">
        <v>37</v>
      </c>
      <c r="H1458" s="51">
        <f t="shared" si="22"/>
        <v>-0.77777777777777779</v>
      </c>
      <c r="I1458" s="51"/>
      <c r="J1458" s="48">
        <f>VLOOKUP(A1458,'[1]תקציב 2026'!$A$1:$M$65536,9,0)</f>
        <v>2000</v>
      </c>
      <c r="K1458" s="49">
        <f>10000*0.9</f>
        <v>9000</v>
      </c>
      <c r="L1458" s="50">
        <f>VLOOKUP(A1458,[2]data1761205830331!$A$1:$J$65536,10,0)</f>
        <v>877.5</v>
      </c>
    </row>
    <row r="1459" spans="1:12" ht="15.6" outlineLevel="1">
      <c r="A1459" s="11">
        <v>1715300596</v>
      </c>
      <c r="B1459" s="40">
        <v>596</v>
      </c>
      <c r="C1459" s="109">
        <v>715300</v>
      </c>
      <c r="D1459" s="42">
        <v>1</v>
      </c>
      <c r="E1459" s="43"/>
      <c r="F1459" s="44" t="s">
        <v>76</v>
      </c>
      <c r="G1459" s="45" t="s">
        <v>29</v>
      </c>
      <c r="H1459" s="51">
        <f t="shared" si="22"/>
        <v>9.2783505154639068E-2</v>
      </c>
      <c r="I1459" s="47"/>
      <c r="J1459" s="48">
        <f>VLOOKUP(A1459,'[1]תקציב 2026'!$A$1:$M$65536,9,0)</f>
        <v>212000</v>
      </c>
      <c r="K1459" s="49">
        <v>194000</v>
      </c>
      <c r="L1459" s="50">
        <f>VLOOKUP(A1459,[2]data1761205830331!$A$1:$J$65536,10,0)</f>
        <v>191613</v>
      </c>
    </row>
    <row r="1460" spans="1:12" ht="15.6" outlineLevel="1">
      <c r="A1460" s="11">
        <v>1715300757</v>
      </c>
      <c r="B1460" s="40">
        <v>757</v>
      </c>
      <c r="C1460" s="109">
        <v>715300</v>
      </c>
      <c r="D1460" s="42">
        <v>1</v>
      </c>
      <c r="E1460" s="43"/>
      <c r="F1460" s="44" t="s">
        <v>971</v>
      </c>
      <c r="G1460" s="45" t="s">
        <v>37</v>
      </c>
      <c r="H1460" s="51">
        <f t="shared" si="22"/>
        <v>0.22747268341138072</v>
      </c>
      <c r="I1460" s="47"/>
      <c r="J1460" s="48">
        <v>86500</v>
      </c>
      <c r="K1460" s="49">
        <f>VLOOKUP(A1460,[3]גיליון1!$A$1:$C$7693,3,0)*0.9</f>
        <v>70470</v>
      </c>
      <c r="L1460" s="50">
        <f>VLOOKUP(A1460,[2]data1761205830331!$A$1:$J$65536,10,0)</f>
        <v>57643</v>
      </c>
    </row>
    <row r="1461" spans="1:12" ht="16.2" outlineLevel="1" thickBot="1">
      <c r="A1461" s="11">
        <v>1715300759</v>
      </c>
      <c r="B1461" s="40">
        <v>759</v>
      </c>
      <c r="C1461" s="109">
        <v>715300</v>
      </c>
      <c r="D1461" s="42">
        <v>1</v>
      </c>
      <c r="E1461" s="43"/>
      <c r="F1461" s="44" t="s">
        <v>972</v>
      </c>
      <c r="G1461" s="45" t="s">
        <v>29</v>
      </c>
      <c r="H1461" s="51">
        <f t="shared" si="22"/>
        <v>0.12835820895522398</v>
      </c>
      <c r="I1461" s="47"/>
      <c r="J1461" s="48">
        <f>VLOOKUP(A1461,'[1]תקציב 2026'!$A$1:$M$65536,9,0)</f>
        <v>378000</v>
      </c>
      <c r="K1461" s="49">
        <f>VLOOKUP(A1461,[3]גיליון1!$A$1:$C$7693,3,0)</f>
        <v>335000</v>
      </c>
      <c r="L1461" s="50">
        <f>VLOOKUP(A1461,[2]data1761205830331!$A$1:$J$65536,10,0)</f>
        <v>342801.48</v>
      </c>
    </row>
    <row r="1462" spans="1:12" ht="16.2" thickBot="1">
      <c r="A1462" s="11" t="e">
        <v>#VALUE!</v>
      </c>
      <c r="B1462" s="53" t="s">
        <v>973</v>
      </c>
      <c r="C1462" s="223"/>
      <c r="D1462" s="55"/>
      <c r="E1462" s="56"/>
      <c r="F1462" s="116" t="s">
        <v>974</v>
      </c>
      <c r="G1462" s="58"/>
      <c r="H1462" s="166">
        <f>J1462/K1462-1</f>
        <v>0.1150919519450424</v>
      </c>
      <c r="I1462" s="72"/>
      <c r="J1462" s="74">
        <f>SUBTOTAL(9,J1458:J1461)</f>
        <v>678500</v>
      </c>
      <c r="K1462" s="92">
        <f>SUBTOTAL(9,K1458:K1461)</f>
        <v>608470</v>
      </c>
      <c r="L1462" s="75">
        <f>SUBTOTAL(9,L1458:L1461)</f>
        <v>592934.98</v>
      </c>
    </row>
    <row r="1463" spans="1:12" ht="15.6" outlineLevel="1">
      <c r="A1463" s="11">
        <v>17210000</v>
      </c>
      <c r="B1463" s="40">
        <v>0</v>
      </c>
      <c r="C1463" s="109">
        <v>720000</v>
      </c>
      <c r="D1463" s="42">
        <v>1</v>
      </c>
      <c r="E1463" s="43"/>
      <c r="F1463" s="44" t="s">
        <v>975</v>
      </c>
      <c r="G1463" s="45" t="s">
        <v>15</v>
      </c>
      <c r="H1463" s="51"/>
      <c r="I1463" s="47"/>
      <c r="J1463" s="48"/>
      <c r="K1463" s="49"/>
      <c r="L1463" s="50"/>
    </row>
    <row r="1464" spans="1:12" ht="15.6" outlineLevel="1">
      <c r="A1464" s="11">
        <v>1721000110</v>
      </c>
      <c r="B1464" s="64">
        <v>110</v>
      </c>
      <c r="C1464" s="131">
        <v>721000</v>
      </c>
      <c r="D1464" s="66">
        <v>1</v>
      </c>
      <c r="E1464" s="67"/>
      <c r="F1464" s="68" t="s">
        <v>21</v>
      </c>
      <c r="G1464" s="69" t="s">
        <v>22</v>
      </c>
      <c r="H1464" s="51">
        <f t="shared" si="22"/>
        <v>2.4999999999999911E-2</v>
      </c>
      <c r="I1464" s="47"/>
      <c r="J1464" s="48">
        <f>VLOOKUP(A1464,'[1]תקציב 2026'!$A$1:$M$65536,9,0)</f>
        <v>379659.99999999994</v>
      </c>
      <c r="K1464" s="49">
        <v>370400</v>
      </c>
      <c r="L1464" s="50">
        <f>VLOOKUP(A1464,[2]data1761205830331!$A$1:$J$65536,10,0)</f>
        <v>282768.13</v>
      </c>
    </row>
    <row r="1465" spans="1:12" ht="15.6" outlineLevel="1">
      <c r="A1465" s="11">
        <v>1721000119</v>
      </c>
      <c r="B1465" s="40">
        <v>119</v>
      </c>
      <c r="C1465" s="109">
        <v>721000</v>
      </c>
      <c r="D1465" s="42">
        <v>1</v>
      </c>
      <c r="E1465" s="43"/>
      <c r="F1465" s="44" t="s">
        <v>23</v>
      </c>
      <c r="G1465" s="45" t="s">
        <v>22</v>
      </c>
      <c r="H1465" s="51">
        <f t="shared" si="22"/>
        <v>0.1246611864030216</v>
      </c>
      <c r="I1465" s="47"/>
      <c r="J1465" s="48">
        <f>VLOOKUP(A1465,'[1]תקציב 2026'!$A$1:$M$65536,9,0)</f>
        <v>2531050</v>
      </c>
      <c r="K1465" s="49">
        <v>2250500</v>
      </c>
      <c r="L1465" s="50">
        <f>VLOOKUP(A1465,[2]data1761205830331!$A$1:$J$65536,10,0)</f>
        <v>1763410.6</v>
      </c>
    </row>
    <row r="1466" spans="1:12" ht="15.6" outlineLevel="1">
      <c r="A1466" s="11">
        <v>1721000122</v>
      </c>
      <c r="B1466" s="40">
        <v>122</v>
      </c>
      <c r="C1466" s="109">
        <v>721000</v>
      </c>
      <c r="D1466" s="42">
        <v>1</v>
      </c>
      <c r="E1466" s="43"/>
      <c r="F1466" s="44" t="s">
        <v>24</v>
      </c>
      <c r="G1466" s="45" t="s">
        <v>22</v>
      </c>
      <c r="H1466" s="51">
        <f t="shared" si="22"/>
        <v>0.20833333333333326</v>
      </c>
      <c r="I1466" s="47"/>
      <c r="J1466" s="48">
        <f>VLOOKUP(A1466,'[1]תקציב 2026'!$A$1:$M$65536,9,0)</f>
        <v>43500</v>
      </c>
      <c r="K1466" s="49">
        <f>VLOOKUP(A1466,[3]גיליון1!$A$1:$C$7693,3,0)</f>
        <v>36000</v>
      </c>
      <c r="L1466" s="50">
        <f>VLOOKUP(A1466,[2]data1761205830331!$A$1:$J$65536,10,0)</f>
        <v>21653.97</v>
      </c>
    </row>
    <row r="1467" spans="1:12" ht="15.6" outlineLevel="1">
      <c r="A1467" s="11">
        <v>1721000126</v>
      </c>
      <c r="B1467" s="40">
        <v>126</v>
      </c>
      <c r="C1467" s="109">
        <v>721000</v>
      </c>
      <c r="D1467" s="42">
        <v>1</v>
      </c>
      <c r="E1467" s="43"/>
      <c r="F1467" s="44" t="s">
        <v>25</v>
      </c>
      <c r="G1467" s="45" t="s">
        <v>22</v>
      </c>
      <c r="H1467" s="51">
        <f t="shared" si="22"/>
        <v>0.20835443037974688</v>
      </c>
      <c r="I1467" s="47"/>
      <c r="J1467" s="48">
        <v>95460</v>
      </c>
      <c r="K1467" s="49">
        <f>VLOOKUP(A1467,[3]גיליון1!$A$1:$C$7693,3,0)</f>
        <v>79000</v>
      </c>
      <c r="L1467" s="50">
        <f>VLOOKUP(A1467,[2]data1761205830331!$A$1:$J$65536,10,0)</f>
        <v>58349.1</v>
      </c>
    </row>
    <row r="1468" spans="1:12" ht="15.6" outlineLevel="1">
      <c r="A1468" s="11">
        <v>1721000130</v>
      </c>
      <c r="B1468" s="40">
        <v>130</v>
      </c>
      <c r="C1468" s="109">
        <v>721000</v>
      </c>
      <c r="D1468" s="42">
        <v>1</v>
      </c>
      <c r="E1468" s="43"/>
      <c r="F1468" s="44" t="s">
        <v>26</v>
      </c>
      <c r="G1468" s="45" t="s">
        <v>22</v>
      </c>
      <c r="H1468" s="51">
        <f t="shared" si="22"/>
        <v>0</v>
      </c>
      <c r="I1468" s="47"/>
      <c r="J1468" s="48">
        <f>VLOOKUP(A1468,'[1]תקציב 2026'!$A$1:$M$65536,9,0)</f>
        <v>85140</v>
      </c>
      <c r="K1468" s="49">
        <f>VLOOKUP(A1468,[3]גיליון1!$A$1:$C$7693,3,0)*0.86</f>
        <v>85140</v>
      </c>
      <c r="L1468" s="50">
        <f>VLOOKUP(A1468,[2]data1761205830331!$A$1:$J$65536,10,0)</f>
        <v>119161.93</v>
      </c>
    </row>
    <row r="1469" spans="1:12" ht="15.6" outlineLevel="1">
      <c r="A1469" s="11">
        <v>1721000140</v>
      </c>
      <c r="B1469" s="40">
        <v>140</v>
      </c>
      <c r="C1469" s="109">
        <v>721000</v>
      </c>
      <c r="D1469" s="42">
        <v>1</v>
      </c>
      <c r="E1469" s="43"/>
      <c r="F1469" s="44" t="s">
        <v>27</v>
      </c>
      <c r="G1469" s="45" t="s">
        <v>22</v>
      </c>
      <c r="H1469" s="51">
        <f t="shared" si="22"/>
        <v>0</v>
      </c>
      <c r="I1469" s="47"/>
      <c r="J1469" s="48">
        <f>VLOOKUP(A1469,'[1]תקציב 2026'!$A$1:$M$65536,9,0)</f>
        <v>170000</v>
      </c>
      <c r="K1469" s="49">
        <f>VLOOKUP(A1469,[3]גיליון1!$A$1:$C$7693,3,0)</f>
        <v>170000</v>
      </c>
      <c r="L1469" s="50">
        <f>VLOOKUP(A1469,[2]data1761205830331!$A$1:$J$65536,10,0)</f>
        <v>191475.47</v>
      </c>
    </row>
    <row r="1470" spans="1:12" ht="15.6" outlineLevel="1">
      <c r="A1470" s="11">
        <v>1721000253</v>
      </c>
      <c r="B1470" s="40">
        <v>253</v>
      </c>
      <c r="C1470" s="109">
        <v>721000</v>
      </c>
      <c r="D1470" s="42">
        <v>1</v>
      </c>
      <c r="E1470" s="43"/>
      <c r="F1470" s="44" t="s">
        <v>738</v>
      </c>
      <c r="G1470" s="45" t="s">
        <v>22</v>
      </c>
      <c r="H1470" s="51">
        <v>0</v>
      </c>
      <c r="I1470" s="47"/>
      <c r="J1470" s="48">
        <v>0</v>
      </c>
      <c r="K1470" s="49">
        <f>VLOOKUP(A1470,[3]גיליון1!$A$1:$C$7693,3,0)</f>
        <v>0</v>
      </c>
      <c r="L1470" s="50">
        <f>VLOOKUP(A1470,[2]data1761205830331!$A$1:$J$65536,10,0)</f>
        <v>31563.040000000001</v>
      </c>
    </row>
    <row r="1471" spans="1:12" ht="15.6" outlineLevel="1">
      <c r="A1471" s="11">
        <v>1721000350</v>
      </c>
      <c r="B1471" s="40">
        <v>350</v>
      </c>
      <c r="C1471" s="109">
        <v>721000</v>
      </c>
      <c r="D1471" s="42">
        <v>1</v>
      </c>
      <c r="E1471" s="43"/>
      <c r="F1471" s="44" t="s">
        <v>976</v>
      </c>
      <c r="G1471" s="45" t="s">
        <v>22</v>
      </c>
      <c r="H1471" s="51">
        <f t="shared" si="22"/>
        <v>0.16349999999999998</v>
      </c>
      <c r="I1471" s="47"/>
      <c r="J1471" s="48">
        <f>VLOOKUP(A1471,'[1]תקציב 2026'!$A$1:$M$65536,9,0)</f>
        <v>69810</v>
      </c>
      <c r="K1471" s="49">
        <f>VLOOKUP(A1471,[3]גיליון1!$A$1:$C$7693,3,0)</f>
        <v>60000</v>
      </c>
      <c r="L1471" s="50">
        <f>VLOOKUP(A1471,[2]data1761205830331!$A$1:$J$65536,10,0)</f>
        <v>67014.2</v>
      </c>
    </row>
    <row r="1472" spans="1:12" ht="15.6" outlineLevel="1">
      <c r="A1472" s="11">
        <v>1721000351</v>
      </c>
      <c r="B1472" s="40">
        <v>351</v>
      </c>
      <c r="C1472" s="109">
        <v>721000</v>
      </c>
      <c r="D1472" s="42">
        <v>1</v>
      </c>
      <c r="E1472" s="43"/>
      <c r="F1472" s="44" t="s">
        <v>977</v>
      </c>
      <c r="G1472" s="45" t="s">
        <v>22</v>
      </c>
      <c r="H1472" s="51">
        <f t="shared" si="22"/>
        <v>0</v>
      </c>
      <c r="I1472" s="47"/>
      <c r="J1472" s="48">
        <f>VLOOKUP(A1472,'[1]תקציב 2026'!$A$1:$M$65536,9,0)</f>
        <v>40000</v>
      </c>
      <c r="K1472" s="49">
        <f>VLOOKUP(A1472,[3]גיליון1!$A$1:$C$7693,3,0)</f>
        <v>40000</v>
      </c>
      <c r="L1472" s="50">
        <f>VLOOKUP(A1472,[2]data1761205830331!$A$1:$J$65536,10,0)</f>
        <v>41897.129999999997</v>
      </c>
    </row>
    <row r="1473" spans="1:12" ht="15.6" outlineLevel="1">
      <c r="A1473" s="11">
        <v>1721000437</v>
      </c>
      <c r="B1473" s="40">
        <v>437</v>
      </c>
      <c r="C1473" s="109">
        <v>721000</v>
      </c>
      <c r="D1473" s="42">
        <v>1</v>
      </c>
      <c r="E1473" s="43"/>
      <c r="F1473" s="44" t="s">
        <v>978</v>
      </c>
      <c r="G1473" s="45" t="s">
        <v>29</v>
      </c>
      <c r="H1473" s="51">
        <f t="shared" si="22"/>
        <v>0.11111111111111116</v>
      </c>
      <c r="I1473" s="47"/>
      <c r="J1473" s="48">
        <f>VLOOKUP(A1473,'[1]תקציב 2026'!$A$1:$M$65536,9,0)</f>
        <v>150000</v>
      </c>
      <c r="K1473" s="49">
        <f>VLOOKUP(A1473,[3]גיליון1!$A$1:$C$7693,3,0)</f>
        <v>135000</v>
      </c>
      <c r="L1473" s="50">
        <f>VLOOKUP(A1473,[2]data1761205830331!$A$1:$J$65536,10,0)</f>
        <v>116066.76</v>
      </c>
    </row>
    <row r="1474" spans="1:12" s="204" customFormat="1" ht="17.25" customHeight="1" outlineLevel="1">
      <c r="A1474" s="11">
        <v>1721000438</v>
      </c>
      <c r="B1474" s="40">
        <v>438</v>
      </c>
      <c r="C1474" s="109">
        <v>721000</v>
      </c>
      <c r="D1474" s="42">
        <v>1</v>
      </c>
      <c r="E1474" s="43"/>
      <c r="F1474" s="44" t="s">
        <v>979</v>
      </c>
      <c r="G1474" s="45" t="s">
        <v>29</v>
      </c>
      <c r="H1474" s="51">
        <f t="shared" si="22"/>
        <v>0</v>
      </c>
      <c r="I1474" s="51"/>
      <c r="J1474" s="48">
        <f>VLOOKUP(A1474,'[1]תקציב 2026'!$A$1:$M$65536,9,0)</f>
        <v>29700</v>
      </c>
      <c r="K1474" s="49">
        <f>VLOOKUP(A1474,[3]גיליון1!$A$1:$C$7693,3,0)</f>
        <v>29700</v>
      </c>
      <c r="L1474" s="50">
        <f>VLOOKUP(A1474,[2]data1761205830331!$A$1:$J$65536,10,0)</f>
        <v>29660</v>
      </c>
    </row>
    <row r="1475" spans="1:12" s="204" customFormat="1" ht="15.6" outlineLevel="1">
      <c r="A1475" s="11">
        <v>1721000439</v>
      </c>
      <c r="B1475" s="206">
        <v>439</v>
      </c>
      <c r="C1475" s="207">
        <v>721000</v>
      </c>
      <c r="D1475" s="208">
        <v>1</v>
      </c>
      <c r="E1475" s="229"/>
      <c r="F1475" s="210" t="s">
        <v>980</v>
      </c>
      <c r="G1475" s="45" t="s">
        <v>29</v>
      </c>
      <c r="H1475" s="51">
        <v>1</v>
      </c>
      <c r="I1475" s="51"/>
      <c r="J1475" s="48">
        <f>VLOOKUP(A1475,'[1]תקציב 2026'!$A$1:$M$65536,9,0)</f>
        <v>12600</v>
      </c>
      <c r="K1475" s="49">
        <f>VLOOKUP(A1475,[3]גיליון1!$A$1:$C$7693,3,0)</f>
        <v>0</v>
      </c>
      <c r="L1475" s="50">
        <f>VLOOKUP(A1475,[2]data1761205830331!$A$1:$J$65536,10,0)</f>
        <v>0</v>
      </c>
    </row>
    <row r="1476" spans="1:12" ht="15.6" outlineLevel="1">
      <c r="A1476" s="11">
        <v>1721000450</v>
      </c>
      <c r="B1476" s="40">
        <v>450</v>
      </c>
      <c r="C1476" s="109">
        <v>721000</v>
      </c>
      <c r="D1476" s="42">
        <v>1</v>
      </c>
      <c r="E1476" s="43"/>
      <c r="F1476" s="11" t="s">
        <v>41</v>
      </c>
      <c r="G1476" s="45" t="s">
        <v>29</v>
      </c>
      <c r="H1476" s="51">
        <f t="shared" si="22"/>
        <v>0</v>
      </c>
      <c r="I1476" s="47"/>
      <c r="J1476" s="48">
        <f>VLOOKUP(A1476,'[1]תקציב 2026'!$A$1:$M$65536,9,0)</f>
        <v>1000</v>
      </c>
      <c r="K1476" s="49">
        <f>VLOOKUP(A1476,[3]גיליון1!$A$1:$C$7693,3,0)</f>
        <v>1000</v>
      </c>
      <c r="L1476" s="50">
        <f>VLOOKUP(A1476,[2]data1761205830331!$A$1:$J$65536,10,0)</f>
        <v>0</v>
      </c>
    </row>
    <row r="1477" spans="1:12" ht="16.5" customHeight="1" outlineLevel="1">
      <c r="A1477" s="11">
        <v>1721000470</v>
      </c>
      <c r="B1477" s="40">
        <v>470</v>
      </c>
      <c r="C1477" s="109">
        <v>721000</v>
      </c>
      <c r="D1477" s="42">
        <v>1</v>
      </c>
      <c r="E1477" s="43"/>
      <c r="F1477" s="44" t="s">
        <v>43</v>
      </c>
      <c r="G1477" s="45" t="s">
        <v>37</v>
      </c>
      <c r="H1477" s="51">
        <f t="shared" si="22"/>
        <v>0</v>
      </c>
      <c r="I1477" s="51"/>
      <c r="J1477" s="48">
        <f>VLOOKUP(A1477,'[1]תקציב 2026'!$A$1:$M$65536,9,0)</f>
        <v>3690</v>
      </c>
      <c r="K1477" s="49">
        <f>VLOOKUP(A1477,[3]גיליון1!$A$1:$C$7693,3,0)*0.9</f>
        <v>3690</v>
      </c>
      <c r="L1477" s="50">
        <f>VLOOKUP(A1477,[2]data1761205830331!$A$1:$J$65536,10,0)</f>
        <v>1831.28</v>
      </c>
    </row>
    <row r="1478" spans="1:12" ht="15.6" outlineLevel="1">
      <c r="A1478" s="11">
        <v>1721000471</v>
      </c>
      <c r="B1478" s="40">
        <v>471</v>
      </c>
      <c r="C1478" s="109">
        <v>721000</v>
      </c>
      <c r="D1478" s="42">
        <v>1</v>
      </c>
      <c r="E1478" s="43"/>
      <c r="F1478" s="44" t="s">
        <v>71</v>
      </c>
      <c r="G1478" s="45" t="s">
        <v>37</v>
      </c>
      <c r="H1478" s="51">
        <f t="shared" si="22"/>
        <v>0.11111111111111116</v>
      </c>
      <c r="I1478" s="47"/>
      <c r="J1478" s="48">
        <f>VLOOKUP(A1478,'[1]תקציב 2026'!$A$1:$M$65536,9,0)</f>
        <v>11600</v>
      </c>
      <c r="K1478" s="49">
        <f>VLOOKUP(A1478,[3]גיליון1!$A$1:$C$7693,3,0)*0.9</f>
        <v>10440</v>
      </c>
      <c r="L1478" s="50">
        <f>VLOOKUP(A1478,[2]data1761205830331!$A$1:$J$65536,10,0)</f>
        <v>10959.65</v>
      </c>
    </row>
    <row r="1479" spans="1:12" ht="15.6" outlineLevel="1">
      <c r="A1479" s="11">
        <v>1721000511</v>
      </c>
      <c r="B1479" s="40">
        <v>511</v>
      </c>
      <c r="C1479" s="109">
        <v>721000</v>
      </c>
      <c r="D1479" s="42">
        <v>1</v>
      </c>
      <c r="E1479" s="43"/>
      <c r="F1479" s="44" t="s">
        <v>72</v>
      </c>
      <c r="G1479" s="45" t="s">
        <v>37</v>
      </c>
      <c r="H1479" s="51">
        <f t="shared" si="22"/>
        <v>-9.9009900990099098E-3</v>
      </c>
      <c r="I1479" s="47"/>
      <c r="J1479" s="48">
        <f>VLOOKUP(A1479,'[1]תקציב 2026'!$A$1:$M$65536,9,0)</f>
        <v>18000</v>
      </c>
      <c r="K1479" s="49">
        <f>20200*0.9</f>
        <v>18180</v>
      </c>
      <c r="L1479" s="50">
        <f>VLOOKUP(A1479,[2]data1761205830331!$A$1:$J$65536,10,0)</f>
        <v>17042.509999999998</v>
      </c>
    </row>
    <row r="1480" spans="1:12" ht="15.6" outlineLevel="1">
      <c r="A1480" s="11">
        <v>1721000512</v>
      </c>
      <c r="B1480" s="40">
        <v>512</v>
      </c>
      <c r="C1480" s="109">
        <v>721000</v>
      </c>
      <c r="D1480" s="42">
        <v>1</v>
      </c>
      <c r="E1480" s="43"/>
      <c r="F1480" s="44" t="s">
        <v>88</v>
      </c>
      <c r="G1480" s="45" t="s">
        <v>37</v>
      </c>
      <c r="H1480" s="51">
        <f t="shared" si="22"/>
        <v>-1</v>
      </c>
      <c r="I1480" s="47"/>
      <c r="J1480" s="48">
        <v>0</v>
      </c>
      <c r="K1480" s="49">
        <f>VLOOKUP(A1480,[3]גיליון1!$A$1:$C$7693,3,0)*0.9</f>
        <v>360</v>
      </c>
      <c r="L1480" s="50">
        <f>VLOOKUP(A1480,[2]data1761205830331!$A$1:$J$65536,10,0)</f>
        <v>0</v>
      </c>
    </row>
    <row r="1481" spans="1:12" ht="15.6" outlineLevel="1">
      <c r="A1481" s="11">
        <v>1721000522</v>
      </c>
      <c r="B1481" s="40">
        <v>522</v>
      </c>
      <c r="C1481" s="109">
        <v>721000</v>
      </c>
      <c r="D1481" s="42">
        <v>1</v>
      </c>
      <c r="E1481" s="43"/>
      <c r="F1481" s="44" t="s">
        <v>90</v>
      </c>
      <c r="G1481" s="45" t="s">
        <v>37</v>
      </c>
      <c r="H1481" s="51">
        <f t="shared" si="22"/>
        <v>-1</v>
      </c>
      <c r="I1481" s="47"/>
      <c r="J1481" s="48">
        <v>0</v>
      </c>
      <c r="K1481" s="49">
        <f>VLOOKUP(A1481,[3]גיליון1!$A$1:$C$7693,3,0)*0.9</f>
        <v>270</v>
      </c>
      <c r="L1481" s="50">
        <f>VLOOKUP(A1481,[2]data1761205830331!$A$1:$J$65536,10,0)</f>
        <v>0</v>
      </c>
    </row>
    <row r="1482" spans="1:12" ht="15" customHeight="1" outlineLevel="1">
      <c r="A1482" s="11">
        <v>1721000550</v>
      </c>
      <c r="B1482" s="40">
        <v>550</v>
      </c>
      <c r="C1482" s="109">
        <v>721000</v>
      </c>
      <c r="D1482" s="42">
        <v>1</v>
      </c>
      <c r="E1482" s="43"/>
      <c r="F1482" s="44" t="s">
        <v>73</v>
      </c>
      <c r="G1482" s="45" t="s">
        <v>37</v>
      </c>
      <c r="H1482" s="51">
        <f t="shared" si="22"/>
        <v>0</v>
      </c>
      <c r="I1482" s="51"/>
      <c r="J1482" s="48">
        <f>VLOOKUP(A1482,'[1]תקציב 2026'!$A$1:$M$65536,9,0)</f>
        <v>1530</v>
      </c>
      <c r="K1482" s="49">
        <f>VLOOKUP(A1482,[3]גיליון1!$A$1:$C$7693,3,0)*0.9</f>
        <v>1530</v>
      </c>
      <c r="L1482" s="50">
        <f>VLOOKUP(A1482,[2]data1761205830331!$A$1:$J$65536,10,0)</f>
        <v>1700</v>
      </c>
    </row>
    <row r="1483" spans="1:12" ht="15.6" outlineLevel="1">
      <c r="A1483" s="11">
        <v>1721000561</v>
      </c>
      <c r="B1483" s="40">
        <v>561</v>
      </c>
      <c r="C1483" s="109">
        <v>721000</v>
      </c>
      <c r="D1483" s="42">
        <v>1</v>
      </c>
      <c r="E1483" s="43"/>
      <c r="F1483" s="44" t="s">
        <v>74</v>
      </c>
      <c r="G1483" s="45" t="s">
        <v>37</v>
      </c>
      <c r="H1483" s="51">
        <f t="shared" si="22"/>
        <v>0.26262626262626254</v>
      </c>
      <c r="I1483" s="51"/>
      <c r="J1483" s="48">
        <f>VLOOKUP(A1483,'[1]תקציב 2026'!$A$1:$M$65536,9,0)</f>
        <v>25000</v>
      </c>
      <c r="K1483" s="49">
        <f>22000*0.9</f>
        <v>19800</v>
      </c>
      <c r="L1483" s="50">
        <f>VLOOKUP(A1483,[2]data1761205830331!$A$1:$J$65536,10,0)</f>
        <v>5613.66</v>
      </c>
    </row>
    <row r="1484" spans="1:12" ht="15.6" outlineLevel="1">
      <c r="A1484" s="11">
        <v>1721000562</v>
      </c>
      <c r="B1484" s="40">
        <v>562</v>
      </c>
      <c r="C1484" s="109">
        <v>721000</v>
      </c>
      <c r="D1484" s="42">
        <v>1</v>
      </c>
      <c r="E1484" s="43"/>
      <c r="F1484" s="44" t="s">
        <v>748</v>
      </c>
      <c r="G1484" s="45" t="s">
        <v>37</v>
      </c>
      <c r="H1484" s="51">
        <f t="shared" si="22"/>
        <v>0.11111111111111116</v>
      </c>
      <c r="I1484" s="47"/>
      <c r="J1484" s="48">
        <f>VLOOKUP(A1484,'[1]תקציב 2026'!$A$1:$M$65536,9,0)</f>
        <v>2000</v>
      </c>
      <c r="K1484" s="49">
        <f>VLOOKUP(A1484,[3]גיליון1!$A$1:$C$7693,3,0)*0.9</f>
        <v>1800</v>
      </c>
      <c r="L1484" s="50">
        <f>VLOOKUP(A1484,[2]data1761205830331!$A$1:$J$65536,10,0)</f>
        <v>457</v>
      </c>
    </row>
    <row r="1485" spans="1:12" ht="15.6" outlineLevel="1">
      <c r="A1485" s="11">
        <v>1721000571</v>
      </c>
      <c r="B1485" s="40">
        <v>571</v>
      </c>
      <c r="C1485" s="109">
        <v>721000</v>
      </c>
      <c r="D1485" s="42">
        <v>1</v>
      </c>
      <c r="E1485" s="43"/>
      <c r="F1485" s="44" t="s">
        <v>75</v>
      </c>
      <c r="G1485" s="45" t="s">
        <v>29</v>
      </c>
      <c r="H1485" s="51">
        <f t="shared" si="22"/>
        <v>0</v>
      </c>
      <c r="I1485" s="47"/>
      <c r="J1485" s="48">
        <f>VLOOKUP(A1485,'[1]תקציב 2026'!$A$1:$M$65536,9,0)</f>
        <v>96500</v>
      </c>
      <c r="K1485" s="49">
        <v>96500</v>
      </c>
      <c r="L1485" s="50">
        <f>VLOOKUP(A1485,[2]data1761205830331!$A$1:$J$65536,10,0)</f>
        <v>79100</v>
      </c>
    </row>
    <row r="1486" spans="1:12" ht="15.6" outlineLevel="1">
      <c r="A1486" s="11">
        <v>1721000596</v>
      </c>
      <c r="B1486" s="40">
        <v>596</v>
      </c>
      <c r="C1486" s="109">
        <v>721000</v>
      </c>
      <c r="D1486" s="42">
        <v>1</v>
      </c>
      <c r="E1486" s="43"/>
      <c r="F1486" s="44" t="s">
        <v>76</v>
      </c>
      <c r="G1486" s="45" t="s">
        <v>29</v>
      </c>
      <c r="H1486" s="51">
        <f t="shared" ref="H1486:H1547" si="23">J1486/K1486-1</f>
        <v>0.19387755102040827</v>
      </c>
      <c r="I1486" s="47"/>
      <c r="J1486" s="48">
        <f>VLOOKUP(A1486,'[1]תקציב 2026'!$A$1:$M$65536,9,0)</f>
        <v>117000</v>
      </c>
      <c r="K1486" s="49">
        <v>98000</v>
      </c>
      <c r="L1486" s="50">
        <f>VLOOKUP(A1486,[2]data1761205830331!$A$1:$J$65536,10,0)</f>
        <v>96274</v>
      </c>
    </row>
    <row r="1487" spans="1:12" ht="15.6" outlineLevel="1">
      <c r="A1487" s="11">
        <v>1721000710</v>
      </c>
      <c r="B1487" s="40">
        <v>710</v>
      </c>
      <c r="C1487" s="109">
        <v>721000</v>
      </c>
      <c r="D1487" s="42">
        <v>1</v>
      </c>
      <c r="E1487" s="43"/>
      <c r="F1487" s="44" t="s">
        <v>49</v>
      </c>
      <c r="G1487" s="45" t="s">
        <v>37</v>
      </c>
      <c r="H1487" s="51">
        <f t="shared" si="23"/>
        <v>0.11111111111111116</v>
      </c>
      <c r="I1487" s="47"/>
      <c r="J1487" s="48">
        <f>VLOOKUP(A1487,'[1]תקציב 2026'!$A$1:$M$65536,9,0)</f>
        <v>1700</v>
      </c>
      <c r="K1487" s="49">
        <f>VLOOKUP(A1487,[3]גיליון1!$A$1:$C$7693,3,0)*0.9</f>
        <v>1530</v>
      </c>
      <c r="L1487" s="50">
        <f>VLOOKUP(A1487,[2]data1761205830331!$A$1:$J$65536,10,0)</f>
        <v>606.07000000000005</v>
      </c>
    </row>
    <row r="1488" spans="1:12" ht="15.6" outlineLevel="1">
      <c r="A1488" s="11">
        <v>1721000722</v>
      </c>
      <c r="B1488" s="40">
        <v>722</v>
      </c>
      <c r="C1488" s="109">
        <v>721000</v>
      </c>
      <c r="D1488" s="42">
        <v>1</v>
      </c>
      <c r="E1488" s="43"/>
      <c r="F1488" s="44" t="s">
        <v>51</v>
      </c>
      <c r="G1488" s="45" t="s">
        <v>37</v>
      </c>
      <c r="H1488" s="51">
        <f t="shared" si="23"/>
        <v>0.11111111111111116</v>
      </c>
      <c r="I1488" s="47"/>
      <c r="J1488" s="48">
        <f>VLOOKUP(A1488,'[1]תקציב 2026'!$A$1:$M$65536,9,0)</f>
        <v>6300</v>
      </c>
      <c r="K1488" s="49">
        <f>VLOOKUP(A1488,[3]גיליון1!$A$1:$C$7693,3,0)*0.9</f>
        <v>5670</v>
      </c>
      <c r="L1488" s="50">
        <f>VLOOKUP(A1488,[2]data1761205830331!$A$1:$J$65536,10,0)</f>
        <v>6123.37</v>
      </c>
    </row>
    <row r="1489" spans="1:12" ht="15.6" outlineLevel="1">
      <c r="A1489" s="11">
        <v>1721000740</v>
      </c>
      <c r="B1489" s="40">
        <v>740</v>
      </c>
      <c r="C1489" s="109">
        <v>721000</v>
      </c>
      <c r="D1489" s="42">
        <v>1</v>
      </c>
      <c r="E1489" s="43"/>
      <c r="F1489" s="44" t="s">
        <v>981</v>
      </c>
      <c r="G1489" s="45" t="s">
        <v>37</v>
      </c>
      <c r="H1489" s="51">
        <f t="shared" si="23"/>
        <v>0</v>
      </c>
      <c r="I1489" s="47"/>
      <c r="J1489" s="48">
        <f>VLOOKUP(A1489,'[1]תקציב 2026'!$A$1:$M$65536,9,0)</f>
        <v>7200</v>
      </c>
      <c r="K1489" s="49">
        <f>8000*0.9</f>
        <v>7200</v>
      </c>
      <c r="L1489" s="50">
        <f>VLOOKUP(A1489,[2]data1761205830331!$A$1:$J$65536,10,0)</f>
        <v>3072.9</v>
      </c>
    </row>
    <row r="1490" spans="1:12" ht="15.6" outlineLevel="1">
      <c r="A1490" s="11">
        <v>1721000742</v>
      </c>
      <c r="B1490" s="40">
        <v>742</v>
      </c>
      <c r="C1490" s="109">
        <v>721000</v>
      </c>
      <c r="D1490" s="42">
        <v>1</v>
      </c>
      <c r="E1490" s="43"/>
      <c r="F1490" s="44" t="s">
        <v>52</v>
      </c>
      <c r="G1490" s="45" t="s">
        <v>37</v>
      </c>
      <c r="H1490" s="51">
        <f t="shared" si="23"/>
        <v>1.5</v>
      </c>
      <c r="I1490" s="47"/>
      <c r="J1490" s="48">
        <f>VLOOKUP(A1490,'[1]תקציב 2026'!$A$1:$M$65536,9,0)</f>
        <v>13500</v>
      </c>
      <c r="K1490" s="49">
        <f>6000*0.9</f>
        <v>5400</v>
      </c>
      <c r="L1490" s="50">
        <f>VLOOKUP(A1490,[2]data1761205830331!$A$1:$J$65536,10,0)</f>
        <v>13926.47</v>
      </c>
    </row>
    <row r="1491" spans="1:12" ht="15.6" outlineLevel="1">
      <c r="A1491" s="11">
        <v>1721000743</v>
      </c>
      <c r="B1491" s="40">
        <v>743</v>
      </c>
      <c r="C1491" s="109">
        <v>721000</v>
      </c>
      <c r="D1491" s="42">
        <v>1</v>
      </c>
      <c r="E1491" s="43"/>
      <c r="F1491" s="44" t="s">
        <v>982</v>
      </c>
      <c r="G1491" s="45" t="s">
        <v>37</v>
      </c>
      <c r="H1491" s="51">
        <f t="shared" si="23"/>
        <v>1.2222222222222223</v>
      </c>
      <c r="I1491" s="47"/>
      <c r="J1491" s="48">
        <f>VLOOKUP(A1491,'[1]תקציב 2026'!$A$1:$M$65536,9,0)</f>
        <v>150000</v>
      </c>
      <c r="K1491" s="49">
        <f>VLOOKUP(A1491,[3]גיליון1!$A$1:$C$7693,3,0)*0.9</f>
        <v>67500</v>
      </c>
      <c r="L1491" s="50">
        <f>VLOOKUP(A1491,[2]data1761205830331!$A$1:$J$65536,10,0)</f>
        <v>72240.44</v>
      </c>
    </row>
    <row r="1492" spans="1:12" ht="15.6" outlineLevel="1">
      <c r="A1492" s="11">
        <v>1721000780</v>
      </c>
      <c r="B1492" s="40">
        <v>780</v>
      </c>
      <c r="C1492" s="109">
        <v>721000</v>
      </c>
      <c r="D1492" s="42">
        <v>1</v>
      </c>
      <c r="E1492" s="43"/>
      <c r="F1492" s="44" t="s">
        <v>983</v>
      </c>
      <c r="G1492" s="45" t="s">
        <v>37</v>
      </c>
      <c r="H1492" s="51">
        <f t="shared" si="23"/>
        <v>0.11111111111111116</v>
      </c>
      <c r="I1492" s="47"/>
      <c r="J1492" s="48">
        <f>VLOOKUP(A1492,'[1]תקציב 2026'!$A$1:$M$65536,9,0)</f>
        <v>35900</v>
      </c>
      <c r="K1492" s="49">
        <f>VLOOKUP(A1492,[3]גיליון1!$A$1:$C$7693,3,0)*0.9</f>
        <v>32310</v>
      </c>
      <c r="L1492" s="50">
        <f>VLOOKUP(A1492,[2]data1761205830331!$A$1:$J$65536,10,0)</f>
        <v>35839.800000000003</v>
      </c>
    </row>
    <row r="1493" spans="1:12" ht="15.6" outlineLevel="1">
      <c r="A1493" s="11">
        <v>1721000781</v>
      </c>
      <c r="B1493" s="40">
        <v>781</v>
      </c>
      <c r="C1493" s="109">
        <v>721000</v>
      </c>
      <c r="D1493" s="42">
        <v>1</v>
      </c>
      <c r="E1493" s="43"/>
      <c r="F1493" s="44" t="s">
        <v>984</v>
      </c>
      <c r="G1493" s="45" t="s">
        <v>37</v>
      </c>
      <c r="H1493" s="51">
        <f t="shared" si="23"/>
        <v>0.11111111111111116</v>
      </c>
      <c r="I1493" s="47"/>
      <c r="J1493" s="48">
        <f>VLOOKUP(A1493,'[1]תקציב 2026'!$A$1:$M$65536,9,0)</f>
        <v>15300</v>
      </c>
      <c r="K1493" s="49">
        <f>VLOOKUP(A1493,[3]גיליון1!$A$1:$C$7693,3,0)*0.9</f>
        <v>13770</v>
      </c>
      <c r="L1493" s="50">
        <f>VLOOKUP(A1493,[2]data1761205830331!$A$1:$J$65536,10,0)</f>
        <v>15299.09</v>
      </c>
    </row>
    <row r="1494" spans="1:12" ht="15.6" outlineLevel="1">
      <c r="A1494" s="11">
        <v>1721000782</v>
      </c>
      <c r="B1494" s="40">
        <v>782</v>
      </c>
      <c r="C1494" s="109">
        <v>721000</v>
      </c>
      <c r="D1494" s="42">
        <v>1</v>
      </c>
      <c r="E1494" s="43"/>
      <c r="F1494" s="44" t="s">
        <v>985</v>
      </c>
      <c r="G1494" s="45" t="s">
        <v>29</v>
      </c>
      <c r="H1494" s="51">
        <f t="shared" si="23"/>
        <v>1.3111111111111109</v>
      </c>
      <c r="I1494" s="47" t="s">
        <v>137</v>
      </c>
      <c r="J1494" s="48">
        <f>VLOOKUP(A1494,'[1]תקציב 2026'!$A$1:$M$65536,9,0)</f>
        <v>2600000</v>
      </c>
      <c r="K1494" s="49">
        <f>1250000*0.9</f>
        <v>1125000</v>
      </c>
      <c r="L1494" s="50">
        <f>VLOOKUP(A1494,[2]data1761205830331!$A$1:$J$65536,10,0)</f>
        <v>1554348.95</v>
      </c>
    </row>
    <row r="1495" spans="1:12" ht="15.6" outlineLevel="1">
      <c r="A1495" s="11">
        <v>1721000784</v>
      </c>
      <c r="B1495" s="40">
        <v>784</v>
      </c>
      <c r="C1495" s="109">
        <v>721000</v>
      </c>
      <c r="D1495" s="42">
        <v>1</v>
      </c>
      <c r="E1495" s="43"/>
      <c r="F1495" s="44" t="s">
        <v>986</v>
      </c>
      <c r="G1495" s="45" t="s">
        <v>37</v>
      </c>
      <c r="H1495" s="51">
        <f t="shared" si="23"/>
        <v>0.29629629629629628</v>
      </c>
      <c r="I1495" s="47"/>
      <c r="J1495" s="48">
        <f>VLOOKUP(A1495,'[1]תקציב 2026'!$A$1:$M$65536,9,0)</f>
        <v>35000</v>
      </c>
      <c r="K1495" s="49">
        <f>30000*0.9</f>
        <v>27000</v>
      </c>
      <c r="L1495" s="50">
        <f>VLOOKUP(A1495,[2]data1761205830331!$A$1:$J$65536,10,0)</f>
        <v>23858.74</v>
      </c>
    </row>
    <row r="1496" spans="1:12" ht="15.6" outlineLevel="1">
      <c r="A1496" s="11">
        <v>1721000931</v>
      </c>
      <c r="B1496" s="40">
        <v>931</v>
      </c>
      <c r="C1496" s="109">
        <v>721000</v>
      </c>
      <c r="D1496" s="42">
        <v>1</v>
      </c>
      <c r="E1496" s="43"/>
      <c r="F1496" s="44" t="s">
        <v>987</v>
      </c>
      <c r="G1496" s="45" t="s">
        <v>37</v>
      </c>
      <c r="H1496" s="51">
        <f t="shared" si="23"/>
        <v>0.11111111111111116</v>
      </c>
      <c r="I1496" s="47"/>
      <c r="J1496" s="48">
        <f>VLOOKUP(A1496,'[1]תקציב 2026'!$A$1:$M$65536,9,0)</f>
        <v>45000</v>
      </c>
      <c r="K1496" s="49">
        <f>VLOOKUP(A1496,[3]גיליון1!$A$1:$C$7693,3,0)*0.9</f>
        <v>40500</v>
      </c>
      <c r="L1496" s="50">
        <f>VLOOKUP(A1496,[2]data1761205830331!$A$1:$J$65536,10,0)</f>
        <v>36891.81</v>
      </c>
    </row>
    <row r="1497" spans="1:12" ht="15.6" outlineLevel="1">
      <c r="A1497" s="11">
        <v>1721000932</v>
      </c>
      <c r="B1497" s="40">
        <v>932</v>
      </c>
      <c r="C1497" s="109">
        <v>721000</v>
      </c>
      <c r="D1497" s="42">
        <v>1</v>
      </c>
      <c r="E1497" s="43"/>
      <c r="F1497" s="44" t="s">
        <v>988</v>
      </c>
      <c r="G1497" s="45" t="s">
        <v>37</v>
      </c>
      <c r="H1497" s="51">
        <f t="shared" si="23"/>
        <v>0.11111111111111116</v>
      </c>
      <c r="I1497" s="47"/>
      <c r="J1497" s="48">
        <f>VLOOKUP(A1497,'[1]תקציב 2026'!$A$1:$M$65536,9,0)</f>
        <v>34200</v>
      </c>
      <c r="K1497" s="49">
        <f>VLOOKUP(A1497,[3]גיליון1!$A$1:$C$7693,3,0)*0.9</f>
        <v>30780</v>
      </c>
      <c r="L1497" s="50">
        <f>VLOOKUP(A1497,[2]data1761205830331!$A$1:$J$65536,10,0)</f>
        <v>34200</v>
      </c>
    </row>
    <row r="1498" spans="1:12" ht="16.2" outlineLevel="1" thickBot="1">
      <c r="A1498" s="11">
        <v>1721000933</v>
      </c>
      <c r="B1498" s="40">
        <v>933</v>
      </c>
      <c r="C1498" s="109">
        <v>721000</v>
      </c>
      <c r="D1498" s="42">
        <v>1</v>
      </c>
      <c r="E1498" s="43"/>
      <c r="F1498" s="44" t="s">
        <v>989</v>
      </c>
      <c r="G1498" s="45" t="s">
        <v>37</v>
      </c>
      <c r="H1498" s="51">
        <f t="shared" si="23"/>
        <v>0.11111111111111116</v>
      </c>
      <c r="I1498" s="47"/>
      <c r="J1498" s="48">
        <f>VLOOKUP(A1498,'[1]תקציב 2026'!$A$1:$M$65536,9,0)</f>
        <v>9000</v>
      </c>
      <c r="K1498" s="49">
        <f>VLOOKUP(A1498,[3]גיליון1!$A$1:$C$7693,3,0)*0.9</f>
        <v>8100</v>
      </c>
      <c r="L1498" s="50">
        <f>VLOOKUP(A1498,[2]data1761205830331!$A$1:$J$65536,10,0)</f>
        <v>8925</v>
      </c>
    </row>
    <row r="1499" spans="1:12" ht="16.2" thickBot="1">
      <c r="A1499" s="11" t="e">
        <v>#VALUE!</v>
      </c>
      <c r="B1499" s="53" t="s">
        <v>990</v>
      </c>
      <c r="C1499" s="223"/>
      <c r="D1499" s="55"/>
      <c r="E1499" s="56"/>
      <c r="F1499" s="116" t="s">
        <v>991</v>
      </c>
      <c r="G1499" s="58"/>
      <c r="H1499" s="166">
        <f>J1499/K1499-1</f>
        <v>0.40316949469116814</v>
      </c>
      <c r="I1499" s="72"/>
      <c r="J1499" s="74">
        <f>SUBTOTAL(9,J1464:J1498)</f>
        <v>6836340</v>
      </c>
      <c r="K1499" s="92">
        <f>SUBTOTAL(9,K1464:K1498)</f>
        <v>4872070</v>
      </c>
      <c r="L1499" s="75">
        <f>SUBTOTAL(9,L1464:L1498)</f>
        <v>4741331.0699999994</v>
      </c>
    </row>
    <row r="1500" spans="1:12" ht="15.6" outlineLevel="1">
      <c r="A1500" s="11">
        <v>17211000</v>
      </c>
      <c r="B1500" s="40">
        <v>0</v>
      </c>
      <c r="C1500" s="109">
        <v>721100</v>
      </c>
      <c r="D1500" s="42">
        <v>1</v>
      </c>
      <c r="E1500" s="43"/>
      <c r="F1500" s="44" t="s">
        <v>992</v>
      </c>
      <c r="G1500" s="45"/>
      <c r="H1500" s="51"/>
      <c r="I1500" s="47"/>
      <c r="J1500" s="48"/>
      <c r="K1500" s="49"/>
      <c r="L1500" s="50"/>
    </row>
    <row r="1501" spans="1:12" ht="15.6" outlineLevel="1">
      <c r="A1501" s="11">
        <v>1721100580</v>
      </c>
      <c r="B1501" s="40">
        <v>580</v>
      </c>
      <c r="C1501" s="109">
        <v>721100</v>
      </c>
      <c r="D1501" s="42">
        <v>1</v>
      </c>
      <c r="E1501" s="43"/>
      <c r="F1501" s="44" t="s">
        <v>993</v>
      </c>
      <c r="G1501" s="45" t="s">
        <v>29</v>
      </c>
      <c r="H1501" s="51">
        <f t="shared" si="23"/>
        <v>0.33266699983341663</v>
      </c>
      <c r="I1501" s="47"/>
      <c r="J1501" s="48">
        <f>VLOOKUP(A1501,'[1]תקציב 2026'!$A$1:$M$65536,9,0)</f>
        <v>80000</v>
      </c>
      <c r="K1501" s="49">
        <f>VLOOKUP(A1501,[3]גיליון1!$A$1:$C$7693,3,0)*0.9</f>
        <v>60030</v>
      </c>
      <c r="L1501" s="50">
        <f>VLOOKUP(A1501,[2]data1761205830331!$A$1:$J$65536,10,0)</f>
        <v>45268.76</v>
      </c>
    </row>
    <row r="1502" spans="1:12" ht="15.6" outlineLevel="1">
      <c r="A1502" s="11">
        <v>1721100581</v>
      </c>
      <c r="B1502" s="40">
        <v>581</v>
      </c>
      <c r="C1502" s="109">
        <v>721100</v>
      </c>
      <c r="D1502" s="42">
        <v>1</v>
      </c>
      <c r="E1502" s="43"/>
      <c r="F1502" s="44" t="s">
        <v>994</v>
      </c>
      <c r="G1502" s="45" t="s">
        <v>29</v>
      </c>
      <c r="H1502" s="51">
        <f t="shared" si="23"/>
        <v>1.1633333333333336</v>
      </c>
      <c r="I1502" s="47"/>
      <c r="J1502" s="48">
        <f>VLOOKUP(A1502,'[1]תקציב 2026'!$A$1:$M$65536,9,0)</f>
        <v>467280</v>
      </c>
      <c r="K1502" s="49">
        <f>240000*0.9</f>
        <v>216000</v>
      </c>
      <c r="L1502" s="50">
        <f>VLOOKUP(A1502,[2]data1761205830331!$A$1:$J$65536,10,0)</f>
        <v>532045.81999999995</v>
      </c>
    </row>
    <row r="1503" spans="1:12" ht="16.2" outlineLevel="1" thickBot="1">
      <c r="A1503" s="11">
        <v>1721100780</v>
      </c>
      <c r="B1503" s="40">
        <v>780</v>
      </c>
      <c r="C1503" s="109">
        <v>721100</v>
      </c>
      <c r="D1503" s="42">
        <v>1</v>
      </c>
      <c r="E1503" s="43"/>
      <c r="F1503" s="44" t="s">
        <v>995</v>
      </c>
      <c r="G1503" s="45" t="s">
        <v>37</v>
      </c>
      <c r="H1503" s="51">
        <f t="shared" si="23"/>
        <v>0</v>
      </c>
      <c r="I1503" s="47"/>
      <c r="J1503" s="48">
        <f>VLOOKUP(A1503,'[1]תקציב 2026'!$A$1:$M$65536,9,0)</f>
        <v>6120</v>
      </c>
      <c r="K1503" s="49">
        <f>VLOOKUP(A1503,[3]גיליון1!$A$1:$C$7693,3,0)*0.9</f>
        <v>6120</v>
      </c>
      <c r="L1503" s="50">
        <f>VLOOKUP(A1503,[2]data1761205830331!$A$1:$J$65536,10,0)</f>
        <v>6783.15</v>
      </c>
    </row>
    <row r="1504" spans="1:12" ht="16.2" thickBot="1">
      <c r="A1504" s="11" t="e">
        <v>#VALUE!</v>
      </c>
      <c r="B1504" s="53" t="s">
        <v>996</v>
      </c>
      <c r="C1504" s="223"/>
      <c r="D1504" s="55"/>
      <c r="E1504" s="56"/>
      <c r="F1504" s="116" t="s">
        <v>992</v>
      </c>
      <c r="G1504" s="58"/>
      <c r="H1504" s="166">
        <f>J1504/K1504-1</f>
        <v>0.96136806663122454</v>
      </c>
      <c r="I1504" s="72"/>
      <c r="J1504" s="74">
        <f>SUBTOTAL(9,J1501:J1503)</f>
        <v>553400</v>
      </c>
      <c r="K1504" s="92">
        <f>SUBTOTAL(9,K1501:K1503)</f>
        <v>282150</v>
      </c>
      <c r="L1504" s="75">
        <f>SUBTOTAL(9,L1501:L1503)</f>
        <v>584097.73</v>
      </c>
    </row>
    <row r="1505" spans="1:12" ht="15.6" outlineLevel="1">
      <c r="A1505" s="11">
        <v>17220000</v>
      </c>
      <c r="B1505" s="40">
        <v>0</v>
      </c>
      <c r="C1505" s="109">
        <v>722000</v>
      </c>
      <c r="D1505" s="42">
        <v>1</v>
      </c>
      <c r="E1505" s="43"/>
      <c r="F1505" s="44" t="s">
        <v>997</v>
      </c>
      <c r="G1505" s="45" t="s">
        <v>15</v>
      </c>
      <c r="H1505" s="51"/>
      <c r="I1505" s="47"/>
      <c r="J1505" s="48"/>
      <c r="K1505" s="49"/>
      <c r="L1505" s="50"/>
    </row>
    <row r="1506" spans="1:12" ht="15.6" outlineLevel="1">
      <c r="A1506" s="11">
        <v>1722100412</v>
      </c>
      <c r="B1506" s="40">
        <v>412</v>
      </c>
      <c r="C1506" s="109">
        <v>722100</v>
      </c>
      <c r="D1506" s="42">
        <v>1</v>
      </c>
      <c r="E1506" s="43"/>
      <c r="F1506" s="44" t="s">
        <v>998</v>
      </c>
      <c r="G1506" s="45" t="s">
        <v>29</v>
      </c>
      <c r="H1506" s="51">
        <f t="shared" si="23"/>
        <v>-1</v>
      </c>
      <c r="I1506" s="47"/>
      <c r="J1506" s="48">
        <f>VLOOKUP(A1506,'[1]תקציב 2026'!$A$1:$M$65536,9,0)</f>
        <v>0</v>
      </c>
      <c r="K1506" s="49">
        <v>25000</v>
      </c>
      <c r="L1506" s="50">
        <f>VLOOKUP(A1506,[2]data1761205830331!$A$1:$J$65536,10,0)</f>
        <v>23307.22</v>
      </c>
    </row>
    <row r="1507" spans="1:12" ht="15.6" outlineLevel="1">
      <c r="A1507" s="11">
        <v>1722100431</v>
      </c>
      <c r="B1507" s="40">
        <v>431</v>
      </c>
      <c r="C1507" s="109">
        <v>722100</v>
      </c>
      <c r="D1507" s="42">
        <v>1</v>
      </c>
      <c r="E1507" s="43"/>
      <c r="F1507" s="44" t="s">
        <v>32</v>
      </c>
      <c r="G1507" s="45" t="s">
        <v>29</v>
      </c>
      <c r="H1507" s="51">
        <f t="shared" si="23"/>
        <v>0</v>
      </c>
      <c r="I1507" s="47"/>
      <c r="J1507" s="48">
        <f>VLOOKUP(A1507,'[1]תקציב 2026'!$A$1:$M$65536,9,0)</f>
        <v>20000</v>
      </c>
      <c r="K1507" s="49">
        <v>20000</v>
      </c>
      <c r="L1507" s="50">
        <f>VLOOKUP(A1507,[2]data1761205830331!$A$1:$J$65536,10,0)</f>
        <v>17752.330000000002</v>
      </c>
    </row>
    <row r="1508" spans="1:12" ht="15.6" outlineLevel="1">
      <c r="A1508" s="11">
        <v>1722100433</v>
      </c>
      <c r="B1508" s="40">
        <v>433</v>
      </c>
      <c r="C1508" s="109">
        <v>722100</v>
      </c>
      <c r="D1508" s="42">
        <v>1</v>
      </c>
      <c r="E1508" s="43"/>
      <c r="F1508" s="44" t="s">
        <v>34</v>
      </c>
      <c r="G1508" s="45" t="s">
        <v>37</v>
      </c>
      <c r="H1508" s="51">
        <f t="shared" si="23"/>
        <v>0</v>
      </c>
      <c r="I1508" s="47"/>
      <c r="J1508" s="48">
        <f>VLOOKUP(A1508,'[1]תקציב 2026'!$A$1:$M$65536,9,0)</f>
        <v>1080</v>
      </c>
      <c r="K1508" s="49">
        <f>VLOOKUP(A1508,[3]גיליון1!$A$1:$C$7693,3,0)*0.9</f>
        <v>1080</v>
      </c>
      <c r="L1508" s="50">
        <f>VLOOKUP(A1508,[2]data1761205830331!$A$1:$J$65536,10,0)</f>
        <v>1192.77</v>
      </c>
    </row>
    <row r="1509" spans="1:12" ht="15.6" outlineLevel="1">
      <c r="A1509" s="11">
        <v>1722100471</v>
      </c>
      <c r="B1509" s="40">
        <v>471</v>
      </c>
      <c r="C1509" s="109">
        <v>722100</v>
      </c>
      <c r="D1509" s="42">
        <v>1</v>
      </c>
      <c r="E1509" s="43"/>
      <c r="F1509" s="44" t="s">
        <v>71</v>
      </c>
      <c r="G1509" s="45" t="s">
        <v>37</v>
      </c>
      <c r="H1509" s="51">
        <f t="shared" si="23"/>
        <v>-0.81481481481481488</v>
      </c>
      <c r="I1509" s="47"/>
      <c r="J1509" s="48">
        <f>VLOOKUP(A1509,'[1]תקציב 2026'!$A$1:$M$65536,9,0)</f>
        <v>500</v>
      </c>
      <c r="K1509" s="49">
        <f>VLOOKUP(A1509,[3]גיליון1!$A$1:$C$7693,3,0)*0.9</f>
        <v>2700</v>
      </c>
      <c r="L1509" s="50">
        <f>VLOOKUP(A1509,[2]data1761205830331!$A$1:$J$65536,10,0)</f>
        <v>574</v>
      </c>
    </row>
    <row r="1510" spans="1:12" ht="15.6" outlineLevel="1">
      <c r="A1510" s="11">
        <v>1722100511</v>
      </c>
      <c r="B1510" s="40">
        <v>511</v>
      </c>
      <c r="C1510" s="109">
        <v>722100</v>
      </c>
      <c r="D1510" s="42">
        <v>1</v>
      </c>
      <c r="E1510" s="43"/>
      <c r="F1510" s="44" t="s">
        <v>72</v>
      </c>
      <c r="G1510" s="45" t="s">
        <v>37</v>
      </c>
      <c r="H1510" s="51">
        <f t="shared" si="23"/>
        <v>4.1666666666666741E-2</v>
      </c>
      <c r="I1510" s="47"/>
      <c r="J1510" s="48">
        <f>VLOOKUP(A1510,'[1]תקציב 2026'!$A$1:$M$65536,9,0)</f>
        <v>7500</v>
      </c>
      <c r="K1510" s="49">
        <f>8000*0.9</f>
        <v>7200</v>
      </c>
      <c r="L1510" s="50">
        <f>VLOOKUP(A1510,[2]data1761205830331!$A$1:$J$65536,10,0)</f>
        <v>6462.36</v>
      </c>
    </row>
    <row r="1511" spans="1:12" ht="15.6" outlineLevel="1">
      <c r="A1511" s="11">
        <v>1722100742</v>
      </c>
      <c r="B1511" s="40">
        <v>742</v>
      </c>
      <c r="C1511" s="109">
        <v>722100</v>
      </c>
      <c r="D1511" s="42">
        <v>1</v>
      </c>
      <c r="E1511" s="43"/>
      <c r="F1511" s="44" t="s">
        <v>987</v>
      </c>
      <c r="G1511" s="45" t="s">
        <v>37</v>
      </c>
      <c r="H1511" s="51">
        <f t="shared" si="23"/>
        <v>0</v>
      </c>
      <c r="I1511" s="47"/>
      <c r="J1511" s="48">
        <f>VLOOKUP(A1511,'[1]תקציב 2026'!$A$1:$M$65536,9,0)</f>
        <v>8100</v>
      </c>
      <c r="K1511" s="49">
        <f>9000*0.9</f>
        <v>8100</v>
      </c>
      <c r="L1511" s="50">
        <f>VLOOKUP(A1511,[2]data1761205830331!$A$1:$J$65536,10,0)</f>
        <v>4600</v>
      </c>
    </row>
    <row r="1512" spans="1:12" ht="15.6" outlineLevel="1">
      <c r="A1512" s="11">
        <v>1722100751</v>
      </c>
      <c r="B1512" s="40">
        <v>751</v>
      </c>
      <c r="C1512" s="109">
        <v>722100</v>
      </c>
      <c r="D1512" s="42">
        <v>1</v>
      </c>
      <c r="E1512" s="43"/>
      <c r="F1512" s="44" t="s">
        <v>53</v>
      </c>
      <c r="G1512" s="45" t="s">
        <v>37</v>
      </c>
      <c r="H1512" s="51">
        <v>0</v>
      </c>
      <c r="I1512" s="47"/>
      <c r="J1512" s="48">
        <v>0</v>
      </c>
      <c r="K1512" s="49">
        <v>0</v>
      </c>
      <c r="L1512" s="50">
        <f>VLOOKUP(A1512,[2]data1761205830331!$A$1:$J$65536,10,0)</f>
        <v>4500</v>
      </c>
    </row>
    <row r="1513" spans="1:12" ht="15.6" outlineLevel="1">
      <c r="A1513" s="11">
        <v>1722100780</v>
      </c>
      <c r="B1513" s="40">
        <v>780</v>
      </c>
      <c r="C1513" s="109">
        <v>722100</v>
      </c>
      <c r="D1513" s="42">
        <v>1</v>
      </c>
      <c r="E1513" s="43"/>
      <c r="F1513" s="44" t="s">
        <v>984</v>
      </c>
      <c r="G1513" s="45" t="s">
        <v>37</v>
      </c>
      <c r="H1513" s="51">
        <f t="shared" si="23"/>
        <v>0</v>
      </c>
      <c r="I1513" s="47"/>
      <c r="J1513" s="48">
        <f>VLOOKUP(A1513,'[1]תקציב 2026'!$A$1:$M$65536,9,0)</f>
        <v>18000</v>
      </c>
      <c r="K1513" s="49">
        <f>20000*0.9</f>
        <v>18000</v>
      </c>
      <c r="L1513" s="50">
        <f>VLOOKUP(A1513,[2]data1761205830331!$A$1:$J$65536,10,0)</f>
        <v>0</v>
      </c>
    </row>
    <row r="1514" spans="1:12" ht="15.6" outlineLevel="1">
      <c r="A1514" s="11">
        <v>1722100782</v>
      </c>
      <c r="B1514" s="40">
        <v>782</v>
      </c>
      <c r="C1514" s="109">
        <v>722100</v>
      </c>
      <c r="D1514" s="42">
        <v>1</v>
      </c>
      <c r="E1514" s="43"/>
      <c r="F1514" s="44" t="s">
        <v>999</v>
      </c>
      <c r="G1514" s="45" t="s">
        <v>37</v>
      </c>
      <c r="H1514" s="51">
        <f t="shared" si="23"/>
        <v>0</v>
      </c>
      <c r="I1514" s="47"/>
      <c r="J1514" s="48">
        <f>VLOOKUP(A1514,'[1]תקציב 2026'!$A$1:$M$65536,9,0)</f>
        <v>10800</v>
      </c>
      <c r="K1514" s="49">
        <f>12000*0.9</f>
        <v>10800</v>
      </c>
      <c r="L1514" s="50">
        <f>VLOOKUP(A1514,[2]data1761205830331!$A$1:$J$65536,10,0)</f>
        <v>6619.91</v>
      </c>
    </row>
    <row r="1515" spans="1:12" ht="15.6" outlineLevel="1">
      <c r="A1515" s="11">
        <v>1722100783</v>
      </c>
      <c r="B1515" s="40">
        <v>783</v>
      </c>
      <c r="C1515" s="109">
        <v>722100</v>
      </c>
      <c r="D1515" s="42">
        <v>1</v>
      </c>
      <c r="E1515" s="43"/>
      <c r="F1515" s="44" t="s">
        <v>1000</v>
      </c>
      <c r="G1515" s="45" t="s">
        <v>37</v>
      </c>
      <c r="H1515" s="51">
        <v>0</v>
      </c>
      <c r="I1515" s="47"/>
      <c r="J1515" s="48">
        <v>0</v>
      </c>
      <c r="K1515" s="49">
        <v>0</v>
      </c>
      <c r="L1515" s="50">
        <f>VLOOKUP(A1515,[2]data1761205830331!$A$1:$J$65536,10,0)</f>
        <v>6129.25</v>
      </c>
    </row>
    <row r="1516" spans="1:12" ht="15.6" outlineLevel="1">
      <c r="A1516" s="11">
        <v>1722100784</v>
      </c>
      <c r="B1516" s="40">
        <v>784</v>
      </c>
      <c r="C1516" s="109">
        <v>722100</v>
      </c>
      <c r="D1516" s="42">
        <v>1</v>
      </c>
      <c r="E1516" s="43"/>
      <c r="F1516" s="44" t="s">
        <v>1001</v>
      </c>
      <c r="G1516" s="45" t="s">
        <v>37</v>
      </c>
      <c r="H1516" s="51">
        <v>0</v>
      </c>
      <c r="I1516" s="47"/>
      <c r="J1516" s="48">
        <v>0</v>
      </c>
      <c r="K1516" s="49">
        <v>0</v>
      </c>
      <c r="L1516" s="50">
        <f>VLOOKUP(A1516,[2]data1761205830331!$A$1:$J$65536,10,0)</f>
        <v>24498.880000000001</v>
      </c>
    </row>
    <row r="1517" spans="1:12" ht="15.6" outlineLevel="1">
      <c r="A1517" s="11">
        <v>1722100794</v>
      </c>
      <c r="B1517" s="40">
        <v>794</v>
      </c>
      <c r="C1517" s="109">
        <v>722100</v>
      </c>
      <c r="D1517" s="42">
        <v>1</v>
      </c>
      <c r="E1517" s="43"/>
      <c r="F1517" s="44" t="s">
        <v>58</v>
      </c>
      <c r="G1517" s="45" t="s">
        <v>29</v>
      </c>
      <c r="H1517" s="51">
        <f t="shared" si="23"/>
        <v>0</v>
      </c>
      <c r="I1517" s="47"/>
      <c r="J1517" s="48">
        <f>VLOOKUP(A1517,'[1]תקציב 2026'!$A$1:$M$65536,9,0)</f>
        <v>5100</v>
      </c>
      <c r="K1517" s="49">
        <f>VLOOKUP(A1517,[3]גיליון1!$A$1:$C$7693,3,0)</f>
        <v>5100</v>
      </c>
      <c r="L1517" s="50">
        <f>VLOOKUP(A1517,[2]data1761205830331!$A$1:$J$65536,10,0)</f>
        <v>6083</v>
      </c>
    </row>
    <row r="1518" spans="1:12" ht="16.2" outlineLevel="1" thickBot="1">
      <c r="A1518" s="11">
        <v>1722100932</v>
      </c>
      <c r="B1518" s="40">
        <v>932</v>
      </c>
      <c r="C1518" s="109">
        <v>722100</v>
      </c>
      <c r="D1518" s="42">
        <v>1</v>
      </c>
      <c r="E1518" s="43"/>
      <c r="F1518" s="44" t="s">
        <v>1002</v>
      </c>
      <c r="G1518" s="45" t="s">
        <v>37</v>
      </c>
      <c r="H1518" s="51">
        <f t="shared" si="23"/>
        <v>0</v>
      </c>
      <c r="I1518" s="47"/>
      <c r="J1518" s="48">
        <f>VLOOKUP(A1518,'[1]תקציב 2026'!$A$1:$M$65536,9,0)</f>
        <v>9000</v>
      </c>
      <c r="K1518" s="49">
        <f>10000*0.9</f>
        <v>9000</v>
      </c>
      <c r="L1518" s="50">
        <f>VLOOKUP(A1518,[2]data1761205830331!$A$1:$J$65536,10,0)</f>
        <v>0</v>
      </c>
    </row>
    <row r="1519" spans="1:12" ht="16.2" thickBot="1">
      <c r="A1519" s="11" t="e">
        <v>#VALUE!</v>
      </c>
      <c r="B1519" s="53" t="s">
        <v>1003</v>
      </c>
      <c r="C1519" s="223"/>
      <c r="D1519" s="55"/>
      <c r="E1519" s="56"/>
      <c r="F1519" s="116" t="s">
        <v>1004</v>
      </c>
      <c r="G1519" s="58"/>
      <c r="H1519" s="166">
        <f>J1519/K1519-1</f>
        <v>-0.25144886894746676</v>
      </c>
      <c r="I1519" s="72"/>
      <c r="J1519" s="74">
        <f>SUBTOTAL(9,J1506:J1518)</f>
        <v>80080</v>
      </c>
      <c r="K1519" s="92">
        <f>SUBTOTAL(9,K1506:K1518)</f>
        <v>106980</v>
      </c>
      <c r="L1519" s="75">
        <f>SUBTOTAL(9,L1506:L1518)</f>
        <v>101719.72</v>
      </c>
    </row>
    <row r="1520" spans="1:12" ht="15.6" outlineLevel="1">
      <c r="A1520" s="11">
        <v>17230000</v>
      </c>
      <c r="B1520" s="40">
        <v>0</v>
      </c>
      <c r="C1520" s="109">
        <v>723000</v>
      </c>
      <c r="D1520" s="42">
        <v>1</v>
      </c>
      <c r="E1520" s="43"/>
      <c r="F1520" s="44" t="s">
        <v>183</v>
      </c>
      <c r="G1520" s="45" t="s">
        <v>15</v>
      </c>
      <c r="H1520" s="51"/>
      <c r="I1520" s="47"/>
      <c r="J1520" s="48"/>
      <c r="K1520" s="49"/>
      <c r="L1520" s="50"/>
    </row>
    <row r="1521" spans="1:12" ht="15.6" outlineLevel="1">
      <c r="A1521" s="11">
        <v>1723000110</v>
      </c>
      <c r="B1521" s="40">
        <v>110</v>
      </c>
      <c r="C1521" s="109">
        <v>723000</v>
      </c>
      <c r="D1521" s="42">
        <v>1</v>
      </c>
      <c r="E1521" s="43"/>
      <c r="F1521" s="44" t="s">
        <v>21</v>
      </c>
      <c r="G1521" s="45" t="s">
        <v>22</v>
      </c>
      <c r="H1521" s="51">
        <f t="shared" si="23"/>
        <v>2.5023041474654173E-2</v>
      </c>
      <c r="I1521" s="47"/>
      <c r="J1521" s="48">
        <f>VLOOKUP(A1521,'[1]תקציב 2026'!$A$1:$M$65536,9,0)</f>
        <v>222429.99999999997</v>
      </c>
      <c r="K1521" s="49">
        <f>VLOOKUP(A1521,[3]גיליון1!$A$1:$C$7693,3,0)</f>
        <v>217000</v>
      </c>
      <c r="L1521" s="50">
        <f>VLOOKUP(A1521,[2]data1761205830331!$A$1:$J$65536,10,0)</f>
        <v>214097.13</v>
      </c>
    </row>
    <row r="1522" spans="1:12" ht="15.6" outlineLevel="1">
      <c r="A1522" s="11">
        <v>1723000119</v>
      </c>
      <c r="B1522" s="40">
        <v>119</v>
      </c>
      <c r="C1522" s="109">
        <v>723000</v>
      </c>
      <c r="D1522" s="42">
        <v>1</v>
      </c>
      <c r="E1522" s="43"/>
      <c r="F1522" s="44" t="s">
        <v>23</v>
      </c>
      <c r="G1522" s="45" t="s">
        <v>22</v>
      </c>
      <c r="H1522" s="51">
        <f t="shared" si="23"/>
        <v>2.5008098477486307E-2</v>
      </c>
      <c r="I1522" s="47"/>
      <c r="J1522" s="48">
        <f>VLOOKUP(A1522,'[1]תקציב 2026'!$A$1:$M$65536,9,0)</f>
        <v>632840</v>
      </c>
      <c r="K1522" s="49">
        <v>617400</v>
      </c>
      <c r="L1522" s="50">
        <f>VLOOKUP(A1522,[2]data1761205830331!$A$1:$J$65536,10,0)</f>
        <v>658589.9</v>
      </c>
    </row>
    <row r="1523" spans="1:12" ht="15.6" outlineLevel="1">
      <c r="A1523" s="11">
        <v>1723000122</v>
      </c>
      <c r="B1523" s="40">
        <v>122</v>
      </c>
      <c r="C1523" s="109">
        <v>723000</v>
      </c>
      <c r="D1523" s="42">
        <v>1</v>
      </c>
      <c r="E1523" s="43"/>
      <c r="F1523" s="44" t="s">
        <v>24</v>
      </c>
      <c r="G1523" s="45" t="s">
        <v>22</v>
      </c>
      <c r="H1523" s="51">
        <f t="shared" si="23"/>
        <v>0</v>
      </c>
      <c r="I1523" s="47"/>
      <c r="J1523" s="48">
        <f>VLOOKUP(A1523,'[1]תקציב 2026'!$A$1:$M$65536,9,0)</f>
        <v>12200</v>
      </c>
      <c r="K1523" s="49">
        <f>VLOOKUP(A1523,[3]גיליון1!$A$1:$C$7693,3,0)</f>
        <v>12200</v>
      </c>
      <c r="L1523" s="50">
        <f>VLOOKUP(A1523,[2]data1761205830331!$A$1:$J$65536,10,0)</f>
        <v>11125.36</v>
      </c>
    </row>
    <row r="1524" spans="1:12" ht="15.6" outlineLevel="1">
      <c r="A1524" s="11">
        <v>1723000126</v>
      </c>
      <c r="B1524" s="40">
        <v>126</v>
      </c>
      <c r="C1524" s="109">
        <v>723000</v>
      </c>
      <c r="D1524" s="42">
        <v>1</v>
      </c>
      <c r="E1524" s="43"/>
      <c r="F1524" s="44" t="s">
        <v>25</v>
      </c>
      <c r="G1524" s="45" t="s">
        <v>22</v>
      </c>
      <c r="H1524" s="51">
        <f t="shared" si="23"/>
        <v>0</v>
      </c>
      <c r="I1524" s="47"/>
      <c r="J1524" s="48">
        <f>VLOOKUP(A1524,'[1]תקציב 2026'!$A$1:$M$65536,9,0)</f>
        <v>30000</v>
      </c>
      <c r="K1524" s="49">
        <f>VLOOKUP(A1524,[3]גיליון1!$A$1:$C$7693,3,0)</f>
        <v>30000</v>
      </c>
      <c r="L1524" s="50">
        <f>VLOOKUP(A1524,[2]data1761205830331!$A$1:$J$65536,10,0)</f>
        <v>27529.759999999998</v>
      </c>
    </row>
    <row r="1525" spans="1:12" ht="15.6" outlineLevel="1">
      <c r="A1525" s="11">
        <v>1723000130</v>
      </c>
      <c r="B1525" s="40">
        <v>130</v>
      </c>
      <c r="C1525" s="109">
        <v>723000</v>
      </c>
      <c r="D1525" s="42">
        <v>1</v>
      </c>
      <c r="E1525" s="43"/>
      <c r="F1525" s="44" t="s">
        <v>26</v>
      </c>
      <c r="G1525" s="45" t="s">
        <v>22</v>
      </c>
      <c r="H1525" s="51">
        <f t="shared" si="23"/>
        <v>0</v>
      </c>
      <c r="I1525" s="47"/>
      <c r="J1525" s="48">
        <f>VLOOKUP(A1525,'[1]תקציב 2026'!$A$1:$M$65536,9,0)</f>
        <v>60720</v>
      </c>
      <c r="K1525" s="49">
        <f>VLOOKUP(A1525,[3]גיליון1!$A$1:$C$7693,3,0)*0.86+4</f>
        <v>60720</v>
      </c>
      <c r="L1525" s="50">
        <f>VLOOKUP(A1525,[2]data1761205830331!$A$1:$J$65536,10,0)</f>
        <v>98321.18</v>
      </c>
    </row>
    <row r="1526" spans="1:12" ht="15.6" outlineLevel="1">
      <c r="A1526" s="11">
        <v>1723000140</v>
      </c>
      <c r="B1526" s="40">
        <v>140</v>
      </c>
      <c r="C1526" s="109">
        <v>723000</v>
      </c>
      <c r="D1526" s="42">
        <v>1</v>
      </c>
      <c r="E1526" s="43"/>
      <c r="F1526" s="44" t="s">
        <v>27</v>
      </c>
      <c r="G1526" s="45" t="s">
        <v>22</v>
      </c>
      <c r="H1526" s="51">
        <f t="shared" si="23"/>
        <v>0</v>
      </c>
      <c r="I1526" s="47"/>
      <c r="J1526" s="48">
        <f>VLOOKUP(A1526,'[1]תקציב 2026'!$A$1:$M$65536,9,0)</f>
        <v>83000</v>
      </c>
      <c r="K1526" s="49">
        <f>VLOOKUP(A1526,[3]גיליון1!$A$1:$C$7693,3,0)</f>
        <v>83000</v>
      </c>
      <c r="L1526" s="50">
        <f>VLOOKUP(A1526,[2]data1761205830331!$A$1:$J$65536,10,0)</f>
        <v>101602.85</v>
      </c>
    </row>
    <row r="1527" spans="1:12" ht="15.6" outlineLevel="1">
      <c r="A1527" s="11">
        <v>1723000412</v>
      </c>
      <c r="B1527" s="40">
        <v>412</v>
      </c>
      <c r="C1527" s="109">
        <v>723000</v>
      </c>
      <c r="D1527" s="42">
        <v>1</v>
      </c>
      <c r="E1527" s="43"/>
      <c r="F1527" s="44" t="s">
        <v>120</v>
      </c>
      <c r="G1527" s="45" t="s">
        <v>29</v>
      </c>
      <c r="H1527" s="51">
        <f t="shared" si="23"/>
        <v>0</v>
      </c>
      <c r="I1527" s="47"/>
      <c r="J1527" s="48">
        <f>VLOOKUP(A1527,'[1]תקציב 2026'!$A$1:$M$65536,9,0)</f>
        <v>100000</v>
      </c>
      <c r="K1527" s="49">
        <f>VLOOKUP(A1527,[3]גיליון1!$A$1:$C$7693,3,0)</f>
        <v>100000</v>
      </c>
      <c r="L1527" s="50">
        <f>VLOOKUP(A1527,[2]data1761205830331!$A$1:$J$65536,10,0)</f>
        <v>100000</v>
      </c>
    </row>
    <row r="1528" spans="1:12" ht="15.6" outlineLevel="1">
      <c r="A1528" s="11">
        <v>1723000423</v>
      </c>
      <c r="B1528" s="40">
        <v>423</v>
      </c>
      <c r="C1528" s="109">
        <v>723000</v>
      </c>
      <c r="D1528" s="42">
        <v>1</v>
      </c>
      <c r="E1528" s="43"/>
      <c r="F1528" s="44" t="s">
        <v>31</v>
      </c>
      <c r="G1528" s="45" t="s">
        <v>29</v>
      </c>
      <c r="H1528" s="51">
        <f t="shared" si="23"/>
        <v>0</v>
      </c>
      <c r="I1528" s="47"/>
      <c r="J1528" s="48">
        <f>VLOOKUP(A1528,'[1]תקציב 2026'!$A$1:$M$65536,9,0)</f>
        <v>7500</v>
      </c>
      <c r="K1528" s="49">
        <v>7500</v>
      </c>
      <c r="L1528" s="50">
        <f>VLOOKUP(A1528,[2]data1761205830331!$A$1:$J$65536,10,0)</f>
        <v>5900</v>
      </c>
    </row>
    <row r="1529" spans="1:12" ht="15.6" outlineLevel="1">
      <c r="A1529" s="11">
        <v>1723000431</v>
      </c>
      <c r="B1529" s="40">
        <v>431</v>
      </c>
      <c r="C1529" s="109">
        <v>723000</v>
      </c>
      <c r="D1529" s="42">
        <v>1</v>
      </c>
      <c r="E1529" s="43"/>
      <c r="F1529" s="44" t="s">
        <v>32</v>
      </c>
      <c r="G1529" s="45" t="s">
        <v>29</v>
      </c>
      <c r="H1529" s="51">
        <f t="shared" si="23"/>
        <v>0.78217821782178221</v>
      </c>
      <c r="I1529" s="47"/>
      <c r="J1529" s="48">
        <f>VLOOKUP(A1529,'[1]תקציב 2026'!$A$1:$M$65536,9,0)</f>
        <v>90000</v>
      </c>
      <c r="K1529" s="49">
        <v>50500</v>
      </c>
      <c r="L1529" s="50">
        <f>VLOOKUP(A1529,[2]data1761205830331!$A$1:$J$65536,10,0)</f>
        <v>85047.24</v>
      </c>
    </row>
    <row r="1530" spans="1:12" ht="15.6" outlineLevel="1">
      <c r="A1530" s="11">
        <v>1723000432</v>
      </c>
      <c r="B1530" s="40">
        <v>432</v>
      </c>
      <c r="C1530" s="109">
        <v>723000</v>
      </c>
      <c r="D1530" s="42">
        <v>1</v>
      </c>
      <c r="E1530" s="43"/>
      <c r="F1530" s="44" t="s">
        <v>33</v>
      </c>
      <c r="G1530" s="45" t="s">
        <v>29</v>
      </c>
      <c r="H1530" s="51">
        <f t="shared" si="23"/>
        <v>0</v>
      </c>
      <c r="I1530" s="47"/>
      <c r="J1530" s="48">
        <f>VLOOKUP(A1530,'[1]תקציב 2026'!$A$1:$M$65536,9,0)</f>
        <v>8000</v>
      </c>
      <c r="K1530" s="49">
        <v>8000</v>
      </c>
      <c r="L1530" s="50">
        <f>VLOOKUP(A1530,[2]data1761205830331!$A$1:$J$65536,10,0)</f>
        <v>0</v>
      </c>
    </row>
    <row r="1531" spans="1:12" ht="15.6" outlineLevel="1">
      <c r="A1531" s="11">
        <v>1723000437</v>
      </c>
      <c r="B1531" s="40">
        <v>437</v>
      </c>
      <c r="C1531" s="109">
        <v>723000</v>
      </c>
      <c r="D1531" s="42">
        <v>1</v>
      </c>
      <c r="E1531" s="43"/>
      <c r="F1531" s="44" t="s">
        <v>1005</v>
      </c>
      <c r="G1531" s="45" t="s">
        <v>29</v>
      </c>
      <c r="H1531" s="51">
        <f t="shared" si="23"/>
        <v>0.3214285714285714</v>
      </c>
      <c r="I1531" s="47"/>
      <c r="J1531" s="48">
        <f>VLOOKUP(A1531,'[1]תקציב 2026'!$A$1:$M$65536,9,0)</f>
        <v>3700</v>
      </c>
      <c r="K1531" s="49">
        <f>VLOOKUP(A1531,[3]גיליון1!$A$1:$C$7693,3,0)</f>
        <v>2800</v>
      </c>
      <c r="L1531" s="50">
        <f>VLOOKUP(A1531,[2]data1761205830331!$A$1:$J$65536,10,0)</f>
        <v>3035.3</v>
      </c>
    </row>
    <row r="1532" spans="1:12" ht="15.6" outlineLevel="1">
      <c r="A1532" s="11">
        <v>1723000471</v>
      </c>
      <c r="B1532" s="40">
        <v>471</v>
      </c>
      <c r="C1532" s="109">
        <v>723000</v>
      </c>
      <c r="D1532" s="42">
        <v>1</v>
      </c>
      <c r="E1532" s="43"/>
      <c r="F1532" s="44" t="s">
        <v>71</v>
      </c>
      <c r="G1532" s="45" t="s">
        <v>37</v>
      </c>
      <c r="H1532" s="51">
        <f t="shared" si="23"/>
        <v>0.11111111111111116</v>
      </c>
      <c r="I1532" s="47"/>
      <c r="J1532" s="48">
        <f>VLOOKUP(A1532,'[1]תקציב 2026'!$A$1:$M$65536,9,0)</f>
        <v>1300</v>
      </c>
      <c r="K1532" s="49">
        <f>VLOOKUP(A1532,[3]גיליון1!$A$1:$C$7693,3,0)*0.9</f>
        <v>1170</v>
      </c>
      <c r="L1532" s="50">
        <f>VLOOKUP(A1532,[2]data1761205830331!$A$1:$J$65536,10,0)</f>
        <v>0</v>
      </c>
    </row>
    <row r="1533" spans="1:12" ht="15.6" outlineLevel="1">
      <c r="A1533" s="11">
        <v>1723000477</v>
      </c>
      <c r="B1533" s="40">
        <v>477</v>
      </c>
      <c r="C1533" s="109">
        <v>723000</v>
      </c>
      <c r="D1533" s="42">
        <v>1</v>
      </c>
      <c r="E1533" s="43"/>
      <c r="F1533" s="44" t="s">
        <v>1006</v>
      </c>
      <c r="G1533" s="45" t="s">
        <v>37</v>
      </c>
      <c r="H1533" s="51">
        <f t="shared" si="23"/>
        <v>0.11111111111111116</v>
      </c>
      <c r="I1533" s="47"/>
      <c r="J1533" s="48">
        <f>VLOOKUP(A1533,'[1]תקציב 2026'!$A$1:$M$65536,9,0)</f>
        <v>315000</v>
      </c>
      <c r="K1533" s="49">
        <f>VLOOKUP(A1533,[3]גיליון1!$A$1:$C$7693,3,0)*0.9</f>
        <v>283500</v>
      </c>
      <c r="L1533" s="50">
        <f>VLOOKUP(A1533,[2]data1761205830331!$A$1:$J$65536,10,0)</f>
        <v>314903.05</v>
      </c>
    </row>
    <row r="1534" spans="1:12" ht="15.6" outlineLevel="1">
      <c r="A1534" s="11">
        <v>1723000571</v>
      </c>
      <c r="B1534" s="40">
        <v>571</v>
      </c>
      <c r="C1534" s="109">
        <v>723000</v>
      </c>
      <c r="D1534" s="42">
        <v>1</v>
      </c>
      <c r="E1534" s="43"/>
      <c r="F1534" s="44" t="s">
        <v>75</v>
      </c>
      <c r="G1534" s="45" t="s">
        <v>29</v>
      </c>
      <c r="H1534" s="51">
        <f t="shared" si="23"/>
        <v>0</v>
      </c>
      <c r="I1534" s="47"/>
      <c r="J1534" s="48">
        <f>VLOOKUP(A1534,'[1]תקציב 2026'!$A$1:$M$65536,9,0)</f>
        <v>20500</v>
      </c>
      <c r="K1534" s="49">
        <v>20500</v>
      </c>
      <c r="L1534" s="50">
        <f>VLOOKUP(A1534,[2]data1761205830331!$A$1:$J$65536,10,0)</f>
        <v>15600</v>
      </c>
    </row>
    <row r="1535" spans="1:12" ht="15.6" outlineLevel="1">
      <c r="A1535" s="11">
        <v>1723000710</v>
      </c>
      <c r="B1535" s="40">
        <v>710</v>
      </c>
      <c r="C1535" s="109">
        <v>723000</v>
      </c>
      <c r="D1535" s="42">
        <v>1</v>
      </c>
      <c r="E1535" s="43"/>
      <c r="F1535" s="44" t="s">
        <v>1007</v>
      </c>
      <c r="G1535" s="45" t="s">
        <v>37</v>
      </c>
      <c r="H1535" s="51">
        <f t="shared" si="23"/>
        <v>0.11111111111111116</v>
      </c>
      <c r="I1535" s="47"/>
      <c r="J1535" s="48">
        <f>VLOOKUP(A1535,'[1]תקציב 2026'!$A$1:$M$65536,9,0)</f>
        <v>1000</v>
      </c>
      <c r="K1535" s="49">
        <f>1000*0.9</f>
        <v>900</v>
      </c>
      <c r="L1535" s="50">
        <f>VLOOKUP(A1535,[2]data1761205830331!$A$1:$J$65536,10,0)</f>
        <v>697</v>
      </c>
    </row>
    <row r="1536" spans="1:12" ht="15.6" outlineLevel="1">
      <c r="A1536" s="11">
        <v>1723000721</v>
      </c>
      <c r="B1536" s="40">
        <v>721</v>
      </c>
      <c r="C1536" s="109">
        <v>723000</v>
      </c>
      <c r="D1536" s="42">
        <v>1</v>
      </c>
      <c r="E1536" s="43"/>
      <c r="F1536" s="44" t="s">
        <v>50</v>
      </c>
      <c r="G1536" s="45" t="s">
        <v>37</v>
      </c>
      <c r="H1536" s="51">
        <f t="shared" si="23"/>
        <v>-1</v>
      </c>
      <c r="I1536" s="47"/>
      <c r="J1536" s="48">
        <f>VLOOKUP(A1536,'[1]תקציב 2026'!$A$1:$M$65536,9,0)</f>
        <v>0</v>
      </c>
      <c r="K1536" s="49">
        <f>2700*0.9</f>
        <v>2430</v>
      </c>
      <c r="L1536" s="50">
        <f>VLOOKUP(A1536,[2]data1761205830331!$A$1:$J$65536,10,0)</f>
        <v>1671.6</v>
      </c>
    </row>
    <row r="1537" spans="1:12" ht="15.6" outlineLevel="1">
      <c r="A1537" s="11">
        <v>1723000722</v>
      </c>
      <c r="B1537" s="40">
        <v>722</v>
      </c>
      <c r="C1537" s="109">
        <v>723000</v>
      </c>
      <c r="D1537" s="42">
        <v>1</v>
      </c>
      <c r="E1537" s="43"/>
      <c r="F1537" s="44" t="s">
        <v>51</v>
      </c>
      <c r="G1537" s="45" t="s">
        <v>37</v>
      </c>
      <c r="H1537" s="51">
        <v>1</v>
      </c>
      <c r="I1537" s="47"/>
      <c r="J1537" s="48">
        <f>VLOOKUP(A1537,'[1]תקציב 2026'!$A$1:$M$65536,9,0)</f>
        <v>2430</v>
      </c>
      <c r="K1537" s="49">
        <v>0</v>
      </c>
      <c r="L1537" s="50">
        <f>VLOOKUP(A1537,[2]data1761205830331!$A$1:$J$65536,10,0)</f>
        <v>0</v>
      </c>
    </row>
    <row r="1538" spans="1:12" ht="15.6" outlineLevel="1">
      <c r="A1538" s="11">
        <v>1723000744</v>
      </c>
      <c r="B1538" s="40">
        <v>744</v>
      </c>
      <c r="C1538" s="109">
        <v>723000</v>
      </c>
      <c r="D1538" s="42">
        <v>1</v>
      </c>
      <c r="E1538" s="43"/>
      <c r="F1538" s="44" t="s">
        <v>1008</v>
      </c>
      <c r="G1538" s="45" t="s">
        <v>37</v>
      </c>
      <c r="H1538" s="51">
        <f t="shared" si="23"/>
        <v>0</v>
      </c>
      <c r="I1538" s="47"/>
      <c r="J1538" s="48">
        <f>VLOOKUP(A1538,'[1]תקציב 2026'!$A$1:$M$65536,9,0)</f>
        <v>900</v>
      </c>
      <c r="K1538" s="49">
        <f>1000*0.9</f>
        <v>900</v>
      </c>
      <c r="L1538" s="50">
        <f>VLOOKUP(A1538,[2]data1761205830331!$A$1:$J$65536,10,0)</f>
        <v>5697.83</v>
      </c>
    </row>
    <row r="1539" spans="1:12" ht="15.6" outlineLevel="1">
      <c r="A1539" s="11">
        <v>1723000751</v>
      </c>
      <c r="B1539" s="40">
        <v>751</v>
      </c>
      <c r="C1539" s="109">
        <v>723000</v>
      </c>
      <c r="D1539" s="42">
        <v>1</v>
      </c>
      <c r="E1539" s="43"/>
      <c r="F1539" s="44" t="s">
        <v>53</v>
      </c>
      <c r="G1539" s="45" t="s">
        <v>37</v>
      </c>
      <c r="H1539" s="51">
        <f t="shared" si="23"/>
        <v>0.72839506172839497</v>
      </c>
      <c r="I1539" s="47"/>
      <c r="J1539" s="48">
        <f>VLOOKUP(A1539,'[1]תקציב 2026'!$A$1:$M$65536,9,0)</f>
        <v>21000</v>
      </c>
      <c r="K1539" s="49">
        <f>VLOOKUP(A1539,[3]גיליון1!$A$1:$C$7693,3,0)*0.9</f>
        <v>12150</v>
      </c>
      <c r="L1539" s="50">
        <f>VLOOKUP(A1539,[2]data1761205830331!$A$1:$J$65536,10,0)</f>
        <v>10640</v>
      </c>
    </row>
    <row r="1540" spans="1:12" ht="15.6" outlineLevel="1">
      <c r="A1540" s="11">
        <v>1723000781</v>
      </c>
      <c r="B1540" s="40">
        <v>781</v>
      </c>
      <c r="C1540" s="109">
        <v>723000</v>
      </c>
      <c r="D1540" s="42">
        <v>1</v>
      </c>
      <c r="E1540" s="43"/>
      <c r="F1540" s="44" t="s">
        <v>1009</v>
      </c>
      <c r="G1540" s="45" t="s">
        <v>37</v>
      </c>
      <c r="H1540" s="51">
        <f t="shared" si="23"/>
        <v>0.11111111111111116</v>
      </c>
      <c r="I1540" s="47"/>
      <c r="J1540" s="48">
        <f>VLOOKUP(A1540,'[1]תקציב 2026'!$A$1:$M$65536,9,0)</f>
        <v>4100</v>
      </c>
      <c r="K1540" s="49">
        <f>VLOOKUP(A1540,[3]גיליון1!$A$1:$C$7693,3,0)*0.9</f>
        <v>3690</v>
      </c>
      <c r="L1540" s="50">
        <f>VLOOKUP(A1540,[2]data1761205830331!$A$1:$J$65536,10,0)</f>
        <v>4098.8100000000004</v>
      </c>
    </row>
    <row r="1541" spans="1:12" ht="15.6" outlineLevel="1">
      <c r="A1541" s="11">
        <v>1723000783</v>
      </c>
      <c r="B1541" s="40">
        <v>783</v>
      </c>
      <c r="C1541" s="109">
        <v>723000</v>
      </c>
      <c r="D1541" s="42">
        <v>1</v>
      </c>
      <c r="E1541" s="43"/>
      <c r="F1541" s="44" t="s">
        <v>1010</v>
      </c>
      <c r="G1541" s="45" t="s">
        <v>37</v>
      </c>
      <c r="H1541" s="51">
        <f t="shared" si="23"/>
        <v>0.11111111111111116</v>
      </c>
      <c r="I1541" s="47"/>
      <c r="J1541" s="48">
        <f>VLOOKUP(A1541,'[1]תקציב 2026'!$A$1:$M$65536,9,0)</f>
        <v>2000</v>
      </c>
      <c r="K1541" s="49">
        <f>VLOOKUP(A1541,[3]גיליון1!$A$1:$C$7693,3,0)*0.9</f>
        <v>1800</v>
      </c>
      <c r="L1541" s="50">
        <f>VLOOKUP(A1541,[2]data1761205830331!$A$1:$J$65536,10,0)</f>
        <v>2000</v>
      </c>
    </row>
    <row r="1542" spans="1:12" ht="15.6" outlineLevel="1">
      <c r="A1542" s="11">
        <v>1723000794</v>
      </c>
      <c r="B1542" s="40">
        <v>794</v>
      </c>
      <c r="C1542" s="109">
        <v>723000</v>
      </c>
      <c r="D1542" s="42">
        <v>1</v>
      </c>
      <c r="E1542" s="43"/>
      <c r="F1542" s="44" t="s">
        <v>58</v>
      </c>
      <c r="G1542" s="45" t="s">
        <v>29</v>
      </c>
      <c r="H1542" s="51">
        <f t="shared" si="23"/>
        <v>0</v>
      </c>
      <c r="I1542" s="47"/>
      <c r="J1542" s="48">
        <f>VLOOKUP(A1542,'[1]תקציב 2026'!$A$1:$M$65536,9,0)</f>
        <v>68300</v>
      </c>
      <c r="K1542" s="49">
        <v>68300</v>
      </c>
      <c r="L1542" s="50">
        <f>VLOOKUP(A1542,[2]data1761205830331!$A$1:$J$65536,10,0)</f>
        <v>87426</v>
      </c>
    </row>
    <row r="1543" spans="1:12" ht="15.6" outlineLevel="1">
      <c r="A1543" s="11">
        <v>1723000812</v>
      </c>
      <c r="B1543" s="40">
        <v>812</v>
      </c>
      <c r="C1543" s="109">
        <v>723000</v>
      </c>
      <c r="D1543" s="42">
        <v>1</v>
      </c>
      <c r="E1543" s="43"/>
      <c r="F1543" s="44" t="s">
        <v>1011</v>
      </c>
      <c r="G1543" s="45" t="s">
        <v>29</v>
      </c>
      <c r="H1543" s="51">
        <f t="shared" si="23"/>
        <v>0</v>
      </c>
      <c r="I1543" s="47"/>
      <c r="J1543" s="48">
        <f>VLOOKUP(A1543,'[1]תקציב 2026'!$A$1:$M$65536,9,0)</f>
        <v>1300000</v>
      </c>
      <c r="K1543" s="49">
        <f>VLOOKUP(A1543,[3]גיליון1!$A$1:$C$7693,3,0)</f>
        <v>1300000</v>
      </c>
      <c r="L1543" s="50">
        <f>VLOOKUP(A1543,[2]data1761205830331!$A$1:$J$65536,10,0)</f>
        <v>1089136</v>
      </c>
    </row>
    <row r="1544" spans="1:12" ht="16.2" outlineLevel="1" thickBot="1">
      <c r="A1544" s="11">
        <v>1723000933</v>
      </c>
      <c r="B1544" s="40">
        <v>933</v>
      </c>
      <c r="C1544" s="109">
        <v>723000</v>
      </c>
      <c r="D1544" s="42">
        <v>1</v>
      </c>
      <c r="E1544" s="43"/>
      <c r="F1544" s="44" t="s">
        <v>1012</v>
      </c>
      <c r="G1544" s="45" t="s">
        <v>37</v>
      </c>
      <c r="H1544" s="51">
        <f t="shared" si="23"/>
        <v>0</v>
      </c>
      <c r="I1544" s="47"/>
      <c r="J1544" s="48">
        <f>VLOOKUP(A1544,'[1]תקציב 2026'!$A$1:$M$65536,9,0)</f>
        <v>4500</v>
      </c>
      <c r="K1544" s="49">
        <f>5000*0.9</f>
        <v>4500</v>
      </c>
      <c r="L1544" s="50">
        <f>VLOOKUP(A1544,[2]data1761205830331!$A$1:$J$65536,10,0)</f>
        <v>2548.27</v>
      </c>
    </row>
    <row r="1545" spans="1:12" ht="16.2" thickBot="1">
      <c r="A1545" s="11" t="e">
        <v>#VALUE!</v>
      </c>
      <c r="B1545" s="53" t="s">
        <v>1013</v>
      </c>
      <c r="C1545" s="223"/>
      <c r="D1545" s="55"/>
      <c r="E1545" s="56"/>
      <c r="F1545" s="116" t="s">
        <v>183</v>
      </c>
      <c r="G1545" s="58"/>
      <c r="H1545" s="166">
        <f>J1545/K1545-1</f>
        <v>3.5466050066459864E-2</v>
      </c>
      <c r="I1545" s="72"/>
      <c r="J1545" s="74">
        <f>SUBTOTAL(9,J1521:J1544)</f>
        <v>2991420</v>
      </c>
      <c r="K1545" s="92">
        <f>SUBTOTAL(9,K1521:K1544)</f>
        <v>2888960</v>
      </c>
      <c r="L1545" s="75">
        <f>SUBTOTAL(9,L1521:L1544)</f>
        <v>2839667.2800000007</v>
      </c>
    </row>
    <row r="1546" spans="1:12" ht="15.6" outlineLevel="1">
      <c r="A1546" s="11">
        <v>17240000</v>
      </c>
      <c r="B1546" s="40">
        <v>0</v>
      </c>
      <c r="C1546" s="109">
        <v>724000</v>
      </c>
      <c r="D1546" s="42">
        <v>1</v>
      </c>
      <c r="E1546" s="43"/>
      <c r="F1546" s="44" t="s">
        <v>1014</v>
      </c>
      <c r="G1546" s="45" t="s">
        <v>15</v>
      </c>
      <c r="H1546" s="51"/>
      <c r="I1546" s="47"/>
      <c r="J1546" s="48"/>
      <c r="K1546" s="49"/>
      <c r="L1546" s="50"/>
    </row>
    <row r="1547" spans="1:12" ht="16.2" outlineLevel="1" thickBot="1">
      <c r="A1547" s="11">
        <v>1724000421</v>
      </c>
      <c r="B1547" s="40">
        <v>421</v>
      </c>
      <c r="C1547" s="109">
        <v>724000</v>
      </c>
      <c r="D1547" s="42">
        <v>1</v>
      </c>
      <c r="E1547" s="43"/>
      <c r="F1547" s="44" t="s">
        <v>1015</v>
      </c>
      <c r="G1547" s="45" t="s">
        <v>29</v>
      </c>
      <c r="H1547" s="51">
        <f t="shared" si="23"/>
        <v>0</v>
      </c>
      <c r="I1547" s="47"/>
      <c r="J1547" s="48">
        <f>VLOOKUP(A1547,'[1]תקציב 2026'!$A$1:$M$65536,9,0)</f>
        <v>60000</v>
      </c>
      <c r="K1547" s="49">
        <v>60000</v>
      </c>
      <c r="L1547" s="50">
        <f>VLOOKUP(A1547,[2]data1761205830331!$A$1:$J$65536,10,0)</f>
        <v>24169.13</v>
      </c>
    </row>
    <row r="1548" spans="1:12" ht="16.2" thickBot="1">
      <c r="A1548" s="11" t="e">
        <v>#VALUE!</v>
      </c>
      <c r="B1548" s="53" t="s">
        <v>1016</v>
      </c>
      <c r="C1548" s="223"/>
      <c r="D1548" s="55"/>
      <c r="E1548" s="56"/>
      <c r="F1548" s="116" t="s">
        <v>1014</v>
      </c>
      <c r="G1548" s="58"/>
      <c r="H1548" s="166">
        <v>0</v>
      </c>
      <c r="I1548" s="72"/>
      <c r="J1548" s="74">
        <f>SUBTOTAL(9,J1547:J1547)</f>
        <v>60000</v>
      </c>
      <c r="K1548" s="92">
        <f>SUBTOTAL(9,K1547:K1547)</f>
        <v>60000</v>
      </c>
      <c r="L1548" s="75">
        <f>SUBTOTAL(9,L1547:L1547)</f>
        <v>24169.13</v>
      </c>
    </row>
    <row r="1549" spans="1:12" ht="15.6" outlineLevel="1">
      <c r="A1549" s="11">
        <v>17260000</v>
      </c>
      <c r="B1549" s="64">
        <v>0</v>
      </c>
      <c r="C1549" s="131">
        <v>726000</v>
      </c>
      <c r="D1549" s="66">
        <v>1</v>
      </c>
      <c r="E1549" s="67"/>
      <c r="F1549" s="68" t="s">
        <v>1017</v>
      </c>
      <c r="G1549" s="69" t="s">
        <v>15</v>
      </c>
      <c r="H1549" s="51"/>
      <c r="I1549" s="47"/>
      <c r="J1549" s="48"/>
      <c r="K1549" s="49"/>
      <c r="L1549" s="50"/>
    </row>
    <row r="1550" spans="1:12" ht="15.6" outlineLevel="1">
      <c r="A1550" s="11">
        <v>1726100119</v>
      </c>
      <c r="B1550" s="40">
        <v>119</v>
      </c>
      <c r="C1550" s="109">
        <v>726100</v>
      </c>
      <c r="D1550" s="42">
        <v>1</v>
      </c>
      <c r="E1550" s="43"/>
      <c r="F1550" s="44" t="s">
        <v>23</v>
      </c>
      <c r="G1550" s="45" t="s">
        <v>22</v>
      </c>
      <c r="H1550" s="51">
        <f t="shared" ref="H1550:H1601" si="24">J1550/K1550-1</f>
        <v>-0.35812480202724117</v>
      </c>
      <c r="I1550" s="47"/>
      <c r="J1550" s="48">
        <f>VLOOKUP(A1550,'[1]תקציב 2026'!$A$1:$M$65536,9,0)</f>
        <v>202639.99999999997</v>
      </c>
      <c r="K1550" s="49">
        <v>315700</v>
      </c>
      <c r="L1550" s="50">
        <f>VLOOKUP(A1550,[2]data1761205830331!$A$1:$J$65536,10,0)</f>
        <v>192948.06</v>
      </c>
    </row>
    <row r="1551" spans="1:12" ht="15.6" outlineLevel="1">
      <c r="A1551" s="11">
        <v>1726100122</v>
      </c>
      <c r="B1551" s="40">
        <v>122</v>
      </c>
      <c r="C1551" s="109">
        <v>726100</v>
      </c>
      <c r="D1551" s="42">
        <v>1</v>
      </c>
      <c r="E1551" s="43"/>
      <c r="F1551" s="44" t="s">
        <v>24</v>
      </c>
      <c r="G1551" s="45" t="s">
        <v>22</v>
      </c>
      <c r="H1551" s="51">
        <f t="shared" si="24"/>
        <v>0</v>
      </c>
      <c r="I1551" s="47"/>
      <c r="J1551" s="48">
        <f>VLOOKUP(A1551,'[1]תקציב 2026'!$A$1:$M$65536,9,0)</f>
        <v>4000</v>
      </c>
      <c r="K1551" s="49">
        <f>VLOOKUP(A1551,[3]גיליון1!$A$1:$C$7693,3,0)</f>
        <v>4000</v>
      </c>
      <c r="L1551" s="50">
        <f>VLOOKUP(A1551,[2]data1761205830331!$A$1:$J$65536,10,0)</f>
        <v>5281.12</v>
      </c>
    </row>
    <row r="1552" spans="1:12" ht="15.6" outlineLevel="1">
      <c r="A1552" s="11">
        <v>1726100126</v>
      </c>
      <c r="B1552" s="40">
        <v>126</v>
      </c>
      <c r="C1552" s="109">
        <v>726100</v>
      </c>
      <c r="D1552" s="42">
        <v>1</v>
      </c>
      <c r="E1552" s="43"/>
      <c r="F1552" s="44" t="s">
        <v>25</v>
      </c>
      <c r="G1552" s="45" t="s">
        <v>22</v>
      </c>
      <c r="H1552" s="51">
        <f t="shared" si="24"/>
        <v>0</v>
      </c>
      <c r="I1552" s="47"/>
      <c r="J1552" s="48">
        <f>VLOOKUP(A1552,'[1]תקציב 2026'!$A$1:$M$65536,9,0)</f>
        <v>9000</v>
      </c>
      <c r="K1552" s="49">
        <f>VLOOKUP(A1552,[3]גיליון1!$A$1:$C$7693,3,0)</f>
        <v>9000</v>
      </c>
      <c r="L1552" s="50">
        <f>VLOOKUP(A1552,[2]data1761205830331!$A$1:$J$65536,10,0)</f>
        <v>11058.53</v>
      </c>
    </row>
    <row r="1553" spans="1:12" ht="15.6" outlineLevel="1">
      <c r="A1553" s="11">
        <v>1726100130</v>
      </c>
      <c r="B1553" s="40">
        <v>130</v>
      </c>
      <c r="C1553" s="109">
        <v>726100</v>
      </c>
      <c r="D1553" s="42">
        <v>1</v>
      </c>
      <c r="E1553" s="43"/>
      <c r="F1553" s="44" t="s">
        <v>26</v>
      </c>
      <c r="G1553" s="45" t="s">
        <v>22</v>
      </c>
      <c r="H1553" s="51">
        <f t="shared" si="24"/>
        <v>0</v>
      </c>
      <c r="I1553" s="47"/>
      <c r="J1553" s="48">
        <f>VLOOKUP(A1553,'[1]תקציב 2026'!$A$1:$M$65536,9,0)</f>
        <v>19440</v>
      </c>
      <c r="K1553" s="49">
        <f>VLOOKUP(A1553,[3]גיליון1!$A$1:$C$7693,3,0)*0.86+4</f>
        <v>19440</v>
      </c>
      <c r="L1553" s="50">
        <f>VLOOKUP(A1553,[2]data1761205830331!$A$1:$J$65536,10,0)</f>
        <v>12879.02</v>
      </c>
    </row>
    <row r="1554" spans="1:12" ht="15.6" outlineLevel="1">
      <c r="A1554" s="11">
        <v>1726100140</v>
      </c>
      <c r="B1554" s="40">
        <v>140</v>
      </c>
      <c r="C1554" s="109">
        <v>726100</v>
      </c>
      <c r="D1554" s="42">
        <v>1</v>
      </c>
      <c r="E1554" s="43"/>
      <c r="F1554" s="44" t="s">
        <v>27</v>
      </c>
      <c r="G1554" s="45" t="s">
        <v>22</v>
      </c>
      <c r="H1554" s="51">
        <f t="shared" si="24"/>
        <v>0</v>
      </c>
      <c r="I1554" s="47"/>
      <c r="J1554" s="48">
        <f>VLOOKUP(A1554,'[1]תקציב 2026'!$A$1:$M$65536,9,0)</f>
        <v>33200</v>
      </c>
      <c r="K1554" s="49">
        <f>VLOOKUP(A1554,[3]גיליון1!$A$1:$C$7693,3,0)</f>
        <v>33200</v>
      </c>
      <c r="L1554" s="50">
        <f>VLOOKUP(A1554,[2]data1761205830331!$A$1:$J$65536,10,0)</f>
        <v>16947.080000000002</v>
      </c>
    </row>
    <row r="1555" spans="1:12" ht="15.6" outlineLevel="1">
      <c r="A1555" s="11">
        <v>1726100253</v>
      </c>
      <c r="B1555" s="40">
        <v>253</v>
      </c>
      <c r="C1555" s="109">
        <v>726100</v>
      </c>
      <c r="D1555" s="42">
        <v>1</v>
      </c>
      <c r="E1555" s="43"/>
      <c r="F1555" s="44" t="s">
        <v>738</v>
      </c>
      <c r="G1555" s="45" t="s">
        <v>22</v>
      </c>
      <c r="H1555" s="51">
        <v>0</v>
      </c>
      <c r="I1555" s="47"/>
      <c r="J1555" s="48">
        <v>0</v>
      </c>
      <c r="K1555" s="49">
        <v>0</v>
      </c>
      <c r="L1555" s="50">
        <f>VLOOKUP(A1555,[2]data1761205830331!$A$1:$J$65536,10,0)</f>
        <v>1728.18</v>
      </c>
    </row>
    <row r="1556" spans="1:12" ht="15.6" outlineLevel="1">
      <c r="A1556" s="11">
        <v>1726100437</v>
      </c>
      <c r="B1556" s="40">
        <v>437</v>
      </c>
      <c r="C1556" s="109">
        <v>726100</v>
      </c>
      <c r="D1556" s="42">
        <v>1</v>
      </c>
      <c r="E1556" s="43"/>
      <c r="F1556" s="44" t="s">
        <v>1005</v>
      </c>
      <c r="G1556" s="45" t="s">
        <v>29</v>
      </c>
      <c r="H1556" s="51">
        <f t="shared" si="24"/>
        <v>0</v>
      </c>
      <c r="I1556" s="47"/>
      <c r="J1556" s="48">
        <f>VLOOKUP(A1556,'[1]תקציב 2026'!$A$1:$M$65536,9,0)</f>
        <v>7000</v>
      </c>
      <c r="K1556" s="49">
        <f>VLOOKUP(A1556,[3]גיליון1!$A$1:$C$7693,3,0)</f>
        <v>7000</v>
      </c>
      <c r="L1556" s="50">
        <f>VLOOKUP(A1556,[2]data1761205830331!$A$1:$J$65536,10,0)</f>
        <v>6107.4</v>
      </c>
    </row>
    <row r="1557" spans="1:12" ht="15.6" outlineLevel="1">
      <c r="A1557" s="11">
        <v>1726100470</v>
      </c>
      <c r="B1557" s="40">
        <v>470</v>
      </c>
      <c r="C1557" s="109">
        <v>726100</v>
      </c>
      <c r="D1557" s="42">
        <v>1</v>
      </c>
      <c r="E1557" s="43"/>
      <c r="F1557" s="44" t="s">
        <v>43</v>
      </c>
      <c r="G1557" s="45" t="s">
        <v>37</v>
      </c>
      <c r="H1557" s="51">
        <f t="shared" si="24"/>
        <v>0.11111111111111116</v>
      </c>
      <c r="I1557" s="47"/>
      <c r="J1557" s="48">
        <f>VLOOKUP(A1557,'[1]תקציב 2026'!$A$1:$M$65536,9,0)</f>
        <v>500</v>
      </c>
      <c r="K1557" s="49">
        <f>VLOOKUP(A1557,[3]גיליון1!$A$1:$C$7693,3,0)*0.9</f>
        <v>450</v>
      </c>
      <c r="L1557" s="50">
        <f>VLOOKUP(A1557,[2]data1761205830331!$A$1:$J$65536,10,0)</f>
        <v>0</v>
      </c>
    </row>
    <row r="1558" spans="1:12" ht="15.6" outlineLevel="1">
      <c r="A1558" s="11">
        <v>1726100471</v>
      </c>
      <c r="B1558" s="40">
        <v>471</v>
      </c>
      <c r="C1558" s="109">
        <v>726100</v>
      </c>
      <c r="D1558" s="42">
        <v>1</v>
      </c>
      <c r="E1558" s="43"/>
      <c r="F1558" s="44" t="s">
        <v>71</v>
      </c>
      <c r="G1558" s="45" t="s">
        <v>37</v>
      </c>
      <c r="H1558" s="51">
        <f t="shared" si="24"/>
        <v>0.11111111111111116</v>
      </c>
      <c r="I1558" s="47"/>
      <c r="J1558" s="48">
        <f>VLOOKUP(A1558,'[1]תקציב 2026'!$A$1:$M$65536,9,0)</f>
        <v>2800</v>
      </c>
      <c r="K1558" s="49">
        <f>VLOOKUP(A1558,[3]גיליון1!$A$1:$C$7693,3,0)*0.9</f>
        <v>2520</v>
      </c>
      <c r="L1558" s="50">
        <f>VLOOKUP(A1558,[2]data1761205830331!$A$1:$J$65536,10,0)</f>
        <v>0</v>
      </c>
    </row>
    <row r="1559" spans="1:12" ht="15.6" outlineLevel="1">
      <c r="A1559" s="11">
        <v>1726100492</v>
      </c>
      <c r="B1559" s="40">
        <v>492</v>
      </c>
      <c r="C1559" s="109">
        <v>726100</v>
      </c>
      <c r="D1559" s="42">
        <v>1</v>
      </c>
      <c r="E1559" s="43"/>
      <c r="F1559" s="44" t="s">
        <v>66</v>
      </c>
      <c r="G1559" s="45" t="s">
        <v>29</v>
      </c>
      <c r="H1559" s="51">
        <f t="shared" si="24"/>
        <v>0.18221070811744378</v>
      </c>
      <c r="I1559" s="47"/>
      <c r="J1559" s="48">
        <f>VLOOKUP(A1559,'[1]תקציב 2026'!$A$1:$M$65536,9,0)</f>
        <v>136900</v>
      </c>
      <c r="K1559" s="49">
        <f>VLOOKUP(A1559,[3]גיליון1!$A$1:$C$7693,3,0)</f>
        <v>115800</v>
      </c>
      <c r="L1559" s="50">
        <f>VLOOKUP(A1559,[2]data1761205830331!$A$1:$J$65536,10,0)</f>
        <v>126799</v>
      </c>
    </row>
    <row r="1560" spans="1:12" ht="15.6" outlineLevel="1">
      <c r="A1560" s="11">
        <v>1726100521</v>
      </c>
      <c r="B1560" s="40">
        <v>521</v>
      </c>
      <c r="C1560" s="109">
        <v>726100</v>
      </c>
      <c r="D1560" s="42">
        <v>1</v>
      </c>
      <c r="E1560" s="43"/>
      <c r="F1560" s="44" t="s">
        <v>1018</v>
      </c>
      <c r="G1560" s="45" t="s">
        <v>37</v>
      </c>
      <c r="H1560" s="51">
        <f t="shared" si="24"/>
        <v>0.11111111111111116</v>
      </c>
      <c r="I1560" s="47"/>
      <c r="J1560" s="48">
        <f>VLOOKUP(A1560,'[1]תקציב 2026'!$A$1:$M$65536,9,0)</f>
        <v>27000</v>
      </c>
      <c r="K1560" s="49">
        <f>27000*0.9</f>
        <v>24300</v>
      </c>
      <c r="L1560" s="50">
        <f>VLOOKUP(A1560,[2]data1761205830331!$A$1:$J$65536,10,0)</f>
        <v>26628.98</v>
      </c>
    </row>
    <row r="1561" spans="1:12" ht="15.6" outlineLevel="1">
      <c r="A1561" s="11">
        <v>1726100540</v>
      </c>
      <c r="B1561" s="40">
        <v>540</v>
      </c>
      <c r="C1561" s="109">
        <v>726100</v>
      </c>
      <c r="D1561" s="42">
        <v>1</v>
      </c>
      <c r="E1561" s="43"/>
      <c r="F1561" s="44" t="s">
        <v>47</v>
      </c>
      <c r="G1561" s="45" t="s">
        <v>29</v>
      </c>
      <c r="H1561" s="51">
        <f t="shared" si="24"/>
        <v>1</v>
      </c>
      <c r="I1561" s="47"/>
      <c r="J1561" s="48">
        <f>VLOOKUP(A1561,'[1]תקציב 2026'!$A$1:$M$65536,9,0)</f>
        <v>1000</v>
      </c>
      <c r="K1561" s="49">
        <v>500</v>
      </c>
      <c r="L1561" s="50">
        <f>VLOOKUP(A1561,[2]data1761205830331!$A$1:$J$65536,10,0)</f>
        <v>910</v>
      </c>
    </row>
    <row r="1562" spans="1:12" ht="15.6" outlineLevel="1">
      <c r="A1562" s="11">
        <v>1726100571</v>
      </c>
      <c r="B1562" s="40">
        <v>571</v>
      </c>
      <c r="C1562" s="109">
        <v>726100</v>
      </c>
      <c r="D1562" s="42">
        <v>1</v>
      </c>
      <c r="E1562" s="43"/>
      <c r="F1562" s="44" t="s">
        <v>75</v>
      </c>
      <c r="G1562" s="45" t="s">
        <v>29</v>
      </c>
      <c r="H1562" s="51">
        <f t="shared" si="24"/>
        <v>1.4233576642335768</v>
      </c>
      <c r="I1562" s="47"/>
      <c r="J1562" s="48">
        <f>VLOOKUP(A1562,'[1]תקציב 2026'!$A$1:$M$65536,9,0)</f>
        <v>99600</v>
      </c>
      <c r="K1562" s="49">
        <v>41100</v>
      </c>
      <c r="L1562" s="50">
        <f>VLOOKUP(A1562,[2]data1761205830331!$A$1:$J$65536,10,0)</f>
        <v>31600</v>
      </c>
    </row>
    <row r="1563" spans="1:12" ht="15" customHeight="1" outlineLevel="1">
      <c r="A1563" s="11">
        <v>1726100722</v>
      </c>
      <c r="B1563" s="40">
        <v>722</v>
      </c>
      <c r="C1563" s="109">
        <v>726100</v>
      </c>
      <c r="D1563" s="42">
        <v>1</v>
      </c>
      <c r="E1563" s="43"/>
      <c r="F1563" s="44" t="s">
        <v>51</v>
      </c>
      <c r="G1563" s="45" t="s">
        <v>37</v>
      </c>
      <c r="H1563" s="51">
        <f t="shared" si="24"/>
        <v>0.11111111111111116</v>
      </c>
      <c r="I1563" s="47"/>
      <c r="J1563" s="48">
        <f>VLOOKUP(A1563,'[1]תקציב 2026'!$A$1:$M$65536,9,0)</f>
        <v>4500</v>
      </c>
      <c r="K1563" s="49">
        <f>VLOOKUP(A1563,[3]גיליון1!$A$1:$C$7693,3,0)*0.9</f>
        <v>4050</v>
      </c>
      <c r="L1563" s="50">
        <f>VLOOKUP(A1563,[2]data1761205830331!$A$1:$J$65536,10,0)</f>
        <v>2412.54</v>
      </c>
    </row>
    <row r="1564" spans="1:12" s="204" customFormat="1" ht="15.6" outlineLevel="1">
      <c r="A1564" s="11">
        <v>1726100743</v>
      </c>
      <c r="B1564" s="40">
        <v>743</v>
      </c>
      <c r="C1564" s="109">
        <v>726100</v>
      </c>
      <c r="D1564" s="42">
        <v>1</v>
      </c>
      <c r="E1564" s="43"/>
      <c r="F1564" s="44" t="s">
        <v>1019</v>
      </c>
      <c r="G1564" s="45" t="s">
        <v>37</v>
      </c>
      <c r="H1564" s="51">
        <f t="shared" si="24"/>
        <v>2.3333333333333335</v>
      </c>
      <c r="I1564" s="51"/>
      <c r="J1564" s="48">
        <f>VLOOKUP(A1564,'[1]תקציב 2026'!$A$1:$M$65536,9,0)</f>
        <v>90000</v>
      </c>
      <c r="K1564" s="49">
        <f>30000*0.9</f>
        <v>27000</v>
      </c>
      <c r="L1564" s="50">
        <f>VLOOKUP(A1564,[2]data1761205830331!$A$1:$J$65536,10,0)</f>
        <v>35750.01</v>
      </c>
    </row>
    <row r="1565" spans="1:12" ht="15.6" outlineLevel="1">
      <c r="A1565" s="11">
        <v>1726100781</v>
      </c>
      <c r="B1565" s="40">
        <v>781</v>
      </c>
      <c r="C1565" s="109">
        <v>726100</v>
      </c>
      <c r="D1565" s="42">
        <v>1</v>
      </c>
      <c r="E1565" s="43"/>
      <c r="F1565" s="44" t="s">
        <v>1010</v>
      </c>
      <c r="G1565" s="45" t="s">
        <v>37</v>
      </c>
      <c r="H1565" s="51">
        <f t="shared" si="24"/>
        <v>0</v>
      </c>
      <c r="I1565" s="47"/>
      <c r="J1565" s="48">
        <f>VLOOKUP(A1565,'[1]תקציב 2026'!$A$1:$M$65536,9,0)</f>
        <v>4500</v>
      </c>
      <c r="K1565" s="49">
        <f>5000*0.9</f>
        <v>4500</v>
      </c>
      <c r="L1565" s="50">
        <f>VLOOKUP(A1565,[2]data1761205830331!$A$1:$J$65536,10,0)</f>
        <v>3013.95</v>
      </c>
    </row>
    <row r="1566" spans="1:12" ht="15.6" outlineLevel="1">
      <c r="A1566" s="11">
        <v>1726100794</v>
      </c>
      <c r="B1566" s="40">
        <v>794</v>
      </c>
      <c r="C1566" s="109">
        <v>726100</v>
      </c>
      <c r="D1566" s="42">
        <v>1</v>
      </c>
      <c r="E1566" s="43"/>
      <c r="F1566" s="44" t="s">
        <v>58</v>
      </c>
      <c r="G1566" s="45" t="s">
        <v>29</v>
      </c>
      <c r="H1566" s="51">
        <f t="shared" si="24"/>
        <v>0</v>
      </c>
      <c r="I1566" s="47"/>
      <c r="J1566" s="48">
        <f>VLOOKUP(A1566,'[1]תקציב 2026'!$A$1:$M$65536,9,0)</f>
        <v>9100</v>
      </c>
      <c r="K1566" s="49">
        <f>VLOOKUP(A1566,[3]גיליון1!$A$1:$C$7693,3,0)</f>
        <v>9100</v>
      </c>
      <c r="L1566" s="50">
        <f>VLOOKUP(A1566,[2]data1761205830331!$A$1:$J$65536,10,0)</f>
        <v>10853</v>
      </c>
    </row>
    <row r="1567" spans="1:12" ht="16.2" outlineLevel="1" thickBot="1">
      <c r="A1567" s="11">
        <v>1726100931</v>
      </c>
      <c r="B1567" s="40">
        <v>931</v>
      </c>
      <c r="C1567" s="109">
        <v>726100</v>
      </c>
      <c r="D1567" s="42">
        <v>1</v>
      </c>
      <c r="E1567" s="43"/>
      <c r="F1567" s="154" t="s">
        <v>1020</v>
      </c>
      <c r="G1567" s="45" t="s">
        <v>37</v>
      </c>
      <c r="H1567" s="51">
        <f t="shared" si="24"/>
        <v>0</v>
      </c>
      <c r="I1567" s="47"/>
      <c r="J1567" s="48">
        <f>VLOOKUP(A1567,'[1]תקציב 2026'!$A$1:$M$65536,9,0)</f>
        <v>27000</v>
      </c>
      <c r="K1567" s="49">
        <f>30000*0.9</f>
        <v>27000</v>
      </c>
      <c r="L1567" s="50">
        <f>VLOOKUP(A1567,[2]data1761205830331!$A$1:$J$65536,10,0)</f>
        <v>8190</v>
      </c>
    </row>
    <row r="1568" spans="1:12" ht="16.2" collapsed="1" thickBot="1">
      <c r="A1568" s="11" t="e">
        <v>#VALUE!</v>
      </c>
      <c r="B1568" s="53" t="s">
        <v>1021</v>
      </c>
      <c r="C1568" s="223"/>
      <c r="D1568" s="55"/>
      <c r="E1568" s="56"/>
      <c r="F1568" s="116" t="s">
        <v>1022</v>
      </c>
      <c r="G1568" s="58"/>
      <c r="H1568" s="166">
        <f>J1568/K1568-1</f>
        <v>5.1996401203735276E-2</v>
      </c>
      <c r="I1568" s="72"/>
      <c r="J1568" s="74">
        <f>SUBTOTAL(9,J1550:J1567)</f>
        <v>678180</v>
      </c>
      <c r="K1568" s="92">
        <f>SUBTOTAL(9,K1550:K1567)</f>
        <v>644660</v>
      </c>
      <c r="L1568" s="75">
        <f>SUBTOTAL(9,L1550:L1567)</f>
        <v>493106.87</v>
      </c>
    </row>
    <row r="1569" spans="1:12" ht="15.6" outlineLevel="1">
      <c r="A1569" s="11">
        <v>17300000</v>
      </c>
      <c r="B1569" s="40">
        <v>0</v>
      </c>
      <c r="C1569" s="109">
        <v>730000</v>
      </c>
      <c r="D1569" s="42">
        <v>1</v>
      </c>
      <c r="E1569" s="43"/>
      <c r="F1569" s="44" t="s">
        <v>1023</v>
      </c>
      <c r="G1569" s="45" t="s">
        <v>15</v>
      </c>
      <c r="H1569" s="51"/>
      <c r="I1569" s="47"/>
      <c r="J1569" s="48"/>
      <c r="K1569" s="49"/>
      <c r="L1569" s="50"/>
    </row>
    <row r="1570" spans="1:12" ht="15.6" outlineLevel="1">
      <c r="A1570" s="11">
        <v>1731000110</v>
      </c>
      <c r="B1570" s="40">
        <v>110</v>
      </c>
      <c r="C1570" s="109">
        <v>731000</v>
      </c>
      <c r="D1570" s="42">
        <v>1</v>
      </c>
      <c r="E1570" s="43"/>
      <c r="F1570" s="44" t="s">
        <v>21</v>
      </c>
      <c r="G1570" s="45" t="s">
        <v>22</v>
      </c>
      <c r="H1570" s="51">
        <f t="shared" si="24"/>
        <v>2.498540572095731E-2</v>
      </c>
      <c r="I1570" s="47"/>
      <c r="J1570" s="48">
        <f>VLOOKUP(A1570,'[1]תקציב 2026'!$A$1:$M$65536,9,0)</f>
        <v>175579.99999999997</v>
      </c>
      <c r="K1570" s="49">
        <v>171300</v>
      </c>
      <c r="L1570" s="50">
        <f>VLOOKUP(A1570,[2]data1761205830331!$A$1:$J$65536,10,0)</f>
        <v>168723.42</v>
      </c>
    </row>
    <row r="1571" spans="1:12" ht="15.6" outlineLevel="1">
      <c r="A1571" s="11">
        <v>1731000119</v>
      </c>
      <c r="B1571" s="40">
        <v>119</v>
      </c>
      <c r="C1571" s="109">
        <v>731000</v>
      </c>
      <c r="D1571" s="42">
        <v>1</v>
      </c>
      <c r="E1571" s="43"/>
      <c r="F1571" s="44" t="s">
        <v>23</v>
      </c>
      <c r="G1571" s="45" t="s">
        <v>22</v>
      </c>
      <c r="H1571" s="51">
        <f t="shared" si="24"/>
        <v>0.10942452788070889</v>
      </c>
      <c r="I1571" s="47"/>
      <c r="J1571" s="48">
        <v>3230500</v>
      </c>
      <c r="K1571" s="49">
        <f>2911900-30</f>
        <v>2911870</v>
      </c>
      <c r="L1571" s="50">
        <f>VLOOKUP(A1571,[2]data1761205830331!$A$1:$J$65536,10,0)</f>
        <v>1351131.19</v>
      </c>
    </row>
    <row r="1572" spans="1:12" ht="15.6" outlineLevel="1">
      <c r="A1572" s="11">
        <v>1731000122</v>
      </c>
      <c r="B1572" s="40">
        <v>122</v>
      </c>
      <c r="C1572" s="109">
        <v>731000</v>
      </c>
      <c r="D1572" s="42">
        <v>1</v>
      </c>
      <c r="E1572" s="43"/>
      <c r="F1572" s="44" t="s">
        <v>24</v>
      </c>
      <c r="G1572" s="45" t="s">
        <v>22</v>
      </c>
      <c r="H1572" s="51">
        <f t="shared" si="24"/>
        <v>-0.16878048780487809</v>
      </c>
      <c r="I1572" s="47"/>
      <c r="J1572" s="48">
        <v>17040</v>
      </c>
      <c r="K1572" s="49">
        <f>VLOOKUP(A1572,[3]גיליון1!$A$1:$C$7693,3,0)</f>
        <v>20500</v>
      </c>
      <c r="L1572" s="50">
        <f>VLOOKUP(A1572,[2]data1761205830331!$A$1:$J$65536,10,0)</f>
        <v>19096.689999999999</v>
      </c>
    </row>
    <row r="1573" spans="1:12" ht="15.6" outlineLevel="1">
      <c r="A1573" s="11">
        <v>1731000126</v>
      </c>
      <c r="B1573" s="40">
        <v>126</v>
      </c>
      <c r="C1573" s="109">
        <v>731000</v>
      </c>
      <c r="D1573" s="42">
        <v>1</v>
      </c>
      <c r="E1573" s="43"/>
      <c r="F1573" s="44" t="s">
        <v>25</v>
      </c>
      <c r="G1573" s="45" t="s">
        <v>22</v>
      </c>
      <c r="H1573" s="51">
        <f t="shared" si="24"/>
        <v>-0.16874999999999996</v>
      </c>
      <c r="I1573" s="47"/>
      <c r="J1573" s="48">
        <v>33250</v>
      </c>
      <c r="K1573" s="49">
        <f>VLOOKUP(A1573,[3]גיליון1!$A$1:$C$7693,3,0)</f>
        <v>40000</v>
      </c>
      <c r="L1573" s="50">
        <f>VLOOKUP(A1573,[2]data1761205830331!$A$1:$J$65536,10,0)</f>
        <v>42837.02</v>
      </c>
    </row>
    <row r="1574" spans="1:12" ht="15.6" outlineLevel="1">
      <c r="A1574" s="11">
        <v>1731000130</v>
      </c>
      <c r="B1574" s="40">
        <v>130</v>
      </c>
      <c r="C1574" s="109">
        <v>731000</v>
      </c>
      <c r="D1574" s="42">
        <v>1</v>
      </c>
      <c r="E1574" s="43"/>
      <c r="F1574" s="44" t="s">
        <v>26</v>
      </c>
      <c r="G1574" s="45" t="s">
        <v>22</v>
      </c>
      <c r="H1574" s="51">
        <f t="shared" si="24"/>
        <v>0</v>
      </c>
      <c r="I1574" s="47"/>
      <c r="J1574" s="48">
        <f>VLOOKUP(A1574,'[1]תקציב 2026'!$A$1:$M$65536,9,0)</f>
        <v>24100</v>
      </c>
      <c r="K1574" s="49">
        <v>24100</v>
      </c>
      <c r="L1574" s="50">
        <f>VLOOKUP(A1574,[2]data1761205830331!$A$1:$J$65536,10,0)</f>
        <v>0</v>
      </c>
    </row>
    <row r="1575" spans="1:12" ht="15" customHeight="1" outlineLevel="1">
      <c r="A1575" s="11">
        <v>1731000140</v>
      </c>
      <c r="B1575" s="40">
        <v>140</v>
      </c>
      <c r="C1575" s="109">
        <v>731000</v>
      </c>
      <c r="D1575" s="42">
        <v>1</v>
      </c>
      <c r="E1575" s="43"/>
      <c r="F1575" s="44" t="s">
        <v>27</v>
      </c>
      <c r="G1575" s="45" t="s">
        <v>22</v>
      </c>
      <c r="H1575" s="51">
        <f t="shared" si="24"/>
        <v>-0.28882113821138211</v>
      </c>
      <c r="I1575" s="47"/>
      <c r="J1575" s="48">
        <f>VLOOKUP(A1575,'[1]תקציב 2026'!$A$1:$M$65536,9,0)</f>
        <v>139960</v>
      </c>
      <c r="K1575" s="49">
        <f>VLOOKUP(A1575,[3]גיליון1!$A$1:$C$7693,3,0)</f>
        <v>196800</v>
      </c>
      <c r="L1575" s="50">
        <f>VLOOKUP(A1575,[2]data1761205830331!$A$1:$J$65536,10,0)</f>
        <v>116285.12</v>
      </c>
    </row>
    <row r="1576" spans="1:12" ht="15" customHeight="1" outlineLevel="1">
      <c r="A1576" s="11">
        <v>1731000253</v>
      </c>
      <c r="B1576" s="40">
        <v>253</v>
      </c>
      <c r="C1576" s="109">
        <v>731000</v>
      </c>
      <c r="D1576" s="42">
        <v>1</v>
      </c>
      <c r="E1576" s="43"/>
      <c r="F1576" s="44" t="s">
        <v>738</v>
      </c>
      <c r="G1576" s="45" t="s">
        <v>22</v>
      </c>
      <c r="H1576" s="51">
        <v>0</v>
      </c>
      <c r="I1576" s="47"/>
      <c r="J1576" s="48">
        <v>0</v>
      </c>
      <c r="K1576" s="49">
        <v>0</v>
      </c>
      <c r="L1576" s="50">
        <f>VLOOKUP(A1576,[2]data1761205830331!$A$1:$J$65536,10,0)</f>
        <v>64507.35</v>
      </c>
    </row>
    <row r="1577" spans="1:12" ht="15.6" outlineLevel="1">
      <c r="A1577" s="11">
        <v>1731000350</v>
      </c>
      <c r="B1577" s="40">
        <v>350</v>
      </c>
      <c r="C1577" s="109">
        <v>731000</v>
      </c>
      <c r="D1577" s="42">
        <v>1</v>
      </c>
      <c r="E1577" s="43"/>
      <c r="F1577" s="154" t="s">
        <v>1024</v>
      </c>
      <c r="G1577" s="45" t="s">
        <v>22</v>
      </c>
      <c r="H1577" s="51">
        <f t="shared" si="24"/>
        <v>-9.015384615384614E-2</v>
      </c>
      <c r="I1577" s="47" t="s">
        <v>137</v>
      </c>
      <c r="J1577" s="48">
        <v>59140</v>
      </c>
      <c r="K1577" s="49">
        <f>VLOOKUP(A1577,[3]גיליון1!$A$1:$C$7693,3,0)</f>
        <v>65000</v>
      </c>
      <c r="L1577" s="50">
        <f>VLOOKUP(A1577,[2]data1761205830331!$A$1:$J$65536,10,0)</f>
        <v>63446.66</v>
      </c>
    </row>
    <row r="1578" spans="1:12" ht="15.6" outlineLevel="1">
      <c r="A1578" s="11">
        <v>1731000351</v>
      </c>
      <c r="B1578" s="40">
        <v>351</v>
      </c>
      <c r="C1578" s="109">
        <v>731000</v>
      </c>
      <c r="D1578" s="42">
        <v>1</v>
      </c>
      <c r="E1578" s="43"/>
      <c r="F1578" s="44" t="s">
        <v>1025</v>
      </c>
      <c r="G1578" s="45" t="s">
        <v>22</v>
      </c>
      <c r="H1578" s="51">
        <f t="shared" si="24"/>
        <v>0</v>
      </c>
      <c r="I1578" s="47" t="s">
        <v>137</v>
      </c>
      <c r="J1578" s="48">
        <f>VLOOKUP(A1578,'[1]תקציב 2026'!$A$1:$M$65536,9,0)</f>
        <v>30000</v>
      </c>
      <c r="K1578" s="49">
        <f>VLOOKUP(A1578,[3]גיליון1!$A$1:$C$7693,3,0)</f>
        <v>30000</v>
      </c>
      <c r="L1578" s="50">
        <f>VLOOKUP(A1578,[2]data1761205830331!$A$1:$J$65536,10,0)</f>
        <v>25051.71</v>
      </c>
    </row>
    <row r="1579" spans="1:12" ht="15.6" outlineLevel="1">
      <c r="A1579" s="11">
        <v>1731000433</v>
      </c>
      <c r="B1579" s="40">
        <v>433</v>
      </c>
      <c r="C1579" s="109">
        <v>731000</v>
      </c>
      <c r="D1579" s="42">
        <v>1</v>
      </c>
      <c r="E1579" s="43"/>
      <c r="F1579" s="44" t="str">
        <f>[4]גיליון1!$F$2749</f>
        <v xml:space="preserve">חומרי נקיון       </v>
      </c>
      <c r="G1579" s="45" t="s">
        <v>37</v>
      </c>
      <c r="H1579" s="51">
        <f t="shared" si="24"/>
        <v>-0.18518518518518523</v>
      </c>
      <c r="I1579" s="47"/>
      <c r="J1579" s="48">
        <f>VLOOKUP(A1579,'[1]תקציב 2026'!$A$1:$M$65536,9,0)</f>
        <v>1100</v>
      </c>
      <c r="K1579" s="49">
        <f>VLOOKUP(A1579,[3]גיליון1!$A$1:$C$7693,3,0)*0.9</f>
        <v>1350</v>
      </c>
      <c r="L1579" s="50">
        <f>VLOOKUP(A1579,[2]data1761205830331!$A$1:$J$65536,10,0)</f>
        <v>709.17</v>
      </c>
    </row>
    <row r="1580" spans="1:12" ht="15.6" outlineLevel="1">
      <c r="A1580" s="11">
        <v>1731000441</v>
      </c>
      <c r="B1580" s="40">
        <v>441</v>
      </c>
      <c r="C1580" s="109">
        <v>731000</v>
      </c>
      <c r="D1580" s="42">
        <v>1</v>
      </c>
      <c r="E1580" s="43"/>
      <c r="F1580" s="44" t="s">
        <v>1026</v>
      </c>
      <c r="G1580" s="45" t="s">
        <v>29</v>
      </c>
      <c r="H1580" s="51">
        <f t="shared" si="24"/>
        <v>-0.2592592592592593</v>
      </c>
      <c r="I1580" s="47"/>
      <c r="J1580" s="48">
        <f>VLOOKUP(A1580,'[1]תקציב 2026'!$A$1:$M$65536,9,0)</f>
        <v>300000</v>
      </c>
      <c r="K1580" s="49">
        <v>405000</v>
      </c>
      <c r="L1580" s="50">
        <f>VLOOKUP(A1580,[2]data1761205830331!$A$1:$J$65536,10,0)</f>
        <v>0</v>
      </c>
    </row>
    <row r="1581" spans="1:12" ht="15.6" outlineLevel="1">
      <c r="A1581" s="11">
        <v>1731000470</v>
      </c>
      <c r="B1581" s="40">
        <v>470</v>
      </c>
      <c r="C1581" s="109">
        <v>731000</v>
      </c>
      <c r="D1581" s="42">
        <v>1</v>
      </c>
      <c r="E1581" s="43"/>
      <c r="F1581" s="44" t="s">
        <v>43</v>
      </c>
      <c r="G1581" s="45" t="s">
        <v>37</v>
      </c>
      <c r="H1581" s="51">
        <f t="shared" si="24"/>
        <v>0</v>
      </c>
      <c r="I1581" s="47"/>
      <c r="J1581" s="48">
        <f>VLOOKUP(A1581,'[1]תקציב 2026'!$A$1:$M$65536,9,0)</f>
        <v>3600</v>
      </c>
      <c r="K1581" s="49">
        <f>4000*0.9</f>
        <v>3600</v>
      </c>
      <c r="L1581" s="50">
        <f>VLOOKUP(A1581,[2]data1761205830331!$A$1:$J$65536,10,0)</f>
        <v>1849.05</v>
      </c>
    </row>
    <row r="1582" spans="1:12" ht="15.6" outlineLevel="1">
      <c r="A1582" s="11">
        <v>1731000471</v>
      </c>
      <c r="B1582" s="40">
        <v>471</v>
      </c>
      <c r="C1582" s="109">
        <v>731000</v>
      </c>
      <c r="D1582" s="42">
        <v>1</v>
      </c>
      <c r="E1582" s="43"/>
      <c r="F1582" s="44" t="s">
        <v>71</v>
      </c>
      <c r="G1582" s="45" t="s">
        <v>37</v>
      </c>
      <c r="H1582" s="51">
        <f t="shared" si="24"/>
        <v>-0.32659932659932656</v>
      </c>
      <c r="I1582" s="47"/>
      <c r="J1582" s="48">
        <f>VLOOKUP(A1582,'[1]תקציב 2026'!$A$1:$M$65536,9,0)</f>
        <v>18000</v>
      </c>
      <c r="K1582" s="49">
        <f>29700*0.9</f>
        <v>26730</v>
      </c>
      <c r="L1582" s="50">
        <f>VLOOKUP(A1582,[2]data1761205830331!$A$1:$J$65536,10,0)</f>
        <v>23899.09</v>
      </c>
    </row>
    <row r="1583" spans="1:12" ht="15.6" outlineLevel="1">
      <c r="A1583" s="11">
        <v>1731000492</v>
      </c>
      <c r="B1583" s="40">
        <v>492</v>
      </c>
      <c r="C1583" s="109">
        <v>731000</v>
      </c>
      <c r="D1583" s="42">
        <v>1</v>
      </c>
      <c r="E1583" s="43"/>
      <c r="F1583" s="44" t="s">
        <v>66</v>
      </c>
      <c r="G1583" s="45" t="s">
        <v>29</v>
      </c>
      <c r="H1583" s="51">
        <f t="shared" si="24"/>
        <v>2.3443910444262084E-2</v>
      </c>
      <c r="I1583" s="47"/>
      <c r="J1583" s="48">
        <f>VLOOKUP(A1583,'[1]תקציב 2026'!$A$1:$M$65536,9,0)</f>
        <v>873100</v>
      </c>
      <c r="K1583" s="49">
        <v>853100</v>
      </c>
      <c r="L1583" s="50">
        <f>VLOOKUP(A1583,[2]data1761205830331!$A$1:$J$65536,10,0)</f>
        <v>791340</v>
      </c>
    </row>
    <row r="1584" spans="1:12" ht="15.6" outlineLevel="1">
      <c r="A1584" s="11">
        <v>1731000511</v>
      </c>
      <c r="B1584" s="40">
        <v>511</v>
      </c>
      <c r="C1584" s="109">
        <v>731000</v>
      </c>
      <c r="D1584" s="42">
        <v>1</v>
      </c>
      <c r="E1584" s="43"/>
      <c r="F1584" s="154" t="s">
        <v>72</v>
      </c>
      <c r="G1584" s="45" t="s">
        <v>37</v>
      </c>
      <c r="H1584" s="51">
        <f t="shared" si="24"/>
        <v>-6.8100358422939045E-2</v>
      </c>
      <c r="I1584" s="47"/>
      <c r="J1584" s="48">
        <f>VLOOKUP(A1584,'[1]תקציב 2026'!$A$1:$M$65536,9,0)</f>
        <v>5200</v>
      </c>
      <c r="K1584" s="49">
        <f>6200*0.9</f>
        <v>5580</v>
      </c>
      <c r="L1584" s="50">
        <f>VLOOKUP(A1584,[2]data1761205830331!$A$1:$J$65536,10,0)</f>
        <v>2294.88</v>
      </c>
    </row>
    <row r="1585" spans="1:12" ht="15.6" outlineLevel="1">
      <c r="A1585" s="11">
        <v>1731000512</v>
      </c>
      <c r="B1585" s="40">
        <v>512</v>
      </c>
      <c r="C1585" s="109">
        <v>731000</v>
      </c>
      <c r="D1585" s="42">
        <v>1</v>
      </c>
      <c r="E1585" s="43"/>
      <c r="F1585" s="44" t="s">
        <v>88</v>
      </c>
      <c r="G1585" s="45" t="s">
        <v>37</v>
      </c>
      <c r="H1585" s="51">
        <f t="shared" si="24"/>
        <v>0</v>
      </c>
      <c r="I1585" s="47"/>
      <c r="J1585" s="48">
        <f>VLOOKUP(A1585,'[1]תקציב 2026'!$A$1:$M$65536,9,0)</f>
        <v>3870</v>
      </c>
      <c r="K1585" s="49">
        <f>VLOOKUP(A1585,[3]גיליון1!$A$1:$C$7693,3,0)*0.9</f>
        <v>3870</v>
      </c>
      <c r="L1585" s="50">
        <f>VLOOKUP(A1585,[2]data1761205830331!$A$1:$J$65536,10,0)</f>
        <v>3070.7</v>
      </c>
    </row>
    <row r="1586" spans="1:12" ht="15.6" outlineLevel="1">
      <c r="A1586" s="11">
        <v>1731000522</v>
      </c>
      <c r="B1586" s="40">
        <v>522</v>
      </c>
      <c r="C1586" s="109">
        <v>731000</v>
      </c>
      <c r="D1586" s="42">
        <v>1</v>
      </c>
      <c r="E1586" s="43"/>
      <c r="F1586" s="44" t="s">
        <v>90</v>
      </c>
      <c r="G1586" s="45" t="s">
        <v>37</v>
      </c>
      <c r="H1586" s="51">
        <f t="shared" si="24"/>
        <v>-3.3816425120772986E-2</v>
      </c>
      <c r="I1586" s="47"/>
      <c r="J1586" s="48">
        <f>VLOOKUP(A1586,'[1]תקציב 2026'!$A$1:$M$65536,9,0)</f>
        <v>4000</v>
      </c>
      <c r="K1586" s="49">
        <f>VLOOKUP(A1586,[3]גיליון1!$A$1:$C$7693,3,0)*0.9</f>
        <v>4140</v>
      </c>
      <c r="L1586" s="50">
        <f>VLOOKUP(A1586,[2]data1761205830331!$A$1:$J$65536,10,0)</f>
        <v>3898</v>
      </c>
    </row>
    <row r="1587" spans="1:12" ht="15.6" outlineLevel="1">
      <c r="A1587" s="11">
        <v>1731000544</v>
      </c>
      <c r="B1587" s="40">
        <v>544</v>
      </c>
      <c r="C1587" s="109">
        <v>731000</v>
      </c>
      <c r="D1587" s="42">
        <v>1</v>
      </c>
      <c r="E1587" s="43"/>
      <c r="F1587" s="44" t="s">
        <v>743</v>
      </c>
      <c r="G1587" s="45" t="s">
        <v>29</v>
      </c>
      <c r="H1587" s="51">
        <f t="shared" si="24"/>
        <v>0</v>
      </c>
      <c r="I1587" s="47"/>
      <c r="J1587" s="48">
        <f>VLOOKUP(A1587,'[1]תקציב 2026'!$A$1:$M$65536,9,0)</f>
        <v>50000</v>
      </c>
      <c r="K1587" s="49">
        <v>50000</v>
      </c>
      <c r="L1587" s="50">
        <f>VLOOKUP(A1587,[2]data1761205830331!$A$1:$J$65536,10,0)</f>
        <v>40678.68</v>
      </c>
    </row>
    <row r="1588" spans="1:12" ht="15.6" outlineLevel="1">
      <c r="A1588" s="11">
        <v>1731000550</v>
      </c>
      <c r="B1588" s="40">
        <v>550</v>
      </c>
      <c r="C1588" s="109">
        <v>731000</v>
      </c>
      <c r="D1588" s="42">
        <v>1</v>
      </c>
      <c r="E1588" s="43"/>
      <c r="F1588" s="44" t="s">
        <v>73</v>
      </c>
      <c r="G1588" s="45" t="s">
        <v>37</v>
      </c>
      <c r="H1588" s="51">
        <f t="shared" si="24"/>
        <v>-0.84779299847792999</v>
      </c>
      <c r="I1588" s="47"/>
      <c r="J1588" s="48">
        <f>VLOOKUP(A1588,'[1]תקציב 2026'!$A$1:$M$65536,9,0)</f>
        <v>2000</v>
      </c>
      <c r="K1588" s="49">
        <f>14600*0.9</f>
        <v>13140</v>
      </c>
      <c r="L1588" s="50">
        <f>VLOOKUP(A1588,[2]data1761205830331!$A$1:$J$65536,10,0)</f>
        <v>6655</v>
      </c>
    </row>
    <row r="1589" spans="1:12" ht="15.6" outlineLevel="1">
      <c r="A1589" s="11">
        <v>1731000562</v>
      </c>
      <c r="B1589" s="40">
        <v>562</v>
      </c>
      <c r="C1589" s="109">
        <v>731000</v>
      </c>
      <c r="D1589" s="42">
        <v>1</v>
      </c>
      <c r="E1589" s="43"/>
      <c r="F1589" s="44" t="s">
        <v>748</v>
      </c>
      <c r="G1589" s="45" t="s">
        <v>37</v>
      </c>
      <c r="H1589" s="51">
        <f t="shared" si="24"/>
        <v>0</v>
      </c>
      <c r="I1589" s="47"/>
      <c r="J1589" s="48">
        <f>VLOOKUP(A1589,'[1]תקציב 2026'!$A$1:$M$65536,9,0)</f>
        <v>360</v>
      </c>
      <c r="K1589" s="49">
        <f>400*0.9</f>
        <v>360</v>
      </c>
      <c r="L1589" s="50">
        <f>VLOOKUP(A1589,[2]data1761205830331!$A$1:$J$65536,10,0)</f>
        <v>582.4</v>
      </c>
    </row>
    <row r="1590" spans="1:12" ht="15.6" outlineLevel="1">
      <c r="A1590" s="11">
        <v>1731000563</v>
      </c>
      <c r="B1590" s="40">
        <v>563</v>
      </c>
      <c r="C1590" s="109">
        <v>731000</v>
      </c>
      <c r="D1590" s="42">
        <v>1</v>
      </c>
      <c r="E1590" s="43"/>
      <c r="F1590" s="44" t="s">
        <v>1027</v>
      </c>
      <c r="G1590" s="45" t="s">
        <v>37</v>
      </c>
      <c r="H1590" s="51">
        <f t="shared" si="24"/>
        <v>-0.35185185185185186</v>
      </c>
      <c r="I1590" s="47"/>
      <c r="J1590" s="48">
        <f>VLOOKUP(A1590,'[1]תקציב 2026'!$A$1:$M$65536,9,0)</f>
        <v>7000</v>
      </c>
      <c r="K1590" s="49">
        <f>12000*0.9</f>
        <v>10800</v>
      </c>
      <c r="L1590" s="50">
        <f>VLOOKUP(A1590,[2]data1761205830331!$A$1:$J$65536,10,0)</f>
        <v>6985.52</v>
      </c>
    </row>
    <row r="1591" spans="1:12" ht="15.6" outlineLevel="1">
      <c r="A1591" s="11">
        <v>1731000565</v>
      </c>
      <c r="B1591" s="40">
        <v>565</v>
      </c>
      <c r="C1591" s="109">
        <v>731000</v>
      </c>
      <c r="D1591" s="42">
        <v>1</v>
      </c>
      <c r="E1591" s="43"/>
      <c r="F1591" s="44" t="s">
        <v>1028</v>
      </c>
      <c r="G1591" s="45" t="s">
        <v>37</v>
      </c>
      <c r="H1591" s="51">
        <f t="shared" si="24"/>
        <v>-1</v>
      </c>
      <c r="I1591" s="47"/>
      <c r="J1591" s="48">
        <v>0</v>
      </c>
      <c r="K1591" s="49">
        <f>VLOOKUP(A1591,[3]גיליון1!$A$1:$C$7693,3,0)*0.9</f>
        <v>810</v>
      </c>
      <c r="L1591" s="50">
        <f>VLOOKUP(A1591,[2]data1761205830331!$A$1:$J$65536,10,0)</f>
        <v>0</v>
      </c>
    </row>
    <row r="1592" spans="1:12" ht="15.6" outlineLevel="1">
      <c r="A1592" s="11">
        <v>1731000570</v>
      </c>
      <c r="B1592" s="40">
        <v>570</v>
      </c>
      <c r="C1592" s="109">
        <v>731000</v>
      </c>
      <c r="D1592" s="42">
        <v>1</v>
      </c>
      <c r="E1592" s="43"/>
      <c r="F1592" s="154" t="str">
        <f>[4]גיליון1!$F$2767</f>
        <v>מערכות ממוחשבות</v>
      </c>
      <c r="G1592" s="45" t="s">
        <v>29</v>
      </c>
      <c r="H1592" s="51">
        <f t="shared" si="24"/>
        <v>-0.30588235294117649</v>
      </c>
      <c r="I1592" s="47"/>
      <c r="J1592" s="48">
        <f>VLOOKUP(A1592,'[1]תקציב 2026'!$A$1:$M$65536,9,0)</f>
        <v>590000</v>
      </c>
      <c r="K1592" s="49">
        <v>850000</v>
      </c>
      <c r="L1592" s="50">
        <f>VLOOKUP(A1592,[2]data1761205830331!$A$1:$J$65536,10,0)</f>
        <v>151593.22</v>
      </c>
    </row>
    <row r="1593" spans="1:12" ht="15.6" outlineLevel="1">
      <c r="A1593" s="11">
        <v>1731000571</v>
      </c>
      <c r="B1593" s="40">
        <v>571</v>
      </c>
      <c r="C1593" s="109">
        <v>731000</v>
      </c>
      <c r="D1593" s="42">
        <v>1</v>
      </c>
      <c r="E1593" s="43"/>
      <c r="F1593" s="44" t="s">
        <v>75</v>
      </c>
      <c r="G1593" s="45" t="s">
        <v>29</v>
      </c>
      <c r="H1593" s="51">
        <f t="shared" si="24"/>
        <v>0.11393229166666674</v>
      </c>
      <c r="I1593" s="47"/>
      <c r="J1593" s="48">
        <f>VLOOKUP(A1593,'[1]תקציב 2026'!$A$1:$M$65536,9,0)</f>
        <v>684400</v>
      </c>
      <c r="K1593" s="49">
        <v>614400</v>
      </c>
      <c r="L1593" s="50">
        <f>VLOOKUP(A1593,[2]data1761205830331!$A$1:$J$65536,10,0)</f>
        <v>233800</v>
      </c>
    </row>
    <row r="1594" spans="1:12" ht="17.25" customHeight="1" outlineLevel="1">
      <c r="A1594" s="11">
        <v>1731000580</v>
      </c>
      <c r="B1594" s="40">
        <v>580</v>
      </c>
      <c r="C1594" s="109">
        <v>731000</v>
      </c>
      <c r="D1594" s="42">
        <v>1</v>
      </c>
      <c r="E1594" s="43"/>
      <c r="F1594" s="44" t="s">
        <v>1029</v>
      </c>
      <c r="G1594" s="45" t="s">
        <v>37</v>
      </c>
      <c r="H1594" s="51">
        <f t="shared" si="24"/>
        <v>-0.46666666666666667</v>
      </c>
      <c r="I1594" s="51"/>
      <c r="J1594" s="48">
        <f>VLOOKUP(A1594,'[1]תקציב 2026'!$A$1:$M$65536,9,0)</f>
        <v>12000</v>
      </c>
      <c r="K1594" s="49">
        <f>25000*0.9</f>
        <v>22500</v>
      </c>
      <c r="L1594" s="50">
        <f>VLOOKUP(A1594,[2]data1761205830331!$A$1:$J$65536,10,0)</f>
        <v>38617</v>
      </c>
    </row>
    <row r="1595" spans="1:12" ht="15.6" outlineLevel="1">
      <c r="A1595" s="11">
        <v>1731000582</v>
      </c>
      <c r="B1595" s="40">
        <v>582</v>
      </c>
      <c r="C1595" s="109">
        <v>731000</v>
      </c>
      <c r="D1595" s="42">
        <v>1</v>
      </c>
      <c r="E1595" s="43"/>
      <c r="F1595" s="44" t="s">
        <v>1030</v>
      </c>
      <c r="G1595" s="45" t="s">
        <v>37</v>
      </c>
      <c r="H1595" s="51">
        <f t="shared" si="24"/>
        <v>0</v>
      </c>
      <c r="I1595" s="47"/>
      <c r="J1595" s="48">
        <f>VLOOKUP(A1595,'[1]תקציב 2026'!$A$1:$M$65536,9,0)</f>
        <v>1750500</v>
      </c>
      <c r="K1595" s="49">
        <f>VLOOKUP(A1595,[3]גיליון1!$A$1:$C$7693,3,0)*0.9</f>
        <v>1750500</v>
      </c>
      <c r="L1595" s="50">
        <f>VLOOKUP(A1595,[2]data1761205830331!$A$1:$J$65536,10,0)</f>
        <v>1739104.43</v>
      </c>
    </row>
    <row r="1596" spans="1:12" ht="15.6" outlineLevel="1">
      <c r="A1596" s="11">
        <v>1731000583</v>
      </c>
      <c r="B1596" s="40">
        <v>583</v>
      </c>
      <c r="C1596" s="109">
        <v>731000</v>
      </c>
      <c r="D1596" s="42">
        <v>1</v>
      </c>
      <c r="E1596" s="43"/>
      <c r="F1596" s="44" t="s">
        <v>1031</v>
      </c>
      <c r="G1596" s="45" t="s">
        <v>37</v>
      </c>
      <c r="H1596" s="51">
        <f t="shared" si="24"/>
        <v>-0.38888888888888884</v>
      </c>
      <c r="I1596" s="47"/>
      <c r="J1596" s="48">
        <f>VLOOKUP(A1596,'[1]תקציב 2026'!$A$1:$M$65536,9,0)</f>
        <v>2200</v>
      </c>
      <c r="K1596" s="49">
        <f>4000*0.9</f>
        <v>3600</v>
      </c>
      <c r="L1596" s="50">
        <f>VLOOKUP(A1596,[2]data1761205830331!$A$1:$J$65536,10,0)</f>
        <v>0</v>
      </c>
    </row>
    <row r="1597" spans="1:12" ht="15.6" outlineLevel="1">
      <c r="A1597" s="11">
        <v>1731000584</v>
      </c>
      <c r="B1597" s="40">
        <v>584</v>
      </c>
      <c r="C1597" s="109">
        <v>731000</v>
      </c>
      <c r="D1597" s="42">
        <v>1</v>
      </c>
      <c r="E1597" s="43"/>
      <c r="F1597" s="44" t="s">
        <v>1032</v>
      </c>
      <c r="G1597" s="45" t="s">
        <v>37</v>
      </c>
      <c r="H1597" s="51">
        <v>0</v>
      </c>
      <c r="I1597" s="47"/>
      <c r="J1597" s="48">
        <f>VLOOKUP(A1597,'[1]תקציב 2026'!$A$1:$M$65536,9,0)</f>
        <v>0</v>
      </c>
      <c r="K1597" s="49">
        <v>0</v>
      </c>
      <c r="L1597" s="50">
        <f>VLOOKUP(A1597,[2]data1761205830331!$A$1:$J$65536,10,0)</f>
        <v>53903</v>
      </c>
    </row>
    <row r="1598" spans="1:12" ht="15.6" outlineLevel="1">
      <c r="A1598" s="11">
        <v>1731000596</v>
      </c>
      <c r="B1598" s="40">
        <v>596</v>
      </c>
      <c r="C1598" s="109">
        <v>731000</v>
      </c>
      <c r="D1598" s="42">
        <v>1</v>
      </c>
      <c r="E1598" s="43"/>
      <c r="F1598" s="44" t="s">
        <v>76</v>
      </c>
      <c r="G1598" s="45" t="s">
        <v>29</v>
      </c>
      <c r="H1598" s="51">
        <f t="shared" si="24"/>
        <v>0.21739130434782616</v>
      </c>
      <c r="I1598" s="47"/>
      <c r="J1598" s="48">
        <f>VLOOKUP(A1598,'[1]תקציב 2026'!$A$1:$M$65536,9,0)</f>
        <v>28000</v>
      </c>
      <c r="K1598" s="49">
        <v>23000</v>
      </c>
      <c r="L1598" s="50">
        <f>VLOOKUP(A1598,[2]data1761205830331!$A$1:$J$65536,10,0)</f>
        <v>29817</v>
      </c>
    </row>
    <row r="1599" spans="1:12" ht="15.6" outlineLevel="1">
      <c r="A1599" s="11">
        <v>1731000781</v>
      </c>
      <c r="B1599" s="40">
        <v>781</v>
      </c>
      <c r="C1599" s="109">
        <v>731000</v>
      </c>
      <c r="D1599" s="42">
        <v>1</v>
      </c>
      <c r="E1599" s="43"/>
      <c r="F1599" s="44" t="s">
        <v>775</v>
      </c>
      <c r="G1599" s="45" t="s">
        <v>37</v>
      </c>
      <c r="H1599" s="51">
        <f t="shared" si="24"/>
        <v>0.30555555555555558</v>
      </c>
      <c r="I1599" s="47"/>
      <c r="J1599" s="48">
        <f>VLOOKUP(A1599,'[1]תקציב 2026'!$A$1:$M$65536,9,0)</f>
        <v>23500</v>
      </c>
      <c r="K1599" s="49">
        <f>VLOOKUP(A1599,[3]גיליון1!$A$1:$C$7693,3,0)*0.9</f>
        <v>18000</v>
      </c>
      <c r="L1599" s="50">
        <f>VLOOKUP(A1599,[2]data1761205830331!$A$1:$J$65536,10,0)</f>
        <v>19048.79</v>
      </c>
    </row>
    <row r="1600" spans="1:12" ht="15.6" outlineLevel="1">
      <c r="A1600" s="11">
        <v>1731000782</v>
      </c>
      <c r="B1600" s="40">
        <v>782</v>
      </c>
      <c r="C1600" s="109">
        <v>731000</v>
      </c>
      <c r="D1600" s="42">
        <v>1</v>
      </c>
      <c r="E1600" s="43"/>
      <c r="F1600" s="44" t="s">
        <v>1033</v>
      </c>
      <c r="G1600" s="45" t="s">
        <v>37</v>
      </c>
      <c r="H1600" s="51">
        <f t="shared" si="24"/>
        <v>0.4814814814814814</v>
      </c>
      <c r="I1600" s="47"/>
      <c r="J1600" s="48">
        <f>VLOOKUP(A1600,'[1]תקציב 2026'!$A$1:$M$65536,9,0)</f>
        <v>6000</v>
      </c>
      <c r="K1600" s="49">
        <f>4500*0.9</f>
        <v>4050</v>
      </c>
      <c r="L1600" s="50">
        <f>VLOOKUP(A1600,[2]data1761205830331!$A$1:$J$65536,10,0)</f>
        <v>0</v>
      </c>
    </row>
    <row r="1601" spans="1:12" ht="16.2" outlineLevel="1" thickBot="1">
      <c r="A1601" s="11">
        <v>1731000794</v>
      </c>
      <c r="B1601" s="40">
        <v>794</v>
      </c>
      <c r="C1601" s="109">
        <v>731000</v>
      </c>
      <c r="D1601" s="42">
        <v>1</v>
      </c>
      <c r="E1601" s="43"/>
      <c r="F1601" s="44" t="s">
        <v>58</v>
      </c>
      <c r="G1601" s="45" t="s">
        <v>29</v>
      </c>
      <c r="H1601" s="51">
        <f t="shared" si="24"/>
        <v>0</v>
      </c>
      <c r="I1601" s="47"/>
      <c r="J1601" s="48">
        <f>VLOOKUP(A1601,'[1]תקציב 2026'!$A$1:$M$65536,9,0)</f>
        <v>59000</v>
      </c>
      <c r="K1601" s="49">
        <v>59000</v>
      </c>
      <c r="L1601" s="50">
        <f>VLOOKUP(A1601,[2]data1761205830331!$A$1:$J$65536,10,0)</f>
        <v>70370</v>
      </c>
    </row>
    <row r="1602" spans="1:12" ht="16.2" thickBot="1">
      <c r="A1602" s="11" t="e">
        <v>#VALUE!</v>
      </c>
      <c r="B1602" s="53" t="s">
        <v>1034</v>
      </c>
      <c r="C1602" s="223"/>
      <c r="D1602" s="55"/>
      <c r="E1602" s="56"/>
      <c r="F1602" s="116" t="s">
        <v>1035</v>
      </c>
      <c r="G1602" s="58"/>
      <c r="H1602" s="166">
        <f>J1602/K1602-1</f>
        <v>-6.073492930552038E-3</v>
      </c>
      <c r="I1602" s="72"/>
      <c r="J1602" s="74">
        <f>SUBTOTAL(9,J1570:J1601)</f>
        <v>8133400</v>
      </c>
      <c r="K1602" s="92">
        <f>SUBTOTAL(9,K1570:K1601)</f>
        <v>8183100</v>
      </c>
      <c r="L1602" s="75">
        <f>SUBTOTAL(9,L1570:L1601)</f>
        <v>5069295.09</v>
      </c>
    </row>
    <row r="1603" spans="1:12" ht="15.6" outlineLevel="1">
      <c r="A1603" s="11">
        <v>17320000</v>
      </c>
      <c r="B1603" s="64">
        <v>0</v>
      </c>
      <c r="C1603" s="131">
        <v>732000</v>
      </c>
      <c r="D1603" s="66">
        <v>1</v>
      </c>
      <c r="E1603" s="67"/>
      <c r="F1603" s="68" t="s">
        <v>1036</v>
      </c>
      <c r="G1603" s="69" t="s">
        <v>15</v>
      </c>
      <c r="H1603" s="51"/>
      <c r="I1603" s="47"/>
      <c r="J1603" s="48"/>
      <c r="K1603" s="49"/>
      <c r="L1603" s="50"/>
    </row>
    <row r="1604" spans="1:12" ht="15.6" outlineLevel="1">
      <c r="A1604" s="11">
        <v>1732000119</v>
      </c>
      <c r="B1604" s="40">
        <v>119</v>
      </c>
      <c r="C1604" s="109">
        <v>732000</v>
      </c>
      <c r="D1604" s="42">
        <v>1</v>
      </c>
      <c r="E1604" s="43"/>
      <c r="F1604" s="44" t="s">
        <v>23</v>
      </c>
      <c r="G1604" s="45" t="s">
        <v>22</v>
      </c>
      <c r="H1604" s="51">
        <f t="shared" ref="H1604:H1667" si="25">J1604/K1604-1</f>
        <v>-1.0294539615099962E-2</v>
      </c>
      <c r="I1604" s="47"/>
      <c r="J1604" s="48">
        <v>5898120</v>
      </c>
      <c r="K1604" s="49">
        <f>5729500+230000-30</f>
        <v>5959470</v>
      </c>
      <c r="L1604" s="50">
        <f>VLOOKUP(A1604,[2]data1761205830331!$A$1:$J$65536,10,0)</f>
        <v>5080245.2699999996</v>
      </c>
    </row>
    <row r="1605" spans="1:12" ht="15.6" outlineLevel="1">
      <c r="A1605" s="11">
        <v>1732000122</v>
      </c>
      <c r="B1605" s="40">
        <v>122</v>
      </c>
      <c r="C1605" s="109">
        <v>732000</v>
      </c>
      <c r="D1605" s="42">
        <v>1</v>
      </c>
      <c r="E1605" s="43"/>
      <c r="F1605" s="44" t="s">
        <v>24</v>
      </c>
      <c r="G1605" s="45" t="s">
        <v>22</v>
      </c>
      <c r="H1605" s="51">
        <f t="shared" si="25"/>
        <v>0</v>
      </c>
      <c r="I1605" s="47"/>
      <c r="J1605" s="48">
        <f>VLOOKUP(A1605,'[1]תקציב 2026'!$A$1:$M$65536,9,0)</f>
        <v>43500</v>
      </c>
      <c r="K1605" s="49">
        <f>VLOOKUP(A1605,[3]גיליון1!$A$1:$C$7693,3,0)</f>
        <v>43500</v>
      </c>
      <c r="L1605" s="50">
        <f>VLOOKUP(A1605,[2]data1761205830331!$A$1:$J$65536,10,0)</f>
        <v>44775.15</v>
      </c>
    </row>
    <row r="1606" spans="1:12" ht="15.6" outlineLevel="1">
      <c r="A1606" s="11">
        <v>1732000126</v>
      </c>
      <c r="B1606" s="40">
        <v>126</v>
      </c>
      <c r="C1606" s="109">
        <v>732000</v>
      </c>
      <c r="D1606" s="42">
        <v>1</v>
      </c>
      <c r="E1606" s="43"/>
      <c r="F1606" s="44" t="s">
        <v>25</v>
      </c>
      <c r="G1606" s="45" t="s">
        <v>22</v>
      </c>
      <c r="H1606" s="51">
        <f t="shared" si="25"/>
        <v>0</v>
      </c>
      <c r="I1606" s="47"/>
      <c r="J1606" s="48">
        <f>VLOOKUP(A1606,'[1]תקציב 2026'!$A$1:$M$65536,9,0)</f>
        <v>85000</v>
      </c>
      <c r="K1606" s="49">
        <f>VLOOKUP(A1606,[3]גיליון1!$A$1:$C$7693,3,0)</f>
        <v>85000</v>
      </c>
      <c r="L1606" s="50">
        <f>VLOOKUP(A1606,[2]data1761205830331!$A$1:$J$65536,10,0)</f>
        <v>84374.27</v>
      </c>
    </row>
    <row r="1607" spans="1:12" ht="15.6" outlineLevel="1">
      <c r="A1607" s="11">
        <v>1732000130</v>
      </c>
      <c r="B1607" s="40">
        <v>130</v>
      </c>
      <c r="C1607" s="109">
        <v>732000</v>
      </c>
      <c r="D1607" s="42">
        <v>1</v>
      </c>
      <c r="E1607" s="43"/>
      <c r="F1607" s="44" t="s">
        <v>26</v>
      </c>
      <c r="G1607" s="45" t="s">
        <v>22</v>
      </c>
      <c r="H1607" s="51">
        <f t="shared" si="25"/>
        <v>0</v>
      </c>
      <c r="I1607" s="47"/>
      <c r="J1607" s="48">
        <f>VLOOKUP(A1607,'[1]תקציב 2026'!$A$1:$M$65536,9,0)</f>
        <v>17100</v>
      </c>
      <c r="K1607" s="49">
        <v>17100</v>
      </c>
      <c r="L1607" s="50">
        <f>VLOOKUP(A1607,[2]data1761205830331!$A$1:$J$65536,10,0)</f>
        <v>423.22</v>
      </c>
    </row>
    <row r="1608" spans="1:12" ht="15.6" outlineLevel="1">
      <c r="A1608" s="11">
        <v>1732000140</v>
      </c>
      <c r="B1608" s="40">
        <v>140</v>
      </c>
      <c r="C1608" s="109">
        <v>732000</v>
      </c>
      <c r="D1608" s="42">
        <v>1</v>
      </c>
      <c r="E1608" s="43"/>
      <c r="F1608" s="44" t="s">
        <v>27</v>
      </c>
      <c r="G1608" s="45" t="s">
        <v>22</v>
      </c>
      <c r="H1608" s="51">
        <f t="shared" si="25"/>
        <v>0</v>
      </c>
      <c r="I1608" s="47"/>
      <c r="J1608" s="48">
        <f>VLOOKUP(A1608,'[1]תקציב 2026'!$A$1:$M$65536,9,0)</f>
        <v>480000</v>
      </c>
      <c r="K1608" s="49">
        <v>480000</v>
      </c>
      <c r="L1608" s="50">
        <f>VLOOKUP(A1608,[2]data1761205830331!$A$1:$J$65536,10,0)</f>
        <v>559366.05000000005</v>
      </c>
    </row>
    <row r="1609" spans="1:12" ht="15.6" outlineLevel="1">
      <c r="A1609" s="11">
        <v>1732000253</v>
      </c>
      <c r="B1609" s="40">
        <v>253</v>
      </c>
      <c r="C1609" s="109">
        <v>732000</v>
      </c>
      <c r="D1609" s="42">
        <v>1</v>
      </c>
      <c r="E1609" s="43"/>
      <c r="F1609" s="44" t="str">
        <f>[4]גיליון1!$F$2789</f>
        <v xml:space="preserve">עובדים חיצוניים   </v>
      </c>
      <c r="G1609" s="45" t="s">
        <v>22</v>
      </c>
      <c r="H1609" s="51">
        <v>0</v>
      </c>
      <c r="I1609" s="47"/>
      <c r="J1609" s="48">
        <v>0</v>
      </c>
      <c r="K1609" s="49">
        <f>VLOOKUP(A1609,[3]גיליון1!$A$1:$C$7693,3,0)</f>
        <v>0</v>
      </c>
      <c r="L1609" s="50">
        <f>VLOOKUP(A1609,[2]data1761205830331!$A$1:$J$65536,10,0)</f>
        <v>22915.81</v>
      </c>
    </row>
    <row r="1610" spans="1:12" ht="15.6" outlineLevel="1">
      <c r="A1610" s="11">
        <v>1732000471</v>
      </c>
      <c r="B1610" s="40">
        <v>471</v>
      </c>
      <c r="C1610" s="109">
        <v>732000</v>
      </c>
      <c r="D1610" s="42">
        <v>1</v>
      </c>
      <c r="E1610" s="43"/>
      <c r="F1610" s="44" t="s">
        <v>71</v>
      </c>
      <c r="G1610" s="45" t="s">
        <v>37</v>
      </c>
      <c r="H1610" s="51">
        <f t="shared" si="25"/>
        <v>3.3591731266149782E-2</v>
      </c>
      <c r="I1610" s="47"/>
      <c r="J1610" s="48">
        <f>VLOOKUP(A1610,'[1]תקציב 2026'!$A$1:$M$65536,9,0)</f>
        <v>12000</v>
      </c>
      <c r="K1610" s="49">
        <f>12900*0.9</f>
        <v>11610</v>
      </c>
      <c r="L1610" s="50">
        <f>VLOOKUP(A1610,[2]data1761205830331!$A$1:$J$65536,10,0)</f>
        <v>10916.62</v>
      </c>
    </row>
    <row r="1611" spans="1:12" ht="15.6" outlineLevel="1">
      <c r="A1611" s="11">
        <v>1732000511</v>
      </c>
      <c r="B1611" s="40">
        <v>511</v>
      </c>
      <c r="C1611" s="109">
        <v>732000</v>
      </c>
      <c r="D1611" s="42">
        <v>1</v>
      </c>
      <c r="E1611" s="43"/>
      <c r="F1611" s="44" t="s">
        <v>72</v>
      </c>
      <c r="G1611" s="45" t="s">
        <v>37</v>
      </c>
      <c r="H1611" s="51">
        <f t="shared" si="25"/>
        <v>0.7543859649122806</v>
      </c>
      <c r="I1611" s="47"/>
      <c r="J1611" s="48">
        <f>VLOOKUP(A1611,'[1]תקציב 2026'!$A$1:$M$65536,9,0)</f>
        <v>6000</v>
      </c>
      <c r="K1611" s="49">
        <f>3800*0.9</f>
        <v>3420</v>
      </c>
      <c r="L1611" s="50">
        <f>VLOOKUP(A1611,[2]data1761205830331!$A$1:$J$65536,10,0)</f>
        <v>132.99</v>
      </c>
    </row>
    <row r="1612" spans="1:12" ht="15.6" outlineLevel="1">
      <c r="A1612" s="11">
        <v>1732000550</v>
      </c>
      <c r="B1612" s="40">
        <v>550</v>
      </c>
      <c r="C1612" s="109">
        <v>732000</v>
      </c>
      <c r="D1612" s="42">
        <v>1</v>
      </c>
      <c r="E1612" s="43"/>
      <c r="F1612" s="44" t="s">
        <v>73</v>
      </c>
      <c r="G1612" s="45" t="s">
        <v>37</v>
      </c>
      <c r="H1612" s="51">
        <f t="shared" si="25"/>
        <v>0.11111111111111116</v>
      </c>
      <c r="I1612" s="47"/>
      <c r="J1612" s="48">
        <f>VLOOKUP(A1612,'[1]תקציב 2026'!$A$1:$M$65536,9,0)</f>
        <v>60000</v>
      </c>
      <c r="K1612" s="49">
        <f>60000*0.9</f>
        <v>54000</v>
      </c>
      <c r="L1612" s="50">
        <f>VLOOKUP(A1612,[2]data1761205830331!$A$1:$J$65536,10,0)</f>
        <v>53843</v>
      </c>
    </row>
    <row r="1613" spans="1:12" ht="15.6" outlineLevel="1">
      <c r="A1613" s="11">
        <v>1732000571</v>
      </c>
      <c r="B1613" s="40">
        <v>571</v>
      </c>
      <c r="C1613" s="109">
        <v>732000</v>
      </c>
      <c r="D1613" s="42">
        <v>1</v>
      </c>
      <c r="E1613" s="43"/>
      <c r="F1613" s="44" t="s">
        <v>75</v>
      </c>
      <c r="G1613" s="45" t="s">
        <v>29</v>
      </c>
      <c r="H1613" s="51">
        <f t="shared" si="25"/>
        <v>0.10933557611438194</v>
      </c>
      <c r="I1613" s="47"/>
      <c r="J1613" s="48">
        <f>VLOOKUP(A1613,'[1]תקציב 2026'!$A$1:$M$65536,9,0)</f>
        <v>131900</v>
      </c>
      <c r="K1613" s="49">
        <v>118900</v>
      </c>
      <c r="L1613" s="50">
        <f>VLOOKUP(A1613,[2]data1761205830331!$A$1:$J$65536,10,0)</f>
        <v>102300</v>
      </c>
    </row>
    <row r="1614" spans="1:12" ht="16.2" outlineLevel="1" thickBot="1">
      <c r="A1614" s="11">
        <v>1732000952</v>
      </c>
      <c r="B1614" s="40">
        <v>952</v>
      </c>
      <c r="C1614" s="109">
        <v>732000</v>
      </c>
      <c r="D1614" s="42">
        <v>1</v>
      </c>
      <c r="E1614" s="43"/>
      <c r="F1614" s="44" t="s">
        <v>1037</v>
      </c>
      <c r="G1614" s="45" t="s">
        <v>37</v>
      </c>
      <c r="H1614" s="51">
        <f t="shared" si="25"/>
        <v>-0.20634920634920639</v>
      </c>
      <c r="I1614" s="47"/>
      <c r="J1614" s="48">
        <f>VLOOKUP(A1614,'[1]תקציב 2026'!$A$1:$M$65536,9,0)</f>
        <v>5000</v>
      </c>
      <c r="K1614" s="49">
        <f>7000*0.9</f>
        <v>6300</v>
      </c>
      <c r="L1614" s="50">
        <f>VLOOKUP(A1614,[2]data1761205830331!$A$1:$J$65536,10,0)</f>
        <v>252</v>
      </c>
    </row>
    <row r="1615" spans="1:12" ht="16.2" thickBot="1">
      <c r="A1615" s="11" t="e">
        <v>#VALUE!</v>
      </c>
      <c r="B1615" s="53" t="s">
        <v>1038</v>
      </c>
      <c r="C1615" s="223"/>
      <c r="D1615" s="55"/>
      <c r="E1615" s="56"/>
      <c r="F1615" s="116" t="s">
        <v>1036</v>
      </c>
      <c r="G1615" s="58"/>
      <c r="H1615" s="166">
        <f>J1615/K1615-1</f>
        <v>-6.0006195329901368E-3</v>
      </c>
      <c r="I1615" s="72"/>
      <c r="J1615" s="74">
        <f>SUBTOTAL(9,J1604:J1614)</f>
        <v>6738620</v>
      </c>
      <c r="K1615" s="92">
        <f>SUBTOTAL(9,K1604:K1614)</f>
        <v>6779300</v>
      </c>
      <c r="L1615" s="75">
        <f>SUBTOTAL(9,L1604:L1614)</f>
        <v>5959544.379999999</v>
      </c>
    </row>
    <row r="1616" spans="1:12" ht="15.6" outlineLevel="1">
      <c r="A1616" s="11">
        <v>17322000</v>
      </c>
      <c r="B1616" s="40">
        <v>0</v>
      </c>
      <c r="C1616" s="109">
        <v>732200</v>
      </c>
      <c r="D1616" s="42">
        <v>1</v>
      </c>
      <c r="E1616" s="43"/>
      <c r="F1616" s="44" t="s">
        <v>1039</v>
      </c>
      <c r="G1616" s="45"/>
      <c r="H1616" s="51"/>
      <c r="I1616" s="47"/>
      <c r="J1616" s="48"/>
      <c r="K1616" s="49"/>
      <c r="L1616" s="50"/>
    </row>
    <row r="1617" spans="1:12" ht="15.6" outlineLevel="1">
      <c r="A1617" s="11">
        <v>1732200119</v>
      </c>
      <c r="B1617" s="40">
        <v>119</v>
      </c>
      <c r="C1617" s="109">
        <v>732200</v>
      </c>
      <c r="D1617" s="42">
        <v>1</v>
      </c>
      <c r="E1617" s="43"/>
      <c r="F1617" s="44" t="s">
        <v>23</v>
      </c>
      <c r="G1617" s="45" t="s">
        <v>22</v>
      </c>
      <c r="H1617" s="51">
        <v>0</v>
      </c>
      <c r="I1617" s="47"/>
      <c r="J1617" s="48">
        <f>VLOOKUP(A1617,'[1]תקציב 2026'!$A$1:$M$65536,9,0)</f>
        <v>0</v>
      </c>
      <c r="K1617" s="49">
        <f>VLOOKUP(A1617,[3]גיליון1!$A$1:$C$7693,3,0)</f>
        <v>0</v>
      </c>
      <c r="L1617" s="50">
        <f>VLOOKUP(A1617,[2]data1761205830331!$A$1:$J$65536,10,0)</f>
        <v>1131767.8500000001</v>
      </c>
    </row>
    <row r="1618" spans="1:12" ht="15.6" outlineLevel="1">
      <c r="A1618" s="11">
        <v>1732200122</v>
      </c>
      <c r="B1618" s="40">
        <v>122</v>
      </c>
      <c r="C1618" s="109">
        <v>732200</v>
      </c>
      <c r="D1618" s="42">
        <v>1</v>
      </c>
      <c r="E1618" s="43"/>
      <c r="F1618" s="44" t="s">
        <v>24</v>
      </c>
      <c r="G1618" s="45" t="s">
        <v>22</v>
      </c>
      <c r="H1618" s="51">
        <v>0</v>
      </c>
      <c r="I1618" s="47"/>
      <c r="J1618" s="48">
        <f>VLOOKUP(A1618,'[1]תקציב 2026'!$A$1:$M$65536,9,0)</f>
        <v>0</v>
      </c>
      <c r="K1618" s="49">
        <f>VLOOKUP(A1618,[3]גיליון1!$A$1:$C$7693,3,0)</f>
        <v>0</v>
      </c>
      <c r="L1618" s="50">
        <f>VLOOKUP(A1618,[2]data1761205830331!$A$1:$J$65536,10,0)</f>
        <v>12749.13</v>
      </c>
    </row>
    <row r="1619" spans="1:12" ht="15.6" outlineLevel="1">
      <c r="A1619" s="11">
        <v>1732200126</v>
      </c>
      <c r="B1619" s="40">
        <v>126</v>
      </c>
      <c r="C1619" s="109">
        <v>732200</v>
      </c>
      <c r="D1619" s="42">
        <v>1</v>
      </c>
      <c r="E1619" s="43"/>
      <c r="F1619" s="44" t="s">
        <v>25</v>
      </c>
      <c r="G1619" s="45" t="s">
        <v>22</v>
      </c>
      <c r="H1619" s="51">
        <v>0</v>
      </c>
      <c r="I1619" s="47"/>
      <c r="J1619" s="48">
        <f>VLOOKUP(A1619,'[1]תקציב 2026'!$A$1:$M$65536,9,0)</f>
        <v>0</v>
      </c>
      <c r="K1619" s="49">
        <f>VLOOKUP(A1619,[3]גיליון1!$A$1:$C$7693,3,0)</f>
        <v>0</v>
      </c>
      <c r="L1619" s="50">
        <f>VLOOKUP(A1619,[2]data1761205830331!$A$1:$J$65536,10,0)</f>
        <v>27534.28</v>
      </c>
    </row>
    <row r="1620" spans="1:12" ht="15.6" outlineLevel="1">
      <c r="A1620" s="11">
        <v>1732200130</v>
      </c>
      <c r="B1620" s="40">
        <v>130</v>
      </c>
      <c r="C1620" s="109">
        <v>732200</v>
      </c>
      <c r="D1620" s="42">
        <v>1</v>
      </c>
      <c r="E1620" s="43"/>
      <c r="F1620" s="44" t="s">
        <v>26</v>
      </c>
      <c r="G1620" s="45" t="s">
        <v>22</v>
      </c>
      <c r="H1620" s="51">
        <v>0</v>
      </c>
      <c r="I1620" s="47"/>
      <c r="J1620" s="48">
        <f>VLOOKUP(A1620,'[1]תקציב 2026'!$A$1:$M$65536,9,0)</f>
        <v>0</v>
      </c>
      <c r="K1620" s="49">
        <f>VLOOKUP(A1620,[3]גיליון1!$A$1:$C$7693,3,0)</f>
        <v>0</v>
      </c>
      <c r="L1620" s="50">
        <f>VLOOKUP(A1620,[2]data1761205830331!$A$1:$J$65536,10,0)</f>
        <v>26758.28</v>
      </c>
    </row>
    <row r="1621" spans="1:12" ht="15.6" outlineLevel="1">
      <c r="A1621" s="11">
        <v>1732200140</v>
      </c>
      <c r="B1621" s="40">
        <v>140</v>
      </c>
      <c r="C1621" s="109">
        <v>732200</v>
      </c>
      <c r="D1621" s="42">
        <v>1</v>
      </c>
      <c r="E1621" s="43"/>
      <c r="F1621" s="44" t="s">
        <v>27</v>
      </c>
      <c r="G1621" s="45" t="s">
        <v>22</v>
      </c>
      <c r="H1621" s="51">
        <v>0</v>
      </c>
      <c r="I1621" s="47"/>
      <c r="J1621" s="48">
        <f>VLOOKUP(A1621,'[1]תקציב 2026'!$A$1:$M$65536,9,0)</f>
        <v>0</v>
      </c>
      <c r="K1621" s="49">
        <f>VLOOKUP(A1621,[3]גיליון1!$A$1:$C$7693,3,0)</f>
        <v>0</v>
      </c>
      <c r="L1621" s="50">
        <f>VLOOKUP(A1621,[2]data1761205830331!$A$1:$J$65536,10,0)</f>
        <v>161949.47</v>
      </c>
    </row>
    <row r="1622" spans="1:12" ht="15.6" outlineLevel="1">
      <c r="A1622" s="11">
        <v>1732200253</v>
      </c>
      <c r="B1622" s="40">
        <v>253</v>
      </c>
      <c r="C1622" s="109">
        <v>732200</v>
      </c>
      <c r="D1622" s="42">
        <v>1</v>
      </c>
      <c r="E1622" s="43"/>
      <c r="F1622" s="44" t="s">
        <v>738</v>
      </c>
      <c r="G1622" s="45" t="s">
        <v>22</v>
      </c>
      <c r="H1622" s="51">
        <v>0</v>
      </c>
      <c r="I1622" s="47"/>
      <c r="J1622" s="48">
        <f>VLOOKUP(A1622,'[1]תקציב 2026'!$A$1:$M$65536,9,0)</f>
        <v>0</v>
      </c>
      <c r="K1622" s="49">
        <v>0</v>
      </c>
      <c r="L1622" s="50">
        <f>VLOOKUP(A1622,[2]data1761205830331!$A$1:$J$65536,10,0)</f>
        <v>617.29999999999995</v>
      </c>
    </row>
    <row r="1623" spans="1:12" ht="15.6" outlineLevel="1">
      <c r="A1623" s="11">
        <v>1732200471</v>
      </c>
      <c r="B1623" s="40">
        <v>471</v>
      </c>
      <c r="C1623" s="109">
        <v>732200</v>
      </c>
      <c r="D1623" s="42">
        <v>1</v>
      </c>
      <c r="E1623" s="43"/>
      <c r="F1623" s="44" t="s">
        <v>71</v>
      </c>
      <c r="G1623" s="45" t="s">
        <v>37</v>
      </c>
      <c r="H1623" s="51">
        <v>0</v>
      </c>
      <c r="I1623" s="47"/>
      <c r="J1623" s="48">
        <f>VLOOKUP(A1623,'[1]תקציב 2026'!$A$1:$M$65536,9,0)</f>
        <v>0</v>
      </c>
      <c r="K1623" s="49">
        <f>VLOOKUP(A1623,[3]גיליון1!$A$1:$C$7693,3,0)</f>
        <v>0</v>
      </c>
      <c r="L1623" s="50">
        <f>VLOOKUP(A1623,[2]data1761205830331!$A$1:$J$65536,10,0)</f>
        <v>1473.65</v>
      </c>
    </row>
    <row r="1624" spans="1:12" ht="15.6" outlineLevel="1">
      <c r="A1624" s="11">
        <v>1732200550</v>
      </c>
      <c r="B1624" s="40">
        <v>550</v>
      </c>
      <c r="C1624" s="109">
        <v>732200</v>
      </c>
      <c r="D1624" s="42">
        <v>1</v>
      </c>
      <c r="E1624" s="43"/>
      <c r="F1624" s="44" t="s">
        <v>73</v>
      </c>
      <c r="G1624" s="45" t="s">
        <v>37</v>
      </c>
      <c r="H1624" s="51">
        <v>0</v>
      </c>
      <c r="I1624" s="47"/>
      <c r="J1624" s="48">
        <f>VLOOKUP(A1624,'[1]תקציב 2026'!$A$1:$M$65536,9,0)</f>
        <v>0</v>
      </c>
      <c r="K1624" s="49">
        <f>VLOOKUP(A1624,[3]גיליון1!$A$1:$C$7693,3,0)</f>
        <v>0</v>
      </c>
      <c r="L1624" s="50">
        <f>VLOOKUP(A1624,[2]data1761205830331!$A$1:$J$65536,10,0)</f>
        <v>617</v>
      </c>
    </row>
    <row r="1625" spans="1:12" ht="15.6" outlineLevel="1">
      <c r="A1625" s="11">
        <v>1732200562</v>
      </c>
      <c r="B1625" s="40">
        <v>562</v>
      </c>
      <c r="C1625" s="109">
        <v>732200</v>
      </c>
      <c r="D1625" s="42">
        <v>1</v>
      </c>
      <c r="E1625" s="43"/>
      <c r="F1625" s="44" t="s">
        <v>748</v>
      </c>
      <c r="G1625" s="45" t="s">
        <v>37</v>
      </c>
      <c r="H1625" s="51">
        <v>0</v>
      </c>
      <c r="I1625" s="47"/>
      <c r="J1625" s="48">
        <f>VLOOKUP(A1625,'[1]תקציב 2026'!$A$1:$M$65536,9,0)</f>
        <v>0</v>
      </c>
      <c r="K1625" s="49">
        <f>VLOOKUP(A1625,[3]גיליון1!$A$1:$C$7693,3,0)</f>
        <v>0</v>
      </c>
      <c r="L1625" s="50">
        <f>VLOOKUP(A1625,[2]data1761205830331!$A$1:$J$65536,10,0)</f>
        <v>4680</v>
      </c>
    </row>
    <row r="1626" spans="1:12" ht="15.6" outlineLevel="1">
      <c r="A1626" s="11">
        <v>1732200585</v>
      </c>
      <c r="B1626" s="40">
        <v>585</v>
      </c>
      <c r="C1626" s="109">
        <v>732200</v>
      </c>
      <c r="D1626" s="42">
        <v>1</v>
      </c>
      <c r="E1626" s="43"/>
      <c r="F1626" s="44" t="s">
        <v>1040</v>
      </c>
      <c r="G1626" s="45" t="s">
        <v>37</v>
      </c>
      <c r="H1626" s="51">
        <v>0</v>
      </c>
      <c r="I1626" s="47"/>
      <c r="J1626" s="48">
        <f>VLOOKUP(A1626,'[1]תקציב 2026'!$A$1:$M$65536,9,0)</f>
        <v>0</v>
      </c>
      <c r="K1626" s="49">
        <f>VLOOKUP(A1626,[3]גיליון1!$A$1:$C$7693,3,0)</f>
        <v>0</v>
      </c>
      <c r="L1626" s="50">
        <f>VLOOKUP(A1626,[2]data1761205830331!$A$1:$J$65536,10,0)</f>
        <v>81801.22</v>
      </c>
    </row>
    <row r="1627" spans="1:12" ht="15.6" outlineLevel="1">
      <c r="A1627" s="11">
        <v>1732200754</v>
      </c>
      <c r="B1627" s="40">
        <v>754</v>
      </c>
      <c r="C1627" s="109">
        <v>732200</v>
      </c>
      <c r="D1627" s="42">
        <v>1</v>
      </c>
      <c r="E1627" s="43"/>
      <c r="F1627" s="44" t="s">
        <v>955</v>
      </c>
      <c r="G1627" s="45" t="s">
        <v>37</v>
      </c>
      <c r="H1627" s="51">
        <v>0</v>
      </c>
      <c r="I1627" s="47"/>
      <c r="J1627" s="48">
        <f>VLOOKUP(A1627,'[1]תקציב 2026'!$A$1:$M$65536,9,0)</f>
        <v>0</v>
      </c>
      <c r="K1627" s="49">
        <f>VLOOKUP(A1627,[3]גיליון1!$A$1:$C$7693,3,0)</f>
        <v>0</v>
      </c>
      <c r="L1627" s="50">
        <f>VLOOKUP(A1627,[2]data1761205830331!$A$1:$J$65536,10,0)</f>
        <v>55364.4</v>
      </c>
    </row>
    <row r="1628" spans="1:12" ht="16.2" outlineLevel="1" thickBot="1">
      <c r="A1628" s="11">
        <v>1732200932</v>
      </c>
      <c r="B1628" s="40">
        <v>932</v>
      </c>
      <c r="C1628" s="109">
        <v>732200</v>
      </c>
      <c r="D1628" s="42">
        <v>1</v>
      </c>
      <c r="E1628" s="43"/>
      <c r="F1628" s="44" t="s">
        <v>957</v>
      </c>
      <c r="G1628" s="45" t="s">
        <v>37</v>
      </c>
      <c r="H1628" s="51">
        <v>0</v>
      </c>
      <c r="I1628" s="47"/>
      <c r="J1628" s="48">
        <f>VLOOKUP(A1628,'[1]תקציב 2026'!$A$1:$M$65536,9,0)</f>
        <v>0</v>
      </c>
      <c r="K1628" s="49">
        <f>VLOOKUP(A1628,[3]גיליון1!$A$1:$C$7693,3,0)</f>
        <v>0</v>
      </c>
      <c r="L1628" s="50">
        <f>VLOOKUP(A1628,[2]data1761205830331!$A$1:$J$65536,10,0)</f>
        <v>7123</v>
      </c>
    </row>
    <row r="1629" spans="1:12" ht="16.2" thickBot="1">
      <c r="A1629" s="11" t="e">
        <v>#VALUE!</v>
      </c>
      <c r="B1629" s="53" t="s">
        <v>1041</v>
      </c>
      <c r="C1629" s="223"/>
      <c r="D1629" s="55"/>
      <c r="E1629" s="56"/>
      <c r="F1629" s="116" t="s">
        <v>1039</v>
      </c>
      <c r="G1629" s="58"/>
      <c r="H1629" s="166">
        <v>0</v>
      </c>
      <c r="I1629" s="72"/>
      <c r="J1629" s="74">
        <f>SUBTOTAL(9,J1617:J1628)</f>
        <v>0</v>
      </c>
      <c r="K1629" s="92">
        <f>SUBTOTAL(9,K1617:K1628)</f>
        <v>0</v>
      </c>
      <c r="L1629" s="75">
        <f>SUBTOTAL(9,L1617:L1628)</f>
        <v>1512435.5799999998</v>
      </c>
    </row>
    <row r="1630" spans="1:12" ht="15.6" outlineLevel="1">
      <c r="A1630" s="11">
        <v>17323000</v>
      </c>
      <c r="B1630" s="40">
        <v>0</v>
      </c>
      <c r="C1630" s="109">
        <v>732300</v>
      </c>
      <c r="D1630" s="42">
        <v>1</v>
      </c>
      <c r="E1630" s="43"/>
      <c r="F1630" s="44" t="s">
        <v>1042</v>
      </c>
      <c r="G1630" s="45" t="s">
        <v>15</v>
      </c>
      <c r="H1630" s="51"/>
      <c r="I1630" s="47"/>
      <c r="J1630" s="48"/>
      <c r="K1630" s="49"/>
      <c r="L1630" s="50"/>
    </row>
    <row r="1631" spans="1:12" ht="16.2" outlineLevel="1" thickBot="1">
      <c r="A1631" s="11">
        <v>1732300757</v>
      </c>
      <c r="B1631" s="40">
        <v>757</v>
      </c>
      <c r="C1631" s="109">
        <v>732300</v>
      </c>
      <c r="D1631" s="42">
        <v>1</v>
      </c>
      <c r="E1631" s="43"/>
      <c r="F1631" s="44" t="s">
        <v>1043</v>
      </c>
      <c r="G1631" s="45" t="s">
        <v>29</v>
      </c>
      <c r="H1631" s="51">
        <v>0</v>
      </c>
      <c r="I1631" s="47"/>
      <c r="J1631" s="48">
        <v>0</v>
      </c>
      <c r="K1631" s="49">
        <f>VLOOKUP(A1631,[3]גיליון1!$A$1:$C$7693,3,0)</f>
        <v>0</v>
      </c>
      <c r="L1631" s="50">
        <f>VLOOKUP(A1631,[2]data1761205830331!$A$1:$J$65536,10,0)</f>
        <v>11093</v>
      </c>
    </row>
    <row r="1632" spans="1:12" ht="16.2" thickBot="1">
      <c r="A1632" s="11" t="e">
        <v>#VALUE!</v>
      </c>
      <c r="B1632" s="157" t="s">
        <v>1044</v>
      </c>
      <c r="C1632" s="223"/>
      <c r="D1632" s="55"/>
      <c r="E1632" s="56"/>
      <c r="F1632" s="116" t="s">
        <v>1042</v>
      </c>
      <c r="G1632" s="58"/>
      <c r="H1632" s="166">
        <v>0</v>
      </c>
      <c r="I1632" s="72"/>
      <c r="J1632" s="74">
        <f>SUBTOTAL(9,J1631)</f>
        <v>0</v>
      </c>
      <c r="K1632" s="92">
        <f>SUBTOTAL(9,K1631)</f>
        <v>0</v>
      </c>
      <c r="L1632" s="75">
        <f>SUBTOTAL(9,L1631)</f>
        <v>11093</v>
      </c>
    </row>
    <row r="1633" spans="1:12" ht="15.6" outlineLevel="1">
      <c r="A1633" s="11">
        <v>17324000</v>
      </c>
      <c r="B1633" s="64">
        <v>0</v>
      </c>
      <c r="C1633" s="131">
        <v>732400</v>
      </c>
      <c r="D1633" s="66">
        <v>1</v>
      </c>
      <c r="E1633" s="67"/>
      <c r="F1633" s="68" t="s">
        <v>1045</v>
      </c>
      <c r="G1633" s="69" t="s">
        <v>15</v>
      </c>
      <c r="H1633" s="51"/>
      <c r="I1633" s="47"/>
      <c r="J1633" s="48"/>
      <c r="K1633" s="49"/>
      <c r="L1633" s="50"/>
    </row>
    <row r="1634" spans="1:12" ht="15.6" outlineLevel="1">
      <c r="A1634" s="11">
        <v>1732400110</v>
      </c>
      <c r="B1634" s="40">
        <v>110</v>
      </c>
      <c r="C1634" s="109">
        <v>732400</v>
      </c>
      <c r="D1634" s="42">
        <v>1</v>
      </c>
      <c r="E1634" s="43"/>
      <c r="F1634" s="44" t="s">
        <v>21</v>
      </c>
      <c r="G1634" s="45" t="s">
        <v>22</v>
      </c>
      <c r="H1634" s="51">
        <f t="shared" si="25"/>
        <v>2.501063377286239E-2</v>
      </c>
      <c r="I1634" s="47"/>
      <c r="J1634" s="48">
        <f>VLOOKUP(A1634,'[1]תקציב 2026'!$A$1:$M$65536,9,0)</f>
        <v>240979.99999999997</v>
      </c>
      <c r="K1634" s="49">
        <f>VLOOKUP(A1634,[3]גיליון1!$A$1:$C$7693,3,0)</f>
        <v>235100</v>
      </c>
      <c r="L1634" s="50">
        <f>VLOOKUP(A1634,[2]data1761205830331!$A$1:$J$65536,10,0)</f>
        <v>233247.73</v>
      </c>
    </row>
    <row r="1635" spans="1:12" ht="15.6" outlineLevel="1">
      <c r="A1635" s="11">
        <v>1732400119</v>
      </c>
      <c r="B1635" s="40">
        <v>119</v>
      </c>
      <c r="C1635" s="109">
        <v>732400</v>
      </c>
      <c r="D1635" s="42">
        <v>1</v>
      </c>
      <c r="E1635" s="43"/>
      <c r="F1635" s="44" t="s">
        <v>23</v>
      </c>
      <c r="G1635" s="45" t="s">
        <v>22</v>
      </c>
      <c r="H1635" s="51">
        <f t="shared" si="25"/>
        <v>3.8887132469174857E-2</v>
      </c>
      <c r="I1635" s="47"/>
      <c r="J1635" s="48">
        <f>VLOOKUP(A1635,'[1]תקציב 2026'!$A$1:$M$65536,9,0)</f>
        <v>2300200</v>
      </c>
      <c r="K1635" s="49">
        <f>2214100</f>
        <v>2214100</v>
      </c>
      <c r="L1635" s="50">
        <f>VLOOKUP(A1635,[2]data1761205830331!$A$1:$J$65536,10,0)</f>
        <v>2201754.46</v>
      </c>
    </row>
    <row r="1636" spans="1:12" ht="15.6" outlineLevel="1">
      <c r="A1636" s="11">
        <v>1732400122</v>
      </c>
      <c r="B1636" s="40">
        <v>122</v>
      </c>
      <c r="C1636" s="109">
        <v>732400</v>
      </c>
      <c r="D1636" s="42">
        <v>1</v>
      </c>
      <c r="E1636" s="43"/>
      <c r="F1636" s="44" t="s">
        <v>24</v>
      </c>
      <c r="G1636" s="45" t="s">
        <v>22</v>
      </c>
      <c r="H1636" s="51">
        <f t="shared" si="25"/>
        <v>0</v>
      </c>
      <c r="I1636" s="47"/>
      <c r="J1636" s="48">
        <f>VLOOKUP(A1636,'[1]תקציב 2026'!$A$1:$M$65536,9,0)</f>
        <v>17800</v>
      </c>
      <c r="K1636" s="49">
        <f>VLOOKUP(A1636,[3]גיליון1!$A$1:$C$7693,3,0)</f>
        <v>17800</v>
      </c>
      <c r="L1636" s="50">
        <f>VLOOKUP(A1636,[2]data1761205830331!$A$1:$J$65536,10,0)</f>
        <v>17498.07</v>
      </c>
    </row>
    <row r="1637" spans="1:12" ht="15.6" outlineLevel="1">
      <c r="A1637" s="11">
        <v>1732400126</v>
      </c>
      <c r="B1637" s="40">
        <v>126</v>
      </c>
      <c r="C1637" s="109">
        <v>732400</v>
      </c>
      <c r="D1637" s="42">
        <v>1</v>
      </c>
      <c r="E1637" s="43"/>
      <c r="F1637" s="44" t="s">
        <v>25</v>
      </c>
      <c r="G1637" s="45" t="s">
        <v>22</v>
      </c>
      <c r="H1637" s="51">
        <f t="shared" si="25"/>
        <v>0</v>
      </c>
      <c r="I1637" s="47"/>
      <c r="J1637" s="48">
        <f>VLOOKUP(A1637,'[1]תקציב 2026'!$A$1:$M$65536,9,0)</f>
        <v>44000</v>
      </c>
      <c r="K1637" s="49">
        <v>44000</v>
      </c>
      <c r="L1637" s="50">
        <f>VLOOKUP(A1637,[2]data1761205830331!$A$1:$J$65536,10,0)</f>
        <v>42019.18</v>
      </c>
    </row>
    <row r="1638" spans="1:12" ht="15.6" outlineLevel="1">
      <c r="A1638" s="11">
        <v>1732400130</v>
      </c>
      <c r="B1638" s="40">
        <v>130</v>
      </c>
      <c r="C1638" s="109">
        <v>732400</v>
      </c>
      <c r="D1638" s="42">
        <v>1</v>
      </c>
      <c r="E1638" s="43"/>
      <c r="F1638" s="44" t="s">
        <v>26</v>
      </c>
      <c r="G1638" s="45" t="s">
        <v>22</v>
      </c>
      <c r="H1638" s="51">
        <f t="shared" si="25"/>
        <v>0</v>
      </c>
      <c r="I1638" s="47"/>
      <c r="J1638" s="48">
        <f>VLOOKUP(A1638,'[1]תקציב 2026'!$A$1:$M$65536,9,0)</f>
        <v>25800</v>
      </c>
      <c r="K1638" s="49">
        <f>VLOOKUP(A1638,[3]גיליון1!$A$1:$C$7693,3,0)*0.86</f>
        <v>25800</v>
      </c>
      <c r="L1638" s="50">
        <f>VLOOKUP(A1638,[2]data1761205830331!$A$1:$J$65536,10,0)</f>
        <v>29320.18</v>
      </c>
    </row>
    <row r="1639" spans="1:12" ht="15.6" outlineLevel="1">
      <c r="A1639" s="11">
        <v>1732400140</v>
      </c>
      <c r="B1639" s="40">
        <v>140</v>
      </c>
      <c r="C1639" s="109">
        <v>732400</v>
      </c>
      <c r="D1639" s="42">
        <v>1</v>
      </c>
      <c r="E1639" s="43"/>
      <c r="F1639" s="44" t="s">
        <v>27</v>
      </c>
      <c r="G1639" s="45" t="s">
        <v>22</v>
      </c>
      <c r="H1639" s="51">
        <f t="shared" si="25"/>
        <v>0</v>
      </c>
      <c r="I1639" s="47"/>
      <c r="J1639" s="48">
        <f>VLOOKUP(A1639,'[1]תקציב 2026'!$A$1:$M$65536,9,0)</f>
        <v>169100</v>
      </c>
      <c r="K1639" s="49">
        <f>VLOOKUP(A1639,[3]גיליון1!$A$1:$C$7693,3,0)</f>
        <v>169100</v>
      </c>
      <c r="L1639" s="50">
        <f>VLOOKUP(A1639,[2]data1761205830331!$A$1:$J$65536,10,0)</f>
        <v>200619.92</v>
      </c>
    </row>
    <row r="1640" spans="1:12" ht="15.6" outlineLevel="1">
      <c r="A1640" s="11">
        <v>1732400253</v>
      </c>
      <c r="B1640" s="40">
        <v>253</v>
      </c>
      <c r="C1640" s="109">
        <v>732400</v>
      </c>
      <c r="D1640" s="42">
        <v>1</v>
      </c>
      <c r="E1640" s="43"/>
      <c r="F1640" s="44" t="s">
        <v>738</v>
      </c>
      <c r="G1640" s="45" t="s">
        <v>22</v>
      </c>
      <c r="H1640" s="51">
        <v>0</v>
      </c>
      <c r="I1640" s="47"/>
      <c r="J1640" s="48">
        <v>0</v>
      </c>
      <c r="K1640" s="49">
        <f>VLOOKUP(A1640,[3]גיליון1!$A$1:$C$7693,3,0)</f>
        <v>0</v>
      </c>
      <c r="L1640" s="50">
        <f>VLOOKUP(A1640,[2]data1761205830331!$A$1:$J$65536,10,0)</f>
        <v>12234.81</v>
      </c>
    </row>
    <row r="1641" spans="1:12" ht="15.6" outlineLevel="1">
      <c r="A1641" s="11">
        <v>1732400350</v>
      </c>
      <c r="B1641" s="40">
        <v>350</v>
      </c>
      <c r="C1641" s="109">
        <v>732400</v>
      </c>
      <c r="D1641" s="42">
        <v>1</v>
      </c>
      <c r="E1641" s="43"/>
      <c r="F1641" s="44" t="s">
        <v>1046</v>
      </c>
      <c r="G1641" s="45" t="s">
        <v>22</v>
      </c>
      <c r="H1641" s="51">
        <f t="shared" si="25"/>
        <v>-0.44933333333333336</v>
      </c>
      <c r="I1641" s="47" t="s">
        <v>137</v>
      </c>
      <c r="J1641" s="48">
        <f>VLOOKUP(A1641,'[1]תקציב 2026'!$A$1:$M$65536,9,0)</f>
        <v>49560</v>
      </c>
      <c r="K1641" s="49">
        <f>VLOOKUP(A1641,[3]גיליון1!$A$1:$C$7693,3,0)</f>
        <v>90000</v>
      </c>
      <c r="L1641" s="50">
        <f>VLOOKUP(A1641,[2]data1761205830331!$A$1:$J$65536,10,0)</f>
        <v>95882.55</v>
      </c>
    </row>
    <row r="1642" spans="1:12" ht="15.6" outlineLevel="1">
      <c r="A1642" s="11">
        <v>1732400351</v>
      </c>
      <c r="B1642" s="40">
        <v>351</v>
      </c>
      <c r="C1642" s="109">
        <v>732400</v>
      </c>
      <c r="D1642" s="42">
        <v>1</v>
      </c>
      <c r="E1642" s="43"/>
      <c r="F1642" s="44" t="s">
        <v>740</v>
      </c>
      <c r="G1642" s="45" t="s">
        <v>22</v>
      </c>
      <c r="H1642" s="51">
        <f t="shared" si="25"/>
        <v>0</v>
      </c>
      <c r="I1642" s="47" t="s">
        <v>137</v>
      </c>
      <c r="J1642" s="48">
        <f>VLOOKUP(A1642,'[1]תקציב 2026'!$A$1:$M$65536,9,0)</f>
        <v>24000</v>
      </c>
      <c r="K1642" s="49">
        <f>VLOOKUP(A1642,[3]גיליון1!$A$1:$C$7693,3,0)</f>
        <v>24000</v>
      </c>
      <c r="L1642" s="50">
        <f>VLOOKUP(A1642,[2]data1761205830331!$A$1:$J$65536,10,0)</f>
        <v>21023.35</v>
      </c>
    </row>
    <row r="1643" spans="1:12" ht="15.6" outlineLevel="1">
      <c r="A1643" s="11">
        <v>1732400470</v>
      </c>
      <c r="B1643" s="40">
        <v>470</v>
      </c>
      <c r="C1643" s="109">
        <v>732400</v>
      </c>
      <c r="D1643" s="42">
        <v>1</v>
      </c>
      <c r="E1643" s="43"/>
      <c r="F1643" s="44" t="s">
        <v>43</v>
      </c>
      <c r="G1643" s="45" t="s">
        <v>37</v>
      </c>
      <c r="H1643" s="51">
        <f t="shared" si="25"/>
        <v>0</v>
      </c>
      <c r="I1643" s="47"/>
      <c r="J1643" s="48">
        <f>VLOOKUP(A1643,'[1]תקציב 2026'!$A$1:$M$65536,9,0)</f>
        <v>450</v>
      </c>
      <c r="K1643" s="49">
        <f>500*0.9</f>
        <v>450</v>
      </c>
      <c r="L1643" s="50">
        <f>VLOOKUP(A1643,[2]data1761205830331!$A$1:$J$65536,10,0)</f>
        <v>0</v>
      </c>
    </row>
    <row r="1644" spans="1:12" ht="15.6" outlineLevel="1">
      <c r="A1644" s="11">
        <v>1732400471</v>
      </c>
      <c r="B1644" s="40">
        <v>471</v>
      </c>
      <c r="C1644" s="109">
        <v>732400</v>
      </c>
      <c r="D1644" s="42">
        <v>1</v>
      </c>
      <c r="E1644" s="43"/>
      <c r="F1644" s="44" t="s">
        <v>71</v>
      </c>
      <c r="G1644" s="45" t="s">
        <v>37</v>
      </c>
      <c r="H1644" s="51">
        <f t="shared" si="25"/>
        <v>0.85185185185185186</v>
      </c>
      <c r="I1644" s="47"/>
      <c r="J1644" s="48">
        <f>VLOOKUP(A1644,'[1]תקציב 2026'!$A$1:$M$65536,9,0)</f>
        <v>15000</v>
      </c>
      <c r="K1644" s="49">
        <f>9000*0.9</f>
        <v>8100</v>
      </c>
      <c r="L1644" s="50">
        <f>VLOOKUP(A1644,[2]data1761205830331!$A$1:$J$65536,10,0)</f>
        <v>8522.94</v>
      </c>
    </row>
    <row r="1645" spans="1:12" ht="15.6" outlineLevel="1">
      <c r="A1645" s="11">
        <v>1732400511</v>
      </c>
      <c r="B1645" s="40">
        <v>511</v>
      </c>
      <c r="C1645" s="109">
        <v>732400</v>
      </c>
      <c r="D1645" s="42">
        <v>1</v>
      </c>
      <c r="E1645" s="43"/>
      <c r="F1645" s="44" t="s">
        <v>72</v>
      </c>
      <c r="G1645" s="45" t="s">
        <v>37</v>
      </c>
      <c r="H1645" s="51">
        <f t="shared" si="25"/>
        <v>1.3931623931623931</v>
      </c>
      <c r="I1645" s="47"/>
      <c r="J1645" s="48">
        <f>VLOOKUP(A1645,'[1]תקציב 2026'!$A$1:$M$65536,9,0)</f>
        <v>2800</v>
      </c>
      <c r="K1645" s="49">
        <f>1300*0.9</f>
        <v>1170</v>
      </c>
      <c r="L1645" s="50">
        <f>VLOOKUP(A1645,[2]data1761205830331!$A$1:$J$65536,10,0)</f>
        <v>1174.23</v>
      </c>
    </row>
    <row r="1646" spans="1:12" ht="15.6" outlineLevel="1">
      <c r="A1646" s="11">
        <v>1732400512</v>
      </c>
      <c r="B1646" s="40">
        <v>512</v>
      </c>
      <c r="C1646" s="109">
        <v>732400</v>
      </c>
      <c r="D1646" s="42">
        <v>1</v>
      </c>
      <c r="E1646" s="43"/>
      <c r="F1646" s="44" t="s">
        <v>88</v>
      </c>
      <c r="G1646" s="45" t="s">
        <v>37</v>
      </c>
      <c r="H1646" s="51">
        <f t="shared" si="25"/>
        <v>0.72839506172839497</v>
      </c>
      <c r="I1646" s="47"/>
      <c r="J1646" s="48">
        <f>VLOOKUP(A1646,'[1]תקציב 2026'!$A$1:$M$65536,9,0)</f>
        <v>1400</v>
      </c>
      <c r="K1646" s="49">
        <f>VLOOKUP(A1646,[3]גיליון1!$A$1:$C$7693,3,0)*0.9</f>
        <v>810</v>
      </c>
      <c r="L1646" s="50">
        <f>VLOOKUP(A1646,[2]data1761205830331!$A$1:$J$65536,10,0)</f>
        <v>1307.8499999999999</v>
      </c>
    </row>
    <row r="1647" spans="1:12" ht="15.6" outlineLevel="1">
      <c r="A1647" s="11">
        <v>1732400561</v>
      </c>
      <c r="B1647" s="40">
        <v>561</v>
      </c>
      <c r="C1647" s="109">
        <v>732400</v>
      </c>
      <c r="D1647" s="42">
        <v>1</v>
      </c>
      <c r="E1647" s="43"/>
      <c r="F1647" s="44" t="s">
        <v>74</v>
      </c>
      <c r="G1647" s="45" t="s">
        <v>37</v>
      </c>
      <c r="H1647" s="51">
        <f t="shared" si="25"/>
        <v>-1</v>
      </c>
      <c r="I1647" s="47"/>
      <c r="J1647" s="48">
        <f>VLOOKUP(A1647,'[1]תקציב 2026'!$A$1:$M$65536,9,0)</f>
        <v>0</v>
      </c>
      <c r="K1647" s="49">
        <f>VLOOKUP(A1647,[3]גיליון1!$A$1:$C$7693,3,0)*0.9</f>
        <v>810</v>
      </c>
      <c r="L1647" s="50">
        <f>VLOOKUP(A1647,[2]data1761205830331!$A$1:$J$65536,10,0)</f>
        <v>0</v>
      </c>
    </row>
    <row r="1648" spans="1:12" ht="15.6" outlineLevel="1">
      <c r="A1648" s="11">
        <v>1732400580</v>
      </c>
      <c r="B1648" s="40">
        <v>580</v>
      </c>
      <c r="C1648" s="109">
        <v>732400</v>
      </c>
      <c r="D1648" s="42">
        <v>1</v>
      </c>
      <c r="E1648" s="43"/>
      <c r="F1648" s="44" t="s">
        <v>861</v>
      </c>
      <c r="G1648" s="45" t="s">
        <v>29</v>
      </c>
      <c r="H1648" s="51">
        <f t="shared" si="25"/>
        <v>-0.23414798963847283</v>
      </c>
      <c r="I1648" s="51"/>
      <c r="J1648" s="48">
        <f>VLOOKUP(A1648,'[1]תקציב 2026'!$A$1:$M$65536,9,0)</f>
        <v>680000</v>
      </c>
      <c r="K1648" s="49">
        <f>986500*0.9+50</f>
        <v>887900</v>
      </c>
      <c r="L1648" s="50">
        <f>VLOOKUP(A1648,[2]data1761205830331!$A$1:$J$65536,10,0)</f>
        <v>552555.65</v>
      </c>
    </row>
    <row r="1649" spans="1:12" ht="15.6" outlineLevel="1">
      <c r="A1649" s="11">
        <v>1732400581</v>
      </c>
      <c r="B1649" s="40">
        <v>581</v>
      </c>
      <c r="C1649" s="109">
        <v>732400</v>
      </c>
      <c r="D1649" s="42">
        <v>1</v>
      </c>
      <c r="E1649" s="43"/>
      <c r="F1649" s="44" t="s">
        <v>1047</v>
      </c>
      <c r="G1649" s="45" t="s">
        <v>37</v>
      </c>
      <c r="H1649" s="51">
        <f t="shared" si="25"/>
        <v>0</v>
      </c>
      <c r="I1649" s="47"/>
      <c r="J1649" s="48">
        <f>VLOOKUP(A1649,'[1]תקציב 2026'!$A$1:$M$65536,9,0)</f>
        <v>14400</v>
      </c>
      <c r="K1649" s="49">
        <f>16000*0.9</f>
        <v>14400</v>
      </c>
      <c r="L1649" s="50">
        <f>VLOOKUP(A1649,[2]data1761205830331!$A$1:$J$65536,10,0)</f>
        <v>15512.13</v>
      </c>
    </row>
    <row r="1650" spans="1:12" ht="15.6" outlineLevel="1">
      <c r="A1650" s="11">
        <v>1732400582</v>
      </c>
      <c r="B1650" s="40">
        <v>582</v>
      </c>
      <c r="C1650" s="109">
        <v>732400</v>
      </c>
      <c r="D1650" s="42">
        <v>1</v>
      </c>
      <c r="E1650" s="43"/>
      <c r="F1650" s="44" t="s">
        <v>1048</v>
      </c>
      <c r="G1650" s="45" t="s">
        <v>37</v>
      </c>
      <c r="H1650" s="51">
        <f t="shared" si="25"/>
        <v>0.31134803035778824</v>
      </c>
      <c r="I1650" s="47"/>
      <c r="J1650" s="48">
        <f>VLOOKUP(A1650,'[1]תקציב 2026'!$A$1:$M$65536,9,0)</f>
        <v>72570</v>
      </c>
      <c r="K1650" s="49">
        <f>61500*0.9-10</f>
        <v>55340</v>
      </c>
      <c r="L1650" s="50">
        <f>VLOOKUP(A1650,[2]data1761205830331!$A$1:$J$65536,10,0)</f>
        <v>37263.5</v>
      </c>
    </row>
    <row r="1651" spans="1:12" ht="15.6" outlineLevel="1">
      <c r="A1651" s="11">
        <v>1732400584</v>
      </c>
      <c r="B1651" s="40">
        <v>584</v>
      </c>
      <c r="C1651" s="109">
        <v>732400</v>
      </c>
      <c r="D1651" s="42">
        <v>1</v>
      </c>
      <c r="E1651" s="43"/>
      <c r="F1651" s="44" t="s">
        <v>1032</v>
      </c>
      <c r="G1651" s="45" t="s">
        <v>37</v>
      </c>
      <c r="H1651" s="51">
        <f t="shared" si="25"/>
        <v>0.35132924335378313</v>
      </c>
      <c r="I1651" s="47"/>
      <c r="J1651" s="48">
        <f>VLOOKUP(A1651,'[1]תקציב 2026'!$A$1:$M$65536,9,0)</f>
        <v>198240</v>
      </c>
      <c r="K1651" s="49">
        <f>VLOOKUP(A1651,[3]גיליון1!$A$1:$C$7693,3,0)*0.9</f>
        <v>146700</v>
      </c>
      <c r="L1651" s="50">
        <f>VLOOKUP(A1651,[2]data1761205830331!$A$1:$J$65536,10,0)</f>
        <v>156513.59</v>
      </c>
    </row>
    <row r="1652" spans="1:12" ht="15.6" outlineLevel="1">
      <c r="A1652" s="11">
        <v>1732400744</v>
      </c>
      <c r="B1652" s="40">
        <v>744</v>
      </c>
      <c r="C1652" s="109">
        <v>732400</v>
      </c>
      <c r="D1652" s="42">
        <v>1</v>
      </c>
      <c r="E1652" s="43"/>
      <c r="F1652" s="44" t="s">
        <v>1049</v>
      </c>
      <c r="G1652" s="45" t="s">
        <v>37</v>
      </c>
      <c r="H1652" s="51">
        <f t="shared" si="25"/>
        <v>0</v>
      </c>
      <c r="I1652" s="47"/>
      <c r="J1652" s="48">
        <f>VLOOKUP(A1652,'[1]תקציב 2026'!$A$1:$M$65536,9,0)</f>
        <v>2520</v>
      </c>
      <c r="K1652" s="49">
        <f>VLOOKUP(A1652,[3]גיליון1!$A$1:$C$7693,3,0)*0.9</f>
        <v>2520</v>
      </c>
      <c r="L1652" s="50">
        <f>VLOOKUP(A1652,[2]data1761205830331!$A$1:$J$65536,10,0)</f>
        <v>0</v>
      </c>
    </row>
    <row r="1653" spans="1:12" ht="15.6" outlineLevel="1">
      <c r="A1653" s="11">
        <v>1732400757</v>
      </c>
      <c r="B1653" s="40">
        <v>757</v>
      </c>
      <c r="C1653" s="109">
        <v>732400</v>
      </c>
      <c r="D1653" s="42">
        <v>1</v>
      </c>
      <c r="E1653" s="43"/>
      <c r="F1653" s="44" t="s">
        <v>1050</v>
      </c>
      <c r="G1653" s="45" t="s">
        <v>29</v>
      </c>
      <c r="H1653" s="51">
        <v>0</v>
      </c>
      <c r="I1653" s="47"/>
      <c r="J1653" s="48">
        <f>VLOOKUP(A1653,'[1]תקציב 2026'!$A$1:$M$65536,9,0)</f>
        <v>0</v>
      </c>
      <c r="K1653" s="49">
        <f>VLOOKUP(A1653,[3]גיליון1!$A$1:$C$7693,3,0)</f>
        <v>0</v>
      </c>
      <c r="L1653" s="50">
        <f>VLOOKUP(A1653,[2]data1761205830331!$A$1:$J$65536,10,0)</f>
        <v>537882.73</v>
      </c>
    </row>
    <row r="1654" spans="1:12" ht="16.2" outlineLevel="1" thickBot="1">
      <c r="A1654" s="11">
        <v>1732400759</v>
      </c>
      <c r="B1654" s="40">
        <v>759</v>
      </c>
      <c r="C1654" s="109">
        <v>732400</v>
      </c>
      <c r="D1654" s="42">
        <v>1</v>
      </c>
      <c r="E1654" s="43"/>
      <c r="F1654" s="44" t="s">
        <v>1051</v>
      </c>
      <c r="G1654" s="45" t="s">
        <v>29</v>
      </c>
      <c r="H1654" s="51">
        <f t="shared" si="25"/>
        <v>-0.16666666666666663</v>
      </c>
      <c r="I1654" s="47"/>
      <c r="J1654" s="48">
        <f>VLOOKUP(A1654,'[1]תקציב 2026'!$A$1:$M$65536,9,0)</f>
        <v>250000</v>
      </c>
      <c r="K1654" s="49">
        <v>300000</v>
      </c>
      <c r="L1654" s="50">
        <f>VLOOKUP(A1654,[2]data1761205830331!$A$1:$J$65536,10,0)</f>
        <v>232273.35</v>
      </c>
    </row>
    <row r="1655" spans="1:12" ht="16.2" thickBot="1">
      <c r="A1655" s="11" t="e">
        <v>#VALUE!</v>
      </c>
      <c r="B1655" s="157" t="s">
        <v>1052</v>
      </c>
      <c r="C1655" s="223"/>
      <c r="D1655" s="55"/>
      <c r="E1655" s="56"/>
      <c r="F1655" s="116" t="s">
        <v>1045</v>
      </c>
      <c r="G1655" s="58"/>
      <c r="H1655" s="166">
        <f>J1655/K1655-1</f>
        <v>-3.0504235388499557E-2</v>
      </c>
      <c r="I1655" s="72"/>
      <c r="J1655" s="74">
        <f>SUBTOTAL(9,J1634:J1654)</f>
        <v>4108820</v>
      </c>
      <c r="K1655" s="92">
        <f>SUBTOTAL(9,K1634:K1654)</f>
        <v>4238100</v>
      </c>
      <c r="L1655" s="75">
        <f>SUBTOTAL(9,L1634:L1654)</f>
        <v>4396606.22</v>
      </c>
    </row>
    <row r="1656" spans="1:12" ht="15.6" outlineLevel="1">
      <c r="A1656" s="11">
        <v>17330000</v>
      </c>
      <c r="B1656" s="40">
        <v>0</v>
      </c>
      <c r="C1656" s="109">
        <v>733000</v>
      </c>
      <c r="D1656" s="42">
        <v>1</v>
      </c>
      <c r="E1656" s="43"/>
      <c r="F1656" s="44" t="s">
        <v>1053</v>
      </c>
      <c r="G1656" s="45" t="s">
        <v>15</v>
      </c>
      <c r="H1656" s="51"/>
      <c r="I1656" s="47"/>
      <c r="J1656" s="48"/>
      <c r="K1656" s="49"/>
      <c r="L1656" s="50"/>
    </row>
    <row r="1657" spans="1:12" ht="15.6" outlineLevel="1">
      <c r="A1657" s="11">
        <v>1733000119</v>
      </c>
      <c r="B1657" s="40">
        <v>119</v>
      </c>
      <c r="C1657" s="109">
        <v>733000</v>
      </c>
      <c r="D1657" s="42">
        <v>1</v>
      </c>
      <c r="E1657" s="43"/>
      <c r="F1657" s="44" t="s">
        <v>23</v>
      </c>
      <c r="G1657" s="45" t="s">
        <v>22</v>
      </c>
      <c r="H1657" s="51">
        <f t="shared" si="25"/>
        <v>4.3457412801022333E-3</v>
      </c>
      <c r="I1657" s="47"/>
      <c r="J1657" s="48">
        <f>VLOOKUP(A1657,'[1]תקציב 2026'!$A$1:$M$65536,9,0)</f>
        <v>5655270</v>
      </c>
      <c r="K1657" s="49">
        <f>5342800+288000</f>
        <v>5630800</v>
      </c>
      <c r="L1657" s="50">
        <f>VLOOKUP(A1657,[2]data1761205830331!$A$1:$J$65536,10,0)</f>
        <v>4925596.5199999996</v>
      </c>
    </row>
    <row r="1658" spans="1:12" ht="15.6" outlineLevel="1">
      <c r="A1658" s="11">
        <v>1733000122</v>
      </c>
      <c r="B1658" s="40">
        <v>122</v>
      </c>
      <c r="C1658" s="109">
        <v>733000</v>
      </c>
      <c r="D1658" s="42">
        <v>1</v>
      </c>
      <c r="E1658" s="43"/>
      <c r="F1658" s="44" t="s">
        <v>24</v>
      </c>
      <c r="G1658" s="45" t="s">
        <v>22</v>
      </c>
      <c r="H1658" s="51">
        <f t="shared" si="25"/>
        <v>-9.2799999999999994E-2</v>
      </c>
      <c r="I1658" s="47"/>
      <c r="J1658" s="48">
        <v>45360</v>
      </c>
      <c r="K1658" s="49">
        <f>VLOOKUP(A1658,[3]גיליון1!$A$1:$C$7693,3,0)</f>
        <v>50000</v>
      </c>
      <c r="L1658" s="50">
        <f>VLOOKUP(A1658,[2]data1761205830331!$A$1:$J$65536,10,0)</f>
        <v>51985.9</v>
      </c>
    </row>
    <row r="1659" spans="1:12" ht="15.6" outlineLevel="1">
      <c r="A1659" s="11">
        <v>1733000126</v>
      </c>
      <c r="B1659" s="40">
        <v>126</v>
      </c>
      <c r="C1659" s="109">
        <v>733000</v>
      </c>
      <c r="D1659" s="42">
        <v>1</v>
      </c>
      <c r="E1659" s="43"/>
      <c r="F1659" s="44" t="s">
        <v>25</v>
      </c>
      <c r="G1659" s="45" t="s">
        <v>22</v>
      </c>
      <c r="H1659" s="51">
        <f t="shared" si="25"/>
        <v>-9.2682926829268264E-2</v>
      </c>
      <c r="I1659" s="47"/>
      <c r="J1659" s="48">
        <v>111600</v>
      </c>
      <c r="K1659" s="49">
        <f>VLOOKUP(A1659,[3]גיליון1!$A$1:$C$7693,3,0)</f>
        <v>123000</v>
      </c>
      <c r="L1659" s="50">
        <f>VLOOKUP(A1659,[2]data1761205830331!$A$1:$J$65536,10,0)</f>
        <v>112274.45</v>
      </c>
    </row>
    <row r="1660" spans="1:12" ht="15.6" outlineLevel="1">
      <c r="A1660" s="11">
        <v>1733000130</v>
      </c>
      <c r="B1660" s="40">
        <v>130</v>
      </c>
      <c r="C1660" s="109">
        <v>733000</v>
      </c>
      <c r="D1660" s="42">
        <v>1</v>
      </c>
      <c r="E1660" s="43"/>
      <c r="F1660" s="44" t="s">
        <v>26</v>
      </c>
      <c r="G1660" s="45" t="s">
        <v>22</v>
      </c>
      <c r="H1660" s="51">
        <f t="shared" si="25"/>
        <v>0</v>
      </c>
      <c r="I1660" s="47"/>
      <c r="J1660" s="48">
        <f>VLOOKUP(A1660,'[1]תקציב 2026'!$A$1:$M$65536,9,0)</f>
        <v>46790</v>
      </c>
      <c r="K1660" s="49">
        <f>VLOOKUP(A1660,[3]גיליון1!$A$1:$C$7693,3,0)*0.86+6</f>
        <v>46790</v>
      </c>
      <c r="L1660" s="50">
        <f>VLOOKUP(A1660,[2]data1761205830331!$A$1:$J$65536,10,0)</f>
        <v>19811.36</v>
      </c>
    </row>
    <row r="1661" spans="1:12" ht="15.6" outlineLevel="1">
      <c r="A1661" s="11">
        <v>1733000140</v>
      </c>
      <c r="B1661" s="40">
        <v>140</v>
      </c>
      <c r="C1661" s="109">
        <v>733000</v>
      </c>
      <c r="D1661" s="42">
        <v>1</v>
      </c>
      <c r="E1661" s="43"/>
      <c r="F1661" s="44" t="s">
        <v>27</v>
      </c>
      <c r="G1661" s="45" t="s">
        <v>22</v>
      </c>
      <c r="H1661" s="51">
        <f t="shared" si="25"/>
        <v>-6.5790580319596281E-2</v>
      </c>
      <c r="I1661" s="47"/>
      <c r="J1661" s="48">
        <f>VLOOKUP(A1661,'[1]תקציב 2026'!$A$1:$M$65536,9,0)</f>
        <v>444310</v>
      </c>
      <c r="K1661" s="49">
        <f>VLOOKUP(A1661,[3]גיליון1!$A$1:$C$7693,3,0)</f>
        <v>475600</v>
      </c>
      <c r="L1661" s="50">
        <f>VLOOKUP(A1661,[2]data1761205830331!$A$1:$J$65536,10,0)</f>
        <v>518213.52</v>
      </c>
    </row>
    <row r="1662" spans="1:12" ht="15.6" outlineLevel="1">
      <c r="A1662" s="11">
        <v>1733000253</v>
      </c>
      <c r="B1662" s="40">
        <v>253</v>
      </c>
      <c r="C1662" s="109">
        <v>733000</v>
      </c>
      <c r="D1662" s="42">
        <v>1</v>
      </c>
      <c r="E1662" s="43"/>
      <c r="F1662" s="44" t="s">
        <v>738</v>
      </c>
      <c r="G1662" s="45" t="s">
        <v>22</v>
      </c>
      <c r="H1662" s="51">
        <v>0</v>
      </c>
      <c r="I1662" s="47"/>
      <c r="J1662" s="48">
        <v>0</v>
      </c>
      <c r="K1662" s="49">
        <f>VLOOKUP(A1662,[3]גיליון1!$A$1:$C$7693,3,0)</f>
        <v>0</v>
      </c>
      <c r="L1662" s="50">
        <f>VLOOKUP(A1662,[2]data1761205830331!$A$1:$J$65536,10,0)</f>
        <v>96267.21</v>
      </c>
    </row>
    <row r="1663" spans="1:12" ht="15.6" outlineLevel="1">
      <c r="A1663" s="11">
        <v>1733000350</v>
      </c>
      <c r="B1663" s="40">
        <v>350</v>
      </c>
      <c r="C1663" s="109">
        <v>733000</v>
      </c>
      <c r="D1663" s="42">
        <v>1</v>
      </c>
      <c r="E1663" s="43"/>
      <c r="F1663" s="44" t="s">
        <v>1054</v>
      </c>
      <c r="G1663" s="45" t="s">
        <v>22</v>
      </c>
      <c r="H1663" s="51">
        <v>1</v>
      </c>
      <c r="I1663" s="47" t="s">
        <v>137</v>
      </c>
      <c r="J1663" s="48">
        <f>VLOOKUP(A1663,'[1]תקציב 2026'!$A$1:$M$65536,9,0)</f>
        <v>57430</v>
      </c>
      <c r="K1663" s="49">
        <v>0</v>
      </c>
      <c r="L1663" s="50">
        <v>0</v>
      </c>
    </row>
    <row r="1664" spans="1:12" ht="15.6" outlineLevel="1">
      <c r="A1664" s="11">
        <v>1733000351</v>
      </c>
      <c r="B1664" s="40">
        <v>351</v>
      </c>
      <c r="C1664" s="109">
        <v>733000</v>
      </c>
      <c r="D1664" s="42">
        <v>1</v>
      </c>
      <c r="E1664" s="43"/>
      <c r="F1664" s="44" t="s">
        <v>741</v>
      </c>
      <c r="G1664" s="45" t="s">
        <v>22</v>
      </c>
      <c r="H1664" s="51">
        <v>1</v>
      </c>
      <c r="I1664" s="47" t="s">
        <v>86</v>
      </c>
      <c r="J1664" s="48">
        <f>VLOOKUP(A1664,'[1]תקציב 2026'!$A$1:$M$65536,9,0)</f>
        <v>35000</v>
      </c>
      <c r="K1664" s="49">
        <v>0</v>
      </c>
      <c r="L1664" s="50">
        <v>0</v>
      </c>
    </row>
    <row r="1665" spans="1:12" ht="15.6" outlineLevel="1">
      <c r="A1665" s="11">
        <v>1733000471</v>
      </c>
      <c r="B1665" s="40">
        <v>471</v>
      </c>
      <c r="C1665" s="109">
        <v>733000</v>
      </c>
      <c r="D1665" s="42">
        <v>1</v>
      </c>
      <c r="E1665" s="43"/>
      <c r="F1665" s="44" t="s">
        <v>71</v>
      </c>
      <c r="G1665" s="45" t="s">
        <v>37</v>
      </c>
      <c r="H1665" s="51">
        <f t="shared" si="25"/>
        <v>0.2970168612191959</v>
      </c>
      <c r="I1665" s="47"/>
      <c r="J1665" s="48">
        <f>VLOOKUP(A1665,'[1]תקציב 2026'!$A$1:$M$65536,9,0)</f>
        <v>30000</v>
      </c>
      <c r="K1665" s="49">
        <f>25700*0.9</f>
        <v>23130</v>
      </c>
      <c r="L1665" s="50">
        <f>VLOOKUP(A1665,[2]data1761205830331!$A$1:$J$65536,10,0)</f>
        <v>25442.89</v>
      </c>
    </row>
    <row r="1666" spans="1:12" ht="15.6" outlineLevel="1">
      <c r="A1666" s="11">
        <v>1733000511</v>
      </c>
      <c r="B1666" s="40">
        <v>511</v>
      </c>
      <c r="C1666" s="109">
        <v>733000</v>
      </c>
      <c r="D1666" s="42">
        <v>1</v>
      </c>
      <c r="E1666" s="43"/>
      <c r="F1666" s="44" t="s">
        <v>72</v>
      </c>
      <c r="G1666" s="45" t="s">
        <v>37</v>
      </c>
      <c r="H1666" s="51">
        <f t="shared" si="25"/>
        <v>2.4126984126984126</v>
      </c>
      <c r="I1666" s="47"/>
      <c r="J1666" s="48">
        <f>VLOOKUP(A1666,'[1]תקציב 2026'!$A$1:$M$65536,9,0)</f>
        <v>4300</v>
      </c>
      <c r="K1666" s="49">
        <f>1400*0.9</f>
        <v>1260</v>
      </c>
      <c r="L1666" s="50">
        <f>VLOOKUP(A1666,[2]data1761205830331!$A$1:$J$65536,10,0)</f>
        <v>1493.01</v>
      </c>
    </row>
    <row r="1667" spans="1:12" ht="15.6" outlineLevel="1">
      <c r="A1667" s="11">
        <v>1733000550</v>
      </c>
      <c r="B1667" s="40">
        <v>550</v>
      </c>
      <c r="C1667" s="109">
        <v>733000</v>
      </c>
      <c r="D1667" s="42">
        <v>1</v>
      </c>
      <c r="E1667" s="43"/>
      <c r="F1667" s="154" t="s">
        <v>1055</v>
      </c>
      <c r="G1667" s="45" t="s">
        <v>37</v>
      </c>
      <c r="H1667" s="51">
        <f t="shared" si="25"/>
        <v>-1</v>
      </c>
      <c r="I1667" s="47"/>
      <c r="J1667" s="48">
        <f>VLOOKUP(A1667,'[1]תקציב 2026'!$A$1:$M$65536,9,0)</f>
        <v>0</v>
      </c>
      <c r="K1667" s="49">
        <f>5000*0.9</f>
        <v>4500</v>
      </c>
      <c r="L1667" s="50">
        <f>VLOOKUP(A1667,[2]data1761205830331!$A$1:$J$65536,10,0)</f>
        <v>0</v>
      </c>
    </row>
    <row r="1668" spans="1:12" ht="15.6" outlineLevel="1">
      <c r="A1668" s="11">
        <v>1733000561</v>
      </c>
      <c r="B1668" s="40">
        <v>561</v>
      </c>
      <c r="C1668" s="109">
        <v>733000</v>
      </c>
      <c r="D1668" s="42">
        <v>1</v>
      </c>
      <c r="E1668" s="43"/>
      <c r="F1668" s="44" t="s">
        <v>74</v>
      </c>
      <c r="G1668" s="45" t="s">
        <v>37</v>
      </c>
      <c r="H1668" s="51">
        <f t="shared" ref="H1668:H1731" si="26">J1668/K1668-1</f>
        <v>-1.2345679012345734E-2</v>
      </c>
      <c r="I1668" s="47"/>
      <c r="J1668" s="48">
        <f>VLOOKUP(A1668,'[1]תקציב 2026'!$A$1:$M$65536,9,0)</f>
        <v>800</v>
      </c>
      <c r="K1668" s="49">
        <f>VLOOKUP(A1668,[3]גיליון1!$A$1:$C$7693,3,0)*0.9</f>
        <v>810</v>
      </c>
      <c r="L1668" s="50">
        <f>VLOOKUP(A1668,[2]data1761205830331!$A$1:$J$65536,10,0)</f>
        <v>378</v>
      </c>
    </row>
    <row r="1669" spans="1:12" ht="15.6" outlineLevel="1">
      <c r="A1669" s="11">
        <v>1733000564</v>
      </c>
      <c r="B1669" s="40">
        <v>564</v>
      </c>
      <c r="C1669" s="109">
        <v>733000</v>
      </c>
      <c r="D1669" s="42">
        <v>1</v>
      </c>
      <c r="E1669" s="43"/>
      <c r="F1669" s="44" t="s">
        <v>1056</v>
      </c>
      <c r="G1669" s="45" t="s">
        <v>37</v>
      </c>
      <c r="H1669" s="51">
        <f t="shared" si="26"/>
        <v>0</v>
      </c>
      <c r="I1669" s="47"/>
      <c r="J1669" s="48">
        <f>VLOOKUP(A1669,'[1]תקציב 2026'!$A$1:$M$65536,9,0)</f>
        <v>11610</v>
      </c>
      <c r="K1669" s="49">
        <f>12900*0.9</f>
        <v>11610</v>
      </c>
      <c r="L1669" s="50">
        <f>VLOOKUP(A1669,[2]data1761205830331!$A$1:$J$65536,10,0)</f>
        <v>12866.48</v>
      </c>
    </row>
    <row r="1670" spans="1:12" ht="15.6" outlineLevel="1">
      <c r="A1670" s="11">
        <v>1733000571</v>
      </c>
      <c r="B1670" s="40">
        <v>571</v>
      </c>
      <c r="C1670" s="109">
        <v>733000</v>
      </c>
      <c r="D1670" s="42">
        <v>1</v>
      </c>
      <c r="E1670" s="43"/>
      <c r="F1670" s="44" t="s">
        <v>75</v>
      </c>
      <c r="G1670" s="45" t="s">
        <v>29</v>
      </c>
      <c r="H1670" s="51">
        <f t="shared" si="26"/>
        <v>1.0579211848717351E-2</v>
      </c>
      <c r="I1670" s="47"/>
      <c r="J1670" s="48">
        <f>VLOOKUP(A1670,'[1]תקציב 2026'!$A$1:$M$65536,9,0)</f>
        <v>382100</v>
      </c>
      <c r="K1670" s="49">
        <v>378100</v>
      </c>
      <c r="L1670" s="50">
        <f>VLOOKUP(A1670,[2]data1761205830331!$A$1:$J$65536,10,0)</f>
        <v>319700</v>
      </c>
    </row>
    <row r="1671" spans="1:12" ht="15.6" outlineLevel="1">
      <c r="A1671" s="11">
        <v>1733000580</v>
      </c>
      <c r="B1671" s="40">
        <v>580</v>
      </c>
      <c r="C1671" s="109">
        <v>733000</v>
      </c>
      <c r="D1671" s="42">
        <v>1</v>
      </c>
      <c r="E1671" s="43"/>
      <c r="F1671" s="44" t="s">
        <v>1057</v>
      </c>
      <c r="G1671" s="45" t="s">
        <v>29</v>
      </c>
      <c r="H1671" s="51">
        <f t="shared" si="26"/>
        <v>-1</v>
      </c>
      <c r="I1671" s="47"/>
      <c r="J1671" s="48">
        <f>VLOOKUP(A1671,'[1]תקציב 2026'!$A$1:$M$65536,9,0)</f>
        <v>0</v>
      </c>
      <c r="K1671" s="49">
        <v>2100000</v>
      </c>
      <c r="L1671" s="50">
        <f>VLOOKUP(A1671,[2]data1761205830331!$A$1:$J$65536,10,0)</f>
        <v>2417578.61</v>
      </c>
    </row>
    <row r="1672" spans="1:12" ht="15.6" outlineLevel="1">
      <c r="A1672" s="11">
        <v>1733000581</v>
      </c>
      <c r="B1672" s="40">
        <v>581</v>
      </c>
      <c r="C1672" s="109">
        <v>733000</v>
      </c>
      <c r="D1672" s="42">
        <v>1</v>
      </c>
      <c r="E1672" s="43"/>
      <c r="F1672" s="44" t="s">
        <v>1058</v>
      </c>
      <c r="G1672" s="45" t="s">
        <v>37</v>
      </c>
      <c r="H1672" s="51">
        <f t="shared" si="26"/>
        <v>-1</v>
      </c>
      <c r="I1672" s="47"/>
      <c r="J1672" s="48">
        <f>VLOOKUP(A1672,'[1]תקציב 2026'!$A$1:$M$65536,9,0)</f>
        <v>0</v>
      </c>
      <c r="K1672" s="49">
        <f>VLOOKUP(A1672,[3]גיליון1!$A$1:$C$7693,3,0)*0.9</f>
        <v>684000</v>
      </c>
      <c r="L1672" s="50">
        <f>VLOOKUP(A1672,[2]data1761205830331!$A$1:$J$65536,10,0)</f>
        <v>750624.68</v>
      </c>
    </row>
    <row r="1673" spans="1:12" ht="16.2" outlineLevel="1" thickBot="1">
      <c r="A1673" s="11">
        <v>1733000782</v>
      </c>
      <c r="B1673" s="119">
        <v>782</v>
      </c>
      <c r="C1673" s="120">
        <v>733000</v>
      </c>
      <c r="D1673" s="121">
        <v>1</v>
      </c>
      <c r="E1673" s="201"/>
      <c r="F1673" s="122" t="s">
        <v>1033</v>
      </c>
      <c r="G1673" s="153" t="s">
        <v>37</v>
      </c>
      <c r="H1673" s="124">
        <v>1</v>
      </c>
      <c r="I1673" s="160" t="s">
        <v>86</v>
      </c>
      <c r="J1673" s="48">
        <f>VLOOKUP(A1673,'[1]תקציב 2026'!$A$1:$M$65536,9,0)</f>
        <v>1000</v>
      </c>
      <c r="K1673" s="162">
        <v>0</v>
      </c>
      <c r="L1673" s="50">
        <v>0</v>
      </c>
    </row>
    <row r="1674" spans="1:12" ht="16.2" thickBot="1">
      <c r="A1674" s="11" t="e">
        <v>#VALUE!</v>
      </c>
      <c r="B1674" s="53" t="s">
        <v>1059</v>
      </c>
      <c r="C1674" s="223"/>
      <c r="D1674" s="55"/>
      <c r="E1674" s="56"/>
      <c r="F1674" s="116" t="s">
        <v>1053</v>
      </c>
      <c r="G1674" s="58"/>
      <c r="H1674" s="166">
        <f>J1674/K1674-1</f>
        <v>-0.28375062961719277</v>
      </c>
      <c r="I1674" s="72"/>
      <c r="J1674" s="74">
        <f>SUBTOTAL(9,J1657:J1673)</f>
        <v>6825570</v>
      </c>
      <c r="K1674" s="92">
        <f>SUBTOTAL(9,K1657:K1673)</f>
        <v>9529600</v>
      </c>
      <c r="L1674" s="75">
        <f>SUBTOTAL(9,L1657:L1673)</f>
        <v>9252232.629999999</v>
      </c>
    </row>
    <row r="1675" spans="1:12" ht="15.6" outlineLevel="1">
      <c r="A1675" s="11">
        <v>17333000</v>
      </c>
      <c r="B1675" s="64">
        <v>0</v>
      </c>
      <c r="C1675" s="131">
        <v>733300</v>
      </c>
      <c r="D1675" s="66">
        <v>1</v>
      </c>
      <c r="E1675" s="67"/>
      <c r="F1675" s="68" t="s">
        <v>1060</v>
      </c>
      <c r="G1675" s="69" t="s">
        <v>15</v>
      </c>
      <c r="H1675" s="51"/>
      <c r="I1675" s="47"/>
      <c r="J1675" s="48"/>
      <c r="K1675" s="49"/>
      <c r="L1675" s="50"/>
    </row>
    <row r="1676" spans="1:12" ht="15.6" outlineLevel="1">
      <c r="A1676" s="11">
        <v>1733300119</v>
      </c>
      <c r="B1676" s="40">
        <v>119</v>
      </c>
      <c r="C1676" s="109">
        <v>733300</v>
      </c>
      <c r="D1676" s="42">
        <v>1</v>
      </c>
      <c r="E1676" s="43"/>
      <c r="F1676" s="44" t="s">
        <v>23</v>
      </c>
      <c r="G1676" s="45" t="s">
        <v>22</v>
      </c>
      <c r="H1676" s="51">
        <f t="shared" si="26"/>
        <v>6.8793763288447884E-2</v>
      </c>
      <c r="I1676" s="47"/>
      <c r="J1676" s="48">
        <v>3770170</v>
      </c>
      <c r="K1676" s="49">
        <v>3527500</v>
      </c>
      <c r="L1676" s="50">
        <f>VLOOKUP(A1676,[2]data1761205830331!$A$1:$J$65536,10,0)</f>
        <v>3550618.64</v>
      </c>
    </row>
    <row r="1677" spans="1:12" ht="15.6" outlineLevel="1">
      <c r="A1677" s="11">
        <v>1733300122</v>
      </c>
      <c r="B1677" s="40">
        <v>122</v>
      </c>
      <c r="C1677" s="109">
        <v>733300</v>
      </c>
      <c r="D1677" s="42">
        <v>1</v>
      </c>
      <c r="E1677" s="43"/>
      <c r="F1677" s="44" t="s">
        <v>24</v>
      </c>
      <c r="G1677" s="45" t="s">
        <v>22</v>
      </c>
      <c r="H1677" s="51">
        <f t="shared" si="26"/>
        <v>0.20705882352941174</v>
      </c>
      <c r="I1677" s="47"/>
      <c r="J1677" s="48">
        <v>41040</v>
      </c>
      <c r="K1677" s="49">
        <f>VLOOKUP(A1677,[3]גיליון1!$A$1:$C$7693,3,0)</f>
        <v>34000</v>
      </c>
      <c r="L1677" s="50">
        <f>VLOOKUP(A1677,[2]data1761205830331!$A$1:$J$65536,10,0)</f>
        <v>32658.29</v>
      </c>
    </row>
    <row r="1678" spans="1:12" ht="15.6" outlineLevel="1">
      <c r="A1678" s="11">
        <v>1733300126</v>
      </c>
      <c r="B1678" s="40">
        <v>126</v>
      </c>
      <c r="C1678" s="109">
        <v>733300</v>
      </c>
      <c r="D1678" s="42">
        <v>1</v>
      </c>
      <c r="E1678" s="43"/>
      <c r="F1678" s="44" t="s">
        <v>25</v>
      </c>
      <c r="G1678" s="45" t="s">
        <v>22</v>
      </c>
      <c r="H1678" s="51">
        <f t="shared" si="26"/>
        <v>0.20694610778443123</v>
      </c>
      <c r="I1678" s="47"/>
      <c r="J1678" s="48">
        <v>100780</v>
      </c>
      <c r="K1678" s="49">
        <f>VLOOKUP(A1678,[3]גיליון1!$A$1:$C$7693,3,0)</f>
        <v>83500</v>
      </c>
      <c r="L1678" s="50">
        <f>VLOOKUP(A1678,[2]data1761205830331!$A$1:$J$65536,10,0)</f>
        <v>77616.58</v>
      </c>
    </row>
    <row r="1679" spans="1:12" ht="15.6" outlineLevel="1">
      <c r="A1679" s="11">
        <v>1733300130</v>
      </c>
      <c r="B1679" s="40">
        <v>130</v>
      </c>
      <c r="C1679" s="109">
        <v>733300</v>
      </c>
      <c r="D1679" s="42">
        <v>1</v>
      </c>
      <c r="E1679" s="43"/>
      <c r="F1679" s="44" t="s">
        <v>26</v>
      </c>
      <c r="G1679" s="45" t="s">
        <v>22</v>
      </c>
      <c r="H1679" s="51">
        <f t="shared" si="26"/>
        <v>0</v>
      </c>
      <c r="I1679" s="47"/>
      <c r="J1679" s="48">
        <f>VLOOKUP(A1679,'[1]תקציב 2026'!$A$1:$M$65536,9,0)</f>
        <v>112400</v>
      </c>
      <c r="K1679" s="49">
        <f>VLOOKUP(A1679,[3]גיליון1!$A$1:$C$7693,3,0)*0.86-2</f>
        <v>112400</v>
      </c>
      <c r="L1679" s="50">
        <f>VLOOKUP(A1679,[2]data1761205830331!$A$1:$J$65536,10,0)</f>
        <v>228695.33</v>
      </c>
    </row>
    <row r="1680" spans="1:12" ht="15.6" outlineLevel="1">
      <c r="A1680" s="11">
        <v>1733300140</v>
      </c>
      <c r="B1680" s="40">
        <v>140</v>
      </c>
      <c r="C1680" s="109">
        <v>733300</v>
      </c>
      <c r="D1680" s="42">
        <v>1</v>
      </c>
      <c r="E1680" s="43"/>
      <c r="F1680" s="44" t="s">
        <v>27</v>
      </c>
      <c r="G1680" s="45" t="s">
        <v>22</v>
      </c>
      <c r="H1680" s="51">
        <f t="shared" si="26"/>
        <v>0</v>
      </c>
      <c r="I1680" s="47"/>
      <c r="J1680" s="48">
        <f>VLOOKUP(A1680,'[1]תקציב 2026'!$A$1:$M$65536,9,0)</f>
        <v>332000</v>
      </c>
      <c r="K1680" s="49">
        <f>VLOOKUP(A1680,[3]גיליון1!$A$1:$C$7693,3,0)</f>
        <v>332000</v>
      </c>
      <c r="L1680" s="50">
        <f>VLOOKUP(A1680,[2]data1761205830331!$A$1:$J$65536,10,0)</f>
        <v>440540.38</v>
      </c>
    </row>
    <row r="1681" spans="1:12" ht="15.6" outlineLevel="1">
      <c r="A1681" s="11">
        <v>1733300253</v>
      </c>
      <c r="B1681" s="40">
        <v>253</v>
      </c>
      <c r="C1681" s="109">
        <v>733300</v>
      </c>
      <c r="D1681" s="42">
        <v>1</v>
      </c>
      <c r="E1681" s="43"/>
      <c r="F1681" s="44" t="s">
        <v>738</v>
      </c>
      <c r="G1681" s="45" t="s">
        <v>22</v>
      </c>
      <c r="H1681" s="51">
        <v>0</v>
      </c>
      <c r="I1681" s="47"/>
      <c r="J1681" s="48">
        <v>0</v>
      </c>
      <c r="K1681" s="49">
        <f>VLOOKUP(A1681,[3]גיליון1!$A$1:$C$7693,3,0)</f>
        <v>0</v>
      </c>
      <c r="L1681" s="50">
        <f>VLOOKUP(A1681,[2]data1761205830331!$A$1:$J$65536,10,0)</f>
        <v>290976.48</v>
      </c>
    </row>
    <row r="1682" spans="1:12" ht="15.6" outlineLevel="1">
      <c r="A1682" s="11">
        <v>1733300350</v>
      </c>
      <c r="B1682" s="40">
        <v>350</v>
      </c>
      <c r="C1682" s="109">
        <v>733300</v>
      </c>
      <c r="D1682" s="42">
        <v>1</v>
      </c>
      <c r="E1682" s="43"/>
      <c r="F1682" s="44" t="s">
        <v>1061</v>
      </c>
      <c r="G1682" s="45" t="s">
        <v>22</v>
      </c>
      <c r="H1682" s="51">
        <v>1</v>
      </c>
      <c r="I1682" s="47" t="s">
        <v>86</v>
      </c>
      <c r="J1682" s="48">
        <f>VLOOKUP(A1682,'[1]תקציב 2026'!$A$1:$M$65536,9,0)</f>
        <v>16000</v>
      </c>
      <c r="K1682" s="49">
        <v>0</v>
      </c>
      <c r="L1682" s="50">
        <v>0</v>
      </c>
    </row>
    <row r="1683" spans="1:12" ht="15.6" outlineLevel="1">
      <c r="A1683" s="11">
        <v>1733300351</v>
      </c>
      <c r="B1683" s="40">
        <v>351</v>
      </c>
      <c r="C1683" s="109">
        <v>733300</v>
      </c>
      <c r="D1683" s="42">
        <v>1</v>
      </c>
      <c r="E1683" s="43"/>
      <c r="F1683" s="44" t="s">
        <v>741</v>
      </c>
      <c r="G1683" s="45" t="s">
        <v>22</v>
      </c>
      <c r="H1683" s="51">
        <v>1</v>
      </c>
      <c r="I1683" s="47" t="s">
        <v>86</v>
      </c>
      <c r="J1683" s="48">
        <f>VLOOKUP(A1683,'[1]תקציב 2026'!$A$1:$M$65536,9,0)</f>
        <v>6000</v>
      </c>
      <c r="K1683" s="49">
        <v>0</v>
      </c>
      <c r="L1683" s="50">
        <v>0</v>
      </c>
    </row>
    <row r="1684" spans="1:12" ht="15.6" outlineLevel="1">
      <c r="A1684" s="11">
        <v>1733300471</v>
      </c>
      <c r="B1684" s="40">
        <v>471</v>
      </c>
      <c r="C1684" s="109">
        <v>733300</v>
      </c>
      <c r="D1684" s="42">
        <v>1</v>
      </c>
      <c r="E1684" s="43"/>
      <c r="F1684" s="44" t="s">
        <v>71</v>
      </c>
      <c r="G1684" s="45" t="s">
        <v>37</v>
      </c>
      <c r="H1684" s="51">
        <f t="shared" si="26"/>
        <v>0</v>
      </c>
      <c r="I1684" s="47"/>
      <c r="J1684" s="48">
        <f>VLOOKUP(A1684,'[1]תקציב 2026'!$A$1:$M$65536,9,0)</f>
        <v>30690</v>
      </c>
      <c r="K1684" s="49">
        <f>VLOOKUP(A1684,[3]גיליון1!$A$1:$C$7693,3,0)*0.9</f>
        <v>30690</v>
      </c>
      <c r="L1684" s="50">
        <f>VLOOKUP(A1684,[2]data1761205830331!$A$1:$J$65536,10,0)</f>
        <v>30295.32</v>
      </c>
    </row>
    <row r="1685" spans="1:12" ht="15.6" outlineLevel="1">
      <c r="A1685" s="11">
        <v>1733300511</v>
      </c>
      <c r="B1685" s="40">
        <v>511</v>
      </c>
      <c r="C1685" s="109">
        <v>733300</v>
      </c>
      <c r="D1685" s="42">
        <v>1</v>
      </c>
      <c r="E1685" s="43"/>
      <c r="F1685" s="44" t="s">
        <v>72</v>
      </c>
      <c r="G1685" s="45" t="s">
        <v>37</v>
      </c>
      <c r="H1685" s="51">
        <v>1</v>
      </c>
      <c r="I1685" s="47"/>
      <c r="J1685" s="48">
        <f>VLOOKUP(A1685,'[1]תקציב 2026'!$A$1:$M$65536,9,0)</f>
        <v>3000</v>
      </c>
      <c r="K1685" s="49">
        <f>VLOOKUP(A1685,[3]גיליון1!$A$1:$C$7693,3,0)</f>
        <v>0</v>
      </c>
      <c r="L1685" s="50">
        <f>VLOOKUP(A1685,[2]data1761205830331!$A$1:$J$65536,10,0)</f>
        <v>0</v>
      </c>
    </row>
    <row r="1686" spans="1:12" ht="15.6" outlineLevel="1">
      <c r="A1686" s="11">
        <v>1733300562</v>
      </c>
      <c r="B1686" s="40">
        <v>562</v>
      </c>
      <c r="C1686" s="109">
        <v>733300</v>
      </c>
      <c r="D1686" s="42">
        <v>1</v>
      </c>
      <c r="E1686" s="43"/>
      <c r="F1686" s="44" t="s">
        <v>748</v>
      </c>
      <c r="G1686" s="45" t="s">
        <v>37</v>
      </c>
      <c r="H1686" s="51">
        <f t="shared" si="26"/>
        <v>-0.72222222222222221</v>
      </c>
      <c r="I1686" s="47"/>
      <c r="J1686" s="48">
        <f>VLOOKUP(A1686,'[1]תקציב 2026'!$A$1:$M$65536,9,0)</f>
        <v>500</v>
      </c>
      <c r="K1686" s="49">
        <f>2000*0.9</f>
        <v>1800</v>
      </c>
      <c r="L1686" s="50">
        <f>VLOOKUP(A1686,[2]data1761205830331!$A$1:$J$65536,10,0)</f>
        <v>351</v>
      </c>
    </row>
    <row r="1687" spans="1:12" ht="15.6" outlineLevel="1">
      <c r="A1687" s="11">
        <v>1733300571</v>
      </c>
      <c r="B1687" s="40">
        <v>571</v>
      </c>
      <c r="C1687" s="109">
        <v>733300</v>
      </c>
      <c r="D1687" s="42">
        <v>1</v>
      </c>
      <c r="E1687" s="43"/>
      <c r="F1687" s="44" t="s">
        <v>75</v>
      </c>
      <c r="G1687" s="45" t="s">
        <v>29</v>
      </c>
      <c r="H1687" s="51">
        <f t="shared" si="26"/>
        <v>0.21674876847290636</v>
      </c>
      <c r="I1687" s="47"/>
      <c r="J1687" s="48">
        <f>VLOOKUP(A1687,'[1]תקציב 2026'!$A$1:$M$65536,9,0)</f>
        <v>123500</v>
      </c>
      <c r="K1687" s="49">
        <v>101500</v>
      </c>
      <c r="L1687" s="50">
        <f>VLOOKUP(A1687,[2]data1761205830331!$A$1:$J$65536,10,0)</f>
        <v>87800</v>
      </c>
    </row>
    <row r="1688" spans="1:12" ht="15.6" outlineLevel="1">
      <c r="A1688" s="11">
        <v>1733300753</v>
      </c>
      <c r="B1688" s="40">
        <v>753</v>
      </c>
      <c r="C1688" s="109">
        <v>733300</v>
      </c>
      <c r="D1688" s="42">
        <v>1</v>
      </c>
      <c r="E1688" s="43"/>
      <c r="F1688" s="44" t="s">
        <v>1062</v>
      </c>
      <c r="G1688" s="45" t="s">
        <v>37</v>
      </c>
      <c r="H1688" s="51">
        <f t="shared" si="26"/>
        <v>0.10000000000000009</v>
      </c>
      <c r="I1688" s="47"/>
      <c r="J1688" s="48">
        <f>VLOOKUP(A1688,'[1]תקציב 2026'!$A$1:$M$65536,9,0)</f>
        <v>22000</v>
      </c>
      <c r="K1688" s="49">
        <v>20000</v>
      </c>
      <c r="L1688" s="50">
        <f>VLOOKUP(A1688,[2]data1761205830331!$A$1:$J$65536,10,0)</f>
        <v>21032.7</v>
      </c>
    </row>
    <row r="1689" spans="1:12" ht="15.6" outlineLevel="1">
      <c r="A1689" s="11">
        <v>1733300756</v>
      </c>
      <c r="B1689" s="40">
        <v>756</v>
      </c>
      <c r="C1689" s="109">
        <v>733300</v>
      </c>
      <c r="D1689" s="42">
        <v>1</v>
      </c>
      <c r="E1689" s="43"/>
      <c r="F1689" s="44" t="s">
        <v>55</v>
      </c>
      <c r="G1689" s="45" t="s">
        <v>29</v>
      </c>
      <c r="H1689" s="51">
        <f t="shared" si="26"/>
        <v>0</v>
      </c>
      <c r="I1689" s="47"/>
      <c r="J1689" s="48">
        <f>VLOOKUP(A1689,'[1]תקציב 2026'!$A$1:$M$65536,9,0)</f>
        <v>5000</v>
      </c>
      <c r="K1689" s="49">
        <v>5000</v>
      </c>
      <c r="L1689" s="50">
        <f>VLOOKUP(A1689,[2]data1761205830331!$A$1:$J$65536,10,0)</f>
        <v>804.17</v>
      </c>
    </row>
    <row r="1690" spans="1:12" ht="15.6" outlineLevel="1">
      <c r="A1690" s="11">
        <v>1733300757</v>
      </c>
      <c r="B1690" s="40">
        <v>757</v>
      </c>
      <c r="C1690" s="109">
        <v>733300</v>
      </c>
      <c r="D1690" s="42">
        <v>1</v>
      </c>
      <c r="E1690" s="43"/>
      <c r="F1690" s="44" t="s">
        <v>1063</v>
      </c>
      <c r="G1690" s="45" t="s">
        <v>37</v>
      </c>
      <c r="H1690" s="51">
        <f t="shared" si="26"/>
        <v>-1</v>
      </c>
      <c r="I1690" s="47"/>
      <c r="J1690" s="48">
        <v>0</v>
      </c>
      <c r="K1690" s="49">
        <f>VLOOKUP(A1690,[3]גיליון1!$A$1:$C$7693,3,0)*0.9-10</f>
        <v>101060</v>
      </c>
      <c r="L1690" s="50">
        <f>VLOOKUP(A1690,[2]data1761205830331!$A$1:$J$65536,10,0)</f>
        <v>0</v>
      </c>
    </row>
    <row r="1691" spans="1:12" ht="15.6" outlineLevel="1">
      <c r="A1691" s="11">
        <v>1733300759</v>
      </c>
      <c r="B1691" s="40">
        <v>759</v>
      </c>
      <c r="C1691" s="109">
        <v>733300</v>
      </c>
      <c r="D1691" s="42">
        <v>1</v>
      </c>
      <c r="E1691" s="43"/>
      <c r="F1691" s="44" t="s">
        <v>1064</v>
      </c>
      <c r="G1691" s="45" t="s">
        <v>37</v>
      </c>
      <c r="H1691" s="51">
        <f t="shared" si="26"/>
        <v>0</v>
      </c>
      <c r="I1691" s="47"/>
      <c r="J1691" s="48">
        <f>VLOOKUP(A1691,'[1]תקציב 2026'!$A$1:$M$65536,9,0)</f>
        <v>315000</v>
      </c>
      <c r="K1691" s="49">
        <f>350000*0.9</f>
        <v>315000</v>
      </c>
      <c r="L1691" s="50">
        <f>VLOOKUP(A1691,[2]data1761205830331!$A$1:$J$65536,10,0)</f>
        <v>197339.44</v>
      </c>
    </row>
    <row r="1692" spans="1:12" ht="15.6" outlineLevel="1">
      <c r="A1692" s="11">
        <v>1733300933</v>
      </c>
      <c r="B1692" s="40">
        <v>933</v>
      </c>
      <c r="C1692" s="109">
        <v>733300</v>
      </c>
      <c r="D1692" s="42">
        <v>1</v>
      </c>
      <c r="E1692" s="43"/>
      <c r="F1692" s="44" t="s">
        <v>956</v>
      </c>
      <c r="G1692" s="45" t="s">
        <v>37</v>
      </c>
      <c r="H1692" s="51">
        <f t="shared" si="26"/>
        <v>0</v>
      </c>
      <c r="I1692" s="47"/>
      <c r="J1692" s="48">
        <f>VLOOKUP(A1692,'[1]תקציב 2026'!$A$1:$M$65536,9,0)</f>
        <v>8550</v>
      </c>
      <c r="K1692" s="49">
        <f>VLOOKUP(A1692,[3]גיליון1!$A$1:$C$7693,3,0)*0.9</f>
        <v>8550</v>
      </c>
      <c r="L1692" s="50">
        <f>VLOOKUP(A1692,[2]data1761205830331!$A$1:$J$65536,10,0)</f>
        <v>7085.1</v>
      </c>
    </row>
    <row r="1693" spans="1:12" ht="16.2" outlineLevel="1" thickBot="1">
      <c r="A1693" s="11">
        <v>1733300961</v>
      </c>
      <c r="B1693" s="40">
        <v>961</v>
      </c>
      <c r="C1693" s="109">
        <v>733300</v>
      </c>
      <c r="D1693" s="42">
        <v>1</v>
      </c>
      <c r="E1693" s="43"/>
      <c r="F1693" s="44" t="s">
        <v>873</v>
      </c>
      <c r="G1693" s="45" t="s">
        <v>37</v>
      </c>
      <c r="H1693" s="51">
        <v>0</v>
      </c>
      <c r="I1693" s="47"/>
      <c r="J1693" s="48">
        <v>0</v>
      </c>
      <c r="K1693" s="49">
        <v>0</v>
      </c>
      <c r="L1693" s="50">
        <f>VLOOKUP(A1693,[2]data1761205830331!$A$1:$J$65536,10,0)</f>
        <v>4491.58</v>
      </c>
    </row>
    <row r="1694" spans="1:12" ht="18" customHeight="1" thickBot="1">
      <c r="A1694" s="11" t="e">
        <v>#VALUE!</v>
      </c>
      <c r="B1694" s="53" t="s">
        <v>1065</v>
      </c>
      <c r="C1694" s="223"/>
      <c r="D1694" s="55"/>
      <c r="E1694" s="56"/>
      <c r="F1694" s="116" t="s">
        <v>1060</v>
      </c>
      <c r="G1694" s="58"/>
      <c r="H1694" s="166">
        <f>J1694/K1694-1</f>
        <v>4.5715814252086373E-2</v>
      </c>
      <c r="I1694" s="72"/>
      <c r="J1694" s="74">
        <f>SUBTOTAL(9,J1676:J1693)</f>
        <v>4886630</v>
      </c>
      <c r="K1694" s="92">
        <f>SUBTOTAL(9,K1676:K1693)</f>
        <v>4673000</v>
      </c>
      <c r="L1694" s="75">
        <f>SUBTOTAL(9,L1676:L1693)</f>
        <v>4970305.0100000016</v>
      </c>
    </row>
    <row r="1695" spans="1:12" ht="15.6" outlineLevel="1">
      <c r="A1695" s="11">
        <v>17350000</v>
      </c>
      <c r="B1695" s="40">
        <v>0</v>
      </c>
      <c r="C1695" s="109">
        <v>735000</v>
      </c>
      <c r="D1695" s="42">
        <v>1</v>
      </c>
      <c r="E1695" s="43"/>
      <c r="F1695" s="44" t="s">
        <v>1066</v>
      </c>
      <c r="G1695" s="45" t="s">
        <v>15</v>
      </c>
      <c r="H1695" s="51"/>
      <c r="I1695" s="47"/>
      <c r="J1695" s="48"/>
      <c r="K1695" s="49"/>
      <c r="L1695" s="50"/>
    </row>
    <row r="1696" spans="1:12" ht="15.6" outlineLevel="1">
      <c r="A1696" s="11">
        <v>1735000110</v>
      </c>
      <c r="B1696" s="40">
        <v>110</v>
      </c>
      <c r="C1696" s="109">
        <v>735000</v>
      </c>
      <c r="D1696" s="42">
        <v>1</v>
      </c>
      <c r="E1696" s="43"/>
      <c r="F1696" s="44" t="s">
        <v>21</v>
      </c>
      <c r="G1696" s="45" t="s">
        <v>22</v>
      </c>
      <c r="H1696" s="51">
        <f t="shared" si="26"/>
        <v>2.5032679738562047E-2</v>
      </c>
      <c r="I1696" s="47"/>
      <c r="J1696" s="48">
        <f>VLOOKUP(A1696,'[1]תקציב 2026'!$A$1:$M$65536,9,0)</f>
        <v>156830</v>
      </c>
      <c r="K1696" s="49">
        <v>153000</v>
      </c>
      <c r="L1696" s="50">
        <f>VLOOKUP(A1696,[2]data1761205830331!$A$1:$J$65536,10,0)</f>
        <v>162394.15</v>
      </c>
    </row>
    <row r="1697" spans="1:12" ht="15.6" outlineLevel="1">
      <c r="A1697" s="11">
        <v>1735000119</v>
      </c>
      <c r="B1697" s="40">
        <v>119</v>
      </c>
      <c r="C1697" s="109">
        <v>735000</v>
      </c>
      <c r="D1697" s="42">
        <v>1</v>
      </c>
      <c r="E1697" s="43"/>
      <c r="F1697" s="44" t="s">
        <v>23</v>
      </c>
      <c r="G1697" s="45" t="s">
        <v>22</v>
      </c>
      <c r="H1697" s="51">
        <f t="shared" si="26"/>
        <v>4.9572052401746669E-2</v>
      </c>
      <c r="I1697" s="47"/>
      <c r="J1697" s="48">
        <v>1802640</v>
      </c>
      <c r="K1697" s="49">
        <v>1717500</v>
      </c>
      <c r="L1697" s="50">
        <f>VLOOKUP(A1697,[2]data1761205830331!$A$1:$J$65536,10,0)</f>
        <v>2429461.81</v>
      </c>
    </row>
    <row r="1698" spans="1:12" ht="15.6" outlineLevel="1">
      <c r="A1698" s="11">
        <v>1735000122</v>
      </c>
      <c r="B1698" s="40">
        <v>122</v>
      </c>
      <c r="C1698" s="109">
        <v>735000</v>
      </c>
      <c r="D1698" s="42">
        <v>1</v>
      </c>
      <c r="E1698" s="43"/>
      <c r="F1698" s="44" t="s">
        <v>24</v>
      </c>
      <c r="G1698" s="45" t="s">
        <v>22</v>
      </c>
      <c r="H1698" s="51">
        <f t="shared" si="26"/>
        <v>0.12523809523809515</v>
      </c>
      <c r="I1698" s="47"/>
      <c r="J1698" s="48">
        <f>VLOOKUP(A1698,'[1]תקציב 2026'!$A$1:$M$65536,9,0)</f>
        <v>23630</v>
      </c>
      <c r="K1698" s="49">
        <f>VLOOKUP(A1698,[3]גיליון1!$A$1:$C$7693,3,0)</f>
        <v>21000</v>
      </c>
      <c r="L1698" s="50">
        <f>VLOOKUP(A1698,[2]data1761205830331!$A$1:$J$65536,10,0)</f>
        <v>22405.15</v>
      </c>
    </row>
    <row r="1699" spans="1:12" ht="15.6" outlineLevel="1">
      <c r="A1699" s="11">
        <v>1735000126</v>
      </c>
      <c r="B1699" s="40">
        <v>126</v>
      </c>
      <c r="C1699" s="109">
        <v>735000</v>
      </c>
      <c r="D1699" s="42">
        <v>1</v>
      </c>
      <c r="E1699" s="43"/>
      <c r="F1699" s="44" t="s">
        <v>25</v>
      </c>
      <c r="G1699" s="45" t="s">
        <v>22</v>
      </c>
      <c r="H1699" s="51">
        <f t="shared" si="26"/>
        <v>0.125</v>
      </c>
      <c r="I1699" s="47"/>
      <c r="J1699" s="48">
        <f>VLOOKUP(A1699,'[1]תקציב 2026'!$A$1:$M$65536,9,0)</f>
        <v>49500</v>
      </c>
      <c r="K1699" s="49">
        <f>VLOOKUP(A1699,[3]גיליון1!$A$1:$C$7693,3,0)</f>
        <v>44000</v>
      </c>
      <c r="L1699" s="50">
        <f>VLOOKUP(A1699,[2]data1761205830331!$A$1:$J$65536,10,0)</f>
        <v>49528.86</v>
      </c>
    </row>
    <row r="1700" spans="1:12" ht="15.6" outlineLevel="1">
      <c r="A1700" s="11">
        <v>1735000130</v>
      </c>
      <c r="B1700" s="40">
        <v>130</v>
      </c>
      <c r="C1700" s="109">
        <v>735000</v>
      </c>
      <c r="D1700" s="42">
        <v>1</v>
      </c>
      <c r="E1700" s="43"/>
      <c r="F1700" s="44" t="s">
        <v>26</v>
      </c>
      <c r="G1700" s="45" t="s">
        <v>22</v>
      </c>
      <c r="H1700" s="51">
        <f t="shared" si="26"/>
        <v>0</v>
      </c>
      <c r="I1700" s="47"/>
      <c r="J1700" s="48">
        <f>VLOOKUP(A1700,'[1]תקציב 2026'!$A$1:$M$65536,9,0)</f>
        <v>25890</v>
      </c>
      <c r="K1700" s="49">
        <f>VLOOKUP(A1700,[3]גיליון1!$A$1:$C$7693,3,0)*0.86+4</f>
        <v>25890</v>
      </c>
      <c r="L1700" s="50">
        <f>VLOOKUP(A1700,[2]data1761205830331!$A$1:$J$65536,10,0)</f>
        <v>8652.1</v>
      </c>
    </row>
    <row r="1701" spans="1:12" ht="15.6" outlineLevel="1">
      <c r="A1701" s="11">
        <v>1735000140</v>
      </c>
      <c r="B1701" s="40">
        <v>140</v>
      </c>
      <c r="C1701" s="109">
        <v>735000</v>
      </c>
      <c r="D1701" s="42">
        <v>1</v>
      </c>
      <c r="E1701" s="43"/>
      <c r="F1701" s="44" t="s">
        <v>27</v>
      </c>
      <c r="G1701" s="45" t="s">
        <v>22</v>
      </c>
      <c r="H1701" s="51">
        <f t="shared" si="26"/>
        <v>0</v>
      </c>
      <c r="I1701" s="47"/>
      <c r="J1701" s="48">
        <f>VLOOKUP(A1701,'[1]תקציב 2026'!$A$1:$M$65536,9,0)</f>
        <v>235800</v>
      </c>
      <c r="K1701" s="49">
        <f>VLOOKUP(A1701,[3]גיליון1!$A$1:$C$7693,3,0)</f>
        <v>235800</v>
      </c>
      <c r="L1701" s="50">
        <f>VLOOKUP(A1701,[2]data1761205830331!$A$1:$J$65536,10,0)</f>
        <v>270019.42</v>
      </c>
    </row>
    <row r="1702" spans="1:12" ht="15.6" outlineLevel="1">
      <c r="A1702" s="11">
        <v>1735000253</v>
      </c>
      <c r="B1702" s="40">
        <v>253</v>
      </c>
      <c r="C1702" s="109">
        <v>735000</v>
      </c>
      <c r="D1702" s="42">
        <v>1</v>
      </c>
      <c r="E1702" s="43"/>
      <c r="F1702" s="44" t="s">
        <v>738</v>
      </c>
      <c r="G1702" s="45" t="s">
        <v>22</v>
      </c>
      <c r="H1702" s="51">
        <v>0</v>
      </c>
      <c r="I1702" s="47"/>
      <c r="J1702" s="48">
        <v>0</v>
      </c>
      <c r="K1702" s="49">
        <f>VLOOKUP(A1702,[3]גיליון1!$A$1:$C$7693,3,0)</f>
        <v>0</v>
      </c>
      <c r="L1702" s="50">
        <f>VLOOKUP(A1702,[2]data1761205830331!$A$1:$J$65536,10,0)</f>
        <v>5505.58</v>
      </c>
    </row>
    <row r="1703" spans="1:12" ht="15.6" outlineLevel="1">
      <c r="A1703" s="11">
        <v>1735000433</v>
      </c>
      <c r="B1703" s="40">
        <v>433</v>
      </c>
      <c r="C1703" s="109">
        <v>735000</v>
      </c>
      <c r="D1703" s="42">
        <v>1</v>
      </c>
      <c r="E1703" s="43"/>
      <c r="F1703" s="44" t="s">
        <v>34</v>
      </c>
      <c r="G1703" s="45" t="s">
        <v>37</v>
      </c>
      <c r="H1703" s="51">
        <f t="shared" si="26"/>
        <v>0.11111111111111116</v>
      </c>
      <c r="I1703" s="47"/>
      <c r="J1703" s="48">
        <f>VLOOKUP(A1703,'[1]תקציב 2026'!$A$1:$M$65536,9,0)</f>
        <v>1000</v>
      </c>
      <c r="K1703" s="49">
        <f>1000*0.9</f>
        <v>900</v>
      </c>
      <c r="L1703" s="50">
        <f>VLOOKUP(A1703,[2]data1761205830331!$A$1:$J$65536,10,0)</f>
        <v>955.7</v>
      </c>
    </row>
    <row r="1704" spans="1:12" ht="15.6" outlineLevel="1">
      <c r="A1704" s="11">
        <v>1735000470</v>
      </c>
      <c r="B1704" s="40">
        <v>470</v>
      </c>
      <c r="C1704" s="109">
        <v>735000</v>
      </c>
      <c r="D1704" s="42">
        <v>1</v>
      </c>
      <c r="E1704" s="43"/>
      <c r="F1704" s="44" t="s">
        <v>43</v>
      </c>
      <c r="G1704" s="45" t="s">
        <v>37</v>
      </c>
      <c r="H1704" s="51">
        <f t="shared" si="26"/>
        <v>0.4814814814814814</v>
      </c>
      <c r="I1704" s="47"/>
      <c r="J1704" s="48">
        <f>VLOOKUP(A1704,'[1]תקציב 2026'!$A$1:$M$65536,9,0)</f>
        <v>1200</v>
      </c>
      <c r="K1704" s="49">
        <f>900*0.9</f>
        <v>810</v>
      </c>
      <c r="L1704" s="50">
        <f>VLOOKUP(A1704,[2]data1761205830331!$A$1:$J$65536,10,0)</f>
        <v>765.4</v>
      </c>
    </row>
    <row r="1705" spans="1:12" ht="15.6" outlineLevel="1">
      <c r="A1705" s="11">
        <v>1735000471</v>
      </c>
      <c r="B1705" s="40">
        <v>471</v>
      </c>
      <c r="C1705" s="109">
        <v>735000</v>
      </c>
      <c r="D1705" s="42">
        <v>1</v>
      </c>
      <c r="E1705" s="43"/>
      <c r="F1705" s="44" t="s">
        <v>71</v>
      </c>
      <c r="G1705" s="45" t="s">
        <v>37</v>
      </c>
      <c r="H1705" s="51">
        <f t="shared" si="26"/>
        <v>0</v>
      </c>
      <c r="I1705" s="47"/>
      <c r="J1705" s="48">
        <f>VLOOKUP(A1705,'[1]תקציב 2026'!$A$1:$M$65536,9,0)</f>
        <v>22500</v>
      </c>
      <c r="K1705" s="49">
        <f>25000*0.9</f>
        <v>22500</v>
      </c>
      <c r="L1705" s="50">
        <f>VLOOKUP(A1705,[2]data1761205830331!$A$1:$J$65536,10,0)</f>
        <v>24989.94</v>
      </c>
    </row>
    <row r="1706" spans="1:12" ht="15.6" outlineLevel="1">
      <c r="A1706" s="11">
        <v>1735000511</v>
      </c>
      <c r="B1706" s="40">
        <v>511</v>
      </c>
      <c r="C1706" s="109">
        <v>735000</v>
      </c>
      <c r="D1706" s="42">
        <v>1</v>
      </c>
      <c r="E1706" s="43"/>
      <c r="F1706" s="44" t="s">
        <v>72</v>
      </c>
      <c r="G1706" s="45" t="s">
        <v>37</v>
      </c>
      <c r="H1706" s="51">
        <f t="shared" si="26"/>
        <v>-0.60927960927960934</v>
      </c>
      <c r="I1706" s="47"/>
      <c r="J1706" s="48">
        <f>VLOOKUP(A1706,'[1]תקציב 2026'!$A$1:$M$65536,9,0)</f>
        <v>3200</v>
      </c>
      <c r="K1706" s="49">
        <f>9100*0.9</f>
        <v>8190</v>
      </c>
      <c r="L1706" s="50">
        <f>VLOOKUP(A1706,[2]data1761205830331!$A$1:$J$65536,10,0)</f>
        <v>7958.09</v>
      </c>
    </row>
    <row r="1707" spans="1:12" ht="15.6" outlineLevel="1">
      <c r="A1707" s="11">
        <v>1735000571</v>
      </c>
      <c r="B1707" s="40">
        <v>571</v>
      </c>
      <c r="C1707" s="109">
        <v>735000</v>
      </c>
      <c r="D1707" s="42">
        <v>1</v>
      </c>
      <c r="E1707" s="43"/>
      <c r="F1707" s="44" t="s">
        <v>75</v>
      </c>
      <c r="G1707" s="45" t="s">
        <v>29</v>
      </c>
      <c r="H1707" s="51">
        <f t="shared" si="26"/>
        <v>0.24084621643612691</v>
      </c>
      <c r="I1707" s="47"/>
      <c r="J1707" s="48">
        <f>VLOOKUP(A1707,'[1]תקציב 2026'!$A$1:$M$65536,9,0)</f>
        <v>305000</v>
      </c>
      <c r="K1707" s="49">
        <v>245800</v>
      </c>
      <c r="L1707" s="50">
        <f>VLOOKUP(A1707,[2]data1761205830331!$A$1:$J$65536,10,0)</f>
        <v>186200</v>
      </c>
    </row>
    <row r="1708" spans="1:12" ht="15.6" outlineLevel="1">
      <c r="A1708" s="11">
        <v>1735000752</v>
      </c>
      <c r="B1708" s="40">
        <v>752</v>
      </c>
      <c r="C1708" s="109">
        <v>735000</v>
      </c>
      <c r="D1708" s="42">
        <v>1</v>
      </c>
      <c r="E1708" s="43"/>
      <c r="F1708" s="44" t="s">
        <v>54</v>
      </c>
      <c r="G1708" s="45" t="s">
        <v>37</v>
      </c>
      <c r="H1708" s="51">
        <f t="shared" si="26"/>
        <v>-1</v>
      </c>
      <c r="I1708" s="47"/>
      <c r="J1708" s="48">
        <f>VLOOKUP(A1708,'[1]תקציב 2026'!$A$1:$M$65536,9,0)</f>
        <v>0</v>
      </c>
      <c r="K1708" s="49">
        <f>VLOOKUP(A1708,[3]גיליון1!$A$1:$C$7693,3,0)*0.9</f>
        <v>48600</v>
      </c>
      <c r="L1708" s="50">
        <f>VLOOKUP(A1708,[2]data1761205830331!$A$1:$J$65536,10,0)</f>
        <v>48160.99</v>
      </c>
    </row>
    <row r="1709" spans="1:12" ht="16.2" outlineLevel="1" thickBot="1">
      <c r="A1709" s="11">
        <v>1735000754</v>
      </c>
      <c r="B1709" s="40">
        <v>754</v>
      </c>
      <c r="C1709" s="109">
        <v>735000</v>
      </c>
      <c r="D1709" s="42">
        <v>1</v>
      </c>
      <c r="E1709" s="43"/>
      <c r="F1709" s="44" t="s">
        <v>1067</v>
      </c>
      <c r="G1709" s="45" t="s">
        <v>37</v>
      </c>
      <c r="H1709" s="51">
        <f t="shared" si="26"/>
        <v>0</v>
      </c>
      <c r="I1709" s="47"/>
      <c r="J1709" s="48">
        <f>VLOOKUP(A1709,'[1]תקציב 2026'!$A$1:$M$65536,9,0)</f>
        <v>45000</v>
      </c>
      <c r="K1709" s="49">
        <f>50000*0.9</f>
        <v>45000</v>
      </c>
      <c r="L1709" s="50">
        <f>VLOOKUP(A1709,[2]data1761205830331!$A$1:$J$65536,10,0)</f>
        <v>0</v>
      </c>
    </row>
    <row r="1710" spans="1:12" ht="16.2" collapsed="1" thickBot="1">
      <c r="A1710" s="11" t="e">
        <v>#VALUE!</v>
      </c>
      <c r="B1710" s="53" t="s">
        <v>1068</v>
      </c>
      <c r="C1710" s="223"/>
      <c r="D1710" s="55"/>
      <c r="E1710" s="56"/>
      <c r="F1710" s="116" t="s">
        <v>1066</v>
      </c>
      <c r="G1710" s="58"/>
      <c r="H1710" s="166">
        <f>J1710/K1710-1</f>
        <v>4.0171429238728074E-2</v>
      </c>
      <c r="I1710" s="72"/>
      <c r="J1710" s="74">
        <f>SUBTOTAL(9,J1696:J1709)</f>
        <v>2672190</v>
      </c>
      <c r="K1710" s="92">
        <f>SUBTOTAL(9,K1696:K1709)</f>
        <v>2568990</v>
      </c>
      <c r="L1710" s="75">
        <f>SUBTOTAL(9,L1696:L1709)</f>
        <v>3216997.19</v>
      </c>
    </row>
    <row r="1711" spans="1:12" ht="15.6" outlineLevel="1">
      <c r="A1711" s="11">
        <v>17360000</v>
      </c>
      <c r="B1711" s="40">
        <v>0</v>
      </c>
      <c r="C1711" s="109">
        <v>736000</v>
      </c>
      <c r="D1711" s="42">
        <v>1</v>
      </c>
      <c r="E1711" s="43"/>
      <c r="F1711" s="44" t="s">
        <v>1069</v>
      </c>
      <c r="G1711" s="45" t="s">
        <v>15</v>
      </c>
      <c r="H1711" s="51"/>
      <c r="I1711" s="47"/>
      <c r="J1711" s="48"/>
      <c r="K1711" s="49"/>
      <c r="L1711" s="50"/>
    </row>
    <row r="1712" spans="1:12" ht="15.6" outlineLevel="1">
      <c r="A1712" s="11">
        <v>1736000119</v>
      </c>
      <c r="B1712" s="40">
        <v>119</v>
      </c>
      <c r="C1712" s="109">
        <v>736000</v>
      </c>
      <c r="D1712" s="42">
        <v>1</v>
      </c>
      <c r="E1712" s="43"/>
      <c r="F1712" s="44" t="s">
        <v>23</v>
      </c>
      <c r="G1712" s="45" t="s">
        <v>22</v>
      </c>
      <c r="H1712" s="51">
        <f t="shared" si="26"/>
        <v>2.49943451707757E-2</v>
      </c>
      <c r="I1712" s="47"/>
      <c r="J1712" s="48">
        <f>VLOOKUP(A1712,'[1]תקציב 2026'!$A$1:$M$65536,9,0)</f>
        <v>453149.99999999994</v>
      </c>
      <c r="K1712" s="49">
        <v>442100</v>
      </c>
      <c r="L1712" s="50">
        <f>VLOOKUP(A1712,[2]data1761205830331!$A$1:$J$65536,10,0)</f>
        <v>426557.45</v>
      </c>
    </row>
    <row r="1713" spans="1:12" ht="15.6" outlineLevel="1">
      <c r="A1713" s="11">
        <v>1736000122</v>
      </c>
      <c r="B1713" s="40">
        <v>122</v>
      </c>
      <c r="C1713" s="109">
        <v>736000</v>
      </c>
      <c r="D1713" s="42">
        <v>1</v>
      </c>
      <c r="E1713" s="43"/>
      <c r="F1713" s="44" t="s">
        <v>24</v>
      </c>
      <c r="G1713" s="45" t="s">
        <v>22</v>
      </c>
      <c r="H1713" s="51">
        <f t="shared" si="26"/>
        <v>0</v>
      </c>
      <c r="I1713" s="47"/>
      <c r="J1713" s="48">
        <f>VLOOKUP(A1713,'[1]תקציב 2026'!$A$1:$M$65536,9,0)</f>
        <v>5600</v>
      </c>
      <c r="K1713" s="49">
        <f>VLOOKUP(A1713,[3]גיליון1!$A$1:$C$7693,3,0)</f>
        <v>5600</v>
      </c>
      <c r="L1713" s="50">
        <f>VLOOKUP(A1713,[2]data1761205830331!$A$1:$J$65536,10,0)</f>
        <v>4893.13</v>
      </c>
    </row>
    <row r="1714" spans="1:12" ht="15.6" outlineLevel="1">
      <c r="A1714" s="11">
        <v>1736000126</v>
      </c>
      <c r="B1714" s="40">
        <v>126</v>
      </c>
      <c r="C1714" s="109">
        <v>736000</v>
      </c>
      <c r="D1714" s="42">
        <v>1</v>
      </c>
      <c r="E1714" s="43"/>
      <c r="F1714" s="44" t="s">
        <v>25</v>
      </c>
      <c r="G1714" s="45" t="s">
        <v>22</v>
      </c>
      <c r="H1714" s="51">
        <f t="shared" si="26"/>
        <v>0</v>
      </c>
      <c r="I1714" s="47"/>
      <c r="J1714" s="48">
        <f>VLOOKUP(A1714,'[1]תקציב 2026'!$A$1:$M$65536,9,0)</f>
        <v>11000</v>
      </c>
      <c r="K1714" s="49">
        <f>VLOOKUP(A1714,[3]גיליון1!$A$1:$C$7693,3,0)</f>
        <v>11000</v>
      </c>
      <c r="L1714" s="50">
        <f>VLOOKUP(A1714,[2]data1761205830331!$A$1:$J$65536,10,0)</f>
        <v>9220.07</v>
      </c>
    </row>
    <row r="1715" spans="1:12" ht="15.6" outlineLevel="1">
      <c r="A1715" s="11">
        <v>1736000130</v>
      </c>
      <c r="B1715" s="40">
        <v>130</v>
      </c>
      <c r="C1715" s="109">
        <v>736000</v>
      </c>
      <c r="D1715" s="42">
        <v>1</v>
      </c>
      <c r="E1715" s="43"/>
      <c r="F1715" s="44" t="s">
        <v>26</v>
      </c>
      <c r="G1715" s="45" t="s">
        <v>22</v>
      </c>
      <c r="H1715" s="51">
        <f t="shared" si="26"/>
        <v>0</v>
      </c>
      <c r="I1715" s="47"/>
      <c r="J1715" s="48">
        <f>VLOOKUP(A1715,'[1]תקציב 2026'!$A$1:$M$65536,9,0)</f>
        <v>56800</v>
      </c>
      <c r="K1715" s="49">
        <v>56800</v>
      </c>
      <c r="L1715" s="50">
        <f>VLOOKUP(A1715,[2]data1761205830331!$A$1:$J$65536,10,0)</f>
        <v>18489.12</v>
      </c>
    </row>
    <row r="1716" spans="1:12" ht="15.6" outlineLevel="1">
      <c r="A1716" s="11">
        <v>1736000140</v>
      </c>
      <c r="B1716" s="40">
        <v>140</v>
      </c>
      <c r="C1716" s="109">
        <v>736000</v>
      </c>
      <c r="D1716" s="42">
        <v>1</v>
      </c>
      <c r="E1716" s="43"/>
      <c r="F1716" s="44" t="s">
        <v>27</v>
      </c>
      <c r="G1716" s="45" t="s">
        <v>22</v>
      </c>
      <c r="H1716" s="51">
        <f t="shared" si="26"/>
        <v>0</v>
      </c>
      <c r="I1716" s="47"/>
      <c r="J1716" s="48">
        <f>VLOOKUP(A1716,'[1]תקציב 2026'!$A$1:$M$65536,9,0)</f>
        <v>68900</v>
      </c>
      <c r="K1716" s="49">
        <f>VLOOKUP(A1716,[3]גיליון1!$A$1:$C$7693,3,0)</f>
        <v>68900</v>
      </c>
      <c r="L1716" s="50">
        <f>VLOOKUP(A1716,[2]data1761205830331!$A$1:$J$65536,10,0)</f>
        <v>61802.55</v>
      </c>
    </row>
    <row r="1717" spans="1:12" ht="15.6" outlineLevel="1">
      <c r="A1717" s="11">
        <v>1736000450</v>
      </c>
      <c r="B1717" s="40">
        <v>450</v>
      </c>
      <c r="C1717" s="109">
        <v>736000</v>
      </c>
      <c r="D1717" s="42">
        <v>1</v>
      </c>
      <c r="E1717" s="43"/>
      <c r="F1717" s="11" t="s">
        <v>41</v>
      </c>
      <c r="G1717" s="45" t="s">
        <v>29</v>
      </c>
      <c r="H1717" s="51">
        <f t="shared" si="26"/>
        <v>-1</v>
      </c>
      <c r="I1717" s="47"/>
      <c r="J1717" s="48">
        <f>VLOOKUP(A1717,'[1]תקציב 2026'!$A$1:$M$65536,9,0)</f>
        <v>0</v>
      </c>
      <c r="K1717" s="49">
        <f>VLOOKUP(A1717,[3]גיליון1!$A$1:$C$7693,3,0)</f>
        <v>1000</v>
      </c>
      <c r="L1717" s="50">
        <f>VLOOKUP(A1717,[2]data1761205830331!$A$1:$J$65536,10,0)</f>
        <v>0</v>
      </c>
    </row>
    <row r="1718" spans="1:12" ht="15.6" outlineLevel="1">
      <c r="A1718" s="11">
        <v>1736000474</v>
      </c>
      <c r="B1718" s="40">
        <v>474</v>
      </c>
      <c r="C1718" s="109">
        <v>736000</v>
      </c>
      <c r="D1718" s="42">
        <v>1</v>
      </c>
      <c r="E1718" s="43"/>
      <c r="F1718" s="224" t="s">
        <v>1070</v>
      </c>
      <c r="G1718" s="45" t="s">
        <v>29</v>
      </c>
      <c r="H1718" s="51">
        <v>1</v>
      </c>
      <c r="I1718" s="47" t="s">
        <v>86</v>
      </c>
      <c r="J1718" s="48">
        <f>VLOOKUP(A1718,'[1]תקציב 2026'!$A$1:$M$65536,9,0)</f>
        <v>90000</v>
      </c>
      <c r="K1718" s="49">
        <v>0</v>
      </c>
      <c r="L1718" s="50">
        <v>0</v>
      </c>
    </row>
    <row r="1719" spans="1:12" ht="15.6" outlineLevel="1">
      <c r="A1719" s="11">
        <v>1736000476</v>
      </c>
      <c r="B1719" s="40">
        <v>476</v>
      </c>
      <c r="C1719" s="109">
        <v>736000</v>
      </c>
      <c r="D1719" s="42">
        <v>1</v>
      </c>
      <c r="E1719" s="43"/>
      <c r="F1719" s="11" t="s">
        <v>1071</v>
      </c>
      <c r="G1719" s="45" t="s">
        <v>37</v>
      </c>
      <c r="H1719" s="51">
        <v>1</v>
      </c>
      <c r="I1719" s="47" t="s">
        <v>86</v>
      </c>
      <c r="J1719" s="48">
        <f>VLOOKUP(A1719,'[1]תקציב 2026'!$A$1:$M$65536,9,0)</f>
        <v>42000</v>
      </c>
      <c r="K1719" s="49">
        <v>0</v>
      </c>
      <c r="L1719" s="50">
        <v>0</v>
      </c>
    </row>
    <row r="1720" spans="1:12" ht="15.6" outlineLevel="1">
      <c r="A1720" s="11">
        <v>1736000492</v>
      </c>
      <c r="B1720" s="40">
        <v>492</v>
      </c>
      <c r="C1720" s="109">
        <v>736000</v>
      </c>
      <c r="D1720" s="42">
        <v>1</v>
      </c>
      <c r="E1720" s="43"/>
      <c r="F1720" s="44" t="s">
        <v>66</v>
      </c>
      <c r="G1720" s="45" t="s">
        <v>29</v>
      </c>
      <c r="H1720" s="51">
        <f t="shared" si="26"/>
        <v>7.1910112359550471E-2</v>
      </c>
      <c r="I1720" s="47"/>
      <c r="J1720" s="48">
        <f>VLOOKUP(A1720,'[1]תקציב 2026'!$A$1:$M$65536,9,0)</f>
        <v>238500</v>
      </c>
      <c r="K1720" s="49">
        <v>222500</v>
      </c>
      <c r="L1720" s="50">
        <f>VLOOKUP(A1720,[2]data1761205830331!$A$1:$J$65536,10,0)</f>
        <v>202571</v>
      </c>
    </row>
    <row r="1721" spans="1:12" ht="15.6" outlineLevel="1">
      <c r="A1721" s="11">
        <v>1736000596</v>
      </c>
      <c r="B1721" s="40">
        <v>596</v>
      </c>
      <c r="C1721" s="109">
        <v>736000</v>
      </c>
      <c r="D1721" s="42">
        <v>1</v>
      </c>
      <c r="E1721" s="43"/>
      <c r="F1721" s="44" t="s">
        <v>76</v>
      </c>
      <c r="G1721" s="45" t="s">
        <v>29</v>
      </c>
      <c r="H1721" s="51">
        <f t="shared" si="26"/>
        <v>3.054989816700604E-2</v>
      </c>
      <c r="I1721" s="47"/>
      <c r="J1721" s="48">
        <f>VLOOKUP(A1721,'[1]תקציב 2026'!$A$1:$M$65536,9,0)</f>
        <v>506000</v>
      </c>
      <c r="K1721" s="49">
        <v>491000</v>
      </c>
      <c r="L1721" s="50">
        <f>VLOOKUP(A1721,[2]data1761205830331!$A$1:$J$65536,10,0)</f>
        <v>450524</v>
      </c>
    </row>
    <row r="1722" spans="1:12" ht="15.6" outlineLevel="1">
      <c r="A1722" s="11">
        <v>1736000721</v>
      </c>
      <c r="B1722" s="40">
        <v>721</v>
      </c>
      <c r="C1722" s="109">
        <v>736000</v>
      </c>
      <c r="D1722" s="42">
        <v>1</v>
      </c>
      <c r="E1722" s="43"/>
      <c r="F1722" s="44" t="s">
        <v>1072</v>
      </c>
      <c r="G1722" s="45" t="s">
        <v>37</v>
      </c>
      <c r="H1722" s="51">
        <v>1</v>
      </c>
      <c r="I1722" s="47" t="s">
        <v>86</v>
      </c>
      <c r="J1722" s="48">
        <f>VLOOKUP(A1722,'[1]תקציב 2026'!$A$1:$M$65536,9,0)</f>
        <v>40000</v>
      </c>
      <c r="K1722" s="49">
        <v>0</v>
      </c>
      <c r="L1722" s="50">
        <v>0</v>
      </c>
    </row>
    <row r="1723" spans="1:12" ht="15.6" outlineLevel="1">
      <c r="A1723" s="11">
        <v>1736000742</v>
      </c>
      <c r="B1723" s="40">
        <v>742</v>
      </c>
      <c r="C1723" s="109">
        <v>736000</v>
      </c>
      <c r="D1723" s="42">
        <v>1</v>
      </c>
      <c r="E1723" s="43"/>
      <c r="F1723" s="44" t="s">
        <v>52</v>
      </c>
      <c r="G1723" s="45" t="s">
        <v>37</v>
      </c>
      <c r="H1723" s="51">
        <f t="shared" si="26"/>
        <v>0</v>
      </c>
      <c r="I1723" s="47"/>
      <c r="J1723" s="48">
        <f>VLOOKUP(A1723,'[1]תקציב 2026'!$A$1:$M$65536,9,0)</f>
        <v>1800</v>
      </c>
      <c r="K1723" s="49">
        <f>2000*0.9</f>
        <v>1800</v>
      </c>
      <c r="L1723" s="50">
        <f>VLOOKUP(A1723,[2]data1761205830331!$A$1:$J$65536,10,0)</f>
        <v>1766.38</v>
      </c>
    </row>
    <row r="1724" spans="1:12" ht="15.6" outlineLevel="1">
      <c r="A1724" s="11">
        <v>1736000794</v>
      </c>
      <c r="B1724" s="40">
        <v>794</v>
      </c>
      <c r="C1724" s="109">
        <v>736000</v>
      </c>
      <c r="D1724" s="42">
        <v>1</v>
      </c>
      <c r="E1724" s="43"/>
      <c r="F1724" s="44" t="s">
        <v>58</v>
      </c>
      <c r="G1724" s="45" t="s">
        <v>29</v>
      </c>
      <c r="H1724" s="51">
        <f t="shared" si="26"/>
        <v>0</v>
      </c>
      <c r="I1724" s="47"/>
      <c r="J1724" s="48">
        <f>VLOOKUP(A1724,'[1]תקציב 2026'!$A$1:$M$65536,9,0)</f>
        <v>12100</v>
      </c>
      <c r="K1724" s="49">
        <v>12100</v>
      </c>
      <c r="L1724" s="50">
        <f>VLOOKUP(A1724,[2]data1761205830331!$A$1:$J$65536,10,0)</f>
        <v>14431</v>
      </c>
    </row>
    <row r="1725" spans="1:12" ht="16.2" outlineLevel="1" thickBot="1">
      <c r="A1725" s="11">
        <v>1736000931</v>
      </c>
      <c r="B1725" s="40">
        <v>931</v>
      </c>
      <c r="C1725" s="109">
        <v>736000</v>
      </c>
      <c r="D1725" s="42">
        <v>1</v>
      </c>
      <c r="E1725" s="43"/>
      <c r="F1725" s="44" t="s">
        <v>1073</v>
      </c>
      <c r="G1725" s="45" t="s">
        <v>37</v>
      </c>
      <c r="H1725" s="51">
        <v>0</v>
      </c>
      <c r="I1725" s="47"/>
      <c r="J1725" s="48">
        <v>0</v>
      </c>
      <c r="K1725" s="49">
        <v>0</v>
      </c>
      <c r="L1725" s="50">
        <f>VLOOKUP(A1725,[2]data1761205830331!$A$1:$J$65536,10,0)</f>
        <v>1042</v>
      </c>
    </row>
    <row r="1726" spans="1:12" ht="16.2" thickBot="1">
      <c r="A1726" s="11" t="e">
        <v>#VALUE!</v>
      </c>
      <c r="B1726" s="53" t="s">
        <v>1074</v>
      </c>
      <c r="C1726" s="223"/>
      <c r="D1726" s="55"/>
      <c r="E1726" s="56"/>
      <c r="F1726" s="116" t="s">
        <v>1069</v>
      </c>
      <c r="G1726" s="58"/>
      <c r="H1726" s="166">
        <f>J1726/K1726-1</f>
        <v>0.16228671541742834</v>
      </c>
      <c r="I1726" s="72"/>
      <c r="J1726" s="74">
        <f>SUBTOTAL(9,J1712:J1725)</f>
        <v>1525850</v>
      </c>
      <c r="K1726" s="92">
        <f>SUBTOTAL(9,K1712:K1725)</f>
        <v>1312800</v>
      </c>
      <c r="L1726" s="75">
        <f>SUBTOTAL(9,L1712:L1725)</f>
        <v>1191296.7</v>
      </c>
    </row>
    <row r="1727" spans="1:12" ht="15.6" outlineLevel="1">
      <c r="A1727" s="11">
        <v>17361000</v>
      </c>
      <c r="B1727" s="40">
        <v>0</v>
      </c>
      <c r="C1727" s="109">
        <v>736100</v>
      </c>
      <c r="D1727" s="42">
        <v>1</v>
      </c>
      <c r="E1727" s="43"/>
      <c r="F1727" s="44" t="s">
        <v>1069</v>
      </c>
      <c r="G1727" s="45" t="s">
        <v>15</v>
      </c>
      <c r="H1727" s="51"/>
      <c r="I1727" s="47"/>
      <c r="J1727" s="48"/>
      <c r="K1727" s="49"/>
      <c r="L1727" s="50"/>
    </row>
    <row r="1728" spans="1:12" ht="16.2" outlineLevel="1" thickBot="1">
      <c r="A1728" s="11">
        <v>1736100423</v>
      </c>
      <c r="B1728" s="40">
        <v>423</v>
      </c>
      <c r="C1728" s="109">
        <v>736100</v>
      </c>
      <c r="D1728" s="42">
        <v>1</v>
      </c>
      <c r="E1728" s="43"/>
      <c r="F1728" s="44" t="s">
        <v>31</v>
      </c>
      <c r="G1728" s="45" t="s">
        <v>29</v>
      </c>
      <c r="H1728" s="51">
        <f t="shared" si="26"/>
        <v>0.16228671541742834</v>
      </c>
      <c r="I1728" s="47"/>
      <c r="J1728" s="48">
        <f>VLOOKUP(A1728,'[1]תקציב 2026'!$A$1:$M$65536,9,0)</f>
        <v>-1525850</v>
      </c>
      <c r="K1728" s="49">
        <v>-1312800</v>
      </c>
      <c r="L1728" s="50">
        <f>VLOOKUP(A1728,[2]data1761205830331!$A$1:$J$65536,10,0)</f>
        <v>-1288700</v>
      </c>
    </row>
    <row r="1729" spans="1:12" ht="16.2" thickBot="1">
      <c r="A1729" s="11" t="e">
        <v>#VALUE!</v>
      </c>
      <c r="B1729" s="53" t="s">
        <v>1075</v>
      </c>
      <c r="C1729" s="223"/>
      <c r="D1729" s="55"/>
      <c r="E1729" s="56"/>
      <c r="F1729" s="116" t="s">
        <v>1069</v>
      </c>
      <c r="G1729" s="58"/>
      <c r="H1729" s="166">
        <f>J1729/K1729-1</f>
        <v>0.16228671541742834</v>
      </c>
      <c r="I1729" s="72"/>
      <c r="J1729" s="74">
        <f>SUBTOTAL(9,J1728)</f>
        <v>-1525850</v>
      </c>
      <c r="K1729" s="92">
        <f>SUBTOTAL(9,K1728)</f>
        <v>-1312800</v>
      </c>
      <c r="L1729" s="75">
        <f>SUBTOTAL(9,L1728)</f>
        <v>-1288700</v>
      </c>
    </row>
    <row r="1730" spans="1:12" ht="15.6" outlineLevel="1">
      <c r="A1730" s="11">
        <v>17400000</v>
      </c>
      <c r="B1730" s="40">
        <v>0</v>
      </c>
      <c r="C1730" s="109">
        <v>740000</v>
      </c>
      <c r="D1730" s="42">
        <v>1</v>
      </c>
      <c r="E1730" s="43"/>
      <c r="F1730" s="44" t="s">
        <v>1076</v>
      </c>
      <c r="G1730" s="45" t="s">
        <v>15</v>
      </c>
      <c r="H1730" s="51"/>
      <c r="I1730" s="47"/>
      <c r="J1730" s="48"/>
      <c r="K1730" s="49"/>
      <c r="L1730" s="50"/>
    </row>
    <row r="1731" spans="1:12" ht="15.6" outlineLevel="1">
      <c r="A1731" s="11">
        <v>1741000119</v>
      </c>
      <c r="B1731" s="40">
        <v>119</v>
      </c>
      <c r="C1731" s="109">
        <v>741000</v>
      </c>
      <c r="D1731" s="42">
        <v>1</v>
      </c>
      <c r="E1731" s="43"/>
      <c r="F1731" s="44" t="s">
        <v>23</v>
      </c>
      <c r="G1731" s="45" t="s">
        <v>22</v>
      </c>
      <c r="H1731" s="51">
        <f t="shared" si="26"/>
        <v>2.4999999999999911E-2</v>
      </c>
      <c r="I1731" s="47"/>
      <c r="J1731" s="48">
        <f>VLOOKUP(A1731,'[1]תקציב 2026'!$A$1:$M$65536,9,0)</f>
        <v>1284530</v>
      </c>
      <c r="K1731" s="49">
        <v>1253200</v>
      </c>
      <c r="L1731" s="50">
        <f>VLOOKUP(A1731,[2]data1761205830331!$A$1:$J$65536,10,0)</f>
        <v>1694071.41</v>
      </c>
    </row>
    <row r="1732" spans="1:12" ht="15.6" outlineLevel="1">
      <c r="A1732" s="11">
        <v>1741000122</v>
      </c>
      <c r="B1732" s="40">
        <v>122</v>
      </c>
      <c r="C1732" s="109">
        <v>741000</v>
      </c>
      <c r="D1732" s="42">
        <v>1</v>
      </c>
      <c r="E1732" s="43"/>
      <c r="F1732" s="44" t="s">
        <v>24</v>
      </c>
      <c r="G1732" s="45" t="s">
        <v>22</v>
      </c>
      <c r="H1732" s="51">
        <f t="shared" ref="H1732:H1797" si="27">J1732/K1732-1</f>
        <v>0</v>
      </c>
      <c r="I1732" s="47"/>
      <c r="J1732" s="48">
        <f>VLOOKUP(A1732,'[1]תקציב 2026'!$A$1:$M$65536,9,0)</f>
        <v>18000</v>
      </c>
      <c r="K1732" s="49">
        <f>VLOOKUP(A1732,[3]גיליון1!$A$1:$C$7693,3,0)</f>
        <v>18000</v>
      </c>
      <c r="L1732" s="50">
        <f>VLOOKUP(A1732,[2]data1761205830331!$A$1:$J$65536,10,0)</f>
        <v>20292.09</v>
      </c>
    </row>
    <row r="1733" spans="1:12" ht="15.6" outlineLevel="1">
      <c r="A1733" s="11">
        <v>1741000126</v>
      </c>
      <c r="B1733" s="40">
        <v>126</v>
      </c>
      <c r="C1733" s="109">
        <v>741000</v>
      </c>
      <c r="D1733" s="42">
        <v>1</v>
      </c>
      <c r="E1733" s="43"/>
      <c r="F1733" s="44" t="s">
        <v>25</v>
      </c>
      <c r="G1733" s="45" t="s">
        <v>22</v>
      </c>
      <c r="H1733" s="51">
        <f t="shared" si="27"/>
        <v>0</v>
      </c>
      <c r="I1733" s="47"/>
      <c r="J1733" s="48">
        <f>VLOOKUP(A1733,'[1]תקציב 2026'!$A$1:$M$65536,9,0)</f>
        <v>33000</v>
      </c>
      <c r="K1733" s="49">
        <f>VLOOKUP(A1733,[3]גיליון1!$A$1:$C$7693,3,0)</f>
        <v>33000</v>
      </c>
      <c r="L1733" s="50">
        <f>VLOOKUP(A1733,[2]data1761205830331!$A$1:$J$65536,10,0)</f>
        <v>37208.31</v>
      </c>
    </row>
    <row r="1734" spans="1:12" ht="15.6" outlineLevel="1">
      <c r="A1734" s="11">
        <v>1741000140</v>
      </c>
      <c r="B1734" s="40">
        <v>140</v>
      </c>
      <c r="C1734" s="109">
        <v>741000</v>
      </c>
      <c r="D1734" s="42">
        <v>1</v>
      </c>
      <c r="E1734" s="43"/>
      <c r="F1734" s="44" t="s">
        <v>27</v>
      </c>
      <c r="G1734" s="45" t="s">
        <v>22</v>
      </c>
      <c r="H1734" s="51">
        <f t="shared" si="27"/>
        <v>0</v>
      </c>
      <c r="I1734" s="47"/>
      <c r="J1734" s="48">
        <f>VLOOKUP(A1734,'[1]תקציב 2026'!$A$1:$M$65536,9,0)</f>
        <v>170400</v>
      </c>
      <c r="K1734" s="49">
        <f>VLOOKUP(A1734,[3]גיליון1!$A$1:$C$7693,3,0)</f>
        <v>170400</v>
      </c>
      <c r="L1734" s="50">
        <f>VLOOKUP(A1734,[2]data1761205830331!$A$1:$J$65536,10,0)</f>
        <v>162639.22</v>
      </c>
    </row>
    <row r="1735" spans="1:12" ht="15.6" outlineLevel="1">
      <c r="A1735" s="11">
        <v>1741000253</v>
      </c>
      <c r="B1735" s="40">
        <v>253</v>
      </c>
      <c r="C1735" s="109">
        <v>741000</v>
      </c>
      <c r="D1735" s="42">
        <v>1</v>
      </c>
      <c r="E1735" s="43"/>
      <c r="F1735" s="44" t="s">
        <v>738</v>
      </c>
      <c r="G1735" s="45" t="s">
        <v>22</v>
      </c>
      <c r="H1735" s="51">
        <v>1</v>
      </c>
      <c r="I1735" s="47"/>
      <c r="J1735" s="48">
        <f>VLOOKUP(A1735,'[1]תקציב 2026'!$A$1:$M$65536,9,0)</f>
        <v>550000</v>
      </c>
      <c r="K1735" s="49">
        <f>VLOOKUP(A1735,[3]גיליון1!$A$1:$C$7693,3,0)</f>
        <v>0</v>
      </c>
      <c r="L1735" s="50">
        <f>VLOOKUP(A1735,[2]data1761205830331!$A$1:$J$65536,10,0)</f>
        <v>18443.330000000002</v>
      </c>
    </row>
    <row r="1736" spans="1:12" ht="15.6" outlineLevel="1">
      <c r="A1736" s="11">
        <v>1741000350</v>
      </c>
      <c r="B1736" s="40">
        <v>350</v>
      </c>
      <c r="C1736" s="109">
        <v>741000</v>
      </c>
      <c r="D1736" s="42">
        <v>1</v>
      </c>
      <c r="E1736" s="43"/>
      <c r="F1736" s="44" t="s">
        <v>1077</v>
      </c>
      <c r="G1736" s="45" t="s">
        <v>22</v>
      </c>
      <c r="H1736" s="51">
        <f t="shared" si="27"/>
        <v>-1</v>
      </c>
      <c r="I1736" s="47"/>
      <c r="J1736" s="48">
        <f>VLOOKUP(A1736,'[1]תקציב 2026'!$A$1:$M$65536,9,0)</f>
        <v>0</v>
      </c>
      <c r="K1736" s="49">
        <f>VLOOKUP(A1736,[3]גיליון1!$A$1:$C$7693,3,0)</f>
        <v>50000</v>
      </c>
      <c r="L1736" s="50">
        <f>VLOOKUP(A1736,[2]data1761205830331!$A$1:$J$65536,10,0)</f>
        <v>53507.71</v>
      </c>
    </row>
    <row r="1737" spans="1:12" ht="15.6" outlineLevel="1">
      <c r="A1737" s="11">
        <v>1741000351</v>
      </c>
      <c r="B1737" s="40">
        <v>351</v>
      </c>
      <c r="C1737" s="109">
        <v>741000</v>
      </c>
      <c r="D1737" s="42">
        <v>1</v>
      </c>
      <c r="E1737" s="43"/>
      <c r="F1737" s="44" t="s">
        <v>1078</v>
      </c>
      <c r="G1737" s="45" t="s">
        <v>22</v>
      </c>
      <c r="H1737" s="51">
        <f t="shared" si="27"/>
        <v>-1</v>
      </c>
      <c r="I1737" s="47"/>
      <c r="J1737" s="48">
        <f>VLOOKUP(A1737,'[1]תקציב 2026'!$A$1:$M$65536,9,0)</f>
        <v>0</v>
      </c>
      <c r="K1737" s="49">
        <f>VLOOKUP(A1737,[3]גיליון1!$A$1:$C$7693,3,0)</f>
        <v>30000</v>
      </c>
      <c r="L1737" s="50">
        <f>VLOOKUP(A1737,[2]data1761205830331!$A$1:$J$65536,10,0)</f>
        <v>29451.66</v>
      </c>
    </row>
    <row r="1738" spans="1:12" ht="15.6" outlineLevel="1">
      <c r="A1738" s="11">
        <v>1741000471</v>
      </c>
      <c r="B1738" s="40">
        <v>471</v>
      </c>
      <c r="C1738" s="109">
        <v>741000</v>
      </c>
      <c r="D1738" s="42">
        <v>1</v>
      </c>
      <c r="E1738" s="43"/>
      <c r="F1738" s="44" t="s">
        <v>71</v>
      </c>
      <c r="G1738" s="45" t="s">
        <v>37</v>
      </c>
      <c r="H1738" s="51">
        <f t="shared" si="27"/>
        <v>0.29629629629629628</v>
      </c>
      <c r="I1738" s="47"/>
      <c r="J1738" s="48">
        <f>VLOOKUP(A1738,'[1]תקציב 2026'!$A$1:$M$65536,9,0)</f>
        <v>7000</v>
      </c>
      <c r="K1738" s="49">
        <f>VLOOKUP(A1738,[3]גיליון1!$A$1:$C$7693,3,0)*0.9</f>
        <v>5400</v>
      </c>
      <c r="L1738" s="50">
        <f>VLOOKUP(A1738,[2]data1761205830331!$A$1:$J$65536,10,0)</f>
        <v>4703.72</v>
      </c>
    </row>
    <row r="1739" spans="1:12" ht="15.6" outlineLevel="1">
      <c r="A1739" s="11">
        <v>1741000492</v>
      </c>
      <c r="B1739" s="40">
        <v>492</v>
      </c>
      <c r="C1739" s="109">
        <v>741000</v>
      </c>
      <c r="D1739" s="42">
        <v>1</v>
      </c>
      <c r="E1739" s="43"/>
      <c r="F1739" s="44" t="s">
        <v>66</v>
      </c>
      <c r="G1739" s="45" t="s">
        <v>29</v>
      </c>
      <c r="H1739" s="51">
        <f t="shared" si="27"/>
        <v>4.5022511255627728E-2</v>
      </c>
      <c r="I1739" s="47"/>
      <c r="J1739" s="48">
        <f>VLOOKUP(A1739,'[1]תקציב 2026'!$A$1:$M$65536,9,0)</f>
        <v>208900</v>
      </c>
      <c r="K1739" s="49">
        <v>199900</v>
      </c>
      <c r="L1739" s="50">
        <f>VLOOKUP(A1739,[2]data1761205830331!$A$1:$J$65536,10,0)</f>
        <v>218886</v>
      </c>
    </row>
    <row r="1740" spans="1:12" ht="15.6" outlineLevel="1">
      <c r="A1740" s="11">
        <v>1741000511</v>
      </c>
      <c r="B1740" s="40">
        <v>511</v>
      </c>
      <c r="C1740" s="109">
        <v>741000</v>
      </c>
      <c r="D1740" s="42">
        <v>1</v>
      </c>
      <c r="E1740" s="43"/>
      <c r="F1740" s="44" t="s">
        <v>72</v>
      </c>
      <c r="G1740" s="45" t="s">
        <v>37</v>
      </c>
      <c r="H1740" s="51">
        <f t="shared" si="27"/>
        <v>0.17521367521367526</v>
      </c>
      <c r="I1740" s="47"/>
      <c r="J1740" s="48">
        <v>5500</v>
      </c>
      <c r="K1740" s="49">
        <f>5200*0.9</f>
        <v>4680</v>
      </c>
      <c r="L1740" s="50">
        <f>VLOOKUP(A1740,[2]data1761205830331!$A$1:$J$65536,10,0)</f>
        <v>4765.74</v>
      </c>
    </row>
    <row r="1741" spans="1:12" ht="15.6" outlineLevel="1">
      <c r="A1741" s="11">
        <v>1741000512</v>
      </c>
      <c r="B1741" s="40">
        <v>512</v>
      </c>
      <c r="C1741" s="109">
        <v>741000</v>
      </c>
      <c r="D1741" s="42">
        <v>1</v>
      </c>
      <c r="E1741" s="43"/>
      <c r="F1741" s="44" t="s">
        <v>88</v>
      </c>
      <c r="G1741" s="45" t="s">
        <v>37</v>
      </c>
      <c r="H1741" s="51">
        <f t="shared" si="27"/>
        <v>0</v>
      </c>
      <c r="I1741" s="47"/>
      <c r="J1741" s="48">
        <f>VLOOKUP(A1741,'[1]תקציב 2026'!$A$1:$M$65536,9,0)</f>
        <v>450</v>
      </c>
      <c r="K1741" s="49">
        <f>VLOOKUP(A1741,[3]גיליון1!$A$1:$C$7693,3,0)*0.9</f>
        <v>450</v>
      </c>
      <c r="L1741" s="50">
        <f>VLOOKUP(A1741,[2]data1761205830331!$A$1:$J$65536,10,0)</f>
        <v>9.5</v>
      </c>
    </row>
    <row r="1742" spans="1:12" ht="15.6" outlineLevel="1">
      <c r="A1742" s="11">
        <v>1741000522</v>
      </c>
      <c r="B1742" s="40">
        <v>522</v>
      </c>
      <c r="C1742" s="109">
        <v>741000</v>
      </c>
      <c r="D1742" s="42">
        <v>1</v>
      </c>
      <c r="E1742" s="43"/>
      <c r="F1742" s="44" t="s">
        <v>90</v>
      </c>
      <c r="G1742" s="45" t="s">
        <v>37</v>
      </c>
      <c r="H1742" s="51">
        <f t="shared" si="27"/>
        <v>0.11111111111111116</v>
      </c>
      <c r="I1742" s="47"/>
      <c r="J1742" s="48">
        <f>VLOOKUP(A1742,'[1]תקציב 2026'!$A$1:$M$65536,9,0)</f>
        <v>2700</v>
      </c>
      <c r="K1742" s="49">
        <f>VLOOKUP(A1742,[3]גיליון1!$A$1:$C$7693,3,0)*0.9</f>
        <v>2430</v>
      </c>
      <c r="L1742" s="50">
        <f>VLOOKUP(A1742,[2]data1761205830331!$A$1:$J$65536,10,0)</f>
        <v>0</v>
      </c>
    </row>
    <row r="1743" spans="1:12" ht="15.6" outlineLevel="1">
      <c r="A1743" s="11">
        <v>1741000550</v>
      </c>
      <c r="B1743" s="40">
        <v>550</v>
      </c>
      <c r="C1743" s="109">
        <v>741000</v>
      </c>
      <c r="D1743" s="42">
        <v>1</v>
      </c>
      <c r="E1743" s="43"/>
      <c r="F1743" s="44" t="s">
        <v>73</v>
      </c>
      <c r="G1743" s="45" t="s">
        <v>37</v>
      </c>
      <c r="H1743" s="51">
        <f t="shared" si="27"/>
        <v>0.94444444444444442</v>
      </c>
      <c r="I1743" s="47"/>
      <c r="J1743" s="48">
        <f>VLOOKUP(A1743,'[1]תקציב 2026'!$A$1:$M$65536,9,0)</f>
        <v>700</v>
      </c>
      <c r="K1743" s="49">
        <f>VLOOKUP(A1743,[3]גיליון1!$A$1:$C$7693,3,0)*0.9</f>
        <v>360</v>
      </c>
      <c r="L1743" s="50">
        <f>VLOOKUP(A1743,[2]data1761205830331!$A$1:$J$65536,10,0)</f>
        <v>0</v>
      </c>
    </row>
    <row r="1744" spans="1:12" ht="15.6" outlineLevel="1">
      <c r="A1744" s="11">
        <v>1741000562</v>
      </c>
      <c r="B1744" s="40">
        <v>562</v>
      </c>
      <c r="C1744" s="109">
        <v>741000</v>
      </c>
      <c r="D1744" s="42">
        <v>1</v>
      </c>
      <c r="E1744" s="43"/>
      <c r="F1744" s="44" t="s">
        <v>748</v>
      </c>
      <c r="G1744" s="45" t="s">
        <v>37</v>
      </c>
      <c r="H1744" s="51">
        <f t="shared" si="27"/>
        <v>-0.33333333333333337</v>
      </c>
      <c r="I1744" s="47"/>
      <c r="J1744" s="48">
        <f>VLOOKUP(A1744,'[1]תקציב 2026'!$A$1:$M$65536,9,0)</f>
        <v>300</v>
      </c>
      <c r="K1744" s="49">
        <f>VLOOKUP(A1744,[3]גיליון1!$A$1:$C$7693,3,0)*0.9</f>
        <v>450</v>
      </c>
      <c r="L1744" s="50">
        <f>VLOOKUP(A1744,[2]data1761205830331!$A$1:$J$65536,10,0)</f>
        <v>291.2</v>
      </c>
    </row>
    <row r="1745" spans="1:12" ht="15.6" outlineLevel="1">
      <c r="A1745" s="11">
        <v>1741000565</v>
      </c>
      <c r="B1745" s="40">
        <v>565</v>
      </c>
      <c r="C1745" s="109">
        <v>741000</v>
      </c>
      <c r="D1745" s="42">
        <v>1</v>
      </c>
      <c r="E1745" s="43"/>
      <c r="F1745" s="44" t="s">
        <v>1079</v>
      </c>
      <c r="G1745" s="45" t="s">
        <v>37</v>
      </c>
      <c r="H1745" s="51">
        <f t="shared" si="27"/>
        <v>-1</v>
      </c>
      <c r="I1745" s="47"/>
      <c r="J1745" s="48">
        <f>VLOOKUP(A1745,'[1]תקציב 2026'!$A$1:$M$65536,9,0)</f>
        <v>0</v>
      </c>
      <c r="K1745" s="49">
        <f>VLOOKUP(A1745,[3]גיליון1!$A$1:$C$7693,3,0)*0.9</f>
        <v>1260</v>
      </c>
      <c r="L1745" s="50">
        <f>VLOOKUP(A1745,[2]data1761205830331!$A$1:$J$65536,10,0)</f>
        <v>0</v>
      </c>
    </row>
    <row r="1746" spans="1:12" ht="15.6" outlineLevel="1">
      <c r="A1746" s="11">
        <v>1741000571</v>
      </c>
      <c r="B1746" s="40">
        <v>571</v>
      </c>
      <c r="C1746" s="109">
        <v>741000</v>
      </c>
      <c r="D1746" s="42">
        <v>1</v>
      </c>
      <c r="E1746" s="43"/>
      <c r="F1746" s="44" t="s">
        <v>75</v>
      </c>
      <c r="G1746" s="45" t="s">
        <v>29</v>
      </c>
      <c r="H1746" s="51">
        <f t="shared" si="27"/>
        <v>0.53311617806731815</v>
      </c>
      <c r="I1746" s="47"/>
      <c r="J1746" s="48">
        <f>VLOOKUP(A1746,'[1]תקציב 2026'!$A$1:$M$65536,9,0)</f>
        <v>141200</v>
      </c>
      <c r="K1746" s="49">
        <v>92100</v>
      </c>
      <c r="L1746" s="50">
        <f>VLOOKUP(A1746,[2]data1761205830331!$A$1:$J$65536,10,0)</f>
        <v>85100</v>
      </c>
    </row>
    <row r="1747" spans="1:12" ht="15.6" outlineLevel="1">
      <c r="A1747" s="11">
        <v>1741000572</v>
      </c>
      <c r="B1747" s="206">
        <v>572</v>
      </c>
      <c r="C1747" s="207">
        <v>741000</v>
      </c>
      <c r="D1747" s="208">
        <v>1</v>
      </c>
      <c r="E1747" s="229"/>
      <c r="F1747" s="210" t="s">
        <v>1080</v>
      </c>
      <c r="G1747" s="45" t="s">
        <v>29</v>
      </c>
      <c r="H1747" s="51">
        <f t="shared" si="27"/>
        <v>1.9629629629629628</v>
      </c>
      <c r="I1747" s="47"/>
      <c r="J1747" s="48">
        <f>VLOOKUP(A1747,'[1]תקציב 2026'!$A$1:$M$65536,9,0)</f>
        <v>156000</v>
      </c>
      <c r="K1747" s="49">
        <f>VLOOKUP(A1747,[3]גיליון1!$A$1:$C$7693,3,0)*0.9</f>
        <v>52650</v>
      </c>
      <c r="L1747" s="50">
        <f>VLOOKUP(A1747,[2]data1761205830331!$A$1:$J$65536,10,0)</f>
        <v>58500</v>
      </c>
    </row>
    <row r="1748" spans="1:12" ht="15.6" outlineLevel="1">
      <c r="A1748" s="11">
        <v>1741000781</v>
      </c>
      <c r="B1748" s="40">
        <v>781</v>
      </c>
      <c r="C1748" s="109">
        <v>741000</v>
      </c>
      <c r="D1748" s="42">
        <v>1</v>
      </c>
      <c r="E1748" s="43"/>
      <c r="F1748" s="44" t="s">
        <v>775</v>
      </c>
      <c r="G1748" s="45" t="s">
        <v>37</v>
      </c>
      <c r="H1748" s="51">
        <f t="shared" si="27"/>
        <v>0.22222222222222232</v>
      </c>
      <c r="I1748" s="47"/>
      <c r="J1748" s="48">
        <f>VLOOKUP(A1748,'[1]תקציב 2026'!$A$1:$M$65536,9,0)</f>
        <v>22000</v>
      </c>
      <c r="K1748" s="49">
        <f>20000*0.9</f>
        <v>18000</v>
      </c>
      <c r="L1748" s="50">
        <f>VLOOKUP(A1748,[2]data1761205830331!$A$1:$J$65536,10,0)</f>
        <v>17931.05</v>
      </c>
    </row>
    <row r="1749" spans="1:12" ht="16.2" outlineLevel="1" thickBot="1">
      <c r="A1749" s="11">
        <v>1741000931</v>
      </c>
      <c r="B1749" s="40">
        <v>931</v>
      </c>
      <c r="C1749" s="109">
        <v>741000</v>
      </c>
      <c r="D1749" s="42">
        <v>1</v>
      </c>
      <c r="E1749" s="43"/>
      <c r="F1749" s="44" t="s">
        <v>1081</v>
      </c>
      <c r="G1749" s="45" t="s">
        <v>37</v>
      </c>
      <c r="H1749" s="51">
        <f t="shared" si="27"/>
        <v>-1</v>
      </c>
      <c r="I1749" s="47"/>
      <c r="J1749" s="48">
        <f>VLOOKUP(A1749,'[1]תקציב 2026'!$A$1:$M$65536,9,0)</f>
        <v>0</v>
      </c>
      <c r="K1749" s="49">
        <f>VLOOKUP(A1749,[3]גיליון1!$A$1:$C$7693,3,0)*0.9</f>
        <v>54720</v>
      </c>
      <c r="L1749" s="50">
        <f>VLOOKUP(A1749,[2]data1761205830331!$A$1:$J$65536,10,0)</f>
        <v>0</v>
      </c>
    </row>
    <row r="1750" spans="1:12" ht="16.2" thickBot="1">
      <c r="A1750" s="11" t="e">
        <v>#VALUE!</v>
      </c>
      <c r="B1750" s="53" t="s">
        <v>1082</v>
      </c>
      <c r="C1750" s="223"/>
      <c r="D1750" s="55"/>
      <c r="E1750" s="56"/>
      <c r="F1750" s="116" t="s">
        <v>1083</v>
      </c>
      <c r="G1750" s="58"/>
      <c r="H1750" s="166">
        <f>J1750/K1750-1</f>
        <v>0.3088475088072471</v>
      </c>
      <c r="I1750" s="72"/>
      <c r="J1750" s="74">
        <f>SUBTOTAL(9,J1731:J1749)</f>
        <v>2600680</v>
      </c>
      <c r="K1750" s="92">
        <f>SUBTOTAL(9,K1731:K1749)</f>
        <v>1987000</v>
      </c>
      <c r="L1750" s="75">
        <f>SUBTOTAL(9,L1731:L1749)</f>
        <v>2405800.9400000004</v>
      </c>
    </row>
    <row r="1751" spans="1:12" ht="15.6" outlineLevel="1">
      <c r="A1751" s="11">
        <v>17411000</v>
      </c>
      <c r="B1751" s="40">
        <v>0</v>
      </c>
      <c r="C1751" s="109">
        <v>741100</v>
      </c>
      <c r="D1751" s="42">
        <v>1</v>
      </c>
      <c r="E1751" s="43"/>
      <c r="F1751" s="44" t="s">
        <v>1084</v>
      </c>
      <c r="G1751" s="45" t="s">
        <v>15</v>
      </c>
      <c r="H1751" s="51"/>
      <c r="I1751" s="47"/>
      <c r="J1751" s="48"/>
      <c r="K1751" s="49"/>
      <c r="L1751" s="50"/>
    </row>
    <row r="1752" spans="1:12" ht="15.6" outlineLevel="1">
      <c r="A1752" s="11">
        <v>1741100110</v>
      </c>
      <c r="B1752" s="40">
        <v>110</v>
      </c>
      <c r="C1752" s="109">
        <v>741100</v>
      </c>
      <c r="D1752" s="42">
        <v>1</v>
      </c>
      <c r="E1752" s="43"/>
      <c r="F1752" s="44" t="s">
        <v>21</v>
      </c>
      <c r="G1752" s="45" t="s">
        <v>22</v>
      </c>
      <c r="H1752" s="51">
        <f t="shared" si="27"/>
        <v>2.5018896447467798E-2</v>
      </c>
      <c r="I1752" s="47"/>
      <c r="J1752" s="48">
        <f>VLOOKUP(A1752,'[1]תקציב 2026'!$A$1:$M$65536,9,0)</f>
        <v>271220</v>
      </c>
      <c r="K1752" s="49">
        <v>264600</v>
      </c>
      <c r="L1752" s="50">
        <f>VLOOKUP(A1752,[2]data1761205830331!$A$1:$J$65536,10,0)</f>
        <v>270061.3</v>
      </c>
    </row>
    <row r="1753" spans="1:12" ht="15.6" outlineLevel="1">
      <c r="A1753" s="11">
        <v>1741100119</v>
      </c>
      <c r="B1753" s="40">
        <v>119</v>
      </c>
      <c r="C1753" s="109">
        <v>741100</v>
      </c>
      <c r="D1753" s="42">
        <v>1</v>
      </c>
      <c r="E1753" s="43"/>
      <c r="F1753" s="44" t="s">
        <v>23</v>
      </c>
      <c r="G1753" s="45" t="s">
        <v>22</v>
      </c>
      <c r="H1753" s="51">
        <f t="shared" si="27"/>
        <v>0.15154691708524415</v>
      </c>
      <c r="I1753" s="47"/>
      <c r="J1753" s="48">
        <v>1581880</v>
      </c>
      <c r="K1753" s="49">
        <v>1373700</v>
      </c>
      <c r="L1753" s="50">
        <f>VLOOKUP(A1753,[2]data1761205830331!$A$1:$J$65536,10,0)</f>
        <v>1229255.03</v>
      </c>
    </row>
    <row r="1754" spans="1:12" ht="15.6" outlineLevel="1">
      <c r="A1754" s="11">
        <v>1741100122</v>
      </c>
      <c r="B1754" s="40">
        <v>122</v>
      </c>
      <c r="C1754" s="109">
        <v>741100</v>
      </c>
      <c r="D1754" s="42">
        <v>1</v>
      </c>
      <c r="E1754" s="43"/>
      <c r="F1754" s="44" t="s">
        <v>24</v>
      </c>
      <c r="G1754" s="45" t="s">
        <v>22</v>
      </c>
      <c r="H1754" s="51">
        <f t="shared" si="27"/>
        <v>0</v>
      </c>
      <c r="I1754" s="47"/>
      <c r="J1754" s="48">
        <f>VLOOKUP(A1754,'[1]תקציב 2026'!$A$1:$M$65536,9,0)</f>
        <v>15000</v>
      </c>
      <c r="K1754" s="49">
        <f>VLOOKUP(A1754,[3]גיליון1!$A$1:$C$7693,3,0)</f>
        <v>15000</v>
      </c>
      <c r="L1754" s="50">
        <f>VLOOKUP(A1754,[2]data1761205830331!$A$1:$J$65536,10,0)</f>
        <v>16403.93</v>
      </c>
    </row>
    <row r="1755" spans="1:12" ht="15.6" outlineLevel="1">
      <c r="A1755" s="11">
        <v>1741100126</v>
      </c>
      <c r="B1755" s="40">
        <v>126</v>
      </c>
      <c r="C1755" s="109">
        <v>741100</v>
      </c>
      <c r="D1755" s="42">
        <v>1</v>
      </c>
      <c r="E1755" s="43"/>
      <c r="F1755" s="44" t="s">
        <v>25</v>
      </c>
      <c r="G1755" s="45" t="s">
        <v>22</v>
      </c>
      <c r="H1755" s="51">
        <f t="shared" si="27"/>
        <v>0</v>
      </c>
      <c r="I1755" s="47"/>
      <c r="J1755" s="48">
        <f>VLOOKUP(A1755,'[1]תקציב 2026'!$A$1:$M$65536,9,0)</f>
        <v>45000</v>
      </c>
      <c r="K1755" s="49">
        <f>VLOOKUP(A1755,[3]גיליון1!$A$1:$C$7693,3,0)</f>
        <v>45000</v>
      </c>
      <c r="L1755" s="50">
        <f>VLOOKUP(A1755,[2]data1761205830331!$A$1:$J$65536,10,0)</f>
        <v>39923.06</v>
      </c>
    </row>
    <row r="1756" spans="1:12" ht="15.6" outlineLevel="1">
      <c r="A1756" s="11">
        <v>1741100130</v>
      </c>
      <c r="B1756" s="40">
        <v>130</v>
      </c>
      <c r="C1756" s="109">
        <v>741100</v>
      </c>
      <c r="D1756" s="42">
        <v>1</v>
      </c>
      <c r="E1756" s="43"/>
      <c r="F1756" s="44" t="s">
        <v>26</v>
      </c>
      <c r="G1756" s="45" t="s">
        <v>22</v>
      </c>
      <c r="H1756" s="51">
        <f t="shared" si="27"/>
        <v>0</v>
      </c>
      <c r="I1756" s="47"/>
      <c r="J1756" s="48">
        <f>VLOOKUP(A1756,'[1]תקציב 2026'!$A$1:$M$65536,9,0)</f>
        <v>20730</v>
      </c>
      <c r="K1756" s="49">
        <f>VLOOKUP(A1756,[3]גיליון1!$A$1:$C$7693,3,0)*0.86+4</f>
        <v>20730</v>
      </c>
      <c r="L1756" s="50">
        <f>VLOOKUP(A1756,[2]data1761205830331!$A$1:$J$65536,10,0)</f>
        <v>33882.92</v>
      </c>
    </row>
    <row r="1757" spans="1:12" ht="15.6" outlineLevel="1">
      <c r="A1757" s="11">
        <v>1741100140</v>
      </c>
      <c r="B1757" s="40">
        <v>140</v>
      </c>
      <c r="C1757" s="109">
        <v>741100</v>
      </c>
      <c r="D1757" s="42">
        <v>1</v>
      </c>
      <c r="E1757" s="43"/>
      <c r="F1757" s="44" t="s">
        <v>27</v>
      </c>
      <c r="G1757" s="45" t="s">
        <v>22</v>
      </c>
      <c r="H1757" s="51">
        <f t="shared" si="27"/>
        <v>0</v>
      </c>
      <c r="I1757" s="47"/>
      <c r="J1757" s="48">
        <f>VLOOKUP(A1757,'[1]תקציב 2026'!$A$1:$M$65536,9,0)</f>
        <v>148300</v>
      </c>
      <c r="K1757" s="49">
        <f>VLOOKUP(A1757,[3]גיליון1!$A$1:$C$7693,3,0)</f>
        <v>148300</v>
      </c>
      <c r="L1757" s="50">
        <f>VLOOKUP(A1757,[2]data1761205830331!$A$1:$J$65536,10,0)</f>
        <v>108574.23</v>
      </c>
    </row>
    <row r="1758" spans="1:12" ht="15.6" outlineLevel="1">
      <c r="A1758" s="11">
        <v>1741100253</v>
      </c>
      <c r="B1758" s="40">
        <v>253</v>
      </c>
      <c r="C1758" s="109">
        <v>741100</v>
      </c>
      <c r="D1758" s="42">
        <v>1</v>
      </c>
      <c r="E1758" s="43"/>
      <c r="F1758" s="44" t="s">
        <v>738</v>
      </c>
      <c r="G1758" s="45" t="s">
        <v>22</v>
      </c>
      <c r="H1758" s="51">
        <v>0</v>
      </c>
      <c r="I1758" s="47"/>
      <c r="J1758" s="48">
        <f>VLOOKUP(A1758,'[1]תקציב 2026'!$A$1:$M$65536,9,0)</f>
        <v>0</v>
      </c>
      <c r="K1758" s="49">
        <v>0</v>
      </c>
      <c r="L1758" s="50">
        <f>VLOOKUP(A1758,[2]data1761205830331!$A$1:$J$65536,10,0)</f>
        <v>4028.79</v>
      </c>
    </row>
    <row r="1759" spans="1:12" ht="15.6" outlineLevel="1">
      <c r="A1759" s="11">
        <v>1741100350</v>
      </c>
      <c r="B1759" s="40">
        <v>350</v>
      </c>
      <c r="C1759" s="109">
        <v>741100</v>
      </c>
      <c r="D1759" s="42">
        <v>1</v>
      </c>
      <c r="E1759" s="43"/>
      <c r="F1759" s="44" t="s">
        <v>1085</v>
      </c>
      <c r="G1759" s="45" t="s">
        <v>22</v>
      </c>
      <c r="H1759" s="51">
        <f t="shared" si="27"/>
        <v>-1</v>
      </c>
      <c r="I1759" s="47"/>
      <c r="J1759" s="48">
        <f>VLOOKUP(A1759,'[1]תקציב 2026'!$A$1:$M$65536,9,0)</f>
        <v>0</v>
      </c>
      <c r="K1759" s="49">
        <f>VLOOKUP(A1759,[3]גיליון1!$A$1:$C$7693,3,0)</f>
        <v>47000</v>
      </c>
      <c r="L1759" s="50">
        <f>VLOOKUP(A1759,[2]data1761205830331!$A$1:$J$65536,10,0)</f>
        <v>51294.45</v>
      </c>
    </row>
    <row r="1760" spans="1:12" ht="15.6" outlineLevel="1">
      <c r="A1760" s="11">
        <v>1741100351</v>
      </c>
      <c r="B1760" s="40">
        <v>351</v>
      </c>
      <c r="C1760" s="109">
        <v>741100</v>
      </c>
      <c r="D1760" s="42">
        <v>1</v>
      </c>
      <c r="E1760" s="43"/>
      <c r="F1760" s="44" t="s">
        <v>1086</v>
      </c>
      <c r="G1760" s="45" t="s">
        <v>22</v>
      </c>
      <c r="H1760" s="51">
        <f t="shared" si="27"/>
        <v>-1</v>
      </c>
      <c r="I1760" s="47"/>
      <c r="J1760" s="48">
        <f>VLOOKUP(A1760,'[1]תקציב 2026'!$A$1:$M$65536,9,0)</f>
        <v>0</v>
      </c>
      <c r="K1760" s="49">
        <f>VLOOKUP(A1760,[3]גיליון1!$A$1:$C$7693,3,0)</f>
        <v>10000</v>
      </c>
      <c r="L1760" s="50">
        <f>VLOOKUP(A1760,[2]data1761205830331!$A$1:$J$65536,10,0)</f>
        <v>862.97</v>
      </c>
    </row>
    <row r="1761" spans="1:12" ht="15.6" outlineLevel="1">
      <c r="A1761" s="11">
        <v>1741100470</v>
      </c>
      <c r="B1761" s="40">
        <v>470</v>
      </c>
      <c r="C1761" s="109">
        <v>741100</v>
      </c>
      <c r="D1761" s="42">
        <v>1</v>
      </c>
      <c r="E1761" s="43"/>
      <c r="F1761" s="44" t="s">
        <v>43</v>
      </c>
      <c r="G1761" s="45" t="s">
        <v>37</v>
      </c>
      <c r="H1761" s="51">
        <f t="shared" si="27"/>
        <v>-0.44444444444444442</v>
      </c>
      <c r="I1761" s="47"/>
      <c r="J1761" s="48">
        <f>VLOOKUP(A1761,'[1]תקציב 2026'!$A$1:$M$65536,9,0)</f>
        <v>1000</v>
      </c>
      <c r="K1761" s="49">
        <f>VLOOKUP(A1761,[3]גיליון1!$A$1:$C$7693,3,0)*0.9</f>
        <v>1800</v>
      </c>
      <c r="L1761" s="50">
        <f>VLOOKUP(A1761,[2]data1761205830331!$A$1:$J$65536,10,0)</f>
        <v>0</v>
      </c>
    </row>
    <row r="1762" spans="1:12" ht="15.6" outlineLevel="1">
      <c r="A1762" s="11">
        <v>1741100471</v>
      </c>
      <c r="B1762" s="40">
        <v>471</v>
      </c>
      <c r="C1762" s="109">
        <v>741100</v>
      </c>
      <c r="D1762" s="42">
        <v>1</v>
      </c>
      <c r="E1762" s="43"/>
      <c r="F1762" s="44" t="s">
        <v>71</v>
      </c>
      <c r="G1762" s="45" t="s">
        <v>37</v>
      </c>
      <c r="H1762" s="51">
        <f t="shared" si="27"/>
        <v>0.50326797385620914</v>
      </c>
      <c r="I1762" s="47"/>
      <c r="J1762" s="48">
        <v>23000</v>
      </c>
      <c r="K1762" s="49">
        <f>VLOOKUP(A1762,[3]גיליון1!$A$1:$C$7693,3,0)*0.9</f>
        <v>15300</v>
      </c>
      <c r="L1762" s="50">
        <f>VLOOKUP(A1762,[2]data1761205830331!$A$1:$J$65536,10,0)</f>
        <v>15566.03</v>
      </c>
    </row>
    <row r="1763" spans="1:12" ht="15.6" outlineLevel="1">
      <c r="A1763" s="11">
        <v>1741100511</v>
      </c>
      <c r="B1763" s="40">
        <v>511</v>
      </c>
      <c r="C1763" s="109">
        <v>741100</v>
      </c>
      <c r="D1763" s="42">
        <v>1</v>
      </c>
      <c r="E1763" s="43"/>
      <c r="F1763" s="44" t="s">
        <v>72</v>
      </c>
      <c r="G1763" s="45" t="s">
        <v>37</v>
      </c>
      <c r="H1763" s="51">
        <f t="shared" si="27"/>
        <v>0.79894179894179884</v>
      </c>
      <c r="I1763" s="47"/>
      <c r="J1763" s="48">
        <f>VLOOKUP(A1763,'[1]תקציב 2026'!$A$1:$M$65536,9,0)</f>
        <v>3400</v>
      </c>
      <c r="K1763" s="49">
        <f>2100*0.9</f>
        <v>1890</v>
      </c>
      <c r="L1763" s="50">
        <f>VLOOKUP(A1763,[2]data1761205830331!$A$1:$J$65536,10,0)</f>
        <v>1503.12</v>
      </c>
    </row>
    <row r="1764" spans="1:12" ht="15.6" outlineLevel="1">
      <c r="A1764" s="11">
        <v>1741100512</v>
      </c>
      <c r="B1764" s="40">
        <v>512</v>
      </c>
      <c r="C1764" s="109">
        <v>741100</v>
      </c>
      <c r="D1764" s="42">
        <v>1</v>
      </c>
      <c r="E1764" s="43"/>
      <c r="F1764" s="44" t="s">
        <v>88</v>
      </c>
      <c r="G1764" s="45" t="s">
        <v>37</v>
      </c>
      <c r="H1764" s="51">
        <f t="shared" si="27"/>
        <v>-1</v>
      </c>
      <c r="I1764" s="47"/>
      <c r="J1764" s="48">
        <f>VLOOKUP(A1764,'[1]תקציב 2026'!$A$1:$M$65536,9,0)</f>
        <v>0</v>
      </c>
      <c r="K1764" s="49">
        <f>VLOOKUP(A1764,[3]גיליון1!$A$1:$C$7693,3,0)*0.9</f>
        <v>360</v>
      </c>
      <c r="L1764" s="50">
        <f>VLOOKUP(A1764,[2]data1761205830331!$A$1:$J$65536,10,0)</f>
        <v>0</v>
      </c>
    </row>
    <row r="1765" spans="1:12" ht="15.6" outlineLevel="1">
      <c r="A1765" s="11">
        <v>1741100522</v>
      </c>
      <c r="B1765" s="40">
        <v>522</v>
      </c>
      <c r="C1765" s="109">
        <v>741100</v>
      </c>
      <c r="D1765" s="42">
        <v>1</v>
      </c>
      <c r="E1765" s="43"/>
      <c r="F1765" s="44" t="s">
        <v>90</v>
      </c>
      <c r="G1765" s="45" t="s">
        <v>37</v>
      </c>
      <c r="H1765" s="51">
        <f t="shared" si="27"/>
        <v>-1</v>
      </c>
      <c r="I1765" s="47"/>
      <c r="J1765" s="48">
        <f>VLOOKUP(A1765,'[1]תקציב 2026'!$A$1:$M$65536,9,0)</f>
        <v>0</v>
      </c>
      <c r="K1765" s="49">
        <f>VLOOKUP(A1765,[3]גיליון1!$A$1:$C$7693,3,0)*0.9</f>
        <v>180</v>
      </c>
      <c r="L1765" s="50">
        <f>VLOOKUP(A1765,[2]data1761205830331!$A$1:$J$65536,10,0)</f>
        <v>0</v>
      </c>
    </row>
    <row r="1766" spans="1:12" ht="15.6" outlineLevel="1">
      <c r="A1766" s="11">
        <v>1741100561</v>
      </c>
      <c r="B1766" s="40">
        <v>561</v>
      </c>
      <c r="C1766" s="109">
        <v>741100</v>
      </c>
      <c r="D1766" s="42">
        <v>1</v>
      </c>
      <c r="E1766" s="43"/>
      <c r="F1766" s="44" t="s">
        <v>74</v>
      </c>
      <c r="G1766" s="45" t="s">
        <v>37</v>
      </c>
      <c r="H1766" s="51">
        <f t="shared" si="27"/>
        <v>-1</v>
      </c>
      <c r="I1766" s="47"/>
      <c r="J1766" s="48">
        <f>VLOOKUP(A1766,'[1]תקציב 2026'!$A$1:$M$65536,9,0)</f>
        <v>0</v>
      </c>
      <c r="K1766" s="49">
        <f>VLOOKUP(A1766,[3]גיליון1!$A$1:$C$7693,3,0)*0.9</f>
        <v>900</v>
      </c>
      <c r="L1766" s="50">
        <f>VLOOKUP(A1766,[2]data1761205830331!$A$1:$J$65536,10,0)</f>
        <v>582.4</v>
      </c>
    </row>
    <row r="1767" spans="1:12" ht="16.2" outlineLevel="1" thickBot="1">
      <c r="A1767" s="11">
        <v>1741100562</v>
      </c>
      <c r="B1767" s="40">
        <v>562</v>
      </c>
      <c r="C1767" s="109">
        <v>741100</v>
      </c>
      <c r="D1767" s="42">
        <v>1</v>
      </c>
      <c r="E1767" s="43"/>
      <c r="F1767" s="44" t="s">
        <v>748</v>
      </c>
      <c r="G1767" s="45" t="s">
        <v>37</v>
      </c>
      <c r="H1767" s="51">
        <f t="shared" si="27"/>
        <v>1.5925925925925926</v>
      </c>
      <c r="I1767" s="47"/>
      <c r="J1767" s="48">
        <f>VLOOKUP(A1767,'[1]תקציב 2026'!$A$1:$M$65536,9,0)</f>
        <v>700</v>
      </c>
      <c r="K1767" s="49">
        <f>VLOOKUP(A1767,[3]גיליון1!$A$1:$C$7693,3,0)*0.9</f>
        <v>270</v>
      </c>
      <c r="L1767" s="50">
        <f>VLOOKUP(A1767,[2]data1761205830331!$A$1:$J$65536,10,0)</f>
        <v>0</v>
      </c>
    </row>
    <row r="1768" spans="1:12" ht="16.2" thickBot="1">
      <c r="A1768" s="11" t="e">
        <v>#VALUE!</v>
      </c>
      <c r="B1768" s="53" t="s">
        <v>1087</v>
      </c>
      <c r="C1768" s="223"/>
      <c r="D1768" s="55"/>
      <c r="E1768" s="56"/>
      <c r="F1768" s="116" t="s">
        <v>1084</v>
      </c>
      <c r="G1768" s="58"/>
      <c r="H1768" s="166">
        <f>J1768/K1768-1</f>
        <v>8.4934422605306814E-2</v>
      </c>
      <c r="I1768" s="72"/>
      <c r="J1768" s="74">
        <f>SUBTOTAL(9,J1752:J1767)</f>
        <v>2110230</v>
      </c>
      <c r="K1768" s="92">
        <f>SUBTOTAL(9,K1752:K1767)</f>
        <v>1945030</v>
      </c>
      <c r="L1768" s="75">
        <f>SUBTOTAL(9,L1752:L1767)</f>
        <v>1771938.23</v>
      </c>
    </row>
    <row r="1769" spans="1:12" ht="15.6" outlineLevel="1">
      <c r="A1769" s="11">
        <v>17420000</v>
      </c>
      <c r="B1769" s="64">
        <v>0</v>
      </c>
      <c r="C1769" s="131">
        <v>742000</v>
      </c>
      <c r="D1769" s="66">
        <v>1</v>
      </c>
      <c r="E1769" s="67"/>
      <c r="F1769" s="68" t="s">
        <v>197</v>
      </c>
      <c r="G1769" s="69" t="s">
        <v>15</v>
      </c>
      <c r="H1769" s="51"/>
      <c r="I1769" s="47"/>
      <c r="J1769" s="48"/>
      <c r="K1769" s="49"/>
      <c r="L1769" s="50"/>
    </row>
    <row r="1770" spans="1:12" ht="15.6" outlineLevel="1">
      <c r="A1770" s="11">
        <v>1742000110</v>
      </c>
      <c r="B1770" s="40">
        <v>110</v>
      </c>
      <c r="C1770" s="109">
        <v>742000</v>
      </c>
      <c r="D1770" s="42">
        <v>1</v>
      </c>
      <c r="E1770" s="43"/>
      <c r="F1770" s="44" t="s">
        <v>21</v>
      </c>
      <c r="G1770" s="45" t="s">
        <v>22</v>
      </c>
      <c r="H1770" s="51">
        <f t="shared" si="27"/>
        <v>2.5013248542660182E-2</v>
      </c>
      <c r="I1770" s="47"/>
      <c r="J1770" s="48">
        <f>VLOOKUP(A1770,'[1]תקציב 2026'!$A$1:$M$65536,9,0)</f>
        <v>193419.99999999997</v>
      </c>
      <c r="K1770" s="49">
        <v>188700</v>
      </c>
      <c r="L1770" s="50">
        <f>VLOOKUP(A1770,[2]data1761205830331!$A$1:$J$65536,10,0)</f>
        <v>211218.56</v>
      </c>
    </row>
    <row r="1771" spans="1:12" ht="15.6" outlineLevel="1">
      <c r="A1771" s="11">
        <v>1742000119</v>
      </c>
      <c r="B1771" s="40">
        <v>119</v>
      </c>
      <c r="C1771" s="109">
        <v>742000</v>
      </c>
      <c r="D1771" s="42">
        <v>1</v>
      </c>
      <c r="E1771" s="43"/>
      <c r="F1771" s="44" t="s">
        <v>23</v>
      </c>
      <c r="G1771" s="45" t="s">
        <v>22</v>
      </c>
      <c r="H1771" s="51">
        <f t="shared" si="27"/>
        <v>2.4998828984964083E-2</v>
      </c>
      <c r="I1771" s="47"/>
      <c r="J1771" s="48">
        <f>VLOOKUP(A1771,'[1]תקציב 2026'!$A$1:$M$65536,9,0)</f>
        <v>2188270</v>
      </c>
      <c r="K1771" s="49">
        <v>2134900</v>
      </c>
      <c r="L1771" s="50">
        <f>VLOOKUP(A1771,[2]data1761205830331!$A$1:$J$65536,10,0)</f>
        <v>2640486.4900000002</v>
      </c>
    </row>
    <row r="1772" spans="1:12" ht="15.6" outlineLevel="1">
      <c r="A1772" s="11">
        <v>1742000122</v>
      </c>
      <c r="B1772" s="40">
        <v>122</v>
      </c>
      <c r="C1772" s="109">
        <v>742000</v>
      </c>
      <c r="D1772" s="42">
        <v>1</v>
      </c>
      <c r="E1772" s="43"/>
      <c r="F1772" s="44" t="s">
        <v>24</v>
      </c>
      <c r="G1772" s="45" t="s">
        <v>22</v>
      </c>
      <c r="H1772" s="51">
        <f t="shared" si="27"/>
        <v>0</v>
      </c>
      <c r="I1772" s="47"/>
      <c r="J1772" s="48">
        <f>VLOOKUP(A1772,'[1]תקציב 2026'!$A$1:$M$65536,9,0)</f>
        <v>26000</v>
      </c>
      <c r="K1772" s="49">
        <f>VLOOKUP(A1772,[3]גיליון1!$A$1:$C$7693,3,0)</f>
        <v>26000</v>
      </c>
      <c r="L1772" s="50">
        <f>VLOOKUP(A1772,[2]data1761205830331!$A$1:$J$65536,10,0)</f>
        <v>25225.71</v>
      </c>
    </row>
    <row r="1773" spans="1:12" ht="15.6" outlineLevel="1">
      <c r="A1773" s="11">
        <v>1742000126</v>
      </c>
      <c r="B1773" s="40">
        <v>126</v>
      </c>
      <c r="C1773" s="109">
        <v>742000</v>
      </c>
      <c r="D1773" s="42">
        <v>1</v>
      </c>
      <c r="E1773" s="43"/>
      <c r="F1773" s="44" t="s">
        <v>25</v>
      </c>
      <c r="G1773" s="45" t="s">
        <v>22</v>
      </c>
      <c r="H1773" s="51">
        <f t="shared" si="27"/>
        <v>0</v>
      </c>
      <c r="I1773" s="47"/>
      <c r="J1773" s="48">
        <f>VLOOKUP(A1773,'[1]תקציב 2026'!$A$1:$M$65536,9,0)</f>
        <v>65000</v>
      </c>
      <c r="K1773" s="49">
        <f>VLOOKUP(A1773,[3]גיליון1!$A$1:$C$7693,3,0)</f>
        <v>65000</v>
      </c>
      <c r="L1773" s="50">
        <f>VLOOKUP(A1773,[2]data1761205830331!$A$1:$J$65536,10,0)</f>
        <v>63527.93</v>
      </c>
    </row>
    <row r="1774" spans="1:12" ht="15.6" outlineLevel="1">
      <c r="A1774" s="11">
        <v>1742000130</v>
      </c>
      <c r="B1774" s="40">
        <v>130</v>
      </c>
      <c r="C1774" s="109">
        <v>742000</v>
      </c>
      <c r="D1774" s="42">
        <v>1</v>
      </c>
      <c r="E1774" s="43"/>
      <c r="F1774" s="44" t="s">
        <v>26</v>
      </c>
      <c r="G1774" s="45" t="s">
        <v>22</v>
      </c>
      <c r="H1774" s="51">
        <f t="shared" si="27"/>
        <v>0</v>
      </c>
      <c r="I1774" s="47"/>
      <c r="J1774" s="48">
        <f>VLOOKUP(A1774,'[1]תקציב 2026'!$A$1:$M$65536,9,0)</f>
        <v>84020</v>
      </c>
      <c r="K1774" s="49">
        <f>VLOOKUP(A1774,[3]גיליון1!$A$1:$C$7693,3,0)*0.86-2</f>
        <v>84020</v>
      </c>
      <c r="L1774" s="50">
        <f>VLOOKUP(A1774,[2]data1761205830331!$A$1:$J$65536,10,0)</f>
        <v>73619</v>
      </c>
    </row>
    <row r="1775" spans="1:12" ht="15.6" outlineLevel="1">
      <c r="A1775" s="11">
        <v>1742000140</v>
      </c>
      <c r="B1775" s="40">
        <v>140</v>
      </c>
      <c r="C1775" s="109">
        <v>742000</v>
      </c>
      <c r="D1775" s="42">
        <v>1</v>
      </c>
      <c r="E1775" s="43"/>
      <c r="F1775" s="44" t="s">
        <v>27</v>
      </c>
      <c r="G1775" s="45" t="s">
        <v>22</v>
      </c>
      <c r="H1775" s="51">
        <f t="shared" si="27"/>
        <v>0</v>
      </c>
      <c r="I1775" s="47"/>
      <c r="J1775" s="48">
        <f>VLOOKUP(A1775,'[1]תקציב 2026'!$A$1:$M$65536,9,0)</f>
        <v>306000</v>
      </c>
      <c r="K1775" s="49">
        <f>VLOOKUP(A1775,[3]גיליון1!$A$1:$C$7693,3,0)</f>
        <v>306000</v>
      </c>
      <c r="L1775" s="50">
        <f>VLOOKUP(A1775,[2]data1761205830331!$A$1:$J$65536,10,0)</f>
        <v>382474.43</v>
      </c>
    </row>
    <row r="1776" spans="1:12" ht="15.6" outlineLevel="1">
      <c r="A1776" s="11">
        <v>1742000511</v>
      </c>
      <c r="B1776" s="40">
        <v>511</v>
      </c>
      <c r="C1776" s="109">
        <v>742000</v>
      </c>
      <c r="D1776" s="42">
        <v>1</v>
      </c>
      <c r="E1776" s="43"/>
      <c r="F1776" s="44" t="s">
        <v>72</v>
      </c>
      <c r="G1776" s="45" t="s">
        <v>37</v>
      </c>
      <c r="H1776" s="51">
        <f t="shared" si="27"/>
        <v>-1.2484394506866447E-3</v>
      </c>
      <c r="I1776" s="47"/>
      <c r="J1776" s="48">
        <f>VLOOKUP(A1776,'[1]תקציב 2026'!$A$1:$M$65536,9,0)</f>
        <v>8000</v>
      </c>
      <c r="K1776" s="49">
        <f>8900*0.9</f>
        <v>8010</v>
      </c>
      <c r="L1776" s="50">
        <f>VLOOKUP(A1776,[2]data1761205830331!$A$1:$J$65536,10,0)</f>
        <v>7333.53</v>
      </c>
    </row>
    <row r="1777" spans="1:12" ht="15.6" outlineLevel="1">
      <c r="A1777" s="11">
        <v>1742000544</v>
      </c>
      <c r="B1777" s="40">
        <v>544</v>
      </c>
      <c r="C1777" s="109">
        <v>742000</v>
      </c>
      <c r="D1777" s="42">
        <v>1</v>
      </c>
      <c r="E1777" s="43"/>
      <c r="F1777" s="44" t="s">
        <v>743</v>
      </c>
      <c r="G1777" s="45" t="s">
        <v>29</v>
      </c>
      <c r="H1777" s="51">
        <f t="shared" si="27"/>
        <v>0</v>
      </c>
      <c r="I1777" s="47"/>
      <c r="J1777" s="48">
        <f>VLOOKUP(A1777,'[1]תקציב 2026'!$A$1:$M$65536,9,0)</f>
        <v>900</v>
      </c>
      <c r="K1777" s="49">
        <f>VLOOKUP(A1777,[3]גיליון1!$A$1:$C$7693,3,0)</f>
        <v>900</v>
      </c>
      <c r="L1777" s="50">
        <f>VLOOKUP(A1777,[2]data1761205830331!$A$1:$J$65536,10,0)</f>
        <v>0</v>
      </c>
    </row>
    <row r="1778" spans="1:12" ht="15.6" outlineLevel="1">
      <c r="A1778" s="11">
        <v>1742000571</v>
      </c>
      <c r="B1778" s="40">
        <v>571</v>
      </c>
      <c r="C1778" s="109">
        <v>742000</v>
      </c>
      <c r="D1778" s="42">
        <v>1</v>
      </c>
      <c r="E1778" s="43"/>
      <c r="F1778" s="44" t="s">
        <v>75</v>
      </c>
      <c r="G1778" s="45" t="s">
        <v>29</v>
      </c>
      <c r="H1778" s="51">
        <f t="shared" si="27"/>
        <v>0</v>
      </c>
      <c r="I1778" s="47"/>
      <c r="J1778" s="48">
        <f>VLOOKUP(A1778,'[1]תקציב 2026'!$A$1:$M$65536,9,0)</f>
        <v>36900</v>
      </c>
      <c r="K1778" s="49">
        <v>36900</v>
      </c>
      <c r="L1778" s="50">
        <f>VLOOKUP(A1778,[2]data1761205830331!$A$1:$J$65536,10,0)</f>
        <v>31600</v>
      </c>
    </row>
    <row r="1779" spans="1:12" ht="15.6" outlineLevel="1">
      <c r="A1779" s="11">
        <v>1742000580</v>
      </c>
      <c r="B1779" s="40">
        <v>580</v>
      </c>
      <c r="C1779" s="109">
        <v>742000</v>
      </c>
      <c r="D1779" s="42">
        <v>1</v>
      </c>
      <c r="E1779" s="43"/>
      <c r="F1779" s="44" t="s">
        <v>1088</v>
      </c>
      <c r="G1779" s="45" t="s">
        <v>37</v>
      </c>
      <c r="H1779" s="51">
        <f t="shared" si="27"/>
        <v>0.55555555555555558</v>
      </c>
      <c r="I1779" s="47"/>
      <c r="J1779" s="48">
        <f>VLOOKUP(A1779,'[1]תקציב 2026'!$A$1:$M$65536,9,0)</f>
        <v>91000</v>
      </c>
      <c r="K1779" s="49">
        <f>VLOOKUP(A1779,[3]גיליון1!$A$1:$C$7693,3,0)*0.9</f>
        <v>58500</v>
      </c>
      <c r="L1779" s="50">
        <f>VLOOKUP(A1779,[2]data1761205830331!$A$1:$J$65536,10,0)</f>
        <v>45770.400000000001</v>
      </c>
    </row>
    <row r="1780" spans="1:12" ht="15.6" outlineLevel="1">
      <c r="A1780" s="11">
        <v>1742000581</v>
      </c>
      <c r="B1780" s="40">
        <v>581</v>
      </c>
      <c r="C1780" s="109">
        <v>742000</v>
      </c>
      <c r="D1780" s="42">
        <v>1</v>
      </c>
      <c r="E1780" s="43"/>
      <c r="F1780" s="44" t="s">
        <v>1089</v>
      </c>
      <c r="G1780" s="45" t="s">
        <v>37</v>
      </c>
      <c r="H1780" s="51">
        <f t="shared" si="27"/>
        <v>-1</v>
      </c>
      <c r="I1780" s="47"/>
      <c r="J1780" s="48">
        <f>VLOOKUP(A1780,'[1]תקציב 2026'!$A$1:$M$65536,9,0)</f>
        <v>0</v>
      </c>
      <c r="K1780" s="49">
        <f>VLOOKUP(A1780,[3]גיליון1!$A$1:$C$7693,3,0)*0.9</f>
        <v>227700</v>
      </c>
      <c r="L1780" s="50">
        <f>VLOOKUP(A1780,[2]data1761205830331!$A$1:$J$65536,10,0)</f>
        <v>0</v>
      </c>
    </row>
    <row r="1781" spans="1:12" ht="15.6" outlineLevel="1">
      <c r="A1781" s="11">
        <v>1742000582</v>
      </c>
      <c r="B1781" s="40">
        <v>582</v>
      </c>
      <c r="C1781" s="109">
        <v>742000</v>
      </c>
      <c r="D1781" s="42">
        <v>1</v>
      </c>
      <c r="E1781" s="43"/>
      <c r="F1781" s="44" t="s">
        <v>1090</v>
      </c>
      <c r="G1781" s="45" t="s">
        <v>37</v>
      </c>
      <c r="H1781" s="51">
        <f t="shared" si="27"/>
        <v>-3.157894736842104E-2</v>
      </c>
      <c r="I1781" s="47"/>
      <c r="J1781" s="48">
        <f>VLOOKUP(A1781,'[1]תקציב 2026'!$A$1:$M$65536,9,0)</f>
        <v>230000</v>
      </c>
      <c r="K1781" s="49">
        <f>VLOOKUP(A1781,[3]גיליון1!$A$1:$C$7693,3,0)</f>
        <v>237500</v>
      </c>
      <c r="L1781" s="50">
        <f>VLOOKUP(A1781,[2]data1761205830331!$A$1:$J$65536,10,0)</f>
        <v>198020.8</v>
      </c>
    </row>
    <row r="1782" spans="1:12" ht="15.6" outlineLevel="1">
      <c r="A1782" s="11">
        <v>1742000583</v>
      </c>
      <c r="B1782" s="40">
        <v>583</v>
      </c>
      <c r="C1782" s="109">
        <v>742000</v>
      </c>
      <c r="D1782" s="42">
        <v>1</v>
      </c>
      <c r="E1782" s="43"/>
      <c r="F1782" s="44" t="str">
        <f>[4]גיליון1!$F$3054</f>
        <v>אחזקה מונעת סככות מהיר לעיר</v>
      </c>
      <c r="G1782" s="45" t="s">
        <v>37</v>
      </c>
      <c r="H1782" s="51">
        <f t="shared" si="27"/>
        <v>0</v>
      </c>
      <c r="I1782" s="47"/>
      <c r="J1782" s="48">
        <f>VLOOKUP(A1782,'[1]תקציב 2026'!$A$1:$M$65536,9,0)</f>
        <v>855000</v>
      </c>
      <c r="K1782" s="49">
        <f>VLOOKUP(A1782,[3]גיליון1!$A$1:$C$7693,3,0)*0.9</f>
        <v>855000</v>
      </c>
      <c r="L1782" s="50">
        <f>VLOOKUP(A1782,[2]data1761205830331!$A$1:$J$65536,10,0)</f>
        <v>0</v>
      </c>
    </row>
    <row r="1783" spans="1:12" ht="15.6" outlineLevel="1">
      <c r="A1783" s="11">
        <v>1742000584</v>
      </c>
      <c r="B1783" s="40">
        <v>584</v>
      </c>
      <c r="C1783" s="109">
        <v>742000</v>
      </c>
      <c r="D1783" s="42">
        <v>1</v>
      </c>
      <c r="E1783" s="43"/>
      <c r="F1783" s="44" t="s">
        <v>1091</v>
      </c>
      <c r="G1783" s="45" t="s">
        <v>29</v>
      </c>
      <c r="H1783" s="51">
        <f t="shared" si="27"/>
        <v>-1</v>
      </c>
      <c r="I1783" s="47"/>
      <c r="J1783" s="48">
        <f>VLOOKUP(A1783,'[1]תקציב 2026'!$A$1:$M$65536,9,0)</f>
        <v>0</v>
      </c>
      <c r="K1783" s="49">
        <f>VLOOKUP(A1783,[3]גיליון1!$A$1:$C$7693,3,0)*0.9</f>
        <v>208620</v>
      </c>
      <c r="L1783" s="50">
        <f>VLOOKUP(A1783,[2]data1761205830331!$A$1:$J$65536,10,0)</f>
        <v>104827.5</v>
      </c>
    </row>
    <row r="1784" spans="1:12" ht="15.6" outlineLevel="1">
      <c r="A1784" s="11">
        <v>1742000585</v>
      </c>
      <c r="B1784" s="40">
        <v>585</v>
      </c>
      <c r="C1784" s="109">
        <v>742000</v>
      </c>
      <c r="D1784" s="42">
        <v>1</v>
      </c>
      <c r="E1784" s="43"/>
      <c r="F1784" s="44" t="s">
        <v>1092</v>
      </c>
      <c r="G1784" s="45" t="s">
        <v>37</v>
      </c>
      <c r="H1784" s="51">
        <f t="shared" si="27"/>
        <v>-1</v>
      </c>
      <c r="I1784" s="47"/>
      <c r="J1784" s="48">
        <f>VLOOKUP(A1784,'[1]תקציב 2026'!$A$1:$M$65536,9,0)</f>
        <v>0</v>
      </c>
      <c r="K1784" s="49">
        <f>VLOOKUP(A1784,[3]גיליון1!$A$1:$C$7693,3,0)*0.9</f>
        <v>66150</v>
      </c>
      <c r="L1784" s="50">
        <f>VLOOKUP(A1784,[2]data1761205830331!$A$1:$J$65536,10,0)</f>
        <v>0</v>
      </c>
    </row>
    <row r="1785" spans="1:12" ht="15.6" outlineLevel="1">
      <c r="A1785" s="11">
        <v>1742000596</v>
      </c>
      <c r="B1785" s="40">
        <v>596</v>
      </c>
      <c r="C1785" s="109">
        <v>742000</v>
      </c>
      <c r="D1785" s="42">
        <v>1</v>
      </c>
      <c r="E1785" s="43"/>
      <c r="F1785" s="44" t="s">
        <v>76</v>
      </c>
      <c r="G1785" s="45" t="s">
        <v>29</v>
      </c>
      <c r="H1785" s="51">
        <f t="shared" si="27"/>
        <v>7.0814365199797669E-2</v>
      </c>
      <c r="I1785" s="47"/>
      <c r="J1785" s="48">
        <f>VLOOKUP(A1785,'[1]תקציב 2026'!$A$1:$M$65536,9,0)</f>
        <v>211700</v>
      </c>
      <c r="K1785" s="49">
        <v>197700</v>
      </c>
      <c r="L1785" s="50">
        <f>VLOOKUP(A1785,[2]data1761205830331!$A$1:$J$65536,10,0)</f>
        <v>166095</v>
      </c>
    </row>
    <row r="1786" spans="1:12" ht="15.6" outlineLevel="1">
      <c r="A1786" s="11">
        <v>1742000722</v>
      </c>
      <c r="B1786" s="40">
        <v>722</v>
      </c>
      <c r="C1786" s="109">
        <v>742000</v>
      </c>
      <c r="D1786" s="42">
        <v>1</v>
      </c>
      <c r="E1786" s="43"/>
      <c r="F1786" s="44" t="s">
        <v>51</v>
      </c>
      <c r="G1786" s="45" t="s">
        <v>37</v>
      </c>
      <c r="H1786" s="51">
        <f t="shared" si="27"/>
        <v>0.1371020142949968</v>
      </c>
      <c r="I1786" s="47"/>
      <c r="J1786" s="48">
        <f>VLOOKUP(A1786,'[1]תקציב 2026'!$A$1:$M$65536,9,0)</f>
        <v>105000</v>
      </c>
      <c r="K1786" s="49">
        <f>VLOOKUP(A1786,[3]גיליון1!$A$1:$C$7693,3,0)*0.9</f>
        <v>92340</v>
      </c>
      <c r="L1786" s="50">
        <f>VLOOKUP(A1786,[2]data1761205830331!$A$1:$J$65536,10,0)</f>
        <v>101833.3</v>
      </c>
    </row>
    <row r="1787" spans="1:12" ht="15.6" outlineLevel="1">
      <c r="A1787" s="11">
        <v>1742000737</v>
      </c>
      <c r="B1787" s="40">
        <v>737</v>
      </c>
      <c r="C1787" s="109">
        <v>742000</v>
      </c>
      <c r="D1787" s="42">
        <v>1</v>
      </c>
      <c r="E1787" s="43"/>
      <c r="F1787" s="44" t="s">
        <v>1093</v>
      </c>
      <c r="G1787" s="45" t="s">
        <v>37</v>
      </c>
      <c r="H1787" s="51">
        <f t="shared" si="27"/>
        <v>0</v>
      </c>
      <c r="I1787" s="47"/>
      <c r="J1787" s="48">
        <f>VLOOKUP(A1787,'[1]תקציב 2026'!$A$1:$M$65536,9,0)</f>
        <v>15000</v>
      </c>
      <c r="K1787" s="49">
        <v>15000</v>
      </c>
      <c r="L1787" s="50">
        <f>VLOOKUP(A1787,[2]data1761205830331!$A$1:$J$65536,10,0)</f>
        <v>0</v>
      </c>
    </row>
    <row r="1788" spans="1:12" ht="15.6" outlineLevel="1">
      <c r="A1788" s="11">
        <v>1742000742</v>
      </c>
      <c r="B1788" s="40">
        <v>742</v>
      </c>
      <c r="C1788" s="109">
        <v>742000</v>
      </c>
      <c r="D1788" s="42">
        <v>1</v>
      </c>
      <c r="E1788" s="43"/>
      <c r="F1788" s="44" t="s">
        <v>52</v>
      </c>
      <c r="G1788" s="45" t="s">
        <v>37</v>
      </c>
      <c r="H1788" s="51">
        <f t="shared" si="27"/>
        <v>1.0101010101010166E-2</v>
      </c>
      <c r="I1788" s="47"/>
      <c r="J1788" s="48">
        <f>VLOOKUP(A1788,'[1]תקציב 2026'!$A$1:$M$65536,9,0)</f>
        <v>13000</v>
      </c>
      <c r="K1788" s="49">
        <f>VLOOKUP(A1788,[3]גיליון1!$A$1:$C$7693,3,0)*0.9</f>
        <v>12870</v>
      </c>
      <c r="L1788" s="50">
        <f>VLOOKUP(A1788,[2]data1761205830331!$A$1:$J$65536,10,0)</f>
        <v>14638.6</v>
      </c>
    </row>
    <row r="1789" spans="1:12" ht="15.6" outlineLevel="1">
      <c r="A1789" s="11">
        <v>1742000745</v>
      </c>
      <c r="B1789" s="40">
        <v>745</v>
      </c>
      <c r="C1789" s="109">
        <v>742000</v>
      </c>
      <c r="D1789" s="42">
        <v>1</v>
      </c>
      <c r="E1789" s="43"/>
      <c r="F1789" s="44" t="s">
        <v>1094</v>
      </c>
      <c r="G1789" s="45" t="s">
        <v>37</v>
      </c>
      <c r="H1789" s="51">
        <f t="shared" si="27"/>
        <v>-5.9205190592051871E-2</v>
      </c>
      <c r="I1789" s="47"/>
      <c r="J1789" s="48">
        <f>VLOOKUP(A1789,'[1]תקציב 2026'!$A$1:$M$65536,9,0)</f>
        <v>11600</v>
      </c>
      <c r="K1789" s="49">
        <f>VLOOKUP(A1789,[3]גיליון1!$A$1:$C$7693,3,0)*0.9</f>
        <v>12330</v>
      </c>
      <c r="L1789" s="50">
        <f>VLOOKUP(A1789,[2]data1761205830331!$A$1:$J$65536,10,0)</f>
        <v>6805</v>
      </c>
    </row>
    <row r="1790" spans="1:12" ht="15.6" outlineLevel="1">
      <c r="A1790" s="11">
        <v>1742000754</v>
      </c>
      <c r="B1790" s="40">
        <v>754</v>
      </c>
      <c r="C1790" s="109">
        <v>742000</v>
      </c>
      <c r="D1790" s="42">
        <v>1</v>
      </c>
      <c r="E1790" s="43"/>
      <c r="F1790" s="44" t="s">
        <v>53</v>
      </c>
      <c r="G1790" s="45" t="s">
        <v>37</v>
      </c>
      <c r="H1790" s="51">
        <f t="shared" si="27"/>
        <v>0</v>
      </c>
      <c r="I1790" s="47"/>
      <c r="J1790" s="48">
        <f>VLOOKUP(A1790,'[1]תקציב 2026'!$A$1:$M$65536,9,0)</f>
        <v>720000</v>
      </c>
      <c r="K1790" s="49">
        <f>VLOOKUP(A1790,[3]גיליון1!$A$1:$C$7693,3,0)*0.9</f>
        <v>720000</v>
      </c>
      <c r="L1790" s="50">
        <f>VLOOKUP(A1790,[2]data1761205830331!$A$1:$J$65536,10,0)</f>
        <v>683999.3</v>
      </c>
    </row>
    <row r="1791" spans="1:12" ht="15.6" outlineLevel="1">
      <c r="A1791" s="11">
        <v>1742000759</v>
      </c>
      <c r="B1791" s="40">
        <v>759</v>
      </c>
      <c r="C1791" s="109">
        <v>742000</v>
      </c>
      <c r="D1791" s="42">
        <v>1</v>
      </c>
      <c r="E1791" s="43"/>
      <c r="F1791" s="44" t="s">
        <v>1095</v>
      </c>
      <c r="G1791" s="45" t="s">
        <v>37</v>
      </c>
      <c r="H1791" s="51">
        <f t="shared" si="27"/>
        <v>1.2145748987854255E-2</v>
      </c>
      <c r="I1791" s="47"/>
      <c r="J1791" s="48">
        <f>VLOOKUP(A1791,'[1]תקציב 2026'!$A$1:$M$65536,9,0)</f>
        <v>90000</v>
      </c>
      <c r="K1791" s="49">
        <f>VLOOKUP(A1791,[3]גיליון1!$A$1:$C$7693,3,0)*0.9</f>
        <v>88920</v>
      </c>
      <c r="L1791" s="50">
        <f>VLOOKUP(A1791,[2]data1761205830331!$A$1:$J$65536,10,0)</f>
        <v>44709</v>
      </c>
    </row>
    <row r="1792" spans="1:12" ht="15.6" outlineLevel="1">
      <c r="A1792" s="11">
        <v>1742000794</v>
      </c>
      <c r="B1792" s="40">
        <v>794</v>
      </c>
      <c r="C1792" s="109">
        <v>742000</v>
      </c>
      <c r="D1792" s="42">
        <v>1</v>
      </c>
      <c r="E1792" s="43"/>
      <c r="F1792" s="44" t="s">
        <v>58</v>
      </c>
      <c r="G1792" s="45" t="s">
        <v>29</v>
      </c>
      <c r="H1792" s="51">
        <f t="shared" si="27"/>
        <v>0</v>
      </c>
      <c r="I1792" s="47"/>
      <c r="J1792" s="48">
        <f>VLOOKUP(A1792,'[1]תקציב 2026'!$A$1:$M$65536,9,0)</f>
        <v>89500</v>
      </c>
      <c r="K1792" s="49">
        <v>89500</v>
      </c>
      <c r="L1792" s="50">
        <f>VLOOKUP(A1792,[2]data1761205830331!$A$1:$J$65536,10,0)</f>
        <v>57131</v>
      </c>
    </row>
    <row r="1793" spans="1:12" ht="15.6" outlineLevel="1">
      <c r="A1793" s="11">
        <v>1742000931</v>
      </c>
      <c r="B1793" s="40">
        <v>931</v>
      </c>
      <c r="C1793" s="109">
        <v>742000</v>
      </c>
      <c r="D1793" s="42">
        <v>1</v>
      </c>
      <c r="E1793" s="43"/>
      <c r="F1793" s="44" t="s">
        <v>1096</v>
      </c>
      <c r="G1793" s="45" t="s">
        <v>37</v>
      </c>
      <c r="H1793" s="51">
        <f t="shared" si="27"/>
        <v>-0.18300653594771243</v>
      </c>
      <c r="I1793" s="47"/>
      <c r="J1793" s="48">
        <f>VLOOKUP(A1793,'[1]תקציב 2026'!$A$1:$M$65536,9,0)</f>
        <v>5000</v>
      </c>
      <c r="K1793" s="49">
        <f>VLOOKUP(A1793,[3]גיליון1!$A$1:$C$7693,3,0)*0.9</f>
        <v>6120</v>
      </c>
      <c r="L1793" s="50">
        <f>VLOOKUP(A1793,[2]data1761205830331!$A$1:$J$65536,10,0)</f>
        <v>1006</v>
      </c>
    </row>
    <row r="1794" spans="1:12" ht="16.2" outlineLevel="1" thickBot="1">
      <c r="A1794" s="11">
        <v>1742000960</v>
      </c>
      <c r="B1794" s="40">
        <v>960</v>
      </c>
      <c r="C1794" s="109">
        <v>742000</v>
      </c>
      <c r="D1794" s="42">
        <v>1</v>
      </c>
      <c r="E1794" s="43"/>
      <c r="F1794" s="44" t="s">
        <v>1097</v>
      </c>
      <c r="G1794" s="45" t="s">
        <v>37</v>
      </c>
      <c r="H1794" s="51">
        <f t="shared" si="27"/>
        <v>0</v>
      </c>
      <c r="I1794" s="47"/>
      <c r="J1794" s="48">
        <f>VLOOKUP(A1794,'[1]תקציב 2026'!$A$1:$M$65536,9,0)</f>
        <v>189000</v>
      </c>
      <c r="K1794" s="49">
        <f>VLOOKUP(A1794,[3]גיליון1!$A$1:$C$7693,3,0)*0.9</f>
        <v>189000</v>
      </c>
      <c r="L1794" s="50">
        <f>VLOOKUP(A1794,[2]data1761205830331!$A$1:$J$65536,10,0)</f>
        <v>171397.21</v>
      </c>
    </row>
    <row r="1795" spans="1:12" ht="16.2" thickBot="1">
      <c r="A1795" s="11" t="e">
        <v>#VALUE!</v>
      </c>
      <c r="B1795" s="53" t="s">
        <v>1098</v>
      </c>
      <c r="C1795" s="223"/>
      <c r="D1795" s="55"/>
      <c r="E1795" s="56"/>
      <c r="F1795" s="116" t="s">
        <v>197</v>
      </c>
      <c r="G1795" s="58"/>
      <c r="H1795" s="166">
        <f>J1795/K1795-1</f>
        <v>-6.6361544482833046E-2</v>
      </c>
      <c r="I1795" s="72"/>
      <c r="J1795" s="74">
        <f>SUBTOTAL(9,J1770:J1794)</f>
        <v>5534310</v>
      </c>
      <c r="K1795" s="92">
        <f>SUBTOTAL(9,K1770:K1794)</f>
        <v>5927680</v>
      </c>
      <c r="L1795" s="75">
        <f>SUBTOTAL(9,L1770:L1794)</f>
        <v>5031718.76</v>
      </c>
    </row>
    <row r="1796" spans="1:12" ht="15.6" outlineLevel="1">
      <c r="A1796" s="11">
        <v>17430000</v>
      </c>
      <c r="B1796" s="40">
        <v>0</v>
      </c>
      <c r="C1796" s="109">
        <v>743000</v>
      </c>
      <c r="D1796" s="42">
        <v>1</v>
      </c>
      <c r="E1796" s="43"/>
      <c r="F1796" s="44" t="s">
        <v>200</v>
      </c>
      <c r="G1796" s="45" t="s">
        <v>15</v>
      </c>
      <c r="H1796" s="51"/>
      <c r="I1796" s="47"/>
      <c r="J1796" s="48"/>
      <c r="K1796" s="49"/>
      <c r="L1796" s="50"/>
    </row>
    <row r="1797" spans="1:12" ht="15.6" outlineLevel="1">
      <c r="A1797" s="11">
        <v>1743000110</v>
      </c>
      <c r="B1797" s="40">
        <v>110</v>
      </c>
      <c r="C1797" s="109">
        <v>743000</v>
      </c>
      <c r="D1797" s="42">
        <v>1</v>
      </c>
      <c r="E1797" s="43"/>
      <c r="F1797" s="44" t="s">
        <v>21</v>
      </c>
      <c r="G1797" s="45" t="s">
        <v>22</v>
      </c>
      <c r="H1797" s="51">
        <f t="shared" si="27"/>
        <v>2.4999999999999911E-2</v>
      </c>
      <c r="I1797" s="47"/>
      <c r="J1797" s="48">
        <f>VLOOKUP(A1797,'[1]תקציב 2026'!$A$1:$M$65536,9,0)</f>
        <v>318160</v>
      </c>
      <c r="K1797" s="49">
        <v>310400</v>
      </c>
      <c r="L1797" s="50">
        <f>VLOOKUP(A1797,[2]data1761205830331!$A$1:$J$65536,10,0)</f>
        <v>318954.62</v>
      </c>
    </row>
    <row r="1798" spans="1:12" ht="15.6" outlineLevel="1">
      <c r="A1798" s="11">
        <v>1743000119</v>
      </c>
      <c r="B1798" s="40">
        <v>119</v>
      </c>
      <c r="C1798" s="109">
        <v>743000</v>
      </c>
      <c r="D1798" s="42">
        <v>1</v>
      </c>
      <c r="E1798" s="43"/>
      <c r="F1798" s="44" t="s">
        <v>23</v>
      </c>
      <c r="G1798" s="45" t="s">
        <v>22</v>
      </c>
      <c r="H1798" s="51">
        <f t="shared" ref="H1798:H1861" si="28">J1798/K1798-1</f>
        <v>2.4995539696699431E-2</v>
      </c>
      <c r="I1798" s="47"/>
      <c r="J1798" s="48">
        <f>VLOOKUP(A1798,'[1]תקציב 2026'!$A$1:$M$65536,9,0)</f>
        <v>574510</v>
      </c>
      <c r="K1798" s="49">
        <v>560500</v>
      </c>
      <c r="L1798" s="50">
        <f>VLOOKUP(A1798,[2]data1761205830331!$A$1:$J$65536,10,0)</f>
        <v>1067512.77</v>
      </c>
    </row>
    <row r="1799" spans="1:12" ht="15.6" outlineLevel="1">
      <c r="A1799" s="11">
        <v>1743000122</v>
      </c>
      <c r="B1799" s="40">
        <v>122</v>
      </c>
      <c r="C1799" s="109">
        <v>743000</v>
      </c>
      <c r="D1799" s="42">
        <v>1</v>
      </c>
      <c r="E1799" s="43"/>
      <c r="F1799" s="44" t="s">
        <v>24</v>
      </c>
      <c r="G1799" s="45" t="s">
        <v>22</v>
      </c>
      <c r="H1799" s="51">
        <f t="shared" si="28"/>
        <v>0</v>
      </c>
      <c r="I1799" s="47"/>
      <c r="J1799" s="48">
        <f>VLOOKUP(A1799,'[1]תקציב 2026'!$A$1:$M$65536,9,0)</f>
        <v>15000</v>
      </c>
      <c r="K1799" s="49">
        <f>VLOOKUP(A1799,[3]גיליון1!$A$1:$C$7693,3,0)</f>
        <v>15000</v>
      </c>
      <c r="L1799" s="50">
        <f>VLOOKUP(A1799,[2]data1761205830331!$A$1:$J$65536,10,0)</f>
        <v>13996.79</v>
      </c>
    </row>
    <row r="1800" spans="1:12" ht="15.6" outlineLevel="1">
      <c r="A1800" s="11">
        <v>1743000126</v>
      </c>
      <c r="B1800" s="40">
        <v>126</v>
      </c>
      <c r="C1800" s="109">
        <v>743000</v>
      </c>
      <c r="D1800" s="42">
        <v>1</v>
      </c>
      <c r="E1800" s="43"/>
      <c r="F1800" s="44" t="s">
        <v>25</v>
      </c>
      <c r="G1800" s="45" t="s">
        <v>22</v>
      </c>
      <c r="H1800" s="51">
        <f t="shared" si="28"/>
        <v>0</v>
      </c>
      <c r="I1800" s="47"/>
      <c r="J1800" s="48">
        <f>VLOOKUP(A1800,'[1]תקציב 2026'!$A$1:$M$65536,9,0)</f>
        <v>43000</v>
      </c>
      <c r="K1800" s="49">
        <f>VLOOKUP(A1800,[3]גיליון1!$A$1:$C$7693,3,0)</f>
        <v>43000</v>
      </c>
      <c r="L1800" s="50">
        <f>VLOOKUP(A1800,[2]data1761205830331!$A$1:$J$65536,10,0)</f>
        <v>42700.99</v>
      </c>
    </row>
    <row r="1801" spans="1:12" ht="15.6" outlineLevel="1">
      <c r="A1801" s="11">
        <v>1743000130</v>
      </c>
      <c r="B1801" s="40">
        <v>130</v>
      </c>
      <c r="C1801" s="109">
        <v>743000</v>
      </c>
      <c r="D1801" s="42">
        <v>1</v>
      </c>
      <c r="E1801" s="43"/>
      <c r="F1801" s="44" t="s">
        <v>26</v>
      </c>
      <c r="G1801" s="45" t="s">
        <v>22</v>
      </c>
      <c r="H1801" s="51">
        <f t="shared" si="28"/>
        <v>0</v>
      </c>
      <c r="I1801" s="47"/>
      <c r="J1801" s="48">
        <f>VLOOKUP(A1801,'[1]תקציב 2026'!$A$1:$M$65536,9,0)</f>
        <v>119280</v>
      </c>
      <c r="K1801" s="49">
        <f>VLOOKUP(A1801,[3]גיליון1!$A$1:$C$7693,3,0)*0.86-2</f>
        <v>119280</v>
      </c>
      <c r="L1801" s="50">
        <f>VLOOKUP(A1801,[2]data1761205830331!$A$1:$J$65536,10,0)</f>
        <v>142132.04999999999</v>
      </c>
    </row>
    <row r="1802" spans="1:12" ht="15.6" outlineLevel="1">
      <c r="A1802" s="11">
        <v>1743000140</v>
      </c>
      <c r="B1802" s="40">
        <v>140</v>
      </c>
      <c r="C1802" s="109">
        <v>743000</v>
      </c>
      <c r="D1802" s="42">
        <v>1</v>
      </c>
      <c r="E1802" s="43"/>
      <c r="F1802" s="44" t="s">
        <v>27</v>
      </c>
      <c r="G1802" s="45" t="s">
        <v>22</v>
      </c>
      <c r="H1802" s="51">
        <f t="shared" si="28"/>
        <v>0</v>
      </c>
      <c r="I1802" s="47"/>
      <c r="J1802" s="48">
        <f>VLOOKUP(A1802,'[1]תקציב 2026'!$A$1:$M$65536,9,0)</f>
        <v>158000</v>
      </c>
      <c r="K1802" s="49">
        <f>VLOOKUP(A1802,[3]גיליון1!$A$1:$C$7693,3,0)</f>
        <v>158000</v>
      </c>
      <c r="L1802" s="50">
        <f>VLOOKUP(A1802,[2]data1761205830331!$A$1:$J$65536,10,0)</f>
        <v>157840.43</v>
      </c>
    </row>
    <row r="1803" spans="1:12" ht="15.6" outlineLevel="1">
      <c r="A1803" s="11">
        <v>1743000431</v>
      </c>
      <c r="B1803" s="40">
        <v>431</v>
      </c>
      <c r="C1803" s="109">
        <v>743000</v>
      </c>
      <c r="D1803" s="42">
        <v>1</v>
      </c>
      <c r="E1803" s="43"/>
      <c r="F1803" s="44" t="s">
        <v>32</v>
      </c>
      <c r="G1803" s="45" t="s">
        <v>29</v>
      </c>
      <c r="H1803" s="51">
        <f t="shared" si="28"/>
        <v>-0.18811881188118806</v>
      </c>
      <c r="I1803" s="47"/>
      <c r="J1803" s="48">
        <f>VLOOKUP(A1803,'[1]תקציב 2026'!$A$1:$M$65536,9,0)</f>
        <v>4100000</v>
      </c>
      <c r="K1803" s="49">
        <v>5050000</v>
      </c>
      <c r="L1803" s="50">
        <f>VLOOKUP(A1803,[2]data1761205830331!$A$1:$J$65536,10,0)</f>
        <v>3891173.4</v>
      </c>
    </row>
    <row r="1804" spans="1:12" ht="15.6" outlineLevel="1">
      <c r="A1804" s="11">
        <v>1743000511</v>
      </c>
      <c r="B1804" s="40">
        <v>511</v>
      </c>
      <c r="C1804" s="109">
        <v>743000</v>
      </c>
      <c r="D1804" s="42">
        <v>1</v>
      </c>
      <c r="E1804" s="43"/>
      <c r="F1804" s="44" t="s">
        <v>72</v>
      </c>
      <c r="G1804" s="45" t="s">
        <v>37</v>
      </c>
      <c r="H1804" s="51">
        <f t="shared" si="28"/>
        <v>0</v>
      </c>
      <c r="I1804" s="47"/>
      <c r="J1804" s="48">
        <f>VLOOKUP(A1804,'[1]תקציב 2026'!$A$1:$M$65536,9,0)</f>
        <v>6000</v>
      </c>
      <c r="K1804" s="49">
        <v>6000</v>
      </c>
      <c r="L1804" s="50">
        <f>VLOOKUP(A1804,[2]data1761205830331!$A$1:$J$65536,10,0)</f>
        <v>5357.35</v>
      </c>
    </row>
    <row r="1805" spans="1:12" ht="15.6" outlineLevel="1">
      <c r="A1805" s="11">
        <v>1743000596</v>
      </c>
      <c r="B1805" s="40">
        <v>596</v>
      </c>
      <c r="C1805" s="109">
        <v>743000</v>
      </c>
      <c r="D1805" s="42">
        <v>1</v>
      </c>
      <c r="E1805" s="43"/>
      <c r="F1805" s="44" t="s">
        <v>76</v>
      </c>
      <c r="G1805" s="45" t="s">
        <v>29</v>
      </c>
      <c r="H1805" s="51">
        <f t="shared" si="28"/>
        <v>1.5128593040847127E-2</v>
      </c>
      <c r="I1805" s="47"/>
      <c r="J1805" s="48">
        <f>VLOOKUP(A1805,'[1]תקציב 2026'!$A$1:$M$65536,9,0)</f>
        <v>671000</v>
      </c>
      <c r="K1805" s="49">
        <v>661000</v>
      </c>
      <c r="L1805" s="50">
        <f>VLOOKUP(A1805,[2]data1761205830331!$A$1:$J$65536,10,0)</f>
        <v>606430</v>
      </c>
    </row>
    <row r="1806" spans="1:12" ht="15.6" outlineLevel="1">
      <c r="A1806" s="11">
        <v>1743000722</v>
      </c>
      <c r="B1806" s="40">
        <v>722</v>
      </c>
      <c r="C1806" s="109">
        <v>743000</v>
      </c>
      <c r="D1806" s="42">
        <v>1</v>
      </c>
      <c r="E1806" s="43"/>
      <c r="F1806" s="44" t="s">
        <v>1099</v>
      </c>
      <c r="G1806" s="45" t="s">
        <v>37</v>
      </c>
      <c r="H1806" s="51">
        <v>0</v>
      </c>
      <c r="I1806" s="47"/>
      <c r="J1806" s="48">
        <f>VLOOKUP(A1806,'[1]תקציב 2026'!$A$1:$M$65536,9,0)</f>
        <v>0</v>
      </c>
      <c r="K1806" s="49">
        <f>VLOOKUP(A1806,[3]גיליון1!$A$1:$C$7693,3,0)</f>
        <v>0</v>
      </c>
      <c r="L1806" s="50">
        <f>VLOOKUP(A1806,[2]data1761205830331!$A$1:$J$65536,10,0)</f>
        <v>384800</v>
      </c>
    </row>
    <row r="1807" spans="1:12" ht="15.6" outlineLevel="1">
      <c r="A1807" s="11">
        <v>1743000742</v>
      </c>
      <c r="B1807" s="40">
        <v>742</v>
      </c>
      <c r="C1807" s="109">
        <v>743000</v>
      </c>
      <c r="D1807" s="42">
        <v>1</v>
      </c>
      <c r="E1807" s="43"/>
      <c r="F1807" s="44" t="s">
        <v>52</v>
      </c>
      <c r="G1807" s="45" t="s">
        <v>37</v>
      </c>
      <c r="H1807" s="51">
        <f t="shared" si="28"/>
        <v>0</v>
      </c>
      <c r="I1807" s="47"/>
      <c r="J1807" s="48">
        <f>VLOOKUP(A1807,'[1]תקציב 2026'!$A$1:$M$65536,9,0)</f>
        <v>18000</v>
      </c>
      <c r="K1807" s="49">
        <f>VLOOKUP(A1807,[3]גיליון1!$A$1:$C$7693,3,0)*0.9</f>
        <v>18000</v>
      </c>
      <c r="L1807" s="50">
        <f>VLOOKUP(A1807,[2]data1761205830331!$A$1:$J$65536,10,0)</f>
        <v>16052.51</v>
      </c>
    </row>
    <row r="1808" spans="1:12" ht="15.6" outlineLevel="1">
      <c r="A1808" s="11">
        <v>1743000745</v>
      </c>
      <c r="B1808" s="40">
        <v>745</v>
      </c>
      <c r="C1808" s="109">
        <v>743000</v>
      </c>
      <c r="D1808" s="42">
        <v>1</v>
      </c>
      <c r="E1808" s="43"/>
      <c r="F1808" s="44" t="s">
        <v>1100</v>
      </c>
      <c r="G1808" s="45" t="s">
        <v>37</v>
      </c>
      <c r="H1808" s="51">
        <v>0</v>
      </c>
      <c r="I1808" s="47"/>
      <c r="J1808" s="48">
        <f>VLOOKUP(A1808,'[1]תקציב 2026'!$A$1:$M$65536,9,0)</f>
        <v>0</v>
      </c>
      <c r="K1808" s="49">
        <f>VLOOKUP(A1808,[3]גיליון1!$A$1:$C$7693,3,0)</f>
        <v>0</v>
      </c>
      <c r="L1808" s="50">
        <f>VLOOKUP(A1808,[2]data1761205830331!$A$1:$J$65536,10,0)</f>
        <v>130000</v>
      </c>
    </row>
    <row r="1809" spans="1:12" ht="15.6" outlineLevel="1">
      <c r="A1809" s="11">
        <v>1743000754</v>
      </c>
      <c r="B1809" s="40">
        <v>754</v>
      </c>
      <c r="C1809" s="109">
        <v>743000</v>
      </c>
      <c r="D1809" s="42">
        <v>1</v>
      </c>
      <c r="E1809" s="43"/>
      <c r="F1809" s="44" t="s">
        <v>1101</v>
      </c>
      <c r="G1809" s="45" t="s">
        <v>37</v>
      </c>
      <c r="H1809" s="51">
        <v>0</v>
      </c>
      <c r="I1809" s="47"/>
      <c r="J1809" s="48">
        <f>VLOOKUP(A1809,'[1]תקציב 2026'!$A$1:$M$65536,9,0)</f>
        <v>0</v>
      </c>
      <c r="K1809" s="49">
        <f>VLOOKUP(A1809,[3]גיליון1!$A$1:$C$7693,3,0)</f>
        <v>0</v>
      </c>
      <c r="L1809" s="50">
        <f>VLOOKUP(A1809,[2]data1761205830331!$A$1:$J$65536,10,0)</f>
        <v>171000</v>
      </c>
    </row>
    <row r="1810" spans="1:12" ht="15.6" outlineLevel="1">
      <c r="A1810" s="11">
        <v>1743000759</v>
      </c>
      <c r="B1810" s="40">
        <v>759</v>
      </c>
      <c r="C1810" s="109">
        <v>743000</v>
      </c>
      <c r="D1810" s="42">
        <v>1</v>
      </c>
      <c r="E1810" s="43"/>
      <c r="F1810" s="44" t="s">
        <v>1102</v>
      </c>
      <c r="G1810" s="45" t="s">
        <v>29</v>
      </c>
      <c r="H1810" s="51">
        <f t="shared" si="28"/>
        <v>4.2402826855123754E-2</v>
      </c>
      <c r="I1810" s="47"/>
      <c r="J1810" s="48">
        <f>VLOOKUP(A1810,'[1]תקציב 2026'!$A$1:$M$65536,9,0)</f>
        <v>1180000</v>
      </c>
      <c r="K1810" s="49">
        <f>VLOOKUP(A1810,[3]גיליון1!$A$1:$C$7693,3,0)</f>
        <v>1132000</v>
      </c>
      <c r="L1810" s="50">
        <f>VLOOKUP(A1810,[2]data1761205830331!$A$1:$J$65536,10,0)</f>
        <v>617611</v>
      </c>
    </row>
    <row r="1811" spans="1:12" ht="16.2" outlineLevel="1" thickBot="1">
      <c r="A1811" s="11">
        <v>1743000794</v>
      </c>
      <c r="B1811" s="40">
        <v>794</v>
      </c>
      <c r="C1811" s="109">
        <v>743000</v>
      </c>
      <c r="D1811" s="42">
        <v>1</v>
      </c>
      <c r="E1811" s="43"/>
      <c r="F1811" s="44" t="s">
        <v>58</v>
      </c>
      <c r="G1811" s="45" t="s">
        <v>29</v>
      </c>
      <c r="H1811" s="51">
        <f t="shared" si="28"/>
        <v>0</v>
      </c>
      <c r="I1811" s="47"/>
      <c r="J1811" s="48">
        <f>VLOOKUP(A1811,'[1]תקציב 2026'!$A$1:$M$65536,9,0)</f>
        <v>79200</v>
      </c>
      <c r="K1811" s="49">
        <v>79200</v>
      </c>
      <c r="L1811" s="50">
        <f>VLOOKUP(A1811,[2]data1761205830331!$A$1:$J$65536,10,0)</f>
        <v>94463</v>
      </c>
    </row>
    <row r="1812" spans="1:12" ht="16.2" thickBot="1">
      <c r="A1812" s="11" t="e">
        <v>#VALUE!</v>
      </c>
      <c r="B1812" s="53" t="s">
        <v>1103</v>
      </c>
      <c r="C1812" s="223"/>
      <c r="D1812" s="55"/>
      <c r="E1812" s="56"/>
      <c r="F1812" s="116" t="s">
        <v>200</v>
      </c>
      <c r="G1812" s="58"/>
      <c r="H1812" s="166">
        <f>J1812/K1812-1</f>
        <v>-0.10674551480671901</v>
      </c>
      <c r="I1812" s="72"/>
      <c r="J1812" s="74">
        <f>SUBTOTAL(9,J1797:J1811)</f>
        <v>7282150</v>
      </c>
      <c r="K1812" s="92">
        <f>SUBTOTAL(9,K1797:K1811)</f>
        <v>8152380</v>
      </c>
      <c r="L1812" s="75">
        <f>SUBTOTAL(9,L1797:L1811)</f>
        <v>7660024.9099999992</v>
      </c>
    </row>
    <row r="1813" spans="1:12" ht="15.6" outlineLevel="1">
      <c r="A1813" s="11">
        <v>17440000</v>
      </c>
      <c r="B1813" s="64">
        <v>0</v>
      </c>
      <c r="C1813" s="131">
        <v>744000</v>
      </c>
      <c r="D1813" s="66">
        <v>1</v>
      </c>
      <c r="E1813" s="67"/>
      <c r="F1813" s="68" t="s">
        <v>1104</v>
      </c>
      <c r="G1813" s="69" t="s">
        <v>15</v>
      </c>
      <c r="H1813" s="51"/>
      <c r="I1813" s="47"/>
      <c r="J1813" s="48"/>
      <c r="K1813" s="49"/>
      <c r="L1813" s="50"/>
    </row>
    <row r="1814" spans="1:12" ht="15.6" outlineLevel="1">
      <c r="A1814" s="11">
        <v>1744000119</v>
      </c>
      <c r="B1814" s="40">
        <v>119</v>
      </c>
      <c r="C1814" s="109">
        <v>744000</v>
      </c>
      <c r="D1814" s="42">
        <v>1</v>
      </c>
      <c r="E1814" s="43"/>
      <c r="F1814" s="44" t="s">
        <v>1105</v>
      </c>
      <c r="G1814" s="45" t="s">
        <v>22</v>
      </c>
      <c r="H1814" s="51">
        <f t="shared" si="28"/>
        <v>0.10247842849274824</v>
      </c>
      <c r="I1814" s="47"/>
      <c r="J1814" s="48">
        <v>600520</v>
      </c>
      <c r="K1814" s="49">
        <v>544700</v>
      </c>
      <c r="L1814" s="50">
        <f>VLOOKUP(A1814,[2]data1761205830331!$A$1:$J$65536,10,0)</f>
        <v>380748.82</v>
      </c>
    </row>
    <row r="1815" spans="1:12" ht="15.6" outlineLevel="1">
      <c r="A1815" s="11">
        <v>1744000122</v>
      </c>
      <c r="B1815" s="40">
        <v>122</v>
      </c>
      <c r="C1815" s="109">
        <v>744000</v>
      </c>
      <c r="D1815" s="42">
        <v>1</v>
      </c>
      <c r="E1815" s="43"/>
      <c r="F1815" s="44" t="s">
        <v>1106</v>
      </c>
      <c r="G1815" s="45" t="s">
        <v>22</v>
      </c>
      <c r="H1815" s="51">
        <f t="shared" si="28"/>
        <v>5.600000000000005E-2</v>
      </c>
      <c r="I1815" s="47"/>
      <c r="J1815" s="48">
        <v>5280</v>
      </c>
      <c r="K1815" s="49">
        <f>VLOOKUP(A1815,[3]גיליון1!$A$1:$C$7693,3,0)</f>
        <v>5000</v>
      </c>
      <c r="L1815" s="50">
        <f>VLOOKUP(A1815,[2]data1761205830331!$A$1:$J$65536,10,0)</f>
        <v>4810</v>
      </c>
    </row>
    <row r="1816" spans="1:12" ht="15.6" outlineLevel="1">
      <c r="A1816" s="11">
        <v>1744000126</v>
      </c>
      <c r="B1816" s="40">
        <v>126</v>
      </c>
      <c r="C1816" s="109">
        <v>744000</v>
      </c>
      <c r="D1816" s="42">
        <v>1</v>
      </c>
      <c r="E1816" s="43"/>
      <c r="F1816" s="44" t="s">
        <v>1107</v>
      </c>
      <c r="G1816" s="45" t="s">
        <v>22</v>
      </c>
      <c r="H1816" s="51">
        <f t="shared" si="28"/>
        <v>5.5199999999999916E-2</v>
      </c>
      <c r="I1816" s="47"/>
      <c r="J1816" s="48">
        <v>13190</v>
      </c>
      <c r="K1816" s="49">
        <f>VLOOKUP(A1816,[3]גיליון1!$A$1:$C$7693,3,0)</f>
        <v>12500</v>
      </c>
      <c r="L1816" s="50">
        <f>VLOOKUP(A1816,[2]data1761205830331!$A$1:$J$65536,10,0)</f>
        <v>11785</v>
      </c>
    </row>
    <row r="1817" spans="1:12" ht="15.6" outlineLevel="1">
      <c r="A1817" s="11">
        <v>1744000130</v>
      </c>
      <c r="B1817" s="40">
        <v>130</v>
      </c>
      <c r="C1817" s="109">
        <v>744000</v>
      </c>
      <c r="D1817" s="42">
        <v>1</v>
      </c>
      <c r="E1817" s="43"/>
      <c r="F1817" s="44" t="s">
        <v>1108</v>
      </c>
      <c r="G1817" s="45" t="s">
        <v>22</v>
      </c>
      <c r="H1817" s="51">
        <f t="shared" si="28"/>
        <v>13.023255813953488</v>
      </c>
      <c r="I1817" s="47"/>
      <c r="J1817" s="48">
        <f>VLOOKUP(A1817,'[1]תקציב 2026'!$A$1:$M$65536,9,0)</f>
        <v>60300</v>
      </c>
      <c r="K1817" s="49">
        <f>VLOOKUP(A1817,[3]גיליון1!$A$1:$C$7693,3,0)*0.86</f>
        <v>4300</v>
      </c>
      <c r="L1817" s="50">
        <f>VLOOKUP(A1817,[2]data1761205830331!$A$1:$J$65536,10,0)</f>
        <v>23189.73</v>
      </c>
    </row>
    <row r="1818" spans="1:12" ht="15.6" outlineLevel="1">
      <c r="A1818" s="11">
        <v>1744000140</v>
      </c>
      <c r="B1818" s="40">
        <v>140</v>
      </c>
      <c r="C1818" s="109">
        <v>744000</v>
      </c>
      <c r="D1818" s="42">
        <v>1</v>
      </c>
      <c r="E1818" s="43"/>
      <c r="F1818" s="44" t="s">
        <v>27</v>
      </c>
      <c r="G1818" s="45" t="s">
        <v>22</v>
      </c>
      <c r="H1818" s="51">
        <f t="shared" si="28"/>
        <v>0</v>
      </c>
      <c r="I1818" s="47"/>
      <c r="J1818" s="48">
        <f>VLOOKUP(A1818,'[1]תקציב 2026'!$A$1:$M$65536,9,0)</f>
        <v>42500</v>
      </c>
      <c r="K1818" s="49">
        <f>VLOOKUP(A1818,[3]גיליון1!$A$1:$C$7693,3,0)</f>
        <v>42500</v>
      </c>
      <c r="L1818" s="50">
        <f>VLOOKUP(A1818,[2]data1761205830331!$A$1:$J$65536,10,0)</f>
        <v>45825.35</v>
      </c>
    </row>
    <row r="1819" spans="1:12" ht="15.6" outlineLevel="1">
      <c r="A1819" s="11">
        <v>1744000431</v>
      </c>
      <c r="B1819" s="40">
        <v>431</v>
      </c>
      <c r="C1819" s="109">
        <v>744000</v>
      </c>
      <c r="D1819" s="42">
        <v>1</v>
      </c>
      <c r="E1819" s="43"/>
      <c r="F1819" s="44" t="s">
        <v>32</v>
      </c>
      <c r="G1819" s="45" t="s">
        <v>29</v>
      </c>
      <c r="H1819" s="51">
        <f t="shared" si="28"/>
        <v>-9.9009900990099098E-3</v>
      </c>
      <c r="I1819" s="47"/>
      <c r="J1819" s="48">
        <f>VLOOKUP(A1819,'[1]תקציב 2026'!$A$1:$M$65536,9,0)</f>
        <v>350000</v>
      </c>
      <c r="K1819" s="49">
        <v>353500</v>
      </c>
      <c r="L1819" s="50">
        <f>VLOOKUP(A1819,[2]data1761205830331!$A$1:$J$65536,10,0)</f>
        <v>322097.99</v>
      </c>
    </row>
    <row r="1820" spans="1:12" ht="15.6" outlineLevel="1">
      <c r="A1820" s="11">
        <v>1744000571</v>
      </c>
      <c r="B1820" s="40">
        <v>571</v>
      </c>
      <c r="C1820" s="109">
        <v>744000</v>
      </c>
      <c r="D1820" s="42">
        <v>1</v>
      </c>
      <c r="E1820" s="43"/>
      <c r="F1820" s="44" t="s">
        <v>75</v>
      </c>
      <c r="G1820" s="45" t="s">
        <v>29</v>
      </c>
      <c r="H1820" s="51">
        <f t="shared" si="28"/>
        <v>0</v>
      </c>
      <c r="I1820" s="47"/>
      <c r="J1820" s="48">
        <f>VLOOKUP(A1820,'[1]תקציב 2026'!$A$1:$M$65536,9,0)</f>
        <v>80400</v>
      </c>
      <c r="K1820" s="49">
        <v>80400</v>
      </c>
      <c r="L1820" s="50">
        <f>VLOOKUP(A1820,[2]data1761205830331!$A$1:$J$65536,10,0)</f>
        <v>63100</v>
      </c>
    </row>
    <row r="1821" spans="1:12" ht="15.6" outlineLevel="1">
      <c r="A1821" s="11">
        <v>1744000722</v>
      </c>
      <c r="B1821" s="40">
        <v>722</v>
      </c>
      <c r="C1821" s="109">
        <v>744000</v>
      </c>
      <c r="D1821" s="42">
        <v>1</v>
      </c>
      <c r="E1821" s="43"/>
      <c r="F1821" s="44" t="s">
        <v>51</v>
      </c>
      <c r="G1821" s="45" t="s">
        <v>37</v>
      </c>
      <c r="H1821" s="51">
        <f t="shared" si="28"/>
        <v>-9.7538083892859673E-2</v>
      </c>
      <c r="I1821" s="47"/>
      <c r="J1821" s="48">
        <f>VLOOKUP(A1821,'[1]תקציב 2026'!$A$1:$M$65536,9,0)</f>
        <v>125000</v>
      </c>
      <c r="K1821" s="49">
        <f>153900*0.9</f>
        <v>138510</v>
      </c>
      <c r="L1821" s="50">
        <f>VLOOKUP(A1821,[2]data1761205830331!$A$1:$J$65536,10,0)</f>
        <v>12870.4</v>
      </c>
    </row>
    <row r="1822" spans="1:12" ht="15.6" outlineLevel="1">
      <c r="A1822" s="11">
        <v>1744000742</v>
      </c>
      <c r="B1822" s="40">
        <v>742</v>
      </c>
      <c r="C1822" s="109">
        <v>744000</v>
      </c>
      <c r="D1822" s="42">
        <v>1</v>
      </c>
      <c r="E1822" s="43"/>
      <c r="F1822" s="44" t="s">
        <v>52</v>
      </c>
      <c r="G1822" s="45" t="s">
        <v>37</v>
      </c>
      <c r="H1822" s="51">
        <f t="shared" si="28"/>
        <v>-1.9607843137254943E-2</v>
      </c>
      <c r="I1822" s="47"/>
      <c r="J1822" s="48">
        <f>VLOOKUP(A1822,'[1]תקציב 2026'!$A$1:$M$65536,9,0)</f>
        <v>6000</v>
      </c>
      <c r="K1822" s="49">
        <f>6800*0.9</f>
        <v>6120</v>
      </c>
      <c r="L1822" s="50">
        <f>VLOOKUP(A1822,[2]data1761205830331!$A$1:$J$65536,10,0)</f>
        <v>6673.39</v>
      </c>
    </row>
    <row r="1823" spans="1:12" ht="15.6" outlineLevel="1">
      <c r="A1823" s="11">
        <v>1744000754</v>
      </c>
      <c r="B1823" s="40">
        <v>754</v>
      </c>
      <c r="C1823" s="109">
        <v>744000</v>
      </c>
      <c r="D1823" s="42">
        <v>1</v>
      </c>
      <c r="E1823" s="43"/>
      <c r="F1823" s="44" t="s">
        <v>1109</v>
      </c>
      <c r="G1823" s="45" t="s">
        <v>37</v>
      </c>
      <c r="H1823" s="51">
        <f t="shared" si="28"/>
        <v>-1</v>
      </c>
      <c r="I1823" s="47"/>
      <c r="J1823" s="48">
        <f>VLOOKUP(A1823,'[1]תקציב 2026'!$A$1:$M$65536,9,0)</f>
        <v>0</v>
      </c>
      <c r="K1823" s="49">
        <f>1727400*0.9</f>
        <v>1554660</v>
      </c>
      <c r="L1823" s="50">
        <f>VLOOKUP(A1823,[2]data1761205830331!$A$1:$J$65536,10,0)</f>
        <v>1592701.79</v>
      </c>
    </row>
    <row r="1824" spans="1:12" ht="16.2" outlineLevel="1" thickBot="1">
      <c r="A1824" s="11">
        <v>1744000794</v>
      </c>
      <c r="B1824" s="40">
        <v>794</v>
      </c>
      <c r="C1824" s="109">
        <v>744000</v>
      </c>
      <c r="D1824" s="42">
        <v>1</v>
      </c>
      <c r="E1824" s="43"/>
      <c r="F1824" s="44" t="s">
        <v>58</v>
      </c>
      <c r="G1824" s="45" t="s">
        <v>29</v>
      </c>
      <c r="H1824" s="51">
        <f t="shared" si="28"/>
        <v>0</v>
      </c>
      <c r="I1824" s="47"/>
      <c r="J1824" s="48">
        <f>VLOOKUP(A1824,'[1]תקציב 2026'!$A$1:$M$65536,9,0)</f>
        <v>71500</v>
      </c>
      <c r="K1824" s="49">
        <v>71500</v>
      </c>
      <c r="L1824" s="50">
        <f>VLOOKUP(A1824,[2]data1761205830331!$A$1:$J$65536,10,0)</f>
        <v>85279</v>
      </c>
    </row>
    <row r="1825" spans="1:12" ht="16.2" thickBot="1">
      <c r="A1825" s="11" t="e">
        <v>#VALUE!</v>
      </c>
      <c r="B1825" s="53" t="s">
        <v>1110</v>
      </c>
      <c r="C1825" s="223"/>
      <c r="D1825" s="55"/>
      <c r="E1825" s="56"/>
      <c r="F1825" s="116" t="s">
        <v>1104</v>
      </c>
      <c r="G1825" s="58"/>
      <c r="H1825" s="166">
        <f>J1825/K1825-1</f>
        <v>-0.51853615714595425</v>
      </c>
      <c r="I1825" s="72"/>
      <c r="J1825" s="74">
        <f>SUBTOTAL(9,J1814:J1824)</f>
        <v>1354690</v>
      </c>
      <c r="K1825" s="92">
        <f>SUBTOTAL(9,K1814:K1824)</f>
        <v>2813690</v>
      </c>
      <c r="L1825" s="75">
        <f>SUBTOTAL(9,L1814:L1824)</f>
        <v>2549081.4699999997</v>
      </c>
    </row>
    <row r="1826" spans="1:12" ht="15.6" outlineLevel="1">
      <c r="A1826" s="11">
        <v>17450000</v>
      </c>
      <c r="B1826" s="40">
        <v>0</v>
      </c>
      <c r="C1826" s="109">
        <v>745000</v>
      </c>
      <c r="D1826" s="42">
        <v>1</v>
      </c>
      <c r="E1826" s="43"/>
      <c r="F1826" s="44" t="s">
        <v>1111</v>
      </c>
      <c r="G1826" s="45" t="s">
        <v>15</v>
      </c>
      <c r="H1826" s="51"/>
      <c r="I1826" s="47"/>
      <c r="J1826" s="48"/>
      <c r="K1826" s="49"/>
      <c r="L1826" s="50"/>
    </row>
    <row r="1827" spans="1:12" ht="15.6" outlineLevel="1">
      <c r="A1827" s="11">
        <v>1745000119</v>
      </c>
      <c r="B1827" s="40">
        <v>119</v>
      </c>
      <c r="C1827" s="109">
        <v>745000</v>
      </c>
      <c r="D1827" s="42">
        <v>1</v>
      </c>
      <c r="E1827" s="43"/>
      <c r="F1827" s="44" t="s">
        <v>1105</v>
      </c>
      <c r="G1827" s="45" t="s">
        <v>22</v>
      </c>
      <c r="H1827" s="51">
        <f t="shared" si="28"/>
        <v>2.5004640801930655E-2</v>
      </c>
      <c r="I1827" s="47"/>
      <c r="J1827" s="48">
        <f>VLOOKUP(A1827,'[1]תקציב 2026'!$A$1:$M$65536,9,0)</f>
        <v>552170</v>
      </c>
      <c r="K1827" s="49">
        <v>538700</v>
      </c>
      <c r="L1827" s="50">
        <f>VLOOKUP(A1827,[2]data1761205830331!$A$1:$J$65536,10,0)</f>
        <v>349013.68</v>
      </c>
    </row>
    <row r="1828" spans="1:12" ht="15.6" outlineLevel="1">
      <c r="A1828" s="11">
        <v>1745000122</v>
      </c>
      <c r="B1828" s="40">
        <v>122</v>
      </c>
      <c r="C1828" s="109">
        <v>745000</v>
      </c>
      <c r="D1828" s="42">
        <v>1</v>
      </c>
      <c r="E1828" s="43"/>
      <c r="F1828" s="44" t="s">
        <v>1106</v>
      </c>
      <c r="G1828" s="45" t="s">
        <v>22</v>
      </c>
      <c r="H1828" s="51">
        <f t="shared" si="28"/>
        <v>0</v>
      </c>
      <c r="I1828" s="47"/>
      <c r="J1828" s="48">
        <f>VLOOKUP(A1828,'[1]תקציב 2026'!$A$1:$M$65536,9,0)</f>
        <v>2800</v>
      </c>
      <c r="K1828" s="49">
        <f>VLOOKUP(A1828,[3]גיליון1!$A$1:$C$7693,3,0)</f>
        <v>2800</v>
      </c>
      <c r="L1828" s="50">
        <f>VLOOKUP(A1828,[2]data1761205830331!$A$1:$J$65536,10,0)</f>
        <v>2405</v>
      </c>
    </row>
    <row r="1829" spans="1:12" ht="15.6" outlineLevel="1">
      <c r="A1829" s="11">
        <v>1745000126</v>
      </c>
      <c r="B1829" s="40">
        <v>126</v>
      </c>
      <c r="C1829" s="109">
        <v>745000</v>
      </c>
      <c r="D1829" s="42">
        <v>1</v>
      </c>
      <c r="E1829" s="43"/>
      <c r="F1829" s="44" t="s">
        <v>1107</v>
      </c>
      <c r="G1829" s="45" t="s">
        <v>22</v>
      </c>
      <c r="H1829" s="51">
        <f t="shared" si="28"/>
        <v>0</v>
      </c>
      <c r="I1829" s="47"/>
      <c r="J1829" s="48">
        <f>VLOOKUP(A1829,'[1]תקציב 2026'!$A$1:$M$65536,9,0)</f>
        <v>6500</v>
      </c>
      <c r="K1829" s="49">
        <f>VLOOKUP(A1829,[3]גיליון1!$A$1:$C$7693,3,0)</f>
        <v>6500</v>
      </c>
      <c r="L1829" s="50">
        <f>VLOOKUP(A1829,[2]data1761205830331!$A$1:$J$65536,10,0)</f>
        <v>6128.2</v>
      </c>
    </row>
    <row r="1830" spans="1:12" ht="15.6" outlineLevel="1">
      <c r="A1830" s="11">
        <v>1745000140</v>
      </c>
      <c r="B1830" s="40">
        <v>140</v>
      </c>
      <c r="C1830" s="109">
        <v>745000</v>
      </c>
      <c r="D1830" s="42">
        <v>1</v>
      </c>
      <c r="E1830" s="43"/>
      <c r="F1830" s="44" t="s">
        <v>27</v>
      </c>
      <c r="G1830" s="45" t="s">
        <v>22</v>
      </c>
      <c r="H1830" s="51">
        <f t="shared" si="28"/>
        <v>0</v>
      </c>
      <c r="I1830" s="47"/>
      <c r="J1830" s="48">
        <f>VLOOKUP(A1830,'[1]תקציב 2026'!$A$1:$M$65536,9,0)</f>
        <v>51600</v>
      </c>
      <c r="K1830" s="49">
        <f>VLOOKUP(A1830,[3]גיליון1!$A$1:$C$7693,3,0)</f>
        <v>51600</v>
      </c>
      <c r="L1830" s="50">
        <f>VLOOKUP(A1830,[2]data1761205830331!$A$1:$J$65536,10,0)</f>
        <v>0</v>
      </c>
    </row>
    <row r="1831" spans="1:12" ht="15.6" outlineLevel="1">
      <c r="A1831" s="11">
        <v>1745000431</v>
      </c>
      <c r="B1831" s="40">
        <v>431</v>
      </c>
      <c r="C1831" s="109">
        <v>745000</v>
      </c>
      <c r="D1831" s="42">
        <v>1</v>
      </c>
      <c r="E1831" s="43"/>
      <c r="F1831" s="159" t="s">
        <v>32</v>
      </c>
      <c r="G1831" s="45" t="s">
        <v>29</v>
      </c>
      <c r="H1831" s="51">
        <f t="shared" si="28"/>
        <v>-0.25</v>
      </c>
      <c r="I1831" s="47"/>
      <c r="J1831" s="48">
        <f>VLOOKUP(A1831,'[1]תקציב 2026'!$A$1:$M$65536,9,0)</f>
        <v>15000</v>
      </c>
      <c r="K1831" s="49">
        <v>20000</v>
      </c>
      <c r="L1831" s="50">
        <f>VLOOKUP(A1831,[2]data1761205830331!$A$1:$J$65536,10,0)</f>
        <v>14910.64</v>
      </c>
    </row>
    <row r="1832" spans="1:12" ht="15.6" outlineLevel="1">
      <c r="A1832" s="11">
        <v>1745000580</v>
      </c>
      <c r="B1832" s="40">
        <v>580</v>
      </c>
      <c r="C1832" s="109">
        <v>745000</v>
      </c>
      <c r="D1832" s="42">
        <v>1</v>
      </c>
      <c r="E1832" s="43"/>
      <c r="F1832" s="44" t="s">
        <v>1112</v>
      </c>
      <c r="G1832" s="45" t="s">
        <v>29</v>
      </c>
      <c r="H1832" s="51">
        <f t="shared" si="28"/>
        <v>0.11583924349881802</v>
      </c>
      <c r="I1832" s="47"/>
      <c r="J1832" s="48">
        <f>VLOOKUP(A1832,'[1]תקציב 2026'!$A$1:$M$65536,9,0)</f>
        <v>4720</v>
      </c>
      <c r="K1832" s="49">
        <f>4700*0.9</f>
        <v>4230</v>
      </c>
      <c r="L1832" s="50">
        <f>VLOOKUP(A1832,[2]data1761205830331!$A$1:$J$65536,10,0)</f>
        <v>4680</v>
      </c>
    </row>
    <row r="1833" spans="1:12" ht="15.6" outlineLevel="1">
      <c r="A1833" s="11">
        <v>1745000581</v>
      </c>
      <c r="B1833" s="40">
        <v>581</v>
      </c>
      <c r="C1833" s="109">
        <v>745000</v>
      </c>
      <c r="D1833" s="42">
        <v>1</v>
      </c>
      <c r="E1833" s="43"/>
      <c r="F1833" s="44" t="s">
        <v>1113</v>
      </c>
      <c r="G1833" s="45" t="s">
        <v>37</v>
      </c>
      <c r="H1833" s="51">
        <f t="shared" si="28"/>
        <v>1.0451127819548871</v>
      </c>
      <c r="I1833" s="47"/>
      <c r="J1833" s="48">
        <f>VLOOKUP(A1833,'[1]תקציב 2026'!$A$1:$M$65536,9,0)</f>
        <v>122400</v>
      </c>
      <c r="K1833" s="49">
        <f>VLOOKUP(A1833,[3]גיליון1!$A$1:$C$7693,3,0)*0.9</f>
        <v>59850</v>
      </c>
      <c r="L1833" s="50">
        <f>VLOOKUP(A1833,[2]data1761205830331!$A$1:$J$65536,10,0)</f>
        <v>57112.7</v>
      </c>
    </row>
    <row r="1834" spans="1:12" ht="15.6" outlineLevel="1">
      <c r="A1834" s="11">
        <v>1745000582</v>
      </c>
      <c r="B1834" s="40">
        <v>582</v>
      </c>
      <c r="C1834" s="109">
        <v>745000</v>
      </c>
      <c r="D1834" s="42">
        <v>1</v>
      </c>
      <c r="E1834" s="43"/>
      <c r="F1834" s="44" t="s">
        <v>1114</v>
      </c>
      <c r="G1834" s="45" t="s">
        <v>29</v>
      </c>
      <c r="H1834" s="51">
        <f t="shared" si="28"/>
        <v>-0.11499999999999999</v>
      </c>
      <c r="I1834" s="47"/>
      <c r="J1834" s="48">
        <f>VLOOKUP(A1834,'[1]תקציב 2026'!$A$1:$M$65536,9,0)</f>
        <v>35400</v>
      </c>
      <c r="K1834" s="49">
        <f>VLOOKUP(A1834,[3]גיליון1!$A$1:$C$7693,3,0)</f>
        <v>40000</v>
      </c>
      <c r="L1834" s="50">
        <f>VLOOKUP(A1834,[2]data1761205830331!$A$1:$J$65536,10,0)</f>
        <v>37767.660000000003</v>
      </c>
    </row>
    <row r="1835" spans="1:12" ht="15.6" outlineLevel="1">
      <c r="A1835" s="11">
        <v>1745000583</v>
      </c>
      <c r="B1835" s="206">
        <v>583</v>
      </c>
      <c r="C1835" s="207">
        <v>745000</v>
      </c>
      <c r="D1835" s="208">
        <v>1</v>
      </c>
      <c r="E1835" s="229"/>
      <c r="F1835" s="44" t="s">
        <v>1115</v>
      </c>
      <c r="G1835" s="45" t="s">
        <v>29</v>
      </c>
      <c r="H1835" s="51">
        <f t="shared" si="28"/>
        <v>2.0408163265306145E-2</v>
      </c>
      <c r="I1835" s="47"/>
      <c r="J1835" s="48">
        <f>VLOOKUP(A1835,'[1]תקציב 2026'!$A$1:$M$65536,9,0)</f>
        <v>120000</v>
      </c>
      <c r="K1835" s="49">
        <f>VLOOKUP(A1835,[3]גיליון1!$A$1:$C$7693,3,0)</f>
        <v>117600</v>
      </c>
      <c r="L1835" s="50">
        <f>VLOOKUP(A1835,[2]data1761205830331!$A$1:$J$65536,10,0)</f>
        <v>111647.14</v>
      </c>
    </row>
    <row r="1836" spans="1:12" ht="15.6" outlineLevel="1">
      <c r="A1836" s="11">
        <v>1745000584</v>
      </c>
      <c r="B1836" s="206">
        <v>584</v>
      </c>
      <c r="C1836" s="207">
        <v>745000</v>
      </c>
      <c r="D1836" s="208">
        <v>1</v>
      </c>
      <c r="E1836" s="229"/>
      <c r="F1836" s="44" t="s">
        <v>1091</v>
      </c>
      <c r="G1836" s="45" t="s">
        <v>37</v>
      </c>
      <c r="H1836" s="51">
        <v>1</v>
      </c>
      <c r="I1836" s="47" t="s">
        <v>86</v>
      </c>
      <c r="J1836" s="48">
        <f>VLOOKUP(A1836,'[1]תקציב 2026'!$A$1:$M$65536,9,0)</f>
        <v>150000</v>
      </c>
      <c r="K1836" s="49">
        <v>0</v>
      </c>
      <c r="L1836" s="50">
        <v>0</v>
      </c>
    </row>
    <row r="1837" spans="1:12" ht="15.6" outlineLevel="1">
      <c r="A1837" s="11">
        <v>1745000722</v>
      </c>
      <c r="B1837" s="40">
        <v>722</v>
      </c>
      <c r="C1837" s="109">
        <v>745000</v>
      </c>
      <c r="D1837" s="42">
        <v>1</v>
      </c>
      <c r="E1837" s="43"/>
      <c r="F1837" s="44" t="s">
        <v>51</v>
      </c>
      <c r="G1837" s="45" t="s">
        <v>37</v>
      </c>
      <c r="H1837" s="51">
        <f t="shared" si="28"/>
        <v>0</v>
      </c>
      <c r="I1837" s="47"/>
      <c r="J1837" s="48">
        <f>VLOOKUP(A1837,'[1]תקציב 2026'!$A$1:$M$65536,9,0)</f>
        <v>6120</v>
      </c>
      <c r="K1837" s="49">
        <f>6800*0.9</f>
        <v>6120</v>
      </c>
      <c r="L1837" s="50">
        <f>VLOOKUP(A1837,[2]data1761205830331!$A$1:$J$65536,10,0)</f>
        <v>3083.39</v>
      </c>
    </row>
    <row r="1838" spans="1:12" ht="15.6" outlineLevel="1">
      <c r="A1838" s="11">
        <v>1745000742</v>
      </c>
      <c r="B1838" s="40">
        <v>742</v>
      </c>
      <c r="C1838" s="109">
        <v>745000</v>
      </c>
      <c r="D1838" s="42">
        <v>1</v>
      </c>
      <c r="E1838" s="43"/>
      <c r="F1838" s="44" t="s">
        <v>52</v>
      </c>
      <c r="G1838" s="45" t="s">
        <v>37</v>
      </c>
      <c r="H1838" s="51">
        <f t="shared" si="28"/>
        <v>-1</v>
      </c>
      <c r="I1838" s="47"/>
      <c r="J1838" s="48">
        <f>VLOOKUP(A1838,'[1]תקציב 2026'!$A$1:$M$65536,9,0)</f>
        <v>0</v>
      </c>
      <c r="K1838" s="49">
        <f>6800*0.9</f>
        <v>6120</v>
      </c>
      <c r="L1838" s="50">
        <f>VLOOKUP(A1838,[2]data1761205830331!$A$1:$J$65536,10,0)</f>
        <v>6738.8</v>
      </c>
    </row>
    <row r="1839" spans="1:12" ht="15.6" outlineLevel="1">
      <c r="A1839" s="11">
        <v>1745000754</v>
      </c>
      <c r="B1839" s="40">
        <v>754</v>
      </c>
      <c r="C1839" s="109">
        <v>745000</v>
      </c>
      <c r="D1839" s="42">
        <v>1</v>
      </c>
      <c r="E1839" s="43"/>
      <c r="F1839" s="44" t="s">
        <v>53</v>
      </c>
      <c r="G1839" s="45" t="s">
        <v>37</v>
      </c>
      <c r="H1839" s="51">
        <v>0</v>
      </c>
      <c r="I1839" s="47"/>
      <c r="J1839" s="48">
        <f>VLOOKUP(A1839,'[1]תקציב 2026'!$A$1:$M$65536,9,0)</f>
        <v>0</v>
      </c>
      <c r="K1839" s="49">
        <v>0</v>
      </c>
      <c r="L1839" s="50">
        <f>VLOOKUP(A1839,[2]data1761205830331!$A$1:$J$65536,10,0)</f>
        <v>561226.67000000004</v>
      </c>
    </row>
    <row r="1840" spans="1:12" ht="15.6" outlineLevel="1">
      <c r="A1840" s="11">
        <v>1745000757</v>
      </c>
      <c r="B1840" s="40">
        <v>757</v>
      </c>
      <c r="C1840" s="109">
        <v>745000</v>
      </c>
      <c r="D1840" s="42">
        <v>1</v>
      </c>
      <c r="E1840" s="43"/>
      <c r="F1840" s="44" t="s">
        <v>1116</v>
      </c>
      <c r="G1840" s="45" t="s">
        <v>37</v>
      </c>
      <c r="H1840" s="51">
        <f t="shared" si="28"/>
        <v>0</v>
      </c>
      <c r="I1840" s="47"/>
      <c r="J1840" s="48">
        <f>VLOOKUP(A1840,'[1]תקציב 2026'!$A$1:$M$65536,9,0)</f>
        <v>332100</v>
      </c>
      <c r="K1840" s="49">
        <f>VLOOKUP(A1840,[3]גיליון1!$A$1:$C$7693,3,0)*0.9</f>
        <v>332100</v>
      </c>
      <c r="L1840" s="50">
        <f>VLOOKUP(A1840,[2]data1761205830331!$A$1:$J$65536,10,0)</f>
        <v>331933.07</v>
      </c>
    </row>
    <row r="1841" spans="1:12" ht="15.6" outlineLevel="1">
      <c r="A1841" s="11">
        <v>1745000758</v>
      </c>
      <c r="B1841" s="40">
        <v>758</v>
      </c>
      <c r="C1841" s="109">
        <v>745000</v>
      </c>
      <c r="D1841" s="42">
        <v>1</v>
      </c>
      <c r="E1841" s="43"/>
      <c r="F1841" s="44" t="s">
        <v>1117</v>
      </c>
      <c r="G1841" s="45" t="s">
        <v>37</v>
      </c>
      <c r="H1841" s="51">
        <f t="shared" si="28"/>
        <v>0</v>
      </c>
      <c r="I1841" s="47"/>
      <c r="J1841" s="48">
        <f>VLOOKUP(A1841,'[1]תקציב 2026'!$A$1:$M$65536,9,0)</f>
        <v>85500</v>
      </c>
      <c r="K1841" s="49">
        <f>VLOOKUP(A1841,[3]גיליון1!$A$1:$C$7693,3,0)*0.9</f>
        <v>85500</v>
      </c>
      <c r="L1841" s="50">
        <f>VLOOKUP(A1841,[2]data1761205830331!$A$1:$J$65536,10,0)</f>
        <v>16742</v>
      </c>
    </row>
    <row r="1842" spans="1:12" ht="15.6" outlineLevel="1">
      <c r="A1842" s="11">
        <v>1745000759</v>
      </c>
      <c r="B1842" s="40">
        <v>759</v>
      </c>
      <c r="C1842" s="109">
        <v>745000</v>
      </c>
      <c r="D1842" s="42">
        <v>1</v>
      </c>
      <c r="E1842" s="43"/>
      <c r="F1842" s="44" t="s">
        <v>1118</v>
      </c>
      <c r="G1842" s="45" t="s">
        <v>37</v>
      </c>
      <c r="H1842" s="51">
        <f t="shared" si="28"/>
        <v>0.12060778727445398</v>
      </c>
      <c r="I1842" s="47"/>
      <c r="J1842" s="48">
        <f>VLOOKUP(A1842,'[1]תקציב 2026'!$A$1:$M$65536,9,0)</f>
        <v>118000</v>
      </c>
      <c r="K1842" s="49">
        <f>VLOOKUP(A1842,[3]גיליון1!$A$1:$C$7693,3,0)*0.9</f>
        <v>105300</v>
      </c>
      <c r="L1842" s="50">
        <f>VLOOKUP(A1842,[2]data1761205830331!$A$1:$J$65536,10,0)</f>
        <v>617</v>
      </c>
    </row>
    <row r="1843" spans="1:12" ht="15.6" outlineLevel="1">
      <c r="A1843" s="11">
        <v>1745000761</v>
      </c>
      <c r="B1843" s="40">
        <v>761</v>
      </c>
      <c r="C1843" s="109">
        <v>745000</v>
      </c>
      <c r="D1843" s="42">
        <v>1</v>
      </c>
      <c r="E1843" s="43"/>
      <c r="F1843" s="44" t="str">
        <f>[4]גיליון1!$F$3156</f>
        <v>אחזקה שוטפת חדר משאבות</v>
      </c>
      <c r="G1843" s="45" t="s">
        <v>37</v>
      </c>
      <c r="H1843" s="51">
        <f t="shared" si="28"/>
        <v>-1</v>
      </c>
      <c r="I1843" s="47"/>
      <c r="J1843" s="48">
        <f>VLOOKUP(A1843,'[1]תקציב 2026'!$A$1:$M$65536,9,0)</f>
        <v>0</v>
      </c>
      <c r="K1843" s="49">
        <f>VLOOKUP(A1843,[3]גיליון1!$A$1:$C$7693,3,0)*0.9</f>
        <v>90000</v>
      </c>
      <c r="L1843" s="50">
        <f>VLOOKUP(A1843,[2]data1761205830331!$A$1:$J$65536,10,0)</f>
        <v>0</v>
      </c>
    </row>
    <row r="1844" spans="1:12" ht="16.2" outlineLevel="1" thickBot="1">
      <c r="A1844" s="11">
        <v>1745000832</v>
      </c>
      <c r="B1844" s="40">
        <v>832</v>
      </c>
      <c r="C1844" s="109">
        <v>745000</v>
      </c>
      <c r="D1844" s="42">
        <v>1</v>
      </c>
      <c r="E1844" s="43"/>
      <c r="F1844" s="44" t="s">
        <v>1119</v>
      </c>
      <c r="G1844" s="45" t="s">
        <v>29</v>
      </c>
      <c r="H1844" s="51">
        <f t="shared" si="28"/>
        <v>0.10438427250349269</v>
      </c>
      <c r="I1844" s="47"/>
      <c r="J1844" s="48">
        <f>VLOOKUP(A1844,'[1]תקציב 2026'!$A$1:$M$65536,9,0)</f>
        <v>1660000</v>
      </c>
      <c r="K1844" s="49">
        <v>1503100</v>
      </c>
      <c r="L1844" s="50">
        <f>VLOOKUP(A1844,[2]data1761205830331!$A$1:$J$65536,10,0)</f>
        <v>1366432</v>
      </c>
    </row>
    <row r="1845" spans="1:12" ht="16.2" thickBot="1">
      <c r="A1845" s="11" t="e">
        <v>#VALUE!</v>
      </c>
      <c r="B1845" s="53" t="s">
        <v>1120</v>
      </c>
      <c r="C1845" s="223"/>
      <c r="D1845" s="55"/>
      <c r="E1845" s="56"/>
      <c r="F1845" s="116" t="s">
        <v>1111</v>
      </c>
      <c r="G1845" s="58"/>
      <c r="H1845" s="166">
        <f>J1845/K1845-1</f>
        <v>9.8598426681753226E-2</v>
      </c>
      <c r="I1845" s="72"/>
      <c r="J1845" s="74">
        <f>SUBTOTAL(9,J1827:J1844)</f>
        <v>3262310</v>
      </c>
      <c r="K1845" s="92">
        <f>SUBTOTAL(9,K1827:K1844)</f>
        <v>2969520</v>
      </c>
      <c r="L1845" s="75">
        <f>SUBTOTAL(9,L1827:L1844)</f>
        <v>2870437.95</v>
      </c>
    </row>
    <row r="1846" spans="1:12" ht="15.6" outlineLevel="1">
      <c r="A1846" s="11">
        <v>17460000</v>
      </c>
      <c r="B1846" s="64">
        <v>0</v>
      </c>
      <c r="C1846" s="131">
        <v>746000</v>
      </c>
      <c r="D1846" s="66">
        <v>1</v>
      </c>
      <c r="E1846" s="67"/>
      <c r="F1846" s="68" t="s">
        <v>203</v>
      </c>
      <c r="G1846" s="69" t="s">
        <v>15</v>
      </c>
      <c r="H1846" s="51"/>
      <c r="I1846" s="47"/>
      <c r="J1846" s="48"/>
      <c r="K1846" s="49"/>
      <c r="L1846" s="50"/>
    </row>
    <row r="1847" spans="1:12" ht="15.6" outlineLevel="1">
      <c r="A1847" s="11">
        <v>1746100110</v>
      </c>
      <c r="B1847" s="40">
        <v>110</v>
      </c>
      <c r="C1847" s="109">
        <v>746100</v>
      </c>
      <c r="D1847" s="42">
        <v>1</v>
      </c>
      <c r="E1847" s="43"/>
      <c r="F1847" s="44" t="s">
        <v>21</v>
      </c>
      <c r="G1847" s="45" t="s">
        <v>22</v>
      </c>
      <c r="H1847" s="51">
        <f t="shared" si="28"/>
        <v>2.4997729130711299E-2</v>
      </c>
      <c r="I1847" s="47"/>
      <c r="J1847" s="48">
        <f>VLOOKUP(A1847,'[1]תקציב 2026'!$A$1:$M$65536,9,0)</f>
        <v>1128420</v>
      </c>
      <c r="K1847" s="49">
        <v>1100900</v>
      </c>
      <c r="L1847" s="50">
        <f>VLOOKUP(A1847,[2]data1761205830331!$A$1:$J$65536,10,0)</f>
        <v>926426</v>
      </c>
    </row>
    <row r="1848" spans="1:12" ht="15.6" outlineLevel="1">
      <c r="A1848" s="11">
        <v>1746100119</v>
      </c>
      <c r="B1848" s="40">
        <v>119</v>
      </c>
      <c r="C1848" s="109">
        <v>746100</v>
      </c>
      <c r="D1848" s="42">
        <v>1</v>
      </c>
      <c r="E1848" s="43"/>
      <c r="F1848" s="44" t="s">
        <v>23</v>
      </c>
      <c r="G1848" s="45" t="s">
        <v>22</v>
      </c>
      <c r="H1848" s="51">
        <f t="shared" si="28"/>
        <v>0.14547430888098956</v>
      </c>
      <c r="I1848" s="47"/>
      <c r="J1848" s="48">
        <v>3899080</v>
      </c>
      <c r="K1848" s="49">
        <v>3403900</v>
      </c>
      <c r="L1848" s="50">
        <f>VLOOKUP(A1848,[2]data1761205830331!$A$1:$J$65536,10,0)</f>
        <v>4221388.5999999996</v>
      </c>
    </row>
    <row r="1849" spans="1:12" ht="15.6" outlineLevel="1">
      <c r="A1849" s="11">
        <v>1746100122</v>
      </c>
      <c r="B1849" s="40">
        <v>122</v>
      </c>
      <c r="C1849" s="109">
        <v>746100</v>
      </c>
      <c r="D1849" s="42">
        <v>1</v>
      </c>
      <c r="E1849" s="43"/>
      <c r="F1849" s="44" t="s">
        <v>24</v>
      </c>
      <c r="G1849" s="45" t="s">
        <v>22</v>
      </c>
      <c r="H1849" s="51">
        <f t="shared" si="28"/>
        <v>0.10859375000000004</v>
      </c>
      <c r="I1849" s="47"/>
      <c r="J1849" s="48">
        <v>70950</v>
      </c>
      <c r="K1849" s="49">
        <f>VLOOKUP(A1849,[3]גיליון1!$A$1:$C$7693,3,0)</f>
        <v>64000</v>
      </c>
      <c r="L1849" s="50">
        <f>VLOOKUP(A1849,[2]data1761205830331!$A$1:$J$65536,10,0)</f>
        <v>64549.79</v>
      </c>
    </row>
    <row r="1850" spans="1:12" ht="15.6" outlineLevel="1">
      <c r="A1850" s="11">
        <v>1746100126</v>
      </c>
      <c r="B1850" s="40">
        <v>126</v>
      </c>
      <c r="C1850" s="109">
        <v>746100</v>
      </c>
      <c r="D1850" s="42">
        <v>1</v>
      </c>
      <c r="E1850" s="43"/>
      <c r="F1850" s="44" t="s">
        <v>25</v>
      </c>
      <c r="G1850" s="45" t="s">
        <v>22</v>
      </c>
      <c r="H1850" s="51">
        <f t="shared" si="28"/>
        <v>0.10871794871794882</v>
      </c>
      <c r="I1850" s="47"/>
      <c r="J1850" s="48">
        <v>43240</v>
      </c>
      <c r="K1850" s="49">
        <f>VLOOKUP(A1850,[3]גיליון1!$A$1:$C$7693,3,0)</f>
        <v>39000</v>
      </c>
      <c r="L1850" s="50">
        <f>VLOOKUP(A1850,[2]data1761205830331!$A$1:$J$65536,10,0)</f>
        <v>39653.15</v>
      </c>
    </row>
    <row r="1851" spans="1:12" ht="15.6" outlineLevel="1">
      <c r="A1851" s="11">
        <v>1746100130</v>
      </c>
      <c r="B1851" s="40">
        <v>130</v>
      </c>
      <c r="C1851" s="109">
        <v>746100</v>
      </c>
      <c r="D1851" s="42">
        <v>1</v>
      </c>
      <c r="E1851" s="43"/>
      <c r="F1851" s="44" t="s">
        <v>26</v>
      </c>
      <c r="G1851" s="45" t="s">
        <v>22</v>
      </c>
      <c r="H1851" s="51">
        <f t="shared" si="28"/>
        <v>0</v>
      </c>
      <c r="I1851" s="47"/>
      <c r="J1851" s="48">
        <f>VLOOKUP(A1851,'[1]תקציב 2026'!$A$1:$M$65536,9,0)</f>
        <v>142500</v>
      </c>
      <c r="K1851" s="49">
        <f>VLOOKUP(A1851,[3]גיליון1!$A$1:$C$7693,3,0)*0.86-2</f>
        <v>142500</v>
      </c>
      <c r="L1851" s="50">
        <f>VLOOKUP(A1851,[2]data1761205830331!$A$1:$J$65536,10,0)</f>
        <v>109311.93</v>
      </c>
    </row>
    <row r="1852" spans="1:12" ht="15.6" outlineLevel="1">
      <c r="A1852" s="11">
        <v>1746100140</v>
      </c>
      <c r="B1852" s="40">
        <v>140</v>
      </c>
      <c r="C1852" s="109">
        <v>746100</v>
      </c>
      <c r="D1852" s="42">
        <v>1</v>
      </c>
      <c r="E1852" s="43"/>
      <c r="F1852" s="44" t="s">
        <v>27</v>
      </c>
      <c r="G1852" s="45" t="s">
        <v>22</v>
      </c>
      <c r="H1852" s="51">
        <f t="shared" si="28"/>
        <v>0</v>
      </c>
      <c r="I1852" s="47"/>
      <c r="J1852" s="48">
        <f>VLOOKUP(A1852,'[1]תקציב 2026'!$A$1:$M$65536,9,0)</f>
        <v>480600</v>
      </c>
      <c r="K1852" s="49">
        <f>VLOOKUP(A1852,[3]גיליון1!$A$1:$C$7693,3,0)</f>
        <v>480600</v>
      </c>
      <c r="L1852" s="50">
        <f>VLOOKUP(A1852,[2]data1761205830331!$A$1:$J$65536,10,0)</f>
        <v>464994.51</v>
      </c>
    </row>
    <row r="1853" spans="1:12" ht="15.6" outlineLevel="1">
      <c r="A1853" s="11">
        <v>1746100350</v>
      </c>
      <c r="B1853" s="40">
        <v>350</v>
      </c>
      <c r="C1853" s="109">
        <v>746100</v>
      </c>
      <c r="D1853" s="42">
        <v>1</v>
      </c>
      <c r="E1853" s="43"/>
      <c r="F1853" s="44" t="s">
        <v>1121</v>
      </c>
      <c r="G1853" s="45" t="s">
        <v>22</v>
      </c>
      <c r="H1853" s="51">
        <v>1</v>
      </c>
      <c r="I1853" s="47" t="s">
        <v>137</v>
      </c>
      <c r="J1853" s="48">
        <f>VLOOKUP(A1853,'[1]תקציב 2026'!$A$1:$M$65536,9,0)</f>
        <v>55830</v>
      </c>
      <c r="K1853" s="49">
        <v>0</v>
      </c>
      <c r="L1853" s="50">
        <f>VLOOKUP(A1853,[2]data1761205830331!$A$1:$J$65536,10,0)</f>
        <v>0</v>
      </c>
    </row>
    <row r="1854" spans="1:12" ht="15.6" outlineLevel="1">
      <c r="A1854" s="11">
        <v>1746100210</v>
      </c>
      <c r="B1854" s="40">
        <v>210</v>
      </c>
      <c r="C1854" s="109">
        <v>746100</v>
      </c>
      <c r="D1854" s="42">
        <v>1</v>
      </c>
      <c r="E1854" s="43"/>
      <c r="F1854" s="44" t="s">
        <v>1122</v>
      </c>
      <c r="G1854" s="45" t="s">
        <v>22</v>
      </c>
      <c r="H1854" s="51">
        <v>0</v>
      </c>
      <c r="I1854" s="47"/>
      <c r="J1854" s="48">
        <f>VLOOKUP(A1854,'[1]תקציב 2026'!$A$1:$M$65536,9,0)</f>
        <v>0</v>
      </c>
      <c r="K1854" s="49">
        <f>VLOOKUP(A1854,[3]גיליון1!$A$1:$C$7693,3,0)</f>
        <v>0</v>
      </c>
      <c r="L1854" s="50">
        <f>VLOOKUP(A1854,[2]data1761205830331!$A$1:$J$65536,10,0)</f>
        <v>731.69</v>
      </c>
    </row>
    <row r="1855" spans="1:12" ht="15.6" outlineLevel="1">
      <c r="A1855" s="11">
        <v>1746100253</v>
      </c>
      <c r="B1855" s="40">
        <v>253</v>
      </c>
      <c r="C1855" s="109">
        <v>746100</v>
      </c>
      <c r="D1855" s="42">
        <v>1</v>
      </c>
      <c r="E1855" s="43"/>
      <c r="F1855" s="44" t="s">
        <v>738</v>
      </c>
      <c r="G1855" s="45" t="s">
        <v>22</v>
      </c>
      <c r="H1855" s="51">
        <v>1</v>
      </c>
      <c r="I1855" s="47"/>
      <c r="J1855" s="48">
        <f>VLOOKUP(A1855,'[1]תקציב 2026'!$A$1:$M$65536,9,0)</f>
        <v>30000</v>
      </c>
      <c r="K1855" s="49">
        <f>VLOOKUP(A1855,[3]גיליון1!$A$1:$C$7693,3,0)</f>
        <v>0</v>
      </c>
      <c r="L1855" s="50">
        <f>VLOOKUP(A1855,[2]data1761205830331!$A$1:$J$65536,10,0)</f>
        <v>20367.75</v>
      </c>
    </row>
    <row r="1856" spans="1:12" ht="15.6" outlineLevel="1">
      <c r="A1856" s="11">
        <v>1746100431</v>
      </c>
      <c r="B1856" s="40">
        <v>431</v>
      </c>
      <c r="C1856" s="109">
        <v>746100</v>
      </c>
      <c r="D1856" s="42">
        <v>1</v>
      </c>
      <c r="E1856" s="43"/>
      <c r="F1856" s="44" t="s">
        <v>32</v>
      </c>
      <c r="G1856" s="45" t="s">
        <v>29</v>
      </c>
      <c r="H1856" s="51">
        <f t="shared" si="28"/>
        <v>3.4992607195662995E-2</v>
      </c>
      <c r="I1856" s="47"/>
      <c r="J1856" s="48">
        <f>VLOOKUP(A1856,'[1]תקציב 2026'!$A$1:$M$65536,9,0)</f>
        <v>210000</v>
      </c>
      <c r="K1856" s="49">
        <v>202900</v>
      </c>
      <c r="L1856" s="50">
        <f>VLOOKUP(A1856,[2]data1761205830331!$A$1:$J$65536,10,0)</f>
        <v>206111.57</v>
      </c>
    </row>
    <row r="1857" spans="1:12" ht="15.6" outlineLevel="1">
      <c r="A1857" s="11">
        <v>1746100432</v>
      </c>
      <c r="B1857" s="40">
        <v>432</v>
      </c>
      <c r="C1857" s="109">
        <v>746100</v>
      </c>
      <c r="D1857" s="42">
        <v>1</v>
      </c>
      <c r="E1857" s="43"/>
      <c r="F1857" s="44" t="s">
        <v>33</v>
      </c>
      <c r="G1857" s="45" t="s">
        <v>29</v>
      </c>
      <c r="H1857" s="51">
        <f t="shared" si="28"/>
        <v>0.14754098360655732</v>
      </c>
      <c r="I1857" s="47"/>
      <c r="J1857" s="48">
        <f>VLOOKUP(A1857,'[1]תקציב 2026'!$A$1:$M$65536,9,0)</f>
        <v>7000000</v>
      </c>
      <c r="K1857" s="49">
        <v>6100000</v>
      </c>
      <c r="L1857" s="50">
        <f>VLOOKUP(A1857,[2]data1761205830331!$A$1:$J$65536,10,0)</f>
        <v>6358990.4100000001</v>
      </c>
    </row>
    <row r="1858" spans="1:12" ht="15.6" outlineLevel="1">
      <c r="A1858" s="11">
        <v>1746100437</v>
      </c>
      <c r="B1858" s="40">
        <v>437</v>
      </c>
      <c r="C1858" s="109">
        <v>746100</v>
      </c>
      <c r="D1858" s="42">
        <v>1</v>
      </c>
      <c r="E1858" s="43"/>
      <c r="F1858" s="44" t="s">
        <v>38</v>
      </c>
      <c r="G1858" s="45" t="s">
        <v>29</v>
      </c>
      <c r="H1858" s="51">
        <f t="shared" si="28"/>
        <v>0</v>
      </c>
      <c r="I1858" s="47"/>
      <c r="J1858" s="48">
        <f>VLOOKUP(A1858,'[1]תקציב 2026'!$A$1:$M$65536,9,0)</f>
        <v>1300</v>
      </c>
      <c r="K1858" s="49">
        <f>VLOOKUP(A1858,[3]גיליון1!$A$1:$C$7693,3,0)</f>
        <v>1300</v>
      </c>
      <c r="L1858" s="50">
        <f>VLOOKUP(A1858,[2]data1761205830331!$A$1:$J$65536,10,0)</f>
        <v>1221.48</v>
      </c>
    </row>
    <row r="1859" spans="1:12" ht="15.6" outlineLevel="1">
      <c r="A1859" s="11">
        <v>1746100470</v>
      </c>
      <c r="B1859" s="40">
        <v>470</v>
      </c>
      <c r="C1859" s="109">
        <v>746100</v>
      </c>
      <c r="D1859" s="42">
        <v>1</v>
      </c>
      <c r="E1859" s="43"/>
      <c r="F1859" s="44" t="s">
        <v>43</v>
      </c>
      <c r="G1859" s="45" t="s">
        <v>37</v>
      </c>
      <c r="H1859" s="51">
        <f t="shared" si="28"/>
        <v>-0.55555555555555558</v>
      </c>
      <c r="I1859" s="47"/>
      <c r="J1859" s="48">
        <f>VLOOKUP(A1859,'[1]תקציב 2026'!$A$1:$M$65536,9,0)</f>
        <v>240</v>
      </c>
      <c r="K1859" s="49">
        <f>600*0.9</f>
        <v>540</v>
      </c>
      <c r="L1859" s="50">
        <f>VLOOKUP(A1859,[2]data1761205830331!$A$1:$J$65536,10,0)</f>
        <v>581.01</v>
      </c>
    </row>
    <row r="1860" spans="1:12" ht="15.6" outlineLevel="1">
      <c r="A1860" s="11">
        <v>1746100471</v>
      </c>
      <c r="B1860" s="40">
        <v>471</v>
      </c>
      <c r="C1860" s="109">
        <v>746100</v>
      </c>
      <c r="D1860" s="42">
        <v>1</v>
      </c>
      <c r="E1860" s="43"/>
      <c r="F1860" s="44" t="s">
        <v>71</v>
      </c>
      <c r="G1860" s="45" t="s">
        <v>37</v>
      </c>
      <c r="H1860" s="51">
        <f t="shared" si="28"/>
        <v>-0.55555555555555558</v>
      </c>
      <c r="I1860" s="47"/>
      <c r="J1860" s="48">
        <f>VLOOKUP(A1860,'[1]תקציב 2026'!$A$1:$M$65536,9,0)</f>
        <v>4000</v>
      </c>
      <c r="K1860" s="49">
        <f>10000*0.9</f>
        <v>9000</v>
      </c>
      <c r="L1860" s="50">
        <f>VLOOKUP(A1860,[2]data1761205830331!$A$1:$J$65536,10,0)</f>
        <v>7062.01</v>
      </c>
    </row>
    <row r="1861" spans="1:12" ht="15.6" outlineLevel="1">
      <c r="A1861" s="11">
        <v>1746100492</v>
      </c>
      <c r="B1861" s="40">
        <v>492</v>
      </c>
      <c r="C1861" s="109">
        <v>746100</v>
      </c>
      <c r="D1861" s="42">
        <v>1</v>
      </c>
      <c r="E1861" s="43"/>
      <c r="F1861" s="44" t="s">
        <v>66</v>
      </c>
      <c r="G1861" s="45" t="s">
        <v>29</v>
      </c>
      <c r="H1861" s="51">
        <f t="shared" si="28"/>
        <v>4.0000000000000036E-2</v>
      </c>
      <c r="I1861" s="47"/>
      <c r="J1861" s="48">
        <f>VLOOKUP(A1861,'[1]תקציב 2026'!$A$1:$M$65536,9,0)</f>
        <v>702000</v>
      </c>
      <c r="K1861" s="49">
        <v>675000</v>
      </c>
      <c r="L1861" s="50">
        <f>VLOOKUP(A1861,[2]data1761205830331!$A$1:$J$65536,10,0)</f>
        <v>604427</v>
      </c>
    </row>
    <row r="1862" spans="1:12" ht="15.6" outlineLevel="1">
      <c r="A1862" s="11">
        <v>1746100511</v>
      </c>
      <c r="B1862" s="40">
        <v>511</v>
      </c>
      <c r="C1862" s="109">
        <v>746100</v>
      </c>
      <c r="D1862" s="42">
        <v>1</v>
      </c>
      <c r="E1862" s="43"/>
      <c r="F1862" s="44" t="s">
        <v>72</v>
      </c>
      <c r="G1862" s="45" t="s">
        <v>37</v>
      </c>
      <c r="H1862" s="51">
        <f t="shared" ref="H1862:H1907" si="29">J1862/K1862-1</f>
        <v>0.44032921810699599</v>
      </c>
      <c r="I1862" s="47"/>
      <c r="J1862" s="48">
        <f>VLOOKUP(A1862,'[1]תקציב 2026'!$A$1:$M$65536,9,0)</f>
        <v>3500</v>
      </c>
      <c r="K1862" s="49">
        <f>2700*0.9</f>
        <v>2430</v>
      </c>
      <c r="L1862" s="50">
        <f>VLOOKUP(A1862,[2]data1761205830331!$A$1:$J$65536,10,0)</f>
        <v>2648.88</v>
      </c>
    </row>
    <row r="1863" spans="1:12" ht="15.6" outlineLevel="1">
      <c r="A1863" s="11">
        <v>1746100512</v>
      </c>
      <c r="B1863" s="40">
        <v>512</v>
      </c>
      <c r="C1863" s="109">
        <v>746100</v>
      </c>
      <c r="D1863" s="42">
        <v>1</v>
      </c>
      <c r="E1863" s="43"/>
      <c r="F1863" s="44" t="s">
        <v>88</v>
      </c>
      <c r="G1863" s="45" t="s">
        <v>37</v>
      </c>
      <c r="H1863" s="51">
        <f t="shared" si="29"/>
        <v>0</v>
      </c>
      <c r="I1863" s="47"/>
      <c r="J1863" s="48">
        <f>VLOOKUP(A1863,'[1]תקציב 2026'!$A$1:$M$65536,9,0)</f>
        <v>450</v>
      </c>
      <c r="K1863" s="49">
        <f>500*0.9</f>
        <v>450</v>
      </c>
      <c r="L1863" s="50">
        <f>VLOOKUP(A1863,[2]data1761205830331!$A$1:$J$65536,10,0)</f>
        <v>54</v>
      </c>
    </row>
    <row r="1864" spans="1:12" ht="15.6" outlineLevel="1">
      <c r="A1864" s="11">
        <v>1746100522</v>
      </c>
      <c r="B1864" s="40">
        <v>522</v>
      </c>
      <c r="C1864" s="109">
        <v>746100</v>
      </c>
      <c r="D1864" s="42">
        <v>1</v>
      </c>
      <c r="E1864" s="43"/>
      <c r="F1864" s="44" t="s">
        <v>90</v>
      </c>
      <c r="G1864" s="45" t="s">
        <v>37</v>
      </c>
      <c r="H1864" s="51">
        <f t="shared" si="29"/>
        <v>0</v>
      </c>
      <c r="I1864" s="47"/>
      <c r="J1864" s="48">
        <f>VLOOKUP(A1864,'[1]תקציב 2026'!$A$1:$M$65536,9,0)</f>
        <v>900</v>
      </c>
      <c r="K1864" s="49">
        <f>1000*0.9</f>
        <v>900</v>
      </c>
      <c r="L1864" s="50">
        <f>VLOOKUP(A1864,[2]data1761205830331!$A$1:$J$65536,10,0)</f>
        <v>0</v>
      </c>
    </row>
    <row r="1865" spans="1:12" ht="15.6" outlineLevel="1">
      <c r="A1865" s="11">
        <v>1746100544</v>
      </c>
      <c r="B1865" s="40">
        <v>544</v>
      </c>
      <c r="C1865" s="109">
        <v>746100</v>
      </c>
      <c r="D1865" s="42">
        <v>1</v>
      </c>
      <c r="E1865" s="43"/>
      <c r="F1865" s="44" t="s">
        <v>743</v>
      </c>
      <c r="G1865" s="45" t="s">
        <v>29</v>
      </c>
      <c r="H1865" s="51">
        <f t="shared" si="29"/>
        <v>0</v>
      </c>
      <c r="I1865" s="47"/>
      <c r="J1865" s="48">
        <f>VLOOKUP(A1865,'[1]תקציב 2026'!$A$1:$M$65536,9,0)</f>
        <v>500</v>
      </c>
      <c r="K1865" s="49">
        <f>VLOOKUP(A1865,[3]גיליון1!$A$1:$C$7693,3,0)</f>
        <v>500</v>
      </c>
      <c r="L1865" s="50">
        <f>VLOOKUP(A1865,[2]data1761205830331!$A$1:$J$65536,10,0)</f>
        <v>15</v>
      </c>
    </row>
    <row r="1866" spans="1:12" ht="15.6" outlineLevel="1">
      <c r="A1866" s="11">
        <v>1746100550</v>
      </c>
      <c r="B1866" s="40">
        <v>550</v>
      </c>
      <c r="C1866" s="109">
        <v>746100</v>
      </c>
      <c r="D1866" s="42">
        <v>1</v>
      </c>
      <c r="E1866" s="43"/>
      <c r="F1866" s="44" t="s">
        <v>1123</v>
      </c>
      <c r="G1866" s="45" t="s">
        <v>37</v>
      </c>
      <c r="H1866" s="51">
        <f t="shared" si="29"/>
        <v>0.29198966408268734</v>
      </c>
      <c r="I1866" s="47"/>
      <c r="J1866" s="48">
        <f>VLOOKUP(A1866,'[1]תקציב 2026'!$A$1:$M$65536,9,0)</f>
        <v>5000</v>
      </c>
      <c r="K1866" s="49">
        <f>VLOOKUP(A1866,[3]גיליון1!$A$1:$C$7693,3,0)*0.9</f>
        <v>3870</v>
      </c>
      <c r="L1866" s="50">
        <f>VLOOKUP(A1866,[2]data1761205830331!$A$1:$J$65536,10,0)</f>
        <v>2468</v>
      </c>
    </row>
    <row r="1867" spans="1:12" ht="15.6" outlineLevel="1">
      <c r="A1867" s="11">
        <v>1746100562</v>
      </c>
      <c r="B1867" s="40">
        <v>562</v>
      </c>
      <c r="C1867" s="109">
        <v>746100</v>
      </c>
      <c r="D1867" s="42">
        <v>1</v>
      </c>
      <c r="E1867" s="43"/>
      <c r="F1867" s="44" t="s">
        <v>748</v>
      </c>
      <c r="G1867" s="45" t="s">
        <v>37</v>
      </c>
      <c r="H1867" s="51">
        <v>0</v>
      </c>
      <c r="I1867" s="47"/>
      <c r="J1867" s="48">
        <f>VLOOKUP(A1867,'[1]תקציב 2026'!$A$1:$M$65536,9,0)</f>
        <v>0</v>
      </c>
      <c r="K1867" s="49">
        <v>0</v>
      </c>
      <c r="L1867" s="50">
        <f>VLOOKUP(A1867,[2]data1761205830331!$A$1:$J$65536,10,0)</f>
        <v>269</v>
      </c>
    </row>
    <row r="1868" spans="1:12" ht="15.6" outlineLevel="1">
      <c r="A1868" s="11">
        <v>1746100565</v>
      </c>
      <c r="B1868" s="40">
        <v>565</v>
      </c>
      <c r="C1868" s="109">
        <v>746100</v>
      </c>
      <c r="D1868" s="42">
        <v>1</v>
      </c>
      <c r="E1868" s="43"/>
      <c r="F1868" s="44" t="s">
        <v>1124</v>
      </c>
      <c r="G1868" s="45" t="s">
        <v>37</v>
      </c>
      <c r="H1868" s="51">
        <f t="shared" si="29"/>
        <v>0</v>
      </c>
      <c r="I1868" s="47"/>
      <c r="J1868" s="48">
        <f>VLOOKUP(A1868,'[1]תקציב 2026'!$A$1:$M$65536,9,0)</f>
        <v>4500</v>
      </c>
      <c r="K1868" s="49">
        <f>5000*0.9</f>
        <v>4500</v>
      </c>
      <c r="L1868" s="50">
        <f>VLOOKUP(A1868,[2]data1761205830331!$A$1:$J$65536,10,0)</f>
        <v>0</v>
      </c>
    </row>
    <row r="1869" spans="1:12" ht="16.5" customHeight="1" outlineLevel="1">
      <c r="A1869" s="11">
        <v>1746100571</v>
      </c>
      <c r="B1869" s="40">
        <v>571</v>
      </c>
      <c r="C1869" s="109">
        <v>746100</v>
      </c>
      <c r="D1869" s="42">
        <v>1</v>
      </c>
      <c r="E1869" s="43"/>
      <c r="F1869" s="44" t="s">
        <v>75</v>
      </c>
      <c r="G1869" s="45" t="s">
        <v>29</v>
      </c>
      <c r="H1869" s="51">
        <f t="shared" si="29"/>
        <v>0</v>
      </c>
      <c r="I1869" s="51"/>
      <c r="J1869" s="48">
        <f>VLOOKUP(A1869,'[1]תקציב 2026'!$A$1:$M$65536,9,0)</f>
        <v>374000</v>
      </c>
      <c r="K1869" s="49">
        <v>374000</v>
      </c>
      <c r="L1869" s="50">
        <f>VLOOKUP(A1869,[2]data1761205830331!$A$1:$J$65536,10,0)</f>
        <v>293000</v>
      </c>
    </row>
    <row r="1870" spans="1:12" ht="16.5" customHeight="1" outlineLevel="1">
      <c r="A1870" s="11">
        <v>1746100580</v>
      </c>
      <c r="B1870" s="40">
        <v>580</v>
      </c>
      <c r="C1870" s="109">
        <v>746100</v>
      </c>
      <c r="D1870" s="42">
        <v>1</v>
      </c>
      <c r="E1870" s="43"/>
      <c r="F1870" s="44" t="s">
        <v>1125</v>
      </c>
      <c r="G1870" s="45" t="s">
        <v>29</v>
      </c>
      <c r="H1870" s="51">
        <f t="shared" si="29"/>
        <v>-0.47157390783961695</v>
      </c>
      <c r="I1870" s="51"/>
      <c r="J1870" s="48">
        <f>VLOOKUP(A1870,'[1]תקציב 2026'!$A$1:$M$65536,9,0)</f>
        <v>883000</v>
      </c>
      <c r="K1870" s="49">
        <v>1671000</v>
      </c>
      <c r="L1870" s="50">
        <f>VLOOKUP(A1870,[2]data1761205830331!$A$1:$J$65536,10,0)</f>
        <v>1490378</v>
      </c>
    </row>
    <row r="1871" spans="1:12" ht="15.6" outlineLevel="1">
      <c r="A1871" s="11">
        <v>1746100581</v>
      </c>
      <c r="B1871" s="40">
        <v>581</v>
      </c>
      <c r="C1871" s="109">
        <v>746100</v>
      </c>
      <c r="D1871" s="42">
        <v>1</v>
      </c>
      <c r="E1871" s="43"/>
      <c r="F1871" s="44" t="s">
        <v>1126</v>
      </c>
      <c r="G1871" s="45" t="s">
        <v>37</v>
      </c>
      <c r="H1871" s="51">
        <v>0</v>
      </c>
      <c r="I1871" s="47"/>
      <c r="J1871" s="48">
        <f>VLOOKUP(A1871,'[1]תקציב 2026'!$A$1:$M$65536,9,0)</f>
        <v>0</v>
      </c>
      <c r="K1871" s="49">
        <f>VLOOKUP(A1871,[3]גיליון1!$A$1:$C$7693,3,0)</f>
        <v>0</v>
      </c>
      <c r="L1871" s="50">
        <f>VLOOKUP(A1871,[2]data1761205830331!$A$1:$J$65536,10,0)</f>
        <v>2293</v>
      </c>
    </row>
    <row r="1872" spans="1:12" ht="15.6" outlineLevel="1">
      <c r="A1872" s="11">
        <v>1746100596</v>
      </c>
      <c r="B1872" s="40">
        <v>596</v>
      </c>
      <c r="C1872" s="109">
        <v>746100</v>
      </c>
      <c r="D1872" s="42">
        <v>1</v>
      </c>
      <c r="E1872" s="43"/>
      <c r="F1872" s="44" t="s">
        <v>76</v>
      </c>
      <c r="G1872" s="45" t="s">
        <v>29</v>
      </c>
      <c r="H1872" s="51">
        <f t="shared" si="29"/>
        <v>6.514657980456029E-2</v>
      </c>
      <c r="I1872" s="47"/>
      <c r="J1872" s="48">
        <f>VLOOKUP(A1872,'[1]תקציב 2026'!$A$1:$M$65536,9,0)</f>
        <v>327000</v>
      </c>
      <c r="K1872" s="49">
        <v>307000</v>
      </c>
      <c r="L1872" s="50">
        <f>VLOOKUP(A1872,[2]data1761205830331!$A$1:$J$65536,10,0)</f>
        <v>281343</v>
      </c>
    </row>
    <row r="1873" spans="1:12" ht="15.75" customHeight="1" outlineLevel="1">
      <c r="A1873" s="11">
        <v>1746100715</v>
      </c>
      <c r="B1873" s="40">
        <v>715</v>
      </c>
      <c r="C1873" s="109">
        <v>746100</v>
      </c>
      <c r="D1873" s="42">
        <v>1</v>
      </c>
      <c r="E1873" s="43"/>
      <c r="F1873" s="44" t="s">
        <v>92</v>
      </c>
      <c r="G1873" s="45" t="s">
        <v>37</v>
      </c>
      <c r="H1873" s="51">
        <f t="shared" si="29"/>
        <v>0</v>
      </c>
      <c r="I1873" s="51"/>
      <c r="J1873" s="48">
        <f>VLOOKUP(A1873,'[1]תקציב 2026'!$A$1:$M$65536,9,0)</f>
        <v>40500</v>
      </c>
      <c r="K1873" s="49">
        <f>45000*0.9</f>
        <v>40500</v>
      </c>
      <c r="L1873" s="50">
        <f>VLOOKUP(A1873,[2]data1761205830331!$A$1:$J$65536,10,0)</f>
        <v>15096.66</v>
      </c>
    </row>
    <row r="1874" spans="1:12" ht="15.75" customHeight="1" outlineLevel="1">
      <c r="A1874" s="11">
        <v>1746100722</v>
      </c>
      <c r="B1874" s="40">
        <v>722</v>
      </c>
      <c r="C1874" s="109">
        <v>746100</v>
      </c>
      <c r="D1874" s="42">
        <v>1</v>
      </c>
      <c r="E1874" s="43"/>
      <c r="F1874" s="44" t="s">
        <v>51</v>
      </c>
      <c r="G1874" s="45" t="s">
        <v>37</v>
      </c>
      <c r="H1874" s="51">
        <f t="shared" si="29"/>
        <v>0</v>
      </c>
      <c r="I1874" s="47"/>
      <c r="J1874" s="48">
        <f>VLOOKUP(A1874,'[1]תקציב 2026'!$A$1:$M$65536,9,0)</f>
        <v>45000</v>
      </c>
      <c r="K1874" s="49">
        <f>50000*0.9</f>
        <v>45000</v>
      </c>
      <c r="L1874" s="50">
        <f>VLOOKUP(A1874,[2]data1761205830331!$A$1:$J$65536,10,0)</f>
        <v>23484.12</v>
      </c>
    </row>
    <row r="1875" spans="1:12" ht="15.75" customHeight="1" outlineLevel="1">
      <c r="A1875" s="11">
        <v>1746100728</v>
      </c>
      <c r="B1875" s="40">
        <v>728</v>
      </c>
      <c r="C1875" s="109">
        <v>746100</v>
      </c>
      <c r="D1875" s="42">
        <v>1</v>
      </c>
      <c r="E1875" s="43"/>
      <c r="F1875" s="44" t="s">
        <v>1127</v>
      </c>
      <c r="G1875" s="45" t="s">
        <v>37</v>
      </c>
      <c r="H1875" s="51">
        <f t="shared" si="29"/>
        <v>0.31172839506172845</v>
      </c>
      <c r="I1875" s="47"/>
      <c r="J1875" s="48">
        <f>VLOOKUP(A1875,'[1]תקציב 2026'!$A$1:$M$65536,9,0)</f>
        <v>850000</v>
      </c>
      <c r="K1875" s="49">
        <f>VLOOKUP(A1875,[3]גיליון1!$A$1:$C$7693,3,0)*0.9</f>
        <v>648000</v>
      </c>
      <c r="L1875" s="50">
        <f>VLOOKUP(A1875,[2]data1761205830331!$A$1:$J$65536,10,0)</f>
        <v>693746</v>
      </c>
    </row>
    <row r="1876" spans="1:12" ht="15.75" customHeight="1" outlineLevel="1">
      <c r="A1876" s="11">
        <v>1746100742</v>
      </c>
      <c r="B1876" s="40">
        <v>742</v>
      </c>
      <c r="C1876" s="109">
        <v>746100</v>
      </c>
      <c r="D1876" s="42">
        <v>1</v>
      </c>
      <c r="E1876" s="43"/>
      <c r="F1876" s="44" t="s">
        <v>52</v>
      </c>
      <c r="G1876" s="45" t="s">
        <v>37</v>
      </c>
      <c r="H1876" s="51">
        <f t="shared" si="29"/>
        <v>0.3550135501355014</v>
      </c>
      <c r="I1876" s="47"/>
      <c r="J1876" s="48">
        <f>VLOOKUP(A1876,'[1]תקציב 2026'!$A$1:$M$65536,9,0)</f>
        <v>50000</v>
      </c>
      <c r="K1876" s="49">
        <f>41000*0.9</f>
        <v>36900</v>
      </c>
      <c r="L1876" s="50">
        <f>VLOOKUP(A1876,[2]data1761205830331!$A$1:$J$65536,10,0)</f>
        <v>29536.34</v>
      </c>
    </row>
    <row r="1877" spans="1:12" ht="15.75" customHeight="1" outlineLevel="1">
      <c r="A1877" s="11">
        <v>1746100754</v>
      </c>
      <c r="B1877" s="40">
        <v>754</v>
      </c>
      <c r="C1877" s="109">
        <v>746100</v>
      </c>
      <c r="D1877" s="42">
        <v>1</v>
      </c>
      <c r="E1877" s="43"/>
      <c r="F1877" s="44" t="s">
        <v>1128</v>
      </c>
      <c r="G1877" s="45" t="s">
        <v>37</v>
      </c>
      <c r="H1877" s="51">
        <f t="shared" si="29"/>
        <v>5.0921945160982141E-2</v>
      </c>
      <c r="I1877" s="47"/>
      <c r="J1877" s="48">
        <f>VLOOKUP(A1877,'[1]תקציב 2026'!$A$1:$M$65536,9,0)</f>
        <v>110000</v>
      </c>
      <c r="K1877" s="49">
        <f>116300*0.9</f>
        <v>104670</v>
      </c>
      <c r="L1877" s="50">
        <f>VLOOKUP(A1877,[2]data1761205830331!$A$1:$J$65536,10,0)</f>
        <v>104674.02</v>
      </c>
    </row>
    <row r="1878" spans="1:12" ht="15.75" customHeight="1" outlineLevel="1">
      <c r="A1878" s="11">
        <v>1746100755</v>
      </c>
      <c r="B1878" s="40">
        <v>755</v>
      </c>
      <c r="C1878" s="109">
        <v>746100</v>
      </c>
      <c r="D1878" s="42">
        <v>1</v>
      </c>
      <c r="E1878" s="43"/>
      <c r="F1878" s="44" t="s">
        <v>1129</v>
      </c>
      <c r="G1878" s="45" t="s">
        <v>37</v>
      </c>
      <c r="H1878" s="51">
        <f t="shared" si="29"/>
        <v>2.5319104415149507E-2</v>
      </c>
      <c r="I1878" s="47"/>
      <c r="J1878" s="48">
        <f>VLOOKUP(A1878,'[1]תקציב 2026'!$A$1:$M$65536,9,0)</f>
        <v>98000</v>
      </c>
      <c r="K1878" s="49">
        <f>106200*0.9</f>
        <v>95580</v>
      </c>
      <c r="L1878" s="50">
        <f>VLOOKUP(A1878,[2]data1761205830331!$A$1:$J$65536,10,0)</f>
        <v>89125.98</v>
      </c>
    </row>
    <row r="1879" spans="1:12" ht="15.75" customHeight="1" outlineLevel="1">
      <c r="A1879" s="11">
        <v>1746100756</v>
      </c>
      <c r="B1879" s="40">
        <v>756</v>
      </c>
      <c r="C1879" s="109">
        <v>746100</v>
      </c>
      <c r="D1879" s="42">
        <v>1</v>
      </c>
      <c r="E1879" s="43"/>
      <c r="F1879" s="44" t="s">
        <v>55</v>
      </c>
      <c r="G1879" s="45" t="s">
        <v>29</v>
      </c>
      <c r="H1879" s="51">
        <f t="shared" si="29"/>
        <v>1.75</v>
      </c>
      <c r="I1879" s="51"/>
      <c r="J1879" s="48">
        <f>VLOOKUP(A1879,'[1]תקציב 2026'!$A$1:$M$65536,9,0)</f>
        <v>110000</v>
      </c>
      <c r="K1879" s="49">
        <f>VLOOKUP(A1879,[3]גיליון1!$A$1:$C$7693,3,0)</f>
        <v>40000</v>
      </c>
      <c r="L1879" s="50">
        <f>VLOOKUP(A1879,[2]data1761205830331!$A$1:$J$65536,10,0)</f>
        <v>39272.61</v>
      </c>
    </row>
    <row r="1880" spans="1:12" ht="15.75" customHeight="1" outlineLevel="1">
      <c r="A1880" s="11">
        <v>1746100757</v>
      </c>
      <c r="B1880" s="40">
        <v>757</v>
      </c>
      <c r="C1880" s="109">
        <v>746100</v>
      </c>
      <c r="D1880" s="42">
        <v>1</v>
      </c>
      <c r="E1880" s="43"/>
      <c r="F1880" s="44" t="s">
        <v>1130</v>
      </c>
      <c r="G1880" s="45" t="s">
        <v>37</v>
      </c>
      <c r="H1880" s="51">
        <f t="shared" si="29"/>
        <v>0.4704530833563092</v>
      </c>
      <c r="I1880" s="51"/>
      <c r="J1880" s="48">
        <f>VLOOKUP(A1880,'[1]תקציב 2026'!$A$1:$M$65536,9,0)</f>
        <v>1600000</v>
      </c>
      <c r="K1880" s="49">
        <f>1209000*0.9</f>
        <v>1088100</v>
      </c>
      <c r="L1880" s="50">
        <f>VLOOKUP(A1880,[2]data1761205830331!$A$1:$J$65536,10,0)</f>
        <v>1140293.92</v>
      </c>
    </row>
    <row r="1881" spans="1:12" ht="15.75" customHeight="1" outlineLevel="1">
      <c r="A1881" s="11">
        <v>1746100758</v>
      </c>
      <c r="B1881" s="40">
        <v>758</v>
      </c>
      <c r="C1881" s="109">
        <v>746100</v>
      </c>
      <c r="D1881" s="42">
        <v>1</v>
      </c>
      <c r="E1881" s="43"/>
      <c r="F1881" s="44" t="s">
        <v>1131</v>
      </c>
      <c r="G1881" s="45" t="s">
        <v>29</v>
      </c>
      <c r="H1881" s="51">
        <f t="shared" si="29"/>
        <v>0.52719731012161009</v>
      </c>
      <c r="I1881" s="47"/>
      <c r="J1881" s="48">
        <f>VLOOKUP(A1881,'[1]תקציב 2026'!$A$1:$M$65536,9,0)</f>
        <v>24300000</v>
      </c>
      <c r="K1881" s="49">
        <v>15911500</v>
      </c>
      <c r="L1881" s="50">
        <f>VLOOKUP(A1881,[2]data1761205830331!$A$1:$J$65536,10,0)</f>
        <v>14006418.369999999</v>
      </c>
    </row>
    <row r="1882" spans="1:12" ht="15.75" customHeight="1" outlineLevel="1">
      <c r="A1882" s="11">
        <v>1746100759</v>
      </c>
      <c r="B1882" s="40">
        <v>759</v>
      </c>
      <c r="C1882" s="109">
        <v>746100</v>
      </c>
      <c r="D1882" s="42">
        <v>1</v>
      </c>
      <c r="E1882" s="43"/>
      <c r="F1882" s="44" t="s">
        <v>1132</v>
      </c>
      <c r="G1882" s="45" t="s">
        <v>37</v>
      </c>
      <c r="H1882" s="51">
        <f t="shared" si="29"/>
        <v>0.18753674309229873</v>
      </c>
      <c r="I1882" s="47"/>
      <c r="J1882" s="48">
        <f>VLOOKUP(A1882,'[1]תקציב 2026'!$A$1:$M$65536,9,0)</f>
        <v>505000</v>
      </c>
      <c r="K1882" s="49">
        <f>472500*0.9</f>
        <v>425250</v>
      </c>
      <c r="L1882" s="50">
        <f>VLOOKUP(A1882,[2]data1761205830331!$A$1:$J$65536,10,0)</f>
        <v>430867.09</v>
      </c>
    </row>
    <row r="1883" spans="1:12" ht="15.75" customHeight="1" outlineLevel="1">
      <c r="A1883" s="11">
        <v>1746100760</v>
      </c>
      <c r="B1883" s="40">
        <v>760</v>
      </c>
      <c r="C1883" s="109">
        <v>746100</v>
      </c>
      <c r="D1883" s="42">
        <v>1</v>
      </c>
      <c r="E1883" s="43"/>
      <c r="F1883" s="44" t="s">
        <v>1133</v>
      </c>
      <c r="G1883" s="45" t="s">
        <v>29</v>
      </c>
      <c r="H1883" s="51">
        <f t="shared" si="29"/>
        <v>0.2944983818770226</v>
      </c>
      <c r="I1883" s="47"/>
      <c r="J1883" s="48">
        <f>VLOOKUP(A1883,'[1]תקציב 2026'!$A$1:$M$65536,9,0)</f>
        <v>1000000</v>
      </c>
      <c r="K1883" s="49">
        <v>772500</v>
      </c>
      <c r="L1883" s="50">
        <f>VLOOKUP(A1883,[2]data1761205830331!$A$1:$J$65536,10,0)</f>
        <v>840693.09</v>
      </c>
    </row>
    <row r="1884" spans="1:12" ht="15.75" customHeight="1" outlineLevel="1">
      <c r="A1884" s="11">
        <v>1746100781</v>
      </c>
      <c r="B1884" s="40">
        <v>781</v>
      </c>
      <c r="C1884" s="109">
        <v>746100</v>
      </c>
      <c r="D1884" s="42">
        <v>1</v>
      </c>
      <c r="E1884" s="43"/>
      <c r="F1884" s="44" t="s">
        <v>1134</v>
      </c>
      <c r="G1884" s="45" t="s">
        <v>37</v>
      </c>
      <c r="H1884" s="51">
        <f t="shared" si="29"/>
        <v>0.38888888888888884</v>
      </c>
      <c r="I1884" s="47"/>
      <c r="J1884" s="48">
        <f>VLOOKUP(A1884,'[1]תקציב 2026'!$A$1:$M$65536,9,0)</f>
        <v>10000</v>
      </c>
      <c r="K1884" s="49">
        <f>VLOOKUP(A1884,[3]גיליון1!$A$1:$C$7693,3,0)*0.9</f>
        <v>7200</v>
      </c>
      <c r="L1884" s="50">
        <f>VLOOKUP(A1884,[2]data1761205830331!$A$1:$J$65536,10,0)</f>
        <v>6285.07</v>
      </c>
    </row>
    <row r="1885" spans="1:12" ht="15.75" customHeight="1" outlineLevel="1">
      <c r="A1885" s="11">
        <v>1746100782</v>
      </c>
      <c r="B1885" s="40">
        <v>782</v>
      </c>
      <c r="C1885" s="109">
        <v>746100</v>
      </c>
      <c r="D1885" s="42">
        <v>1</v>
      </c>
      <c r="E1885" s="43"/>
      <c r="F1885" s="44" t="s">
        <v>1135</v>
      </c>
      <c r="G1885" s="45" t="s">
        <v>37</v>
      </c>
      <c r="H1885" s="51">
        <v>1</v>
      </c>
      <c r="I1885" s="51"/>
      <c r="J1885" s="48">
        <v>440000</v>
      </c>
      <c r="K1885" s="49">
        <v>0</v>
      </c>
      <c r="L1885" s="50">
        <f>VLOOKUP(A1885,[2]data1761205830331!$A$1:$J$65536,10,0)</f>
        <v>373622.34</v>
      </c>
    </row>
    <row r="1886" spans="1:12" ht="15.75" customHeight="1" outlineLevel="1">
      <c r="A1886" s="11">
        <v>1746100783</v>
      </c>
      <c r="B1886" s="40">
        <v>783</v>
      </c>
      <c r="C1886" s="109">
        <v>746100</v>
      </c>
      <c r="D1886" s="42">
        <v>1</v>
      </c>
      <c r="E1886" s="43"/>
      <c r="F1886" s="44" t="s">
        <v>1136</v>
      </c>
      <c r="G1886" s="45" t="s">
        <v>37</v>
      </c>
      <c r="H1886" s="51">
        <f t="shared" si="29"/>
        <v>0</v>
      </c>
      <c r="I1886" s="51"/>
      <c r="J1886" s="48">
        <f>VLOOKUP(A1886,'[1]תקציב 2026'!$A$1:$M$65536,9,0)</f>
        <v>367200</v>
      </c>
      <c r="K1886" s="49">
        <f>408000*0.9</f>
        <v>367200</v>
      </c>
      <c r="L1886" s="50">
        <f>VLOOKUP(A1886,[2]data1761205830331!$A$1:$J$65536,10,0)</f>
        <v>151497</v>
      </c>
    </row>
    <row r="1887" spans="1:12" ht="15.75" customHeight="1" outlineLevel="1">
      <c r="A1887" s="11">
        <v>1746100784</v>
      </c>
      <c r="B1887" s="40">
        <v>784</v>
      </c>
      <c r="C1887" s="109">
        <v>746100</v>
      </c>
      <c r="D1887" s="42">
        <v>1</v>
      </c>
      <c r="E1887" s="43"/>
      <c r="F1887" s="44" t="s">
        <v>1137</v>
      </c>
      <c r="G1887" s="45" t="s">
        <v>37</v>
      </c>
      <c r="H1887" s="51">
        <f t="shared" si="29"/>
        <v>0.11111111111111116</v>
      </c>
      <c r="I1887" s="47"/>
      <c r="J1887" s="48">
        <f>VLOOKUP(A1887,'[1]תקציב 2026'!$A$1:$M$65536,9,0)</f>
        <v>3000</v>
      </c>
      <c r="K1887" s="49">
        <f>3000*0.9</f>
        <v>2700</v>
      </c>
      <c r="L1887" s="50">
        <f>VLOOKUP(A1887,[2]data1761205830331!$A$1:$J$65536,10,0)</f>
        <v>1802.84</v>
      </c>
    </row>
    <row r="1888" spans="1:12" ht="15.75" customHeight="1" outlineLevel="1">
      <c r="A1888" s="11">
        <v>1746100794</v>
      </c>
      <c r="B1888" s="40">
        <v>794</v>
      </c>
      <c r="C1888" s="109">
        <v>746100</v>
      </c>
      <c r="D1888" s="42">
        <v>1</v>
      </c>
      <c r="E1888" s="43"/>
      <c r="F1888" s="44" t="s">
        <v>58</v>
      </c>
      <c r="G1888" s="45" t="s">
        <v>29</v>
      </c>
      <c r="H1888" s="51">
        <f t="shared" si="29"/>
        <v>0</v>
      </c>
      <c r="I1888" s="47"/>
      <c r="J1888" s="48">
        <f>VLOOKUP(A1888,'[1]תקציב 2026'!$A$1:$M$65536,9,0)</f>
        <v>143000</v>
      </c>
      <c r="K1888" s="49">
        <v>143000</v>
      </c>
      <c r="L1888" s="50">
        <f>VLOOKUP(A1888,[2]data1761205830331!$A$1:$J$65536,10,0)</f>
        <v>152668</v>
      </c>
    </row>
    <row r="1889" spans="1:12" ht="15.75" customHeight="1" outlineLevel="1">
      <c r="A1889" s="11">
        <v>1746100923</v>
      </c>
      <c r="B1889" s="40">
        <v>923</v>
      </c>
      <c r="C1889" s="109">
        <v>746100</v>
      </c>
      <c r="D1889" s="42">
        <v>1</v>
      </c>
      <c r="E1889" s="43"/>
      <c r="F1889" s="44" t="s">
        <v>1138</v>
      </c>
      <c r="G1889" s="45" t="s">
        <v>37</v>
      </c>
      <c r="H1889" s="51">
        <f t="shared" si="29"/>
        <v>0</v>
      </c>
      <c r="I1889" s="47"/>
      <c r="J1889" s="48">
        <f>VLOOKUP(A1889,'[1]תקציב 2026'!$A$1:$M$65536,9,0)</f>
        <v>585000</v>
      </c>
      <c r="K1889" s="49">
        <f>650000*0.9</f>
        <v>585000</v>
      </c>
      <c r="L1889" s="50">
        <f>VLOOKUP(A1889,[2]data1761205830331!$A$1:$J$65536,10,0)</f>
        <v>320675.98</v>
      </c>
    </row>
    <row r="1890" spans="1:12" ht="15.75" customHeight="1" outlineLevel="1">
      <c r="A1890" s="11">
        <v>1746100932</v>
      </c>
      <c r="B1890" s="40">
        <v>932</v>
      </c>
      <c r="C1890" s="109">
        <v>746100</v>
      </c>
      <c r="D1890" s="42">
        <v>1</v>
      </c>
      <c r="E1890" s="43"/>
      <c r="F1890" s="44" t="s">
        <v>1139</v>
      </c>
      <c r="G1890" s="45" t="s">
        <v>29</v>
      </c>
      <c r="H1890" s="51">
        <f t="shared" si="29"/>
        <v>1.6816581931951458E-2</v>
      </c>
      <c r="I1890" s="51"/>
      <c r="J1890" s="48">
        <f>VLOOKUP(A1890,'[1]תקציב 2026'!$A$1:$M$65536,9,0)</f>
        <v>1300000</v>
      </c>
      <c r="K1890" s="49">
        <v>1278500</v>
      </c>
      <c r="L1890" s="50">
        <f>VLOOKUP(A1890,[2]data1761205830331!$A$1:$J$65536,10,0)</f>
        <v>1161451</v>
      </c>
    </row>
    <row r="1891" spans="1:12" ht="15.75" customHeight="1" outlineLevel="1">
      <c r="A1891" s="11">
        <v>1746100933</v>
      </c>
      <c r="B1891" s="40">
        <v>933</v>
      </c>
      <c r="C1891" s="109">
        <v>746100</v>
      </c>
      <c r="D1891" s="42">
        <v>1</v>
      </c>
      <c r="E1891" s="43"/>
      <c r="F1891" s="44" t="s">
        <v>1140</v>
      </c>
      <c r="G1891" s="45" t="s">
        <v>29</v>
      </c>
      <c r="H1891" s="51">
        <f t="shared" si="29"/>
        <v>6.8169900367067715E-3</v>
      </c>
      <c r="I1891" s="51"/>
      <c r="J1891" s="48">
        <f>VLOOKUP(A1891,'[1]תקציב 2026'!$A$1:$M$65536,9,0)</f>
        <v>960000</v>
      </c>
      <c r="K1891" s="49">
        <v>953500</v>
      </c>
      <c r="L1891" s="50">
        <f>VLOOKUP(A1891,[2]data1761205830331!$A$1:$J$65536,10,0)</f>
        <v>828704</v>
      </c>
    </row>
    <row r="1892" spans="1:12" ht="15.75" customHeight="1" outlineLevel="1">
      <c r="A1892" s="11">
        <v>1746100934</v>
      </c>
      <c r="B1892" s="40">
        <v>934</v>
      </c>
      <c r="C1892" s="109">
        <v>746100</v>
      </c>
      <c r="D1892" s="42">
        <v>1</v>
      </c>
      <c r="E1892" s="43"/>
      <c r="F1892" s="44" t="s">
        <v>1141</v>
      </c>
      <c r="G1892" s="45" t="s">
        <v>29</v>
      </c>
      <c r="H1892" s="51">
        <f t="shared" si="29"/>
        <v>2.0408163265306145E-2</v>
      </c>
      <c r="I1892" s="47"/>
      <c r="J1892" s="48">
        <f>VLOOKUP(A1892,'[1]תקציב 2026'!$A$1:$M$65536,9,0)</f>
        <v>970000</v>
      </c>
      <c r="K1892" s="49">
        <v>950600</v>
      </c>
      <c r="L1892" s="50">
        <f>VLOOKUP(A1892,[2]data1761205830331!$A$1:$J$65536,10,0)</f>
        <v>874504.68</v>
      </c>
    </row>
    <row r="1893" spans="1:12" ht="15.75" customHeight="1" outlineLevel="1">
      <c r="A1893" s="11">
        <v>1746100936</v>
      </c>
      <c r="B1893" s="40">
        <v>936</v>
      </c>
      <c r="C1893" s="109">
        <v>746100</v>
      </c>
      <c r="D1893" s="42">
        <v>1</v>
      </c>
      <c r="E1893" s="43"/>
      <c r="F1893" s="44" t="s">
        <v>1142</v>
      </c>
      <c r="G1893" s="45" t="s">
        <v>37</v>
      </c>
      <c r="H1893" s="51">
        <f t="shared" si="29"/>
        <v>4.0853499869893284E-2</v>
      </c>
      <c r="I1893" s="47"/>
      <c r="J1893" s="48">
        <f>VLOOKUP(A1893,'[1]תקציב 2026'!$A$1:$M$65536,9,0)</f>
        <v>400000</v>
      </c>
      <c r="K1893" s="49">
        <f>427000*0.9</f>
        <v>384300</v>
      </c>
      <c r="L1893" s="50">
        <f>VLOOKUP(A1893,[2]data1761205830331!$A$1:$J$65536,10,0)</f>
        <v>332688.84000000003</v>
      </c>
    </row>
    <row r="1894" spans="1:12" s="204" customFormat="1" ht="15.75" customHeight="1" outlineLevel="1" thickBot="1">
      <c r="A1894" s="11">
        <v>1746100937</v>
      </c>
      <c r="B1894" s="40">
        <v>937</v>
      </c>
      <c r="C1894" s="109">
        <v>746100</v>
      </c>
      <c r="D1894" s="42">
        <v>1</v>
      </c>
      <c r="E1894" s="43"/>
      <c r="F1894" s="44" t="s">
        <v>1143</v>
      </c>
      <c r="G1894" s="45" t="s">
        <v>37</v>
      </c>
      <c r="H1894" s="51">
        <f t="shared" si="29"/>
        <v>0.23456790123456783</v>
      </c>
      <c r="I1894" s="51"/>
      <c r="J1894" s="48">
        <f>VLOOKUP(A1894,'[1]תקציב 2026'!$A$1:$M$65536,9,0)</f>
        <v>250000</v>
      </c>
      <c r="K1894" s="49">
        <f>225000*0.9</f>
        <v>202500</v>
      </c>
      <c r="L1894" s="50">
        <f>VLOOKUP(A1894,[2]data1761205830331!$A$1:$J$65536,10,0)</f>
        <v>225000</v>
      </c>
    </row>
    <row r="1895" spans="1:12" ht="16.2" thickBot="1">
      <c r="A1895" s="11" t="e">
        <v>#VALUE!</v>
      </c>
      <c r="B1895" s="53" t="s">
        <v>1144</v>
      </c>
      <c r="C1895" s="223"/>
      <c r="D1895" s="55"/>
      <c r="E1895" s="56"/>
      <c r="F1895" s="116" t="s">
        <v>1145</v>
      </c>
      <c r="G1895" s="58"/>
      <c r="H1895" s="166">
        <f>J1895/K1895-1</f>
        <v>0.28026427846738766</v>
      </c>
      <c r="I1895" s="72"/>
      <c r="J1895" s="74">
        <f>SUBTOTAL(9,J1847:J1894)</f>
        <v>49503710</v>
      </c>
      <c r="K1895" s="92">
        <f>SUBTOTAL(9,K1847:K1894)</f>
        <v>38666790</v>
      </c>
      <c r="L1895" s="75">
        <f>SUBTOTAL(9,L1847:L1894)</f>
        <v>36940393.729999997</v>
      </c>
    </row>
    <row r="1896" spans="1:12" ht="15.6" outlineLevel="1">
      <c r="A1896" s="11">
        <v>17467000</v>
      </c>
      <c r="B1896" s="64">
        <v>0</v>
      </c>
      <c r="C1896" s="131">
        <v>746700</v>
      </c>
      <c r="D1896" s="66">
        <v>1</v>
      </c>
      <c r="E1896" s="67"/>
      <c r="F1896" s="68" t="s">
        <v>1146</v>
      </c>
      <c r="G1896" s="69" t="s">
        <v>15</v>
      </c>
      <c r="H1896" s="51"/>
      <c r="I1896" s="47"/>
      <c r="J1896" s="48"/>
      <c r="K1896" s="49"/>
      <c r="L1896" s="50"/>
    </row>
    <row r="1897" spans="1:12" ht="15.6" outlineLevel="1">
      <c r="A1897" s="11">
        <v>1746700870</v>
      </c>
      <c r="B1897" s="40">
        <v>870</v>
      </c>
      <c r="C1897" s="109">
        <v>746700</v>
      </c>
      <c r="D1897" s="42">
        <v>1</v>
      </c>
      <c r="E1897" s="43"/>
      <c r="F1897" s="44" t="s">
        <v>1147</v>
      </c>
      <c r="G1897" s="45" t="s">
        <v>37</v>
      </c>
      <c r="H1897" s="51">
        <f t="shared" si="29"/>
        <v>0.13255894615390051</v>
      </c>
      <c r="I1897" s="47"/>
      <c r="J1897" s="48">
        <f>VLOOKUP(A1897,'[1]תקציב 2026'!$A$1:$M$65536,9,0)</f>
        <v>3200000</v>
      </c>
      <c r="K1897" s="49">
        <f>3139400*0.9</f>
        <v>2825460</v>
      </c>
      <c r="L1897" s="50">
        <f>VLOOKUP(A1897,[2]data1761205830331!$A$1:$J$65536,10,0)</f>
        <v>3139389.35</v>
      </c>
    </row>
    <row r="1898" spans="1:12" ht="16.2" outlineLevel="1" thickBot="1">
      <c r="A1898" s="11">
        <v>1746700871</v>
      </c>
      <c r="B1898" s="40">
        <v>871</v>
      </c>
      <c r="C1898" s="109">
        <v>746700</v>
      </c>
      <c r="D1898" s="42">
        <v>1</v>
      </c>
      <c r="E1898" s="43"/>
      <c r="F1898" s="44" t="s">
        <v>1148</v>
      </c>
      <c r="G1898" s="45" t="s">
        <v>37</v>
      </c>
      <c r="H1898" s="51">
        <f t="shared" si="29"/>
        <v>26.100271002710027</v>
      </c>
      <c r="I1898" s="47"/>
      <c r="J1898" s="48">
        <f>VLOOKUP(A1898,'[1]תקציב 2026'!$A$1:$M$65536,9,0)</f>
        <v>100000</v>
      </c>
      <c r="K1898" s="49">
        <f>4100*0.9</f>
        <v>3690</v>
      </c>
      <c r="L1898" s="50">
        <f>VLOOKUP(A1898,[2]data1761205830331!$A$1:$J$65536,10,0)</f>
        <v>4100.6899999999996</v>
      </c>
    </row>
    <row r="1899" spans="1:12" ht="16.2" thickBot="1">
      <c r="A1899" s="11" t="e">
        <v>#VALUE!</v>
      </c>
      <c r="B1899" s="53" t="s">
        <v>1149</v>
      </c>
      <c r="C1899" s="223"/>
      <c r="D1899" s="55"/>
      <c r="E1899" s="56"/>
      <c r="F1899" s="116" t="s">
        <v>1146</v>
      </c>
      <c r="G1899" s="58" t="s">
        <v>15</v>
      </c>
      <c r="H1899" s="166">
        <f>J1899/K1899-1</f>
        <v>0.16642807910503166</v>
      </c>
      <c r="I1899" s="72"/>
      <c r="J1899" s="74">
        <f>SUBTOTAL(9,J1897:J1898)</f>
        <v>3300000</v>
      </c>
      <c r="K1899" s="92">
        <f>SUBTOTAL(9,K1897:K1898)</f>
        <v>2829150</v>
      </c>
      <c r="L1899" s="75">
        <f>SUBTOTAL(9,L1897:L1898)</f>
        <v>3143490.04</v>
      </c>
    </row>
    <row r="1900" spans="1:12" ht="15.6" outlineLevel="1">
      <c r="A1900" s="11">
        <v>17500000</v>
      </c>
      <c r="B1900" s="40">
        <v>0</v>
      </c>
      <c r="C1900" s="109">
        <v>750000</v>
      </c>
      <c r="D1900" s="42">
        <v>1</v>
      </c>
      <c r="E1900" s="43"/>
      <c r="F1900" s="44" t="s">
        <v>1150</v>
      </c>
      <c r="G1900" s="45" t="s">
        <v>15</v>
      </c>
      <c r="H1900" s="51"/>
      <c r="I1900" s="47"/>
      <c r="J1900" s="48"/>
      <c r="K1900" s="49"/>
      <c r="L1900" s="50"/>
    </row>
    <row r="1901" spans="1:12" ht="16.2" outlineLevel="1" thickBot="1">
      <c r="A1901" s="11">
        <v>1751000782</v>
      </c>
      <c r="B1901" s="40">
        <v>782</v>
      </c>
      <c r="C1901" s="109">
        <v>751000</v>
      </c>
      <c r="D1901" s="42">
        <v>1</v>
      </c>
      <c r="E1901" s="43"/>
      <c r="F1901" s="44" t="s">
        <v>1151</v>
      </c>
      <c r="G1901" s="45" t="s">
        <v>37</v>
      </c>
      <c r="H1901" s="51">
        <f t="shared" si="29"/>
        <v>0</v>
      </c>
      <c r="I1901" s="47"/>
      <c r="J1901" s="48">
        <f>VLOOKUP(A1901,'[1]תקציב 2026'!$A$1:$M$65536,9,0)</f>
        <v>1800000</v>
      </c>
      <c r="K1901" s="49">
        <f>2000000*0.9</f>
        <v>1800000</v>
      </c>
      <c r="L1901" s="50">
        <f>VLOOKUP(A1901,[2]data1761205830331!$A$1:$J$65536,10,0)</f>
        <v>696384</v>
      </c>
    </row>
    <row r="1902" spans="1:12" ht="16.2" thickBot="1">
      <c r="A1902" s="11" t="e">
        <v>#VALUE!</v>
      </c>
      <c r="B1902" s="53" t="s">
        <v>1152</v>
      </c>
      <c r="C1902" s="223"/>
      <c r="D1902" s="55"/>
      <c r="E1902" s="56"/>
      <c r="F1902" s="116" t="s">
        <v>1153</v>
      </c>
      <c r="G1902" s="58"/>
      <c r="H1902" s="166">
        <v>0</v>
      </c>
      <c r="I1902" s="72"/>
      <c r="J1902" s="74">
        <f>SUBTOTAL(9,J1901:J1901)</f>
        <v>1800000</v>
      </c>
      <c r="K1902" s="92">
        <f>SUBTOTAL(9,K1901:K1901)</f>
        <v>1800000</v>
      </c>
      <c r="L1902" s="75">
        <f>SUBTOTAL(9,L1901:L1901)</f>
        <v>696384</v>
      </c>
    </row>
    <row r="1903" spans="1:12" ht="15.6" outlineLevel="1">
      <c r="A1903" s="11">
        <v>17520000</v>
      </c>
      <c r="B1903" s="40">
        <v>0</v>
      </c>
      <c r="C1903" s="109">
        <v>752000</v>
      </c>
      <c r="D1903" s="42">
        <v>1</v>
      </c>
      <c r="E1903" s="43"/>
      <c r="F1903" s="44" t="s">
        <v>1154</v>
      </c>
      <c r="G1903" s="45" t="s">
        <v>15</v>
      </c>
      <c r="H1903" s="51"/>
      <c r="I1903" s="47"/>
      <c r="J1903" s="48"/>
      <c r="K1903" s="49"/>
      <c r="L1903" s="50"/>
    </row>
    <row r="1904" spans="1:12" ht="15.6" outlineLevel="1">
      <c r="A1904" s="11">
        <v>1752000511</v>
      </c>
      <c r="B1904" s="40">
        <v>511</v>
      </c>
      <c r="C1904" s="109">
        <v>752000</v>
      </c>
      <c r="D1904" s="42">
        <v>1</v>
      </c>
      <c r="E1904" s="43"/>
      <c r="F1904" s="44" t="str">
        <f>[4]גיליון1!$F$3270</f>
        <v>וועדות כיבוד</v>
      </c>
      <c r="G1904" s="45" t="s">
        <v>37</v>
      </c>
      <c r="H1904" s="51">
        <f t="shared" si="29"/>
        <v>9.6491228070175517E-2</v>
      </c>
      <c r="I1904" s="47"/>
      <c r="J1904" s="48">
        <f>VLOOKUP(A1904,'[1]תקציב 2026'!$A$1:$M$65536,9,0)</f>
        <v>15000</v>
      </c>
      <c r="K1904" s="49">
        <f>15200*0.9</f>
        <v>13680</v>
      </c>
      <c r="L1904" s="50">
        <f>VLOOKUP(A1904,[2]data1761205830331!$A$1:$J$65536,10,0)</f>
        <v>11943.55</v>
      </c>
    </row>
    <row r="1905" spans="1:12" ht="15.6" outlineLevel="1">
      <c r="A1905" s="11">
        <v>1752000514</v>
      </c>
      <c r="B1905" s="40">
        <v>514</v>
      </c>
      <c r="C1905" s="109">
        <v>752000</v>
      </c>
      <c r="D1905" s="42">
        <v>1</v>
      </c>
      <c r="E1905" s="43"/>
      <c r="F1905" s="44" t="s">
        <v>1155</v>
      </c>
      <c r="G1905" s="45" t="s">
        <v>37</v>
      </c>
      <c r="H1905" s="51">
        <f t="shared" si="29"/>
        <v>0</v>
      </c>
      <c r="I1905" s="47"/>
      <c r="J1905" s="48">
        <f>VLOOKUP(A1905,'[1]תקציב 2026'!$A$1:$M$65536,9,0)</f>
        <v>54000</v>
      </c>
      <c r="K1905" s="49">
        <f>60000*0.9</f>
        <v>54000</v>
      </c>
      <c r="L1905" s="50">
        <f>VLOOKUP(A1905,[2]data1761205830331!$A$1:$J$65536,10,0)</f>
        <v>23200</v>
      </c>
    </row>
    <row r="1906" spans="1:12" ht="15.6" outlineLevel="1">
      <c r="A1906" s="11">
        <v>1752000781</v>
      </c>
      <c r="B1906" s="40">
        <v>781</v>
      </c>
      <c r="C1906" s="109">
        <v>752000</v>
      </c>
      <c r="D1906" s="42">
        <v>1</v>
      </c>
      <c r="E1906" s="43"/>
      <c r="F1906" s="44" t="s">
        <v>1156</v>
      </c>
      <c r="G1906" s="45" t="s">
        <v>37</v>
      </c>
      <c r="H1906" s="51">
        <f t="shared" si="29"/>
        <v>1.7720306513409945E-2</v>
      </c>
      <c r="I1906" s="47"/>
      <c r="J1906" s="48">
        <f>VLOOKUP(A1906,'[1]תקציב 2026'!$A$1:$M$65536,9,0)</f>
        <v>85000</v>
      </c>
      <c r="K1906" s="49">
        <f>VLOOKUP(A1906,[3]גיליון1!$A$1:$C$7693,3,0)*0.9</f>
        <v>83520</v>
      </c>
      <c r="L1906" s="50">
        <f>VLOOKUP(A1906,[2]data1761205830331!$A$1:$J$65536,10,0)</f>
        <v>83481.16</v>
      </c>
    </row>
    <row r="1907" spans="1:12" ht="16.2" outlineLevel="1" thickBot="1">
      <c r="A1907" s="11">
        <v>1752000783</v>
      </c>
      <c r="B1907" s="40">
        <v>783</v>
      </c>
      <c r="C1907" s="109">
        <v>752000</v>
      </c>
      <c r="D1907" s="42">
        <v>1</v>
      </c>
      <c r="E1907" s="43"/>
      <c r="F1907" s="44" t="s">
        <v>1157</v>
      </c>
      <c r="G1907" s="45" t="s">
        <v>37</v>
      </c>
      <c r="H1907" s="51">
        <f t="shared" si="29"/>
        <v>7.4841681059296672E-3</v>
      </c>
      <c r="I1907" s="47" t="s">
        <v>137</v>
      </c>
      <c r="J1907" s="48">
        <f>VLOOKUP(A1907,'[1]תקציב 2026'!$A$1:$M$65536,9,0)</f>
        <v>35000</v>
      </c>
      <c r="K1907" s="49">
        <f>VLOOKUP(A1907,[3]גיליון1!$A$1:$C$7693,3,0)*0.9</f>
        <v>34740</v>
      </c>
      <c r="L1907" s="50">
        <f>VLOOKUP(A1907,[2]data1761205830331!$A$1:$J$65536,10,0)</f>
        <v>9372</v>
      </c>
    </row>
    <row r="1908" spans="1:12" ht="16.2" thickBot="1">
      <c r="A1908" s="11" t="e">
        <v>#VALUE!</v>
      </c>
      <c r="B1908" s="53" t="s">
        <v>1158</v>
      </c>
      <c r="C1908" s="223"/>
      <c r="D1908" s="55"/>
      <c r="E1908" s="56"/>
      <c r="F1908" s="116" t="s">
        <v>1154</v>
      </c>
      <c r="G1908" s="58"/>
      <c r="H1908" s="166">
        <f>J1908/K1908-1</f>
        <v>1.6456921587608919E-2</v>
      </c>
      <c r="I1908" s="72"/>
      <c r="J1908" s="74">
        <f>SUBTOTAL(9,J1904:J1907)</f>
        <v>189000</v>
      </c>
      <c r="K1908" s="92">
        <f>SUBTOTAL(9,K1904:K1907)</f>
        <v>185940</v>
      </c>
      <c r="L1908" s="75">
        <f>SUBTOTAL(9,L1904:L1907)</f>
        <v>127996.71</v>
      </c>
    </row>
    <row r="1909" spans="1:12" ht="15.6" outlineLevel="1">
      <c r="A1909" s="11">
        <v>17540000</v>
      </c>
      <c r="B1909" s="40">
        <v>0</v>
      </c>
      <c r="C1909" s="109">
        <v>754000</v>
      </c>
      <c r="D1909" s="42">
        <v>1</v>
      </c>
      <c r="E1909" s="43"/>
      <c r="F1909" s="44" t="s">
        <v>1159</v>
      </c>
      <c r="G1909" s="45" t="s">
        <v>15</v>
      </c>
      <c r="H1909" s="51"/>
      <c r="I1909" s="47"/>
      <c r="J1909" s="48"/>
      <c r="K1909" s="49"/>
      <c r="L1909" s="50"/>
    </row>
    <row r="1910" spans="1:12" ht="15.6" outlineLevel="1">
      <c r="A1910" s="11">
        <v>1754000513</v>
      </c>
      <c r="B1910" s="40">
        <v>513</v>
      </c>
      <c r="C1910" s="109">
        <v>754000</v>
      </c>
      <c r="D1910" s="42">
        <v>1</v>
      </c>
      <c r="E1910" s="43"/>
      <c r="F1910" s="44" t="s">
        <v>1160</v>
      </c>
      <c r="G1910" s="45" t="s">
        <v>37</v>
      </c>
      <c r="H1910" s="51">
        <f t="shared" ref="H1910:H1985" si="30">J1910/K1910-1</f>
        <v>0.10461338531513964</v>
      </c>
      <c r="I1910" s="47"/>
      <c r="J1910" s="48">
        <f>VLOOKUP(A1910,'[1]תקציב 2026'!$A$1:$M$65536,9,0)</f>
        <v>85000</v>
      </c>
      <c r="K1910" s="49">
        <f>VLOOKUP(A1910,[3]גיליון1!$A$1:$C$7693,3,0)*0.9</f>
        <v>76950</v>
      </c>
      <c r="L1910" s="50">
        <f>VLOOKUP(A1910,[2]data1761205830331!$A$1:$J$65536,10,0)</f>
        <v>20504.11</v>
      </c>
    </row>
    <row r="1911" spans="1:12" ht="15.6" outlineLevel="1">
      <c r="A1911" s="11">
        <v>1754000515</v>
      </c>
      <c r="B1911" s="40">
        <v>515</v>
      </c>
      <c r="C1911" s="109">
        <v>754000</v>
      </c>
      <c r="D1911" s="42">
        <v>1</v>
      </c>
      <c r="E1911" s="43"/>
      <c r="F1911" s="44" t="s">
        <v>1161</v>
      </c>
      <c r="G1911" s="45" t="s">
        <v>37</v>
      </c>
      <c r="H1911" s="51">
        <f t="shared" si="30"/>
        <v>8.2954299328568348E-2</v>
      </c>
      <c r="I1911" s="47"/>
      <c r="J1911" s="48">
        <f>VLOOKUP(A1911,'[1]תקציב 2026'!$A$1:$M$65536,9,0)</f>
        <v>200000</v>
      </c>
      <c r="K1911" s="49">
        <f>VLOOKUP(A1911,[3]גיליון1!$A$1:$C$7693,3,0)*0.9</f>
        <v>184680</v>
      </c>
      <c r="L1911" s="50">
        <f>VLOOKUP(A1911,[2]data1761205830331!$A$1:$J$65536,10,0)</f>
        <v>6326.5</v>
      </c>
    </row>
    <row r="1912" spans="1:12" ht="16.2" outlineLevel="1" thickBot="1">
      <c r="A1912" s="11">
        <v>1754000781</v>
      </c>
      <c r="B1912" s="119">
        <v>781</v>
      </c>
      <c r="C1912" s="120">
        <v>754000</v>
      </c>
      <c r="D1912" s="121">
        <v>1</v>
      </c>
      <c r="E1912" s="201"/>
      <c r="F1912" s="122" t="s">
        <v>1162</v>
      </c>
      <c r="G1912" s="153" t="s">
        <v>37</v>
      </c>
      <c r="H1912" s="124">
        <v>1</v>
      </c>
      <c r="I1912" s="160" t="s">
        <v>86</v>
      </c>
      <c r="J1912" s="48">
        <f>VLOOKUP(A1912,'[1]תקציב 2026'!$A$1:$M$65536,9,0)</f>
        <v>140800</v>
      </c>
      <c r="K1912" s="162">
        <v>0</v>
      </c>
      <c r="L1912" s="50">
        <v>0</v>
      </c>
    </row>
    <row r="1913" spans="1:12" ht="16.2" thickBot="1">
      <c r="A1913" s="11" t="e">
        <v>#VALUE!</v>
      </c>
      <c r="B1913" s="53" t="s">
        <v>1163</v>
      </c>
      <c r="C1913" s="223"/>
      <c r="D1913" s="55"/>
      <c r="E1913" s="56"/>
      <c r="F1913" s="116" t="s">
        <v>1159</v>
      </c>
      <c r="G1913" s="58"/>
      <c r="H1913" s="166">
        <f>J1913/K1913-1</f>
        <v>0.62748920230860383</v>
      </c>
      <c r="I1913" s="72"/>
      <c r="J1913" s="74">
        <f>SUBTOTAL(9,J1910:J1912)</f>
        <v>425800</v>
      </c>
      <c r="K1913" s="92">
        <f>SUBTOTAL(9,K1910:K1912)</f>
        <v>261630</v>
      </c>
      <c r="L1913" s="75">
        <f>SUBTOTAL(9,L1910:L1912)</f>
        <v>26830.61</v>
      </c>
    </row>
    <row r="1914" spans="1:12" ht="15.6" outlineLevel="1">
      <c r="A1914" s="11">
        <v>17600000</v>
      </c>
      <c r="B1914" s="40">
        <v>0</v>
      </c>
      <c r="C1914" s="109">
        <v>760000</v>
      </c>
      <c r="D1914" s="42">
        <v>1</v>
      </c>
      <c r="E1914" s="43"/>
      <c r="F1914" s="44" t="s">
        <v>207</v>
      </c>
      <c r="G1914" s="45" t="s">
        <v>15</v>
      </c>
      <c r="H1914" s="51"/>
      <c r="I1914" s="47"/>
      <c r="J1914" s="48"/>
      <c r="K1914" s="49"/>
      <c r="L1914" s="50"/>
    </row>
    <row r="1915" spans="1:12" ht="15.6" outlineLevel="1">
      <c r="A1915" s="11">
        <v>1761000110</v>
      </c>
      <c r="B1915" s="40">
        <v>110</v>
      </c>
      <c r="C1915" s="109">
        <v>761000</v>
      </c>
      <c r="D1915" s="42">
        <v>1</v>
      </c>
      <c r="E1915" s="43"/>
      <c r="F1915" s="44" t="s">
        <v>21</v>
      </c>
      <c r="G1915" s="45" t="s">
        <v>22</v>
      </c>
      <c r="H1915" s="51">
        <f t="shared" si="30"/>
        <v>2.5015832805573179E-2</v>
      </c>
      <c r="I1915" s="47"/>
      <c r="J1915" s="48">
        <v>161850</v>
      </c>
      <c r="K1915" s="49">
        <v>157900</v>
      </c>
      <c r="L1915" s="50">
        <f>VLOOKUP(A1915,[2]data1761205830331!$A$1:$J$65536,10,0)</f>
        <v>181300.26</v>
      </c>
    </row>
    <row r="1916" spans="1:12" ht="15.6" outlineLevel="1">
      <c r="A1916" s="11">
        <v>1761000119</v>
      </c>
      <c r="B1916" s="40">
        <v>119</v>
      </c>
      <c r="C1916" s="109">
        <v>761000</v>
      </c>
      <c r="D1916" s="42">
        <v>1</v>
      </c>
      <c r="E1916" s="43"/>
      <c r="F1916" s="44" t="s">
        <v>23</v>
      </c>
      <c r="G1916" s="45" t="s">
        <v>22</v>
      </c>
      <c r="H1916" s="51">
        <f t="shared" si="30"/>
        <v>0.2192954448701574</v>
      </c>
      <c r="I1916" s="47"/>
      <c r="J1916" s="48">
        <f>VLOOKUP(A1916,'[1]תקציב 2026'!$A$1:$M$65536,9,0)</f>
        <v>3436949.9999999995</v>
      </c>
      <c r="K1916" s="49">
        <v>2818800</v>
      </c>
      <c r="L1916" s="50">
        <f>VLOOKUP(A1916,[2]data1761205830331!$A$1:$J$65536,10,0)</f>
        <v>2685014.58</v>
      </c>
    </row>
    <row r="1917" spans="1:12" ht="15.6" outlineLevel="1">
      <c r="A1917" s="11">
        <v>1761000122</v>
      </c>
      <c r="B1917" s="40">
        <v>122</v>
      </c>
      <c r="C1917" s="109">
        <v>761000</v>
      </c>
      <c r="D1917" s="42">
        <v>1</v>
      </c>
      <c r="E1917" s="43"/>
      <c r="F1917" s="44" t="s">
        <v>24</v>
      </c>
      <c r="G1917" s="45" t="s">
        <v>22</v>
      </c>
      <c r="H1917" s="51">
        <f t="shared" si="30"/>
        <v>0.18822055137844607</v>
      </c>
      <c r="I1917" s="47"/>
      <c r="J1917" s="48">
        <v>47410</v>
      </c>
      <c r="K1917" s="49">
        <f>VLOOKUP(A1917,[3]גיליון1!$A$1:$C$7693,3,0)</f>
        <v>39900</v>
      </c>
      <c r="L1917" s="50">
        <f>VLOOKUP(A1917,[2]data1761205830331!$A$1:$J$65536,10,0)</f>
        <v>40176.69</v>
      </c>
    </row>
    <row r="1918" spans="1:12" ht="15.6" outlineLevel="1">
      <c r="A1918" s="11">
        <v>1761000126</v>
      </c>
      <c r="B1918" s="40">
        <v>126</v>
      </c>
      <c r="C1918" s="109">
        <v>761000</v>
      </c>
      <c r="D1918" s="42">
        <v>1</v>
      </c>
      <c r="E1918" s="43"/>
      <c r="F1918" s="44" t="s">
        <v>25</v>
      </c>
      <c r="G1918" s="45" t="s">
        <v>22</v>
      </c>
      <c r="H1918" s="51">
        <f t="shared" si="30"/>
        <v>0.18829545454545449</v>
      </c>
      <c r="I1918" s="47"/>
      <c r="J1918" s="48">
        <v>104570</v>
      </c>
      <c r="K1918" s="49">
        <f>VLOOKUP(A1918,[3]גיליון1!$A$1:$C$7693,3,0)</f>
        <v>88000</v>
      </c>
      <c r="L1918" s="50">
        <f>VLOOKUP(A1918,[2]data1761205830331!$A$1:$J$65536,10,0)</f>
        <v>93285.759999999995</v>
      </c>
    </row>
    <row r="1919" spans="1:12" ht="15.6" outlineLevel="1">
      <c r="A1919" s="11">
        <v>1761000130</v>
      </c>
      <c r="B1919" s="40">
        <v>130</v>
      </c>
      <c r="C1919" s="109">
        <v>761000</v>
      </c>
      <c r="D1919" s="42">
        <v>1</v>
      </c>
      <c r="E1919" s="43"/>
      <c r="F1919" s="44" t="s">
        <v>26</v>
      </c>
      <c r="G1919" s="45" t="s">
        <v>22</v>
      </c>
      <c r="H1919" s="51">
        <f t="shared" si="30"/>
        <v>0</v>
      </c>
      <c r="I1919" s="47"/>
      <c r="J1919" s="48">
        <f>VLOOKUP(A1919,'[1]תקציב 2026'!$A$1:$M$65536,9,0)</f>
        <v>292570</v>
      </c>
      <c r="K1919" s="49">
        <f>VLOOKUP(A1919,[3]גיליון1!$A$1:$C$7693,3,0)*0.86-2</f>
        <v>292570</v>
      </c>
      <c r="L1919" s="50">
        <f>VLOOKUP(A1919,[2]data1761205830331!$A$1:$J$65536,10,0)</f>
        <v>416359.86</v>
      </c>
    </row>
    <row r="1920" spans="1:12" ht="15.6" outlineLevel="1">
      <c r="A1920" s="11">
        <v>1761000140</v>
      </c>
      <c r="B1920" s="40">
        <v>140</v>
      </c>
      <c r="C1920" s="109">
        <v>761000</v>
      </c>
      <c r="D1920" s="42">
        <v>1</v>
      </c>
      <c r="E1920" s="43"/>
      <c r="F1920" s="44" t="s">
        <v>27</v>
      </c>
      <c r="G1920" s="45" t="s">
        <v>22</v>
      </c>
      <c r="H1920" s="51">
        <f t="shared" si="30"/>
        <v>0</v>
      </c>
      <c r="I1920" s="47"/>
      <c r="J1920" s="48">
        <f>VLOOKUP(A1920,'[1]תקציב 2026'!$A$1:$M$65536,9,0)</f>
        <v>171000</v>
      </c>
      <c r="K1920" s="49">
        <f>VLOOKUP(A1920,[3]גיליון1!$A$1:$C$7693,3,0)</f>
        <v>171000</v>
      </c>
      <c r="L1920" s="50">
        <f>VLOOKUP(A1920,[2]data1761205830331!$A$1:$J$65536,10,0)</f>
        <v>246568.31</v>
      </c>
    </row>
    <row r="1921" spans="1:12" ht="15.6" outlineLevel="1">
      <c r="A1921" s="11">
        <v>1761000210</v>
      </c>
      <c r="B1921" s="40">
        <v>210</v>
      </c>
      <c r="C1921" s="109">
        <v>761000</v>
      </c>
      <c r="D1921" s="42">
        <v>1</v>
      </c>
      <c r="E1921" s="43"/>
      <c r="F1921" s="44" t="s">
        <v>1164</v>
      </c>
      <c r="G1921" s="45" t="s">
        <v>22</v>
      </c>
      <c r="H1921" s="51">
        <f t="shared" si="30"/>
        <v>-0.38853948287910556</v>
      </c>
      <c r="I1921" s="47"/>
      <c r="J1921" s="48">
        <f>VLOOKUP(A1921,'[1]תקציב 2026'!$A$1:$M$65536,9,0)</f>
        <v>700000</v>
      </c>
      <c r="K1921" s="49">
        <v>1144800</v>
      </c>
      <c r="L1921" s="50">
        <f>VLOOKUP(A1921,[2]data1761205830331!$A$1:$J$65536,10,0)</f>
        <v>1007196.69</v>
      </c>
    </row>
    <row r="1922" spans="1:12" ht="15.6" outlineLevel="1">
      <c r="A1922" s="11">
        <v>1761000350</v>
      </c>
      <c r="B1922" s="40">
        <v>350</v>
      </c>
      <c r="C1922" s="109">
        <v>761000</v>
      </c>
      <c r="D1922" s="42">
        <v>1</v>
      </c>
      <c r="E1922" s="43"/>
      <c r="F1922" s="44" t="s">
        <v>739</v>
      </c>
      <c r="G1922" s="45" t="s">
        <v>22</v>
      </c>
      <c r="H1922" s="51">
        <v>1</v>
      </c>
      <c r="I1922" s="47" t="s">
        <v>86</v>
      </c>
      <c r="J1922" s="48">
        <f>VLOOKUP(A1922,'[1]תקציב 2026'!$A$1:$M$65536,9,0)</f>
        <v>55940</v>
      </c>
      <c r="K1922" s="49">
        <v>0</v>
      </c>
      <c r="L1922" s="50">
        <v>0</v>
      </c>
    </row>
    <row r="1923" spans="1:12" ht="15.6" outlineLevel="1">
      <c r="A1923" s="11">
        <v>1761000351</v>
      </c>
      <c r="B1923" s="40">
        <v>351</v>
      </c>
      <c r="C1923" s="109">
        <v>761000</v>
      </c>
      <c r="D1923" s="42">
        <v>1</v>
      </c>
      <c r="E1923" s="43"/>
      <c r="F1923" s="44" t="s">
        <v>1165</v>
      </c>
      <c r="G1923" s="45" t="s">
        <v>22</v>
      </c>
      <c r="H1923" s="51">
        <v>1</v>
      </c>
      <c r="I1923" s="47" t="s">
        <v>86</v>
      </c>
      <c r="J1923" s="48">
        <f>VLOOKUP(A1923,'[1]תקציב 2026'!$A$1:$M$65536,9,0)</f>
        <v>33750</v>
      </c>
      <c r="K1923" s="49">
        <v>0</v>
      </c>
      <c r="L1923" s="50">
        <v>0</v>
      </c>
    </row>
    <row r="1924" spans="1:12" ht="15.6" outlineLevel="1">
      <c r="A1924" s="11">
        <v>1761000433</v>
      </c>
      <c r="B1924" s="40">
        <v>433</v>
      </c>
      <c r="C1924" s="109">
        <v>761000</v>
      </c>
      <c r="D1924" s="42">
        <v>1</v>
      </c>
      <c r="E1924" s="43"/>
      <c r="F1924" s="44" t="s">
        <v>34</v>
      </c>
      <c r="G1924" s="45" t="s">
        <v>37</v>
      </c>
      <c r="H1924" s="51">
        <f t="shared" si="30"/>
        <v>2.7037037037037037</v>
      </c>
      <c r="I1924" s="47"/>
      <c r="J1924" s="48">
        <f>VLOOKUP(A1924,'[1]תקציב 2026'!$A$1:$M$65536,9,0)</f>
        <v>3000</v>
      </c>
      <c r="K1924" s="49">
        <f>VLOOKUP(A1924,[3]גיליון1!$A$1:$C$7693,3,0)*0.9</f>
        <v>810</v>
      </c>
      <c r="L1924" s="50">
        <f>VLOOKUP(A1924,[2]data1761205830331!$A$1:$J$65536,10,0)</f>
        <v>839.22</v>
      </c>
    </row>
    <row r="1925" spans="1:12" ht="15.6" outlineLevel="1">
      <c r="A1925" s="11">
        <v>1761000450</v>
      </c>
      <c r="B1925" s="40">
        <v>450</v>
      </c>
      <c r="C1925" s="109">
        <v>761000</v>
      </c>
      <c r="D1925" s="42">
        <v>1</v>
      </c>
      <c r="E1925" s="43"/>
      <c r="F1925" s="11" t="s">
        <v>41</v>
      </c>
      <c r="G1925" s="45" t="s">
        <v>29</v>
      </c>
      <c r="H1925" s="51">
        <f t="shared" si="30"/>
        <v>0</v>
      </c>
      <c r="I1925" s="47"/>
      <c r="J1925" s="48">
        <f>VLOOKUP(A1925,'[1]תקציב 2026'!$A$1:$M$65536,9,0)</f>
        <v>1500</v>
      </c>
      <c r="K1925" s="49">
        <f>VLOOKUP(A1925,[3]גיליון1!$A$1:$C$7693,3,0)</f>
        <v>1500</v>
      </c>
      <c r="L1925" s="50">
        <f>VLOOKUP(A1925,[2]data1761205830331!$A$1:$J$65536,10,0)</f>
        <v>0</v>
      </c>
    </row>
    <row r="1926" spans="1:12" ht="15.6" outlineLevel="1">
      <c r="A1926" s="11">
        <v>1761000471</v>
      </c>
      <c r="B1926" s="40">
        <v>471</v>
      </c>
      <c r="C1926" s="109">
        <v>761000</v>
      </c>
      <c r="D1926" s="42">
        <v>1</v>
      </c>
      <c r="E1926" s="43"/>
      <c r="F1926" s="44" t="s">
        <v>71</v>
      </c>
      <c r="G1926" s="45" t="s">
        <v>37</v>
      </c>
      <c r="H1926" s="51">
        <f t="shared" si="30"/>
        <v>2.8806584362139898E-2</v>
      </c>
      <c r="I1926" s="47"/>
      <c r="J1926" s="48">
        <f>VLOOKUP(A1926,'[1]תקציב 2026'!$A$1:$M$65536,9,0)</f>
        <v>5000</v>
      </c>
      <c r="K1926" s="49">
        <f>VLOOKUP(A1926,[3]גיליון1!$A$1:$C$7693,3,0)*0.9</f>
        <v>4860</v>
      </c>
      <c r="L1926" s="50">
        <f>VLOOKUP(A1926,[2]data1761205830331!$A$1:$J$65536,10,0)</f>
        <v>4277.82</v>
      </c>
    </row>
    <row r="1927" spans="1:12" ht="15.6" outlineLevel="1">
      <c r="A1927" s="11">
        <v>1761000492</v>
      </c>
      <c r="B1927" s="40">
        <v>492</v>
      </c>
      <c r="C1927" s="109">
        <v>761000</v>
      </c>
      <c r="D1927" s="42">
        <v>1</v>
      </c>
      <c r="E1927" s="43"/>
      <c r="F1927" s="44" t="s">
        <v>66</v>
      </c>
      <c r="G1927" s="45" t="s">
        <v>29</v>
      </c>
      <c r="H1927" s="51">
        <f t="shared" si="30"/>
        <v>5.5865921787709549E-2</v>
      </c>
      <c r="I1927" s="47"/>
      <c r="J1927" s="48">
        <f>VLOOKUP(A1927,'[1]תקציב 2026'!$A$1:$M$65536,9,0)</f>
        <v>132300</v>
      </c>
      <c r="K1927" s="49">
        <v>125300</v>
      </c>
      <c r="L1927" s="50">
        <f>VLOOKUP(A1927,[2]data1761205830331!$A$1:$J$65536,10,0)</f>
        <v>111687</v>
      </c>
    </row>
    <row r="1928" spans="1:12" ht="15.6" outlineLevel="1">
      <c r="A1928" s="11">
        <v>1761000511</v>
      </c>
      <c r="B1928" s="40">
        <v>511</v>
      </c>
      <c r="C1928" s="109">
        <v>761000</v>
      </c>
      <c r="D1928" s="42">
        <v>1</v>
      </c>
      <c r="E1928" s="43"/>
      <c r="F1928" s="44" t="s">
        <v>72</v>
      </c>
      <c r="G1928" s="45" t="s">
        <v>37</v>
      </c>
      <c r="H1928" s="51">
        <f t="shared" si="30"/>
        <v>2.7735849056603774</v>
      </c>
      <c r="I1928" s="47"/>
      <c r="J1928" s="48">
        <f>VLOOKUP(A1928,'[1]תקציב 2026'!$A$1:$M$65536,9,0)</f>
        <v>18000</v>
      </c>
      <c r="K1928" s="49">
        <f>5300*0.9</f>
        <v>4770</v>
      </c>
      <c r="L1928" s="50">
        <f>VLOOKUP(A1928,[2]data1761205830331!$A$1:$J$65536,10,0)</f>
        <v>4789.97</v>
      </c>
    </row>
    <row r="1929" spans="1:12" ht="15.6" outlineLevel="1">
      <c r="A1929" s="11">
        <v>1761000563</v>
      </c>
      <c r="B1929" s="40">
        <v>563</v>
      </c>
      <c r="C1929" s="109">
        <v>761000</v>
      </c>
      <c r="D1929" s="42">
        <v>1</v>
      </c>
      <c r="E1929" s="43"/>
      <c r="F1929" s="44" t="s">
        <v>1166</v>
      </c>
      <c r="G1929" s="45" t="s">
        <v>37</v>
      </c>
      <c r="H1929" s="51">
        <v>1</v>
      </c>
      <c r="I1929" s="47" t="s">
        <v>86</v>
      </c>
      <c r="J1929" s="48">
        <f>VLOOKUP(A1929,'[1]תקציב 2026'!$A$1:$M$65536,9,0)</f>
        <v>300000</v>
      </c>
      <c r="K1929" s="49">
        <v>0</v>
      </c>
      <c r="L1929" s="50">
        <v>0</v>
      </c>
    </row>
    <row r="1930" spans="1:12" ht="15.6" outlineLevel="1">
      <c r="A1930" s="11">
        <v>1761000564</v>
      </c>
      <c r="B1930" s="40">
        <v>564</v>
      </c>
      <c r="C1930" s="109">
        <v>761000</v>
      </c>
      <c r="D1930" s="42">
        <v>1</v>
      </c>
      <c r="E1930" s="43"/>
      <c r="F1930" s="44" t="s">
        <v>1167</v>
      </c>
      <c r="G1930" s="45" t="s">
        <v>37</v>
      </c>
      <c r="H1930" s="51">
        <f t="shared" si="30"/>
        <v>-1</v>
      </c>
      <c r="I1930" s="47"/>
      <c r="J1930" s="48">
        <f>VLOOKUP(A1930,'[1]תקציב 2026'!$A$1:$M$65536,9,0)</f>
        <v>0</v>
      </c>
      <c r="K1930" s="49">
        <f>VLOOKUP(A1930,[3]גיליון1!$A$1:$C$7693,3,0)*0.9</f>
        <v>8460</v>
      </c>
      <c r="L1930" s="50">
        <f>VLOOKUP(A1930,[2]data1761205830331!$A$1:$J$65536,10,0)</f>
        <v>0</v>
      </c>
    </row>
    <row r="1931" spans="1:12" ht="15.6" outlineLevel="1">
      <c r="A1931" s="11">
        <v>1761000565</v>
      </c>
      <c r="B1931" s="40">
        <v>565</v>
      </c>
      <c r="C1931" s="109">
        <v>761000</v>
      </c>
      <c r="D1931" s="42">
        <v>1</v>
      </c>
      <c r="E1931" s="43"/>
      <c r="F1931" s="44" t="s">
        <v>1168</v>
      </c>
      <c r="G1931" s="45" t="s">
        <v>37</v>
      </c>
      <c r="H1931" s="51">
        <f t="shared" si="30"/>
        <v>1.8268942797244669E-2</v>
      </c>
      <c r="I1931" s="47"/>
      <c r="J1931" s="48">
        <f>VLOOKUP(A1931,'[1]תקציב 2026'!$A$1:$M$65536,9,0)</f>
        <v>340000</v>
      </c>
      <c r="K1931" s="49">
        <f>371000*0.9</f>
        <v>333900</v>
      </c>
      <c r="L1931" s="50">
        <f>VLOOKUP(A1931,[2]data1761205830331!$A$1:$J$65536,10,0)</f>
        <v>283409</v>
      </c>
    </row>
    <row r="1932" spans="1:12" ht="15.6" outlineLevel="1">
      <c r="A1932" s="11">
        <v>1761000571</v>
      </c>
      <c r="B1932" s="40">
        <v>571</v>
      </c>
      <c r="C1932" s="109">
        <v>761000</v>
      </c>
      <c r="D1932" s="42">
        <v>1</v>
      </c>
      <c r="E1932" s="43"/>
      <c r="F1932" s="44" t="s">
        <v>75</v>
      </c>
      <c r="G1932" s="45" t="s">
        <v>29</v>
      </c>
      <c r="H1932" s="51">
        <f t="shared" si="30"/>
        <v>0</v>
      </c>
      <c r="I1932" s="47"/>
      <c r="J1932" s="48">
        <f>VLOOKUP(A1932,'[1]תקציב 2026'!$A$1:$M$65536,9,0)</f>
        <v>189000</v>
      </c>
      <c r="K1932" s="49">
        <v>189000</v>
      </c>
      <c r="L1932" s="50">
        <f>VLOOKUP(A1932,[2]data1761205830331!$A$1:$J$65536,10,0)</f>
        <v>152100</v>
      </c>
    </row>
    <row r="1933" spans="1:12" ht="15.6" outlineLevel="1">
      <c r="A1933" s="11">
        <v>1761000596</v>
      </c>
      <c r="B1933" s="40">
        <v>596</v>
      </c>
      <c r="C1933" s="109">
        <v>761000</v>
      </c>
      <c r="D1933" s="42">
        <v>1</v>
      </c>
      <c r="E1933" s="43"/>
      <c r="F1933" s="44" t="s">
        <v>76</v>
      </c>
      <c r="G1933" s="45" t="s">
        <v>29</v>
      </c>
      <c r="H1933" s="51">
        <f t="shared" si="30"/>
        <v>5.2173913043478182E-2</v>
      </c>
      <c r="I1933" s="47"/>
      <c r="J1933" s="48">
        <f>VLOOKUP(A1933,'[1]תקציב 2026'!$A$1:$M$65536,9,0)</f>
        <v>121000</v>
      </c>
      <c r="K1933" s="49">
        <v>115000</v>
      </c>
      <c r="L1933" s="50">
        <f>VLOOKUP(A1933,[2]data1761205830331!$A$1:$J$65536,10,0)</f>
        <v>95339</v>
      </c>
    </row>
    <row r="1934" spans="1:12" ht="17.25" customHeight="1" outlineLevel="1">
      <c r="A1934" s="11">
        <v>1761000757</v>
      </c>
      <c r="B1934" s="40">
        <v>757</v>
      </c>
      <c r="C1934" s="109">
        <v>761000</v>
      </c>
      <c r="D1934" s="42">
        <v>1</v>
      </c>
      <c r="E1934" s="43"/>
      <c r="F1934" s="44" t="s">
        <v>1169</v>
      </c>
      <c r="G1934" s="45" t="s">
        <v>37</v>
      </c>
      <c r="H1934" s="51">
        <f t="shared" si="30"/>
        <v>-1</v>
      </c>
      <c r="I1934" s="47"/>
      <c r="J1934" s="48">
        <f>VLOOKUP(A1934,'[1]תקציב 2026'!$A$1:$M$65536,9,0)</f>
        <v>0</v>
      </c>
      <c r="K1934" s="49">
        <f>VLOOKUP(A1934,[3]גיליון1!$A$1:$C$7693,3,0)*0.9</f>
        <v>4050</v>
      </c>
      <c r="L1934" s="50">
        <f>VLOOKUP(A1934,[2]data1761205830331!$A$1:$J$65536,10,0)</f>
        <v>0</v>
      </c>
    </row>
    <row r="1935" spans="1:12" ht="17.25" customHeight="1" outlineLevel="1" thickBot="1">
      <c r="A1935" s="11">
        <v>1761000785</v>
      </c>
      <c r="B1935" s="119">
        <v>785</v>
      </c>
      <c r="C1935" s="120">
        <v>761000</v>
      </c>
      <c r="D1935" s="121">
        <v>1</v>
      </c>
      <c r="E1935" s="201"/>
      <c r="F1935" s="44" t="s">
        <v>1170</v>
      </c>
      <c r="G1935" s="153" t="s">
        <v>37</v>
      </c>
      <c r="H1935" s="124">
        <v>1</v>
      </c>
      <c r="I1935" s="160" t="s">
        <v>86</v>
      </c>
      <c r="J1935" s="48">
        <f>VLOOKUP(A1935,'[1]תקציב 2026'!$A$1:$M$65536,9,0)</f>
        <v>15000</v>
      </c>
      <c r="K1935" s="162">
        <v>0</v>
      </c>
      <c r="L1935" s="127">
        <v>0</v>
      </c>
    </row>
    <row r="1936" spans="1:12" ht="16.2" thickBot="1">
      <c r="A1936" s="11" t="e">
        <v>#VALUE!</v>
      </c>
      <c r="B1936" s="53" t="s">
        <v>1171</v>
      </c>
      <c r="C1936" s="223"/>
      <c r="D1936" s="55"/>
      <c r="E1936" s="56"/>
      <c r="F1936" s="116" t="s">
        <v>1172</v>
      </c>
      <c r="G1936" s="58"/>
      <c r="H1936" s="166">
        <f>J1936/K1936-1</f>
        <v>0.11420894371907164</v>
      </c>
      <c r="I1936" s="72"/>
      <c r="J1936" s="74">
        <f>SUBTOTAL(9,J1915:J1935)</f>
        <v>6128840</v>
      </c>
      <c r="K1936" s="92">
        <f>SUBTOTAL(9,K1915:K1935)</f>
        <v>5500620</v>
      </c>
      <c r="L1936" s="75">
        <f>SUBTOTAL(9,L1915:L1935)</f>
        <v>5322344.1599999992</v>
      </c>
    </row>
    <row r="1937" spans="1:12" ht="15.6" outlineLevel="1">
      <c r="A1937" s="11">
        <v>17620000</v>
      </c>
      <c r="B1937" s="40">
        <v>0</v>
      </c>
      <c r="C1937" s="109">
        <v>762000</v>
      </c>
      <c r="D1937" s="42">
        <v>1</v>
      </c>
      <c r="E1937" s="43"/>
      <c r="F1937" s="44" t="s">
        <v>1173</v>
      </c>
      <c r="G1937" s="45" t="s">
        <v>15</v>
      </c>
      <c r="H1937" s="51"/>
      <c r="I1937" s="47"/>
      <c r="J1937" s="48"/>
      <c r="K1937" s="49"/>
      <c r="L1937" s="50"/>
    </row>
    <row r="1938" spans="1:12" ht="15.6" outlineLevel="1">
      <c r="A1938" s="11">
        <v>1762000119</v>
      </c>
      <c r="B1938" s="40">
        <v>119</v>
      </c>
      <c r="C1938" s="109">
        <v>762000</v>
      </c>
      <c r="D1938" s="42">
        <v>1</v>
      </c>
      <c r="E1938" s="43"/>
      <c r="F1938" s="44" t="s">
        <v>23</v>
      </c>
      <c r="G1938" s="45" t="s">
        <v>22</v>
      </c>
      <c r="H1938" s="51">
        <v>1</v>
      </c>
      <c r="I1938" s="47" t="s">
        <v>86</v>
      </c>
      <c r="J1938" s="48">
        <v>659100</v>
      </c>
      <c r="K1938" s="49">
        <v>0</v>
      </c>
      <c r="L1938" s="50">
        <v>0</v>
      </c>
    </row>
    <row r="1939" spans="1:12" ht="15.6" outlineLevel="1">
      <c r="A1939" s="11">
        <v>1762000122</v>
      </c>
      <c r="B1939" s="40">
        <v>122</v>
      </c>
      <c r="C1939" s="109">
        <v>762000</v>
      </c>
      <c r="D1939" s="42">
        <v>1</v>
      </c>
      <c r="E1939" s="43"/>
      <c r="F1939" s="44" t="s">
        <v>24</v>
      </c>
      <c r="G1939" s="45" t="s">
        <v>22</v>
      </c>
      <c r="H1939" s="51">
        <v>1</v>
      </c>
      <c r="I1939" s="47" t="s">
        <v>86</v>
      </c>
      <c r="J1939" s="48">
        <f>VLOOKUP(A1939,'[1]תקציב 2026'!$A$1:$M$65536,9,0)</f>
        <v>2540</v>
      </c>
      <c r="K1939" s="49">
        <v>0</v>
      </c>
      <c r="L1939" s="50">
        <v>0</v>
      </c>
    </row>
    <row r="1940" spans="1:12" ht="15.6" outlineLevel="1">
      <c r="A1940" s="11">
        <v>1762000126</v>
      </c>
      <c r="B1940" s="40">
        <v>126</v>
      </c>
      <c r="C1940" s="109">
        <v>762000</v>
      </c>
      <c r="D1940" s="42">
        <v>1</v>
      </c>
      <c r="E1940" s="43"/>
      <c r="F1940" s="44" t="s">
        <v>25</v>
      </c>
      <c r="G1940" s="45" t="s">
        <v>22</v>
      </c>
      <c r="H1940" s="51">
        <v>1</v>
      </c>
      <c r="I1940" s="47" t="s">
        <v>86</v>
      </c>
      <c r="J1940" s="48">
        <f>VLOOKUP(A1940,'[1]תקציב 2026'!$A$1:$M$65536,9,0)</f>
        <v>5790</v>
      </c>
      <c r="K1940" s="49">
        <v>0</v>
      </c>
      <c r="L1940" s="50">
        <v>0</v>
      </c>
    </row>
    <row r="1941" spans="1:12" ht="15.6" outlineLevel="1">
      <c r="A1941" s="11">
        <v>1762000140</v>
      </c>
      <c r="B1941" s="40">
        <v>140</v>
      </c>
      <c r="C1941" s="109">
        <v>762000</v>
      </c>
      <c r="D1941" s="42">
        <v>1</v>
      </c>
      <c r="E1941" s="43"/>
      <c r="F1941" s="44" t="s">
        <v>27</v>
      </c>
      <c r="G1941" s="45" t="s">
        <v>22</v>
      </c>
      <c r="H1941" s="51">
        <v>1</v>
      </c>
      <c r="I1941" s="47" t="s">
        <v>86</v>
      </c>
      <c r="J1941" s="48">
        <f>VLOOKUP(A1941,'[1]תקציב 2026'!$A$1:$M$65536,9,0)</f>
        <v>24350</v>
      </c>
      <c r="K1941" s="49">
        <v>0</v>
      </c>
      <c r="L1941" s="50">
        <v>0</v>
      </c>
    </row>
    <row r="1942" spans="1:12" ht="15.6" outlineLevel="1">
      <c r="A1942" s="11">
        <v>1762000511</v>
      </c>
      <c r="B1942" s="40">
        <v>511</v>
      </c>
      <c r="C1942" s="109">
        <v>762000</v>
      </c>
      <c r="D1942" s="42">
        <v>1</v>
      </c>
      <c r="E1942" s="43"/>
      <c r="F1942" s="44" t="s">
        <v>72</v>
      </c>
      <c r="G1942" s="45" t="s">
        <v>37</v>
      </c>
      <c r="H1942" s="51">
        <v>1</v>
      </c>
      <c r="I1942" s="47" t="s">
        <v>86</v>
      </c>
      <c r="J1942" s="48">
        <f>VLOOKUP(A1942,'[1]תקציב 2026'!$A$1:$M$65536,9,0)</f>
        <v>2200</v>
      </c>
      <c r="K1942" s="49">
        <v>0</v>
      </c>
      <c r="L1942" s="50">
        <v>0</v>
      </c>
    </row>
    <row r="1943" spans="1:12" ht="15.6" outlineLevel="1">
      <c r="A1943" s="11">
        <v>1762000570</v>
      </c>
      <c r="B1943" s="40">
        <v>570</v>
      </c>
      <c r="C1943" s="109">
        <v>762000</v>
      </c>
      <c r="D1943" s="42">
        <v>1</v>
      </c>
      <c r="E1943" s="43"/>
      <c r="F1943" s="44" t="s">
        <v>1174</v>
      </c>
      <c r="G1943" s="45" t="s">
        <v>29</v>
      </c>
      <c r="H1943" s="51">
        <v>1</v>
      </c>
      <c r="I1943" s="47" t="s">
        <v>86</v>
      </c>
      <c r="J1943" s="48">
        <f>VLOOKUP(A1943,'[1]תקציב 2026'!$A$1:$M$65536,9,0)</f>
        <v>70000</v>
      </c>
      <c r="K1943" s="49">
        <v>0</v>
      </c>
      <c r="L1943" s="50">
        <v>0</v>
      </c>
    </row>
    <row r="1944" spans="1:12" ht="15.6" outlineLevel="1">
      <c r="A1944" s="11">
        <v>1762000580</v>
      </c>
      <c r="B1944" s="40">
        <v>580</v>
      </c>
      <c r="C1944" s="109">
        <v>762000</v>
      </c>
      <c r="D1944" s="42">
        <v>1</v>
      </c>
      <c r="E1944" s="43"/>
      <c r="F1944" s="44" t="s">
        <v>104</v>
      </c>
      <c r="G1944" s="45" t="s">
        <v>37</v>
      </c>
      <c r="H1944" s="51">
        <v>1</v>
      </c>
      <c r="I1944" s="47" t="s">
        <v>86</v>
      </c>
      <c r="J1944" s="48">
        <f>VLOOKUP(A1944,'[1]תקציב 2026'!$A$1:$M$65536,9,0)</f>
        <v>70000</v>
      </c>
      <c r="K1944" s="49">
        <v>0</v>
      </c>
      <c r="L1944" s="50">
        <v>0</v>
      </c>
    </row>
    <row r="1945" spans="1:12" ht="15.6" outlineLevel="1">
      <c r="A1945" s="11">
        <v>1762000782</v>
      </c>
      <c r="B1945" s="40">
        <v>782</v>
      </c>
      <c r="C1945" s="109">
        <v>762000</v>
      </c>
      <c r="D1945" s="42">
        <v>1</v>
      </c>
      <c r="E1945" s="43"/>
      <c r="F1945" s="44" t="s">
        <v>1175</v>
      </c>
      <c r="G1945" s="45" t="s">
        <v>37</v>
      </c>
      <c r="H1945" s="51">
        <v>1</v>
      </c>
      <c r="I1945" s="47" t="s">
        <v>86</v>
      </c>
      <c r="J1945" s="48">
        <f>VLOOKUP(A1945,'[1]תקציב 2026'!$A$1:$M$65536,9,0)</f>
        <v>50000</v>
      </c>
      <c r="K1945" s="49">
        <v>0</v>
      </c>
      <c r="L1945" s="50">
        <v>0</v>
      </c>
    </row>
    <row r="1946" spans="1:12" ht="15.6" outlineLevel="1">
      <c r="A1946" s="11">
        <v>1762000784</v>
      </c>
      <c r="B1946" s="40">
        <v>784</v>
      </c>
      <c r="C1946" s="109">
        <v>762000</v>
      </c>
      <c r="D1946" s="42">
        <v>1</v>
      </c>
      <c r="E1946" s="43"/>
      <c r="F1946" s="44" t="s">
        <v>1176</v>
      </c>
      <c r="G1946" s="45" t="s">
        <v>37</v>
      </c>
      <c r="H1946" s="51">
        <v>1</v>
      </c>
      <c r="I1946" s="47" t="s">
        <v>86</v>
      </c>
      <c r="J1946" s="48">
        <f>VLOOKUP(A1946,'[1]תקציב 2026'!$A$1:$M$65536,9,0)</f>
        <v>60000</v>
      </c>
      <c r="K1946" s="49">
        <v>0</v>
      </c>
      <c r="L1946" s="50">
        <v>0</v>
      </c>
    </row>
    <row r="1947" spans="1:12" ht="16.2" outlineLevel="1" thickBot="1">
      <c r="A1947" s="11">
        <v>1762000785</v>
      </c>
      <c r="B1947" s="40">
        <v>785</v>
      </c>
      <c r="C1947" s="109">
        <v>762000</v>
      </c>
      <c r="D1947" s="42">
        <v>1</v>
      </c>
      <c r="E1947" s="43"/>
      <c r="F1947" s="44" t="s">
        <v>1177</v>
      </c>
      <c r="G1947" s="45" t="s">
        <v>37</v>
      </c>
      <c r="H1947" s="51">
        <v>1</v>
      </c>
      <c r="I1947" s="47" t="s">
        <v>86</v>
      </c>
      <c r="J1947" s="48">
        <f>VLOOKUP(A1947,'[1]תקציב 2026'!$A$1:$M$65536,9,0)</f>
        <v>100000</v>
      </c>
      <c r="K1947" s="49">
        <v>0</v>
      </c>
      <c r="L1947" s="50">
        <v>0</v>
      </c>
    </row>
    <row r="1948" spans="1:12" ht="16.2" thickBot="1">
      <c r="A1948" s="11" t="e">
        <v>#VALUE!</v>
      </c>
      <c r="B1948" s="53" t="s">
        <v>1178</v>
      </c>
      <c r="C1948" s="223"/>
      <c r="D1948" s="55"/>
      <c r="E1948" s="56"/>
      <c r="F1948" s="116" t="s">
        <v>1173</v>
      </c>
      <c r="G1948" s="58"/>
      <c r="H1948" s="166">
        <v>1</v>
      </c>
      <c r="I1948" s="72"/>
      <c r="J1948" s="74">
        <f>SUBTOTAL(9,J1938:J1947)</f>
        <v>1043980</v>
      </c>
      <c r="K1948" s="92">
        <f>SUBTOTAL(9,K1938:K1947)</f>
        <v>0</v>
      </c>
      <c r="L1948" s="75">
        <f>SUBTOTAL(9,L1938:L1947)</f>
        <v>0</v>
      </c>
    </row>
    <row r="1949" spans="1:12" ht="15.6" outlineLevel="1">
      <c r="A1949" s="11">
        <v>17640000</v>
      </c>
      <c r="B1949" s="40">
        <v>0</v>
      </c>
      <c r="C1949" s="109">
        <v>764000</v>
      </c>
      <c r="D1949" s="42">
        <v>1</v>
      </c>
      <c r="E1949" s="43"/>
      <c r="F1949" s="44" t="s">
        <v>1179</v>
      </c>
      <c r="G1949" s="45" t="s">
        <v>15</v>
      </c>
      <c r="H1949" s="51"/>
      <c r="I1949" s="47"/>
      <c r="J1949" s="48"/>
      <c r="K1949" s="49"/>
      <c r="L1949" s="50"/>
    </row>
    <row r="1950" spans="1:12" ht="15.6" outlineLevel="1">
      <c r="A1950" s="11">
        <v>1764000119</v>
      </c>
      <c r="B1950" s="40">
        <v>119</v>
      </c>
      <c r="C1950" s="109">
        <v>764000</v>
      </c>
      <c r="D1950" s="42">
        <v>1</v>
      </c>
      <c r="E1950" s="43"/>
      <c r="F1950" s="44" t="s">
        <v>23</v>
      </c>
      <c r="G1950" s="45" t="s">
        <v>22</v>
      </c>
      <c r="H1950" s="51">
        <f t="shared" si="30"/>
        <v>2.4991875203119962E-2</v>
      </c>
      <c r="I1950" s="47"/>
      <c r="J1950" s="48">
        <v>315390</v>
      </c>
      <c r="K1950" s="49">
        <v>307700</v>
      </c>
      <c r="L1950" s="50">
        <f>VLOOKUP(A1950,[2]data1761205830331!$A$1:$J$65536,10,0)</f>
        <v>280904.28999999998</v>
      </c>
    </row>
    <row r="1951" spans="1:12" ht="15.6" outlineLevel="1">
      <c r="A1951" s="11">
        <v>1764000122</v>
      </c>
      <c r="B1951" s="40">
        <v>122</v>
      </c>
      <c r="C1951" s="109">
        <v>764000</v>
      </c>
      <c r="D1951" s="42">
        <v>1</v>
      </c>
      <c r="E1951" s="43"/>
      <c r="F1951" s="44" t="s">
        <v>24</v>
      </c>
      <c r="G1951" s="45" t="s">
        <v>22</v>
      </c>
      <c r="H1951" s="51">
        <f t="shared" si="30"/>
        <v>0</v>
      </c>
      <c r="I1951" s="47"/>
      <c r="J1951" s="48">
        <f>VLOOKUP(A1951,'[1]תקציב 2026'!$A$1:$M$65536,9,0)</f>
        <v>5600</v>
      </c>
      <c r="K1951" s="49">
        <f>VLOOKUP(A1951,[3]גיליון1!$A$1:$C$7693,3,0)</f>
        <v>5600</v>
      </c>
      <c r="L1951" s="50">
        <f>VLOOKUP(A1951,[2]data1761205830331!$A$1:$J$65536,10,0)</f>
        <v>4810</v>
      </c>
    </row>
    <row r="1952" spans="1:12" ht="15.6" outlineLevel="1">
      <c r="A1952" s="11">
        <v>1764000126</v>
      </c>
      <c r="B1952" s="40">
        <v>126</v>
      </c>
      <c r="C1952" s="109">
        <v>764000</v>
      </c>
      <c r="D1952" s="42">
        <v>1</v>
      </c>
      <c r="E1952" s="43"/>
      <c r="F1952" s="44" t="s">
        <v>25</v>
      </c>
      <c r="G1952" s="45" t="s">
        <v>22</v>
      </c>
      <c r="H1952" s="51">
        <f t="shared" si="30"/>
        <v>0</v>
      </c>
      <c r="I1952" s="47"/>
      <c r="J1952" s="48">
        <f>VLOOKUP(A1952,'[1]תקציב 2026'!$A$1:$M$65536,9,0)</f>
        <v>12200</v>
      </c>
      <c r="K1952" s="49">
        <f>VLOOKUP(A1952,[3]גיליון1!$A$1:$C$7693,3,0)</f>
        <v>12200</v>
      </c>
      <c r="L1952" s="50">
        <f>VLOOKUP(A1952,[2]data1761205830331!$A$1:$J$65536,10,0)</f>
        <v>11785</v>
      </c>
    </row>
    <row r="1953" spans="1:12" ht="15.6" outlineLevel="1">
      <c r="A1953" s="11">
        <v>1764000140</v>
      </c>
      <c r="B1953" s="40">
        <v>140</v>
      </c>
      <c r="C1953" s="109">
        <v>764000</v>
      </c>
      <c r="D1953" s="42">
        <v>1</v>
      </c>
      <c r="E1953" s="43"/>
      <c r="F1953" s="44" t="s">
        <v>27</v>
      </c>
      <c r="G1953" s="45" t="s">
        <v>22</v>
      </c>
      <c r="H1953" s="51">
        <f t="shared" si="30"/>
        <v>0</v>
      </c>
      <c r="I1953" s="47"/>
      <c r="J1953" s="48">
        <f>VLOOKUP(A1953,'[1]תקציב 2026'!$A$1:$M$65536,9,0)</f>
        <v>42400</v>
      </c>
      <c r="K1953" s="49">
        <f>VLOOKUP(A1953,[3]גיליון1!$A$1:$C$7693,3,0)</f>
        <v>42400</v>
      </c>
      <c r="L1953" s="50">
        <f>VLOOKUP(A1953,[2]data1761205830331!$A$1:$J$65536,10,0)</f>
        <v>41609.599999999999</v>
      </c>
    </row>
    <row r="1954" spans="1:12" ht="15.6" outlineLevel="1">
      <c r="A1954" s="11">
        <v>1764000544</v>
      </c>
      <c r="B1954" s="40">
        <v>544</v>
      </c>
      <c r="C1954" s="109">
        <v>764000</v>
      </c>
      <c r="D1954" s="42">
        <v>1</v>
      </c>
      <c r="E1954" s="43"/>
      <c r="F1954" s="44" t="s">
        <v>743</v>
      </c>
      <c r="G1954" s="45" t="s">
        <v>29</v>
      </c>
      <c r="H1954" s="51">
        <f t="shared" si="30"/>
        <v>0</v>
      </c>
      <c r="I1954" s="47"/>
      <c r="J1954" s="48">
        <f>VLOOKUP(A1954,'[1]תקציב 2026'!$A$1:$M$65536,9,0)</f>
        <v>5400</v>
      </c>
      <c r="K1954" s="49">
        <f>VLOOKUP(A1954,[3]גיליון1!$A$1:$C$7693,3,0)</f>
        <v>5400</v>
      </c>
      <c r="L1954" s="50">
        <f>VLOOKUP(A1954,[2]data1761205830331!$A$1:$J$65536,10,0)</f>
        <v>5388.88</v>
      </c>
    </row>
    <row r="1955" spans="1:12" ht="16.2" outlineLevel="1" thickBot="1">
      <c r="A1955" s="11">
        <v>1764000571</v>
      </c>
      <c r="B1955" s="40">
        <v>571</v>
      </c>
      <c r="C1955" s="109">
        <v>764000</v>
      </c>
      <c r="D1955" s="42">
        <v>1</v>
      </c>
      <c r="E1955" s="43"/>
      <c r="F1955" s="44" t="s">
        <v>75</v>
      </c>
      <c r="G1955" s="45" t="s">
        <v>29</v>
      </c>
      <c r="H1955" s="51">
        <f t="shared" si="30"/>
        <v>0</v>
      </c>
      <c r="I1955" s="47"/>
      <c r="J1955" s="48">
        <f>VLOOKUP(A1955,'[1]תקציב 2026'!$A$1:$M$65536,9,0)</f>
        <v>46100</v>
      </c>
      <c r="K1955" s="49">
        <v>46100</v>
      </c>
      <c r="L1955" s="50">
        <f>VLOOKUP(A1955,[2]data1761205830331!$A$1:$J$65536,10,0)</f>
        <v>39600</v>
      </c>
    </row>
    <row r="1956" spans="1:12" ht="16.2" thickBot="1">
      <c r="A1956" s="11" t="e">
        <v>#VALUE!</v>
      </c>
      <c r="B1956" s="53" t="s">
        <v>1180</v>
      </c>
      <c r="C1956" s="223"/>
      <c r="D1956" s="55"/>
      <c r="E1956" s="56"/>
      <c r="F1956" s="116" t="s">
        <v>1179</v>
      </c>
      <c r="G1956" s="58"/>
      <c r="H1956" s="166">
        <f>J1956/K1956-1</f>
        <v>1.8335717691940978E-2</v>
      </c>
      <c r="I1956" s="72"/>
      <c r="J1956" s="74">
        <f>SUBTOTAL(9,J1950:J1955)</f>
        <v>427090</v>
      </c>
      <c r="K1956" s="92">
        <f>SUBTOTAL(9,K1950:K1955)</f>
        <v>419400</v>
      </c>
      <c r="L1956" s="75">
        <f>SUBTOTAL(9,L1950:L1955)</f>
        <v>384097.76999999996</v>
      </c>
    </row>
    <row r="1957" spans="1:12" ht="15.6" outlineLevel="1">
      <c r="A1957" s="11">
        <v>17650000</v>
      </c>
      <c r="B1957" s="40">
        <v>0</v>
      </c>
      <c r="C1957" s="109">
        <v>765000</v>
      </c>
      <c r="D1957" s="42">
        <v>1</v>
      </c>
      <c r="E1957" s="43"/>
      <c r="F1957" s="44" t="s">
        <v>1181</v>
      </c>
      <c r="G1957" s="45" t="s">
        <v>15</v>
      </c>
      <c r="H1957" s="51"/>
      <c r="I1957" s="47"/>
      <c r="J1957" s="48"/>
      <c r="K1957" s="49"/>
      <c r="L1957" s="50"/>
    </row>
    <row r="1958" spans="1:12" ht="16.2" outlineLevel="1" thickBot="1">
      <c r="A1958" s="11">
        <v>1765000811</v>
      </c>
      <c r="B1958" s="40">
        <v>811</v>
      </c>
      <c r="C1958" s="109">
        <v>765000</v>
      </c>
      <c r="D1958" s="42">
        <v>1</v>
      </c>
      <c r="E1958" s="43"/>
      <c r="F1958" s="44" t="s">
        <v>1182</v>
      </c>
      <c r="G1958" s="45" t="s">
        <v>29</v>
      </c>
      <c r="H1958" s="51">
        <f t="shared" si="30"/>
        <v>0</v>
      </c>
      <c r="I1958" s="47"/>
      <c r="J1958" s="48">
        <f>VLOOKUP(A1958,'[1]תקציב 2026'!$A$1:$M$65536,9,0)</f>
        <v>525000</v>
      </c>
      <c r="K1958" s="49">
        <v>525000</v>
      </c>
      <c r="L1958" s="50">
        <f>VLOOKUP(A1958,[2]data1761205830331!$A$1:$J$65536,10,0)</f>
        <v>525400</v>
      </c>
    </row>
    <row r="1959" spans="1:12" ht="16.2" thickBot="1">
      <c r="A1959" s="11" t="e">
        <v>#VALUE!</v>
      </c>
      <c r="B1959" s="53" t="s">
        <v>1183</v>
      </c>
      <c r="C1959" s="223"/>
      <c r="D1959" s="55"/>
      <c r="E1959" s="56"/>
      <c r="F1959" s="116" t="s">
        <v>1181</v>
      </c>
      <c r="G1959" s="58"/>
      <c r="H1959" s="166">
        <v>0</v>
      </c>
      <c r="I1959" s="72"/>
      <c r="J1959" s="74">
        <f>SUBTOTAL(9,J1958:J1958)</f>
        <v>525000</v>
      </c>
      <c r="K1959" s="92">
        <f>SUBTOTAL(9,K1958:K1958)</f>
        <v>525000</v>
      </c>
      <c r="L1959" s="75">
        <f>SUBTOTAL(9,L1958:L1958)</f>
        <v>525400</v>
      </c>
    </row>
    <row r="1960" spans="1:12" ht="15.6" outlineLevel="1">
      <c r="A1960" s="11">
        <v>17670000</v>
      </c>
      <c r="B1960" s="64">
        <v>0</v>
      </c>
      <c r="C1960" s="131">
        <v>767000</v>
      </c>
      <c r="D1960" s="66">
        <v>1</v>
      </c>
      <c r="E1960" s="67"/>
      <c r="F1960" s="68" t="s">
        <v>1184</v>
      </c>
      <c r="G1960" s="69" t="s">
        <v>15</v>
      </c>
      <c r="H1960" s="51"/>
      <c r="I1960" s="47"/>
      <c r="J1960" s="48"/>
      <c r="K1960" s="49"/>
      <c r="L1960" s="50"/>
    </row>
    <row r="1961" spans="1:12" ht="15.6" outlineLevel="1">
      <c r="A1961" s="11">
        <v>1767000119</v>
      </c>
      <c r="B1961" s="40">
        <v>119</v>
      </c>
      <c r="C1961" s="109">
        <v>767000</v>
      </c>
      <c r="D1961" s="42">
        <v>1</v>
      </c>
      <c r="E1961" s="43"/>
      <c r="F1961" s="44" t="s">
        <v>23</v>
      </c>
      <c r="G1961" s="45" t="s">
        <v>22</v>
      </c>
      <c r="H1961" s="51">
        <f t="shared" si="30"/>
        <v>2.5008957362952389E-2</v>
      </c>
      <c r="I1961" s="47"/>
      <c r="J1961" s="48">
        <f>VLOOKUP(A1961,'[1]תקציב 2026'!$A$1:$M$65536,9,0)</f>
        <v>572160</v>
      </c>
      <c r="K1961" s="49">
        <v>558200</v>
      </c>
      <c r="L1961" s="50">
        <f>VLOOKUP(A1961,[2]data1761205830331!$A$1:$J$65536,10,0)</f>
        <v>421257.32</v>
      </c>
    </row>
    <row r="1962" spans="1:12" ht="15.6" outlineLevel="1">
      <c r="A1962" s="11">
        <v>1767000122</v>
      </c>
      <c r="B1962" s="40">
        <v>122</v>
      </c>
      <c r="C1962" s="109">
        <v>767000</v>
      </c>
      <c r="D1962" s="42">
        <v>1</v>
      </c>
      <c r="E1962" s="43"/>
      <c r="F1962" s="44" t="s">
        <v>24</v>
      </c>
      <c r="G1962" s="45" t="s">
        <v>22</v>
      </c>
      <c r="H1962" s="51">
        <f t="shared" si="30"/>
        <v>0</v>
      </c>
      <c r="I1962" s="47"/>
      <c r="J1962" s="48">
        <f>VLOOKUP(A1962,'[1]תקציב 2026'!$A$1:$M$65536,9,0)</f>
        <v>10000</v>
      </c>
      <c r="K1962" s="49">
        <f>VLOOKUP(A1962,[3]גיליון1!$A$1:$C$7693,3,0)</f>
        <v>10000</v>
      </c>
      <c r="L1962" s="50">
        <f>VLOOKUP(A1962,[2]data1761205830331!$A$1:$J$65536,10,0)</f>
        <v>4810</v>
      </c>
    </row>
    <row r="1963" spans="1:12" ht="15.6" outlineLevel="1">
      <c r="A1963" s="11">
        <v>1767000126</v>
      </c>
      <c r="B1963" s="40">
        <v>126</v>
      </c>
      <c r="C1963" s="109">
        <v>767000</v>
      </c>
      <c r="D1963" s="42">
        <v>1</v>
      </c>
      <c r="E1963" s="43"/>
      <c r="F1963" s="44" t="s">
        <v>25</v>
      </c>
      <c r="G1963" s="45" t="s">
        <v>22</v>
      </c>
      <c r="H1963" s="51">
        <f t="shared" si="30"/>
        <v>0</v>
      </c>
      <c r="I1963" s="47"/>
      <c r="J1963" s="48">
        <f>VLOOKUP(A1963,'[1]תקציב 2026'!$A$1:$M$65536,9,0)</f>
        <v>20000</v>
      </c>
      <c r="K1963" s="49">
        <f>VLOOKUP(A1963,[3]גיליון1!$A$1:$C$7693,3,0)</f>
        <v>20000</v>
      </c>
      <c r="L1963" s="50">
        <f>VLOOKUP(A1963,[2]data1761205830331!$A$1:$J$65536,10,0)</f>
        <v>10842.2</v>
      </c>
    </row>
    <row r="1964" spans="1:12" ht="15.6" outlineLevel="1">
      <c r="A1964" s="11">
        <v>1767000140</v>
      </c>
      <c r="B1964" s="40">
        <v>140</v>
      </c>
      <c r="C1964" s="109">
        <v>767000</v>
      </c>
      <c r="D1964" s="42">
        <v>1</v>
      </c>
      <c r="E1964" s="43"/>
      <c r="F1964" s="44" t="s">
        <v>27</v>
      </c>
      <c r="G1964" s="45" t="s">
        <v>22</v>
      </c>
      <c r="H1964" s="51">
        <f t="shared" si="30"/>
        <v>0</v>
      </c>
      <c r="I1964" s="47"/>
      <c r="J1964" s="48">
        <f>VLOOKUP(A1964,'[1]תקציב 2026'!$A$1:$M$65536,9,0)</f>
        <v>65500</v>
      </c>
      <c r="K1964" s="49">
        <f>VLOOKUP(A1964,[3]גיליון1!$A$1:$C$7693,3,0)</f>
        <v>65500</v>
      </c>
      <c r="L1964" s="50">
        <f>VLOOKUP(A1964,[2]data1761205830331!$A$1:$J$65536,10,0)</f>
        <v>62469.13</v>
      </c>
    </row>
    <row r="1965" spans="1:12" ht="15.6" outlineLevel="1">
      <c r="A1965" s="11">
        <v>1767000440</v>
      </c>
      <c r="B1965" s="40">
        <v>440</v>
      </c>
      <c r="C1965" s="109">
        <v>767000</v>
      </c>
      <c r="D1965" s="42">
        <v>1</v>
      </c>
      <c r="E1965" s="43"/>
      <c r="F1965" s="44" t="s">
        <v>1185</v>
      </c>
      <c r="G1965" s="45" t="s">
        <v>29</v>
      </c>
      <c r="H1965" s="51">
        <f t="shared" si="30"/>
        <v>0</v>
      </c>
      <c r="I1965" s="47"/>
      <c r="J1965" s="48">
        <f>VLOOKUP(A1965,'[1]תקציב 2026'!$A$1:$M$65536,9,0)</f>
        <v>200000</v>
      </c>
      <c r="K1965" s="49">
        <f>VLOOKUP(A1965,[3]גיליון1!$A$1:$C$7693,3,0)</f>
        <v>200000</v>
      </c>
      <c r="L1965" s="50">
        <f>VLOOKUP(A1965,[2]data1761205830331!$A$1:$J$65536,10,0)</f>
        <v>53826.46</v>
      </c>
    </row>
    <row r="1966" spans="1:12" ht="15.6" outlineLevel="1">
      <c r="A1966" s="11">
        <v>1767000441</v>
      </c>
      <c r="B1966" s="40">
        <v>441</v>
      </c>
      <c r="C1966" s="109">
        <v>767000</v>
      </c>
      <c r="D1966" s="42">
        <v>1</v>
      </c>
      <c r="E1966" s="43"/>
      <c r="F1966" s="44" t="s">
        <v>1186</v>
      </c>
      <c r="G1966" s="45" t="s">
        <v>29</v>
      </c>
      <c r="H1966" s="51">
        <f t="shared" si="30"/>
        <v>0</v>
      </c>
      <c r="I1966" s="47"/>
      <c r="J1966" s="48">
        <f>VLOOKUP(A1966,'[1]תקציב 2026'!$A$1:$M$65536,9,0)</f>
        <v>250000</v>
      </c>
      <c r="K1966" s="49">
        <f>VLOOKUP(A1966,[3]גיליון1!$A$1:$C$7693,3,0)</f>
        <v>250000</v>
      </c>
      <c r="L1966" s="50">
        <f>VLOOKUP(A1966,[2]data1761205830331!$A$1:$J$65536,10,0)</f>
        <v>0</v>
      </c>
    </row>
    <row r="1967" spans="1:12" ht="15.6" outlineLevel="1">
      <c r="A1967" s="11">
        <v>1767000442</v>
      </c>
      <c r="B1967" s="40">
        <v>442</v>
      </c>
      <c r="C1967" s="109">
        <v>767000</v>
      </c>
      <c r="D1967" s="42">
        <v>1</v>
      </c>
      <c r="E1967" s="43"/>
      <c r="F1967" s="44" t="s">
        <v>1187</v>
      </c>
      <c r="G1967" s="45" t="s">
        <v>29</v>
      </c>
      <c r="H1967" s="51">
        <f t="shared" si="30"/>
        <v>0</v>
      </c>
      <c r="I1967" s="47"/>
      <c r="J1967" s="48">
        <f>VLOOKUP(A1967,'[1]תקציב 2026'!$A$1:$M$65536,9,0)</f>
        <v>4800000</v>
      </c>
      <c r="K1967" s="49">
        <v>4800000</v>
      </c>
      <c r="L1967" s="50">
        <f>VLOOKUP(A1967,[2]data1761205830331!$A$1:$J$65536,10,0)</f>
        <v>4663047</v>
      </c>
    </row>
    <row r="1968" spans="1:12" ht="15.6" outlineLevel="1">
      <c r="A1968" s="11">
        <v>1767000443</v>
      </c>
      <c r="B1968" s="40">
        <v>443</v>
      </c>
      <c r="C1968" s="109">
        <v>767000</v>
      </c>
      <c r="D1968" s="42">
        <v>1</v>
      </c>
      <c r="E1968" s="43"/>
      <c r="F1968" s="44" t="s">
        <v>1188</v>
      </c>
      <c r="G1968" s="45" t="s">
        <v>29</v>
      </c>
      <c r="H1968" s="51">
        <f t="shared" si="30"/>
        <v>0</v>
      </c>
      <c r="I1968" s="47"/>
      <c r="J1968" s="48">
        <f>VLOOKUP(A1968,'[1]תקציב 2026'!$A$1:$M$65536,9,0)</f>
        <v>1800000</v>
      </c>
      <c r="K1968" s="49">
        <f>VLOOKUP(A1968,[3]גיליון1!$A$1:$C$7693,3,0)</f>
        <v>1800000</v>
      </c>
      <c r="L1968" s="50">
        <f>VLOOKUP(A1968,[2]data1761205830331!$A$1:$J$65536,10,0)</f>
        <v>1197808.71</v>
      </c>
    </row>
    <row r="1969" spans="1:12" ht="15.6" outlineLevel="1">
      <c r="A1969" s="11">
        <v>1767000444</v>
      </c>
      <c r="B1969" s="40">
        <v>444</v>
      </c>
      <c r="C1969" s="109">
        <v>767000</v>
      </c>
      <c r="D1969" s="42">
        <v>1</v>
      </c>
      <c r="E1969" s="43"/>
      <c r="F1969" s="44" t="s">
        <v>1189</v>
      </c>
      <c r="G1969" s="45" t="s">
        <v>29</v>
      </c>
      <c r="H1969" s="51">
        <f t="shared" si="30"/>
        <v>-0.11111111111111116</v>
      </c>
      <c r="I1969" s="47"/>
      <c r="J1969" s="48">
        <f>VLOOKUP(A1969,'[1]תקציב 2026'!$A$1:$M$65536,9,0)</f>
        <v>200000</v>
      </c>
      <c r="K1969" s="49">
        <v>225000</v>
      </c>
      <c r="L1969" s="50">
        <f>VLOOKUP(A1969,[2]data1761205830331!$A$1:$J$65536,10,0)</f>
        <v>18579</v>
      </c>
    </row>
    <row r="1970" spans="1:12" ht="15.6" outlineLevel="1">
      <c r="A1970" s="11">
        <v>1767000445</v>
      </c>
      <c r="B1970" s="40">
        <v>445</v>
      </c>
      <c r="C1970" s="109">
        <v>767000</v>
      </c>
      <c r="D1970" s="42">
        <v>1</v>
      </c>
      <c r="E1970" s="43"/>
      <c r="F1970" s="44" t="s">
        <v>1190</v>
      </c>
      <c r="G1970" s="45" t="s">
        <v>29</v>
      </c>
      <c r="H1970" s="51">
        <f t="shared" si="30"/>
        <v>-0.19999999999999996</v>
      </c>
      <c r="I1970" s="47"/>
      <c r="J1970" s="48">
        <f>VLOOKUP(A1970,'[1]תקציב 2026'!$A$1:$M$65536,9,0)</f>
        <v>200000</v>
      </c>
      <c r="K1970" s="49">
        <v>250000</v>
      </c>
      <c r="L1970" s="50">
        <f>VLOOKUP(A1970,[2]data1761205830331!$A$1:$J$65536,10,0)</f>
        <v>0</v>
      </c>
    </row>
    <row r="1971" spans="1:12" ht="15.6" outlineLevel="1">
      <c r="A1971" s="11">
        <v>1767000447</v>
      </c>
      <c r="B1971" s="40">
        <v>447</v>
      </c>
      <c r="C1971" s="109">
        <v>767000</v>
      </c>
      <c r="D1971" s="42">
        <v>1</v>
      </c>
      <c r="E1971" s="43"/>
      <c r="F1971" s="44" t="s">
        <v>1191</v>
      </c>
      <c r="G1971" s="45" t="s">
        <v>29</v>
      </c>
      <c r="H1971" s="51">
        <f t="shared" si="30"/>
        <v>0</v>
      </c>
      <c r="I1971" s="47"/>
      <c r="J1971" s="48">
        <f>VLOOKUP(A1971,'[1]תקציב 2026'!$A$1:$M$65536,9,0)</f>
        <v>17000</v>
      </c>
      <c r="K1971" s="49">
        <f>VLOOKUP(A1971,[3]גיליון1!$A$1:$C$7693,3,0)</f>
        <v>17000</v>
      </c>
      <c r="L1971" s="50">
        <f>VLOOKUP(A1971,[2]data1761205830331!$A$1:$J$65536,10,0)</f>
        <v>16690</v>
      </c>
    </row>
    <row r="1972" spans="1:12" ht="15.6" outlineLevel="1">
      <c r="A1972" s="11">
        <v>1767000448</v>
      </c>
      <c r="B1972" s="40">
        <v>448</v>
      </c>
      <c r="C1972" s="109">
        <v>767000</v>
      </c>
      <c r="D1972" s="42">
        <v>1</v>
      </c>
      <c r="E1972" s="43"/>
      <c r="F1972" s="44" t="s">
        <v>1192</v>
      </c>
      <c r="G1972" s="45" t="s">
        <v>29</v>
      </c>
      <c r="H1972" s="51">
        <f t="shared" si="30"/>
        <v>-0.22948124695567462</v>
      </c>
      <c r="I1972" s="47"/>
      <c r="J1972" s="48">
        <f>VLOOKUP(A1972,'[1]תקציב 2026'!$A$1:$M$65536,9,0)</f>
        <v>2531000</v>
      </c>
      <c r="K1972" s="49">
        <v>3284800</v>
      </c>
      <c r="L1972" s="50">
        <f>VLOOKUP(A1972,[2]data1761205830331!$A$1:$J$65536,10,0)</f>
        <v>3439399.6</v>
      </c>
    </row>
    <row r="1973" spans="1:12" ht="15.6" outlineLevel="1">
      <c r="A1973" s="11">
        <v>1767000580</v>
      </c>
      <c r="B1973" s="40">
        <v>580</v>
      </c>
      <c r="C1973" s="109">
        <v>767000</v>
      </c>
      <c r="D1973" s="42">
        <v>1</v>
      </c>
      <c r="E1973" s="43"/>
      <c r="F1973" s="44" t="s">
        <v>1193</v>
      </c>
      <c r="G1973" s="45" t="s">
        <v>29</v>
      </c>
      <c r="H1973" s="51">
        <f t="shared" si="30"/>
        <v>-2.8490028490028019E-3</v>
      </c>
      <c r="I1973" s="47"/>
      <c r="J1973" s="48">
        <f>VLOOKUP(A1973,'[1]תקציב 2026'!$A$1:$M$65536,9,0)</f>
        <v>210000</v>
      </c>
      <c r="K1973" s="49">
        <v>210600</v>
      </c>
      <c r="L1973" s="50">
        <f>VLOOKUP(A1973,[2]data1761205830331!$A$1:$J$65536,10,0)</f>
        <v>121680</v>
      </c>
    </row>
    <row r="1974" spans="1:12" ht="16.2" outlineLevel="1" thickBot="1">
      <c r="A1974" s="11">
        <v>1767000581</v>
      </c>
      <c r="B1974" s="40">
        <v>581</v>
      </c>
      <c r="C1974" s="109">
        <v>767000</v>
      </c>
      <c r="D1974" s="42">
        <v>1</v>
      </c>
      <c r="E1974" s="43"/>
      <c r="F1974" s="44" t="s">
        <v>1194</v>
      </c>
      <c r="G1974" s="45" t="s">
        <v>29</v>
      </c>
      <c r="H1974" s="51">
        <f t="shared" si="30"/>
        <v>8.3333333333333259E-2</v>
      </c>
      <c r="I1974" s="47"/>
      <c r="J1974" s="48">
        <f>VLOOKUP(A1974,'[1]תקציב 2026'!$A$1:$M$65536,9,0)</f>
        <v>1300000</v>
      </c>
      <c r="K1974" s="49">
        <v>1200000</v>
      </c>
      <c r="L1974" s="50">
        <f>VLOOKUP(A1974,[2]data1761205830331!$A$1:$J$65536,10,0)</f>
        <v>1284167.55</v>
      </c>
    </row>
    <row r="1975" spans="1:12" ht="16.2" thickBot="1">
      <c r="A1975" s="11" t="e">
        <v>#VALUE!</v>
      </c>
      <c r="B1975" s="53" t="s">
        <v>1195</v>
      </c>
      <c r="C1975" s="223"/>
      <c r="D1975" s="55"/>
      <c r="E1975" s="56"/>
      <c r="F1975" s="116" t="s">
        <v>1184</v>
      </c>
      <c r="G1975" s="58"/>
      <c r="H1975" s="166">
        <f>J1975/K1975-1</f>
        <v>-5.5498754954968921E-2</v>
      </c>
      <c r="I1975" s="72"/>
      <c r="J1975" s="74">
        <f>SUBTOTAL(9,J1961:J1974)</f>
        <v>12175660</v>
      </c>
      <c r="K1975" s="92">
        <f>SUBTOTAL(9,K1961:K1974)</f>
        <v>12891100</v>
      </c>
      <c r="L1975" s="75">
        <f>SUBTOTAL(9,L1961:L1974)</f>
        <v>11294576.970000001</v>
      </c>
    </row>
    <row r="1976" spans="1:12" ht="15.6" outlineLevel="1">
      <c r="A1976" s="11">
        <v>17690000</v>
      </c>
      <c r="B1976" s="40">
        <v>0</v>
      </c>
      <c r="C1976" s="109">
        <v>769000</v>
      </c>
      <c r="D1976" s="42">
        <v>1</v>
      </c>
      <c r="E1976" s="43"/>
      <c r="F1976" s="44" t="s">
        <v>207</v>
      </c>
      <c r="G1976" s="45" t="s">
        <v>15</v>
      </c>
      <c r="H1976" s="51"/>
      <c r="I1976" s="47"/>
      <c r="J1976" s="48"/>
      <c r="K1976" s="49"/>
      <c r="L1976" s="50"/>
    </row>
    <row r="1977" spans="1:12" ht="15.6" outlineLevel="1">
      <c r="A1977" s="11">
        <v>1769000119</v>
      </c>
      <c r="B1977" s="40">
        <v>119</v>
      </c>
      <c r="C1977" s="109">
        <v>769000</v>
      </c>
      <c r="D1977" s="42">
        <v>1</v>
      </c>
      <c r="E1977" s="43"/>
      <c r="F1977" s="44" t="s">
        <v>23</v>
      </c>
      <c r="G1977" s="45" t="s">
        <v>22</v>
      </c>
      <c r="H1977" s="51">
        <f t="shared" si="30"/>
        <v>2.4983943481053261E-2</v>
      </c>
      <c r="I1977" s="47"/>
      <c r="J1977" s="48">
        <v>159590</v>
      </c>
      <c r="K1977" s="49">
        <v>155700</v>
      </c>
      <c r="L1977" s="50">
        <f>VLOOKUP(A1977,[2]data1761205830331!$A$1:$J$65536,10,0)</f>
        <v>160854.46</v>
      </c>
    </row>
    <row r="1978" spans="1:12" ht="15.6" outlineLevel="1">
      <c r="A1978" s="11">
        <v>1769000122</v>
      </c>
      <c r="B1978" s="40">
        <v>122</v>
      </c>
      <c r="C1978" s="109">
        <v>769000</v>
      </c>
      <c r="D1978" s="42">
        <v>1</v>
      </c>
      <c r="E1978" s="43"/>
      <c r="F1978" s="44" t="s">
        <v>24</v>
      </c>
      <c r="G1978" s="45" t="s">
        <v>22</v>
      </c>
      <c r="H1978" s="51">
        <f t="shared" si="30"/>
        <v>0</v>
      </c>
      <c r="I1978" s="47"/>
      <c r="J1978" s="48">
        <f>VLOOKUP(A1978,'[1]תקציב 2026'!$A$1:$M$65536,9,0)</f>
        <v>2700</v>
      </c>
      <c r="K1978" s="49">
        <f>VLOOKUP(A1978,[3]גיליון1!$A$1:$C$7693,3,0)</f>
        <v>2700</v>
      </c>
      <c r="L1978" s="50">
        <f>VLOOKUP(A1978,[2]data1761205830331!$A$1:$J$65536,10,0)</f>
        <v>2405</v>
      </c>
    </row>
    <row r="1979" spans="1:12" ht="15.6" outlineLevel="1">
      <c r="A1979" s="11">
        <v>1769000126</v>
      </c>
      <c r="B1979" s="40">
        <v>126</v>
      </c>
      <c r="C1979" s="109">
        <v>769000</v>
      </c>
      <c r="D1979" s="42">
        <v>1</v>
      </c>
      <c r="E1979" s="43"/>
      <c r="F1979" s="44" t="s">
        <v>25</v>
      </c>
      <c r="G1979" s="45" t="s">
        <v>22</v>
      </c>
      <c r="H1979" s="51">
        <f t="shared" si="30"/>
        <v>0</v>
      </c>
      <c r="I1979" s="47"/>
      <c r="J1979" s="48">
        <f>VLOOKUP(A1979,'[1]תקציב 2026'!$A$1:$M$65536,9,0)</f>
        <v>7000</v>
      </c>
      <c r="K1979" s="49">
        <f>VLOOKUP(A1979,[3]גיליון1!$A$1:$C$7693,3,0)</f>
        <v>7000</v>
      </c>
      <c r="L1979" s="50">
        <f>VLOOKUP(A1979,[2]data1761205830331!$A$1:$J$65536,10,0)</f>
        <v>6128.2</v>
      </c>
    </row>
    <row r="1980" spans="1:12" ht="15.6" outlineLevel="1">
      <c r="A1980" s="11">
        <v>1769000140</v>
      </c>
      <c r="B1980" s="40">
        <v>140</v>
      </c>
      <c r="C1980" s="109">
        <v>769000</v>
      </c>
      <c r="D1980" s="42">
        <v>1</v>
      </c>
      <c r="E1980" s="43"/>
      <c r="F1980" s="44" t="s">
        <v>27</v>
      </c>
      <c r="G1980" s="45" t="s">
        <v>22</v>
      </c>
      <c r="H1980" s="51">
        <f t="shared" si="30"/>
        <v>0</v>
      </c>
      <c r="I1980" s="47"/>
      <c r="J1980" s="48">
        <f>VLOOKUP(A1980,'[1]תקציב 2026'!$A$1:$M$65536,9,0)</f>
        <v>32500</v>
      </c>
      <c r="K1980" s="49">
        <f>VLOOKUP(A1980,[3]גיליון1!$A$1:$C$7693,3,0)</f>
        <v>32500</v>
      </c>
      <c r="L1980" s="50">
        <f>VLOOKUP(A1980,[2]data1761205830331!$A$1:$J$65536,10,0)</f>
        <v>27382.47</v>
      </c>
    </row>
    <row r="1981" spans="1:12" ht="15.6" outlineLevel="1">
      <c r="A1981" s="11">
        <v>1769000471</v>
      </c>
      <c r="B1981" s="40">
        <v>471</v>
      </c>
      <c r="C1981" s="109">
        <v>769000</v>
      </c>
      <c r="D1981" s="42">
        <v>1</v>
      </c>
      <c r="E1981" s="43"/>
      <c r="F1981" s="44" t="s">
        <v>71</v>
      </c>
      <c r="G1981" s="45" t="s">
        <v>37</v>
      </c>
      <c r="H1981" s="51">
        <f t="shared" si="30"/>
        <v>-0.65277777777777779</v>
      </c>
      <c r="I1981" s="47"/>
      <c r="J1981" s="48">
        <f>VLOOKUP(A1981,'[1]תקציב 2026'!$A$1:$M$65536,9,0)</f>
        <v>1000</v>
      </c>
      <c r="K1981" s="49">
        <f>VLOOKUP(A1981,[3]גיליון1!$A$1:$C$7693,3,0)*0.9</f>
        <v>2880</v>
      </c>
      <c r="L1981" s="50">
        <f>VLOOKUP(A1981,[2]data1761205830331!$A$1:$J$65536,10,0)</f>
        <v>0</v>
      </c>
    </row>
    <row r="1982" spans="1:12" ht="15.6" outlineLevel="1">
      <c r="A1982" s="11">
        <v>1769000511</v>
      </c>
      <c r="B1982" s="40">
        <v>511</v>
      </c>
      <c r="C1982" s="109">
        <v>769000</v>
      </c>
      <c r="D1982" s="42">
        <v>1</v>
      </c>
      <c r="E1982" s="43"/>
      <c r="F1982" s="44" t="str">
        <f>[4]גיליון1!$F$3452</f>
        <v>כיבוד מועצת עיר וועדות</v>
      </c>
      <c r="G1982" s="45" t="s">
        <v>37</v>
      </c>
      <c r="H1982" s="51">
        <f t="shared" si="30"/>
        <v>0.22549019607843146</v>
      </c>
      <c r="I1982" s="47"/>
      <c r="J1982" s="48">
        <f>VLOOKUP(A1982,'[1]תקציב 2026'!$A$1:$M$65536,9,0)</f>
        <v>15000</v>
      </c>
      <c r="K1982" s="49">
        <f>13600*0.9</f>
        <v>12240</v>
      </c>
      <c r="L1982" s="50">
        <f>VLOOKUP(A1982,[2]data1761205830331!$A$1:$J$65536,10,0)</f>
        <v>62.49</v>
      </c>
    </row>
    <row r="1983" spans="1:12" ht="15.6" outlineLevel="1">
      <c r="A1983" s="11">
        <v>1769000562</v>
      </c>
      <c r="B1983" s="40">
        <v>562</v>
      </c>
      <c r="C1983" s="109">
        <v>769000</v>
      </c>
      <c r="D1983" s="42">
        <v>1</v>
      </c>
      <c r="E1983" s="43"/>
      <c r="F1983" s="44" t="s">
        <v>748</v>
      </c>
      <c r="G1983" s="45" t="s">
        <v>37</v>
      </c>
      <c r="H1983" s="51">
        <f t="shared" si="30"/>
        <v>-4.0404040404040442E-2</v>
      </c>
      <c r="I1983" s="47"/>
      <c r="J1983" s="48">
        <f>VLOOKUP(A1983,'[1]תקציב 2026'!$A$1:$M$65536,9,0)</f>
        <v>1900</v>
      </c>
      <c r="K1983" s="49">
        <f>VLOOKUP(A1983,[3]גיליון1!$A$1:$C$7693,3,0)*0.9</f>
        <v>1980</v>
      </c>
      <c r="L1983" s="50">
        <f>VLOOKUP(A1983,[2]data1761205830331!$A$1:$J$65536,10,0)</f>
        <v>0</v>
      </c>
    </row>
    <row r="1984" spans="1:12" ht="15.6" outlineLevel="1">
      <c r="A1984" s="11">
        <v>1769000580</v>
      </c>
      <c r="B1984" s="40">
        <v>580</v>
      </c>
      <c r="C1984" s="109">
        <v>769000</v>
      </c>
      <c r="D1984" s="42">
        <v>1</v>
      </c>
      <c r="E1984" s="43"/>
      <c r="F1984" s="44" t="s">
        <v>1196</v>
      </c>
      <c r="G1984" s="45" t="s">
        <v>37</v>
      </c>
      <c r="H1984" s="51">
        <f t="shared" si="30"/>
        <v>0.11111111111111116</v>
      </c>
      <c r="I1984" s="47"/>
      <c r="J1984" s="48">
        <f>VLOOKUP(A1984,'[1]תקציב 2026'!$A$1:$M$65536,9,0)</f>
        <v>52700</v>
      </c>
      <c r="K1984" s="49">
        <f>VLOOKUP(A1984,[3]גיליון1!$A$1:$C$7693,3,0)*0.9</f>
        <v>47430</v>
      </c>
      <c r="L1984" s="50">
        <f>VLOOKUP(A1984,[2]data1761205830331!$A$1:$J$65536,10,0)</f>
        <v>52700</v>
      </c>
    </row>
    <row r="1985" spans="1:12" ht="15.6" outlineLevel="1">
      <c r="A1985" s="11">
        <v>1769000751</v>
      </c>
      <c r="B1985" s="40">
        <v>751</v>
      </c>
      <c r="C1985" s="109">
        <v>769000</v>
      </c>
      <c r="D1985" s="42">
        <v>1</v>
      </c>
      <c r="E1985" s="43"/>
      <c r="F1985" s="44" t="s">
        <v>1197</v>
      </c>
      <c r="G1985" s="45" t="s">
        <v>37</v>
      </c>
      <c r="H1985" s="51">
        <f t="shared" si="30"/>
        <v>-1.7094017094017144E-2</v>
      </c>
      <c r="I1985" s="47"/>
      <c r="J1985" s="48">
        <f>VLOOKUP(A1985,'[1]תקציב 2026'!$A$1:$M$65536,9,0)</f>
        <v>4600</v>
      </c>
      <c r="K1985" s="49">
        <f>VLOOKUP(A1985,[3]גיליון1!$A$1:$C$7693,3,0)*0.9</f>
        <v>4680</v>
      </c>
      <c r="L1985" s="50">
        <f>VLOOKUP(A1985,[2]data1761205830331!$A$1:$J$65536,10,0)</f>
        <v>3536</v>
      </c>
    </row>
    <row r="1986" spans="1:12" ht="15.6" outlineLevel="1">
      <c r="A1986" s="11">
        <v>1769000752</v>
      </c>
      <c r="B1986" s="40">
        <v>752</v>
      </c>
      <c r="C1986" s="109">
        <v>769000</v>
      </c>
      <c r="D1986" s="42">
        <v>1</v>
      </c>
      <c r="E1986" s="43"/>
      <c r="F1986" s="44" t="s">
        <v>1198</v>
      </c>
      <c r="G1986" s="45" t="s">
        <v>29</v>
      </c>
      <c r="H1986" s="51">
        <f t="shared" ref="H1986:H2040" si="31">J1986/K1986-1</f>
        <v>-0.4</v>
      </c>
      <c r="I1986" s="47"/>
      <c r="J1986" s="48">
        <f>VLOOKUP(A1986,'[1]תקציב 2026'!$A$1:$M$65536,9,0)</f>
        <v>9000</v>
      </c>
      <c r="K1986" s="49">
        <f>VLOOKUP(A1986,[3]גיליון1!$A$1:$C$7693,3,0)</f>
        <v>15000</v>
      </c>
      <c r="L1986" s="50">
        <f>VLOOKUP(A1986,[2]data1761205830331!$A$1:$J$65536,10,0)</f>
        <v>3661.05</v>
      </c>
    </row>
    <row r="1987" spans="1:12" ht="15.6" outlineLevel="1">
      <c r="A1987" s="11">
        <v>1769000780</v>
      </c>
      <c r="B1987" s="40">
        <v>780</v>
      </c>
      <c r="C1987" s="109">
        <v>769000</v>
      </c>
      <c r="D1987" s="42">
        <v>1</v>
      </c>
      <c r="E1987" s="43"/>
      <c r="F1987" s="44" t="s">
        <v>1199</v>
      </c>
      <c r="G1987" s="45" t="s">
        <v>37</v>
      </c>
      <c r="H1987" s="51">
        <f t="shared" si="31"/>
        <v>8.9968511021143449E-4</v>
      </c>
      <c r="I1987" s="47"/>
      <c r="J1987" s="48">
        <f>VLOOKUP(A1987,'[1]תקציב 2026'!$A$1:$M$65536,9,0)</f>
        <v>890000</v>
      </c>
      <c r="K1987" s="49">
        <f>988000*0.9</f>
        <v>889200</v>
      </c>
      <c r="L1987" s="50">
        <f>VLOOKUP(A1987,[2]data1761205830331!$A$1:$J$65536,10,0)</f>
        <v>1556845.21</v>
      </c>
    </row>
    <row r="1988" spans="1:12" ht="15.6" outlineLevel="1">
      <c r="A1988" s="11">
        <v>1769000781</v>
      </c>
      <c r="B1988" s="40">
        <v>781</v>
      </c>
      <c r="C1988" s="109">
        <v>769000</v>
      </c>
      <c r="D1988" s="42">
        <v>1</v>
      </c>
      <c r="E1988" s="43"/>
      <c r="F1988" s="44" t="s">
        <v>1200</v>
      </c>
      <c r="G1988" s="45" t="s">
        <v>37</v>
      </c>
      <c r="H1988" s="51">
        <f t="shared" si="31"/>
        <v>0.11111111111111116</v>
      </c>
      <c r="I1988" s="47"/>
      <c r="J1988" s="48">
        <f>VLOOKUP(A1988,'[1]תקציב 2026'!$A$1:$M$65536,9,0)</f>
        <v>15400</v>
      </c>
      <c r="K1988" s="49">
        <f>VLOOKUP(A1988,[3]גיליון1!$A$1:$C$7693,3,0)*0.9</f>
        <v>13860</v>
      </c>
      <c r="L1988" s="50">
        <f>VLOOKUP(A1988,[2]data1761205830331!$A$1:$J$65536,10,0)</f>
        <v>0</v>
      </c>
    </row>
    <row r="1989" spans="1:12" ht="15.6" outlineLevel="1">
      <c r="A1989" s="11">
        <v>1769000782</v>
      </c>
      <c r="B1989" s="40">
        <v>782</v>
      </c>
      <c r="C1989" s="109">
        <v>769000</v>
      </c>
      <c r="D1989" s="42">
        <v>1</v>
      </c>
      <c r="E1989" s="43"/>
      <c r="F1989" s="44" t="s">
        <v>1201</v>
      </c>
      <c r="G1989" s="45" t="s">
        <v>37</v>
      </c>
      <c r="H1989" s="51">
        <f t="shared" si="31"/>
        <v>0.24545200111950738</v>
      </c>
      <c r="I1989" s="47"/>
      <c r="J1989" s="48">
        <f>VLOOKUP(A1989,'[1]תקציב 2026'!$A$1:$M$65536,9,0)</f>
        <v>445000</v>
      </c>
      <c r="K1989" s="49">
        <f>VLOOKUP(A1989,[3]גיליון1!$A$1:$C$7693,3,0)*0.9</f>
        <v>357300</v>
      </c>
      <c r="L1989" s="50">
        <f>VLOOKUP(A1989,[2]data1761205830331!$A$1:$J$65536,10,0)</f>
        <v>443199.74</v>
      </c>
    </row>
    <row r="1990" spans="1:12" ht="15.6" outlineLevel="1">
      <c r="A1990" s="11">
        <v>1769000784</v>
      </c>
      <c r="B1990" s="40">
        <v>784</v>
      </c>
      <c r="C1990" s="109">
        <v>769000</v>
      </c>
      <c r="D1990" s="42">
        <v>1</v>
      </c>
      <c r="E1990" s="43"/>
      <c r="F1990" s="44" t="s">
        <v>1202</v>
      </c>
      <c r="G1990" s="45" t="s">
        <v>37</v>
      </c>
      <c r="H1990" s="51">
        <v>0</v>
      </c>
      <c r="I1990" s="47"/>
      <c r="J1990" s="48">
        <f>VLOOKUP(A1990,'[1]תקציב 2026'!$A$1:$M$65536,9,0)</f>
        <v>0</v>
      </c>
      <c r="K1990" s="49">
        <v>0</v>
      </c>
      <c r="L1990" s="50">
        <f>VLOOKUP(A1990,[2]data1761205830331!$A$1:$J$65536,10,0)</f>
        <v>1501136</v>
      </c>
    </row>
    <row r="1991" spans="1:12" ht="15.6" outlineLevel="1">
      <c r="A1991" s="11">
        <v>1769000786</v>
      </c>
      <c r="B1991" s="40">
        <v>786</v>
      </c>
      <c r="C1991" s="109">
        <v>769000</v>
      </c>
      <c r="D1991" s="42">
        <v>1</v>
      </c>
      <c r="E1991" s="43"/>
      <c r="F1991" s="44" t="s">
        <v>1203</v>
      </c>
      <c r="G1991" s="45" t="s">
        <v>37</v>
      </c>
      <c r="H1991" s="51">
        <v>0</v>
      </c>
      <c r="I1991" s="47"/>
      <c r="J1991" s="48">
        <f>VLOOKUP(A1991,'[1]תקציב 2026'!$A$1:$M$65536,9,0)</f>
        <v>0</v>
      </c>
      <c r="K1991" s="49">
        <v>180000</v>
      </c>
      <c r="L1991" s="50">
        <v>103261</v>
      </c>
    </row>
    <row r="1992" spans="1:12" ht="15.6" outlineLevel="1">
      <c r="A1992" s="11">
        <v>1769000810</v>
      </c>
      <c r="B1992" s="40">
        <v>810</v>
      </c>
      <c r="C1992" s="109">
        <v>769000</v>
      </c>
      <c r="D1992" s="42">
        <v>1</v>
      </c>
      <c r="E1992" s="43"/>
      <c r="F1992" s="44" t="s">
        <v>1204</v>
      </c>
      <c r="G1992" s="45" t="s">
        <v>37</v>
      </c>
      <c r="H1992" s="51">
        <f t="shared" si="31"/>
        <v>0</v>
      </c>
      <c r="I1992" s="47"/>
      <c r="J1992" s="48">
        <f>VLOOKUP(A1992,'[1]תקציב 2026'!$A$1:$M$65536,9,0)</f>
        <v>168840</v>
      </c>
      <c r="K1992" s="49">
        <f>VLOOKUP(A1992,[3]גיליון1!$A$1:$C$7693,3,0)*0.9</f>
        <v>168840</v>
      </c>
      <c r="L1992" s="50">
        <f>VLOOKUP(A1992,[2]data1761205830331!$A$1:$J$65536,10,0)</f>
        <v>187600</v>
      </c>
    </row>
    <row r="1993" spans="1:12" ht="15.6" outlineLevel="1">
      <c r="A1993" s="11">
        <v>1769000811</v>
      </c>
      <c r="B1993" s="40">
        <v>811</v>
      </c>
      <c r="C1993" s="109">
        <v>769000</v>
      </c>
      <c r="D1993" s="42">
        <v>1</v>
      </c>
      <c r="E1993" s="43"/>
      <c r="F1993" s="44" t="s">
        <v>1205</v>
      </c>
      <c r="G1993" s="45" t="s">
        <v>37</v>
      </c>
      <c r="H1993" s="51">
        <f t="shared" si="31"/>
        <v>0</v>
      </c>
      <c r="I1993" s="47"/>
      <c r="J1993" s="48">
        <f>VLOOKUP(A1993,'[1]תקציב 2026'!$A$1:$M$65536,9,0)</f>
        <v>87750</v>
      </c>
      <c r="K1993" s="49">
        <f>VLOOKUP(A1993,[3]גיליון1!$A$1:$C$7693,3,0)*0.9</f>
        <v>87750</v>
      </c>
      <c r="L1993" s="50">
        <f>VLOOKUP(A1993,[2]data1761205830331!$A$1:$J$65536,10,0)</f>
        <v>90241</v>
      </c>
    </row>
    <row r="1994" spans="1:12" ht="15.6" outlineLevel="1">
      <c r="A1994" s="11">
        <v>1769000813</v>
      </c>
      <c r="B1994" s="40">
        <v>813</v>
      </c>
      <c r="C1994" s="109">
        <v>769000</v>
      </c>
      <c r="D1994" s="42">
        <v>1</v>
      </c>
      <c r="E1994" s="43"/>
      <c r="F1994" s="44" t="s">
        <v>1206</v>
      </c>
      <c r="G1994" s="45" t="s">
        <v>37</v>
      </c>
      <c r="H1994" s="51">
        <f t="shared" si="31"/>
        <v>0</v>
      </c>
      <c r="I1994" s="47"/>
      <c r="J1994" s="48">
        <f>VLOOKUP(A1994,'[1]תקציב 2026'!$A$1:$M$65536,9,0)</f>
        <v>27000</v>
      </c>
      <c r="K1994" s="49">
        <f>VLOOKUP(A1994,[3]גיליון1!$A$1:$C$7693,3,0)*0.9</f>
        <v>27000</v>
      </c>
      <c r="L1994" s="50">
        <f>VLOOKUP(A1994,[2]data1761205830331!$A$1:$J$65536,10,0)</f>
        <v>29978.2</v>
      </c>
    </row>
    <row r="1995" spans="1:12" ht="15.6" outlineLevel="1">
      <c r="A1995" s="11">
        <v>1769000815</v>
      </c>
      <c r="B1995" s="40">
        <v>815</v>
      </c>
      <c r="C1995" s="109">
        <v>769000</v>
      </c>
      <c r="D1995" s="42">
        <v>1</v>
      </c>
      <c r="E1995" s="43"/>
      <c r="F1995" s="44" t="s">
        <v>1207</v>
      </c>
      <c r="G1995" s="45" t="s">
        <v>37</v>
      </c>
      <c r="H1995" s="51">
        <f t="shared" si="31"/>
        <v>0</v>
      </c>
      <c r="I1995" s="47"/>
      <c r="J1995" s="48">
        <f>VLOOKUP(A1995,'[1]תקציב 2026'!$A$1:$M$65536,9,0)</f>
        <v>20250</v>
      </c>
      <c r="K1995" s="49">
        <f>VLOOKUP(A1995,[3]גיליון1!$A$1:$C$7693,3,0)*0.9</f>
        <v>20250</v>
      </c>
      <c r="L1995" s="50">
        <f>VLOOKUP(A1995,[2]data1761205830331!$A$1:$J$65536,10,0)</f>
        <v>0</v>
      </c>
    </row>
    <row r="1996" spans="1:12" ht="15.6" outlineLevel="1">
      <c r="A1996" s="11">
        <v>1769000816</v>
      </c>
      <c r="B1996" s="40">
        <v>816</v>
      </c>
      <c r="C1996" s="109">
        <v>769000</v>
      </c>
      <c r="D1996" s="42">
        <v>1</v>
      </c>
      <c r="E1996" s="43"/>
      <c r="F1996" s="44" t="s">
        <v>1208</v>
      </c>
      <c r="G1996" s="45" t="s">
        <v>37</v>
      </c>
      <c r="H1996" s="51">
        <f t="shared" si="31"/>
        <v>0</v>
      </c>
      <c r="I1996" s="47"/>
      <c r="J1996" s="48">
        <f>VLOOKUP(A1996,'[1]תקציב 2026'!$A$1:$M$65536,9,0)</f>
        <v>27900</v>
      </c>
      <c r="K1996" s="49">
        <f>VLOOKUP(A1996,[3]גיליון1!$A$1:$C$7693,3,0)*0.9</f>
        <v>27900</v>
      </c>
      <c r="L1996" s="50">
        <f>VLOOKUP(A1996,[2]data1761205830331!$A$1:$J$65536,10,0)</f>
        <v>31000</v>
      </c>
    </row>
    <row r="1997" spans="1:12" ht="15.6" outlineLevel="1">
      <c r="A1997" s="11">
        <v>1769000820</v>
      </c>
      <c r="B1997" s="40">
        <v>820</v>
      </c>
      <c r="C1997" s="109">
        <v>769000</v>
      </c>
      <c r="D1997" s="42">
        <v>1</v>
      </c>
      <c r="E1997" s="43"/>
      <c r="F1997" s="44" t="s">
        <v>1209</v>
      </c>
      <c r="G1997" s="45" t="s">
        <v>37</v>
      </c>
      <c r="H1997" s="51">
        <f t="shared" si="31"/>
        <v>0</v>
      </c>
      <c r="I1997" s="47"/>
      <c r="J1997" s="48">
        <f>VLOOKUP(A1997,'[1]תקציב 2026'!$A$1:$M$65536,9,0)</f>
        <v>694000</v>
      </c>
      <c r="K1997" s="49">
        <v>694000</v>
      </c>
      <c r="L1997" s="50">
        <f>VLOOKUP(A1997,[2]data1761205830331!$A$1:$J$65536,10,0)</f>
        <v>594000</v>
      </c>
    </row>
    <row r="1998" spans="1:12" ht="15.6" outlineLevel="1">
      <c r="A1998" s="11">
        <v>1769000821</v>
      </c>
      <c r="B1998" s="40">
        <v>821</v>
      </c>
      <c r="C1998" s="109">
        <v>769000</v>
      </c>
      <c r="D1998" s="42">
        <v>1</v>
      </c>
      <c r="E1998" s="43"/>
      <c r="F1998" s="44" t="s">
        <v>1210</v>
      </c>
      <c r="G1998" s="45" t="s">
        <v>37</v>
      </c>
      <c r="H1998" s="51">
        <f t="shared" si="31"/>
        <v>0</v>
      </c>
      <c r="I1998" s="47"/>
      <c r="J1998" s="48">
        <f>VLOOKUP(A1998,'[1]תקציב 2026'!$A$1:$M$65536,9,0)</f>
        <v>113220</v>
      </c>
      <c r="K1998" s="49">
        <f>VLOOKUP(A1998,[3]גיליון1!$A$1:$C$7693,3,0)*0.9</f>
        <v>113220</v>
      </c>
      <c r="L1998" s="50">
        <f>VLOOKUP(A1998,[2]data1761205830331!$A$1:$J$65536,10,0)</f>
        <v>125803</v>
      </c>
    </row>
    <row r="1999" spans="1:12" ht="15.6" outlineLevel="1">
      <c r="A1999" s="11">
        <v>1769000884</v>
      </c>
      <c r="B1999" s="40">
        <v>884</v>
      </c>
      <c r="C1999" s="109">
        <v>769000</v>
      </c>
      <c r="D1999" s="42">
        <v>1</v>
      </c>
      <c r="E1999" s="43"/>
      <c r="F1999" s="44" t="s">
        <v>1211</v>
      </c>
      <c r="G1999" s="45" t="s">
        <v>37</v>
      </c>
      <c r="H1999" s="51">
        <f t="shared" si="31"/>
        <v>0.71821305841924388</v>
      </c>
      <c r="I1999" s="47"/>
      <c r="J1999" s="48">
        <f>VLOOKUP(A1999,'[1]תקציב 2026'!$A$1:$M$65536,9,0)</f>
        <v>15000</v>
      </c>
      <c r="K1999" s="49">
        <f>VLOOKUP(A1999,[3]גיליון1!$A$1:$C$7693,3,0)*0.9</f>
        <v>8730</v>
      </c>
      <c r="L1999" s="50">
        <f>VLOOKUP(A1999,[2]data1761205830331!$A$1:$J$65536,10,0)</f>
        <v>410</v>
      </c>
    </row>
    <row r="2000" spans="1:12" ht="16.2" outlineLevel="1" thickBot="1">
      <c r="A2000" s="11">
        <v>1769000885</v>
      </c>
      <c r="B2000" s="40">
        <v>885</v>
      </c>
      <c r="C2000" s="109">
        <v>769000</v>
      </c>
      <c r="D2000" s="42">
        <v>1</v>
      </c>
      <c r="E2000" s="43"/>
      <c r="F2000" s="44" t="s">
        <v>1212</v>
      </c>
      <c r="G2000" s="45" t="s">
        <v>37</v>
      </c>
      <c r="H2000" s="51">
        <f t="shared" si="31"/>
        <v>1.1052631578947367</v>
      </c>
      <c r="I2000" s="47" t="s">
        <v>137</v>
      </c>
      <c r="J2000" s="48">
        <f>VLOOKUP(A2000,'[1]תקציב 2026'!$A$1:$M$65536,9,0)</f>
        <v>90000</v>
      </c>
      <c r="K2000" s="49">
        <f>VLOOKUP(A2000,[3]גיליון1!$A$1:$C$7693,3,0)*0.9</f>
        <v>42750</v>
      </c>
      <c r="L2000" s="50">
        <f>VLOOKUP(A2000,[2]data1761205830331!$A$1:$J$65536,10,0)</f>
        <v>47500</v>
      </c>
    </row>
    <row r="2001" spans="1:12" ht="16.2" thickBot="1">
      <c r="A2001" s="11" t="e">
        <v>#VALUE!</v>
      </c>
      <c r="B2001" s="53" t="s">
        <v>1213</v>
      </c>
      <c r="C2001" s="223"/>
      <c r="D2001" s="55"/>
      <c r="E2001" s="56"/>
      <c r="F2001" s="116" t="s">
        <v>207</v>
      </c>
      <c r="G2001" s="58"/>
      <c r="H2001" s="166">
        <f>J2001/K2001-1</f>
        <v>-1.1177825610815262E-2</v>
      </c>
      <c r="I2001" s="72"/>
      <c r="J2001" s="74">
        <f>SUBTOTAL(9,J1977:J2000)</f>
        <v>2880350</v>
      </c>
      <c r="K2001" s="92">
        <f>SUBTOTAL(9,K1977:K2000)</f>
        <v>2912910</v>
      </c>
      <c r="L2001" s="75">
        <f>SUBTOTAL(9,L1977:L2000)</f>
        <v>4967703.82</v>
      </c>
    </row>
    <row r="2002" spans="1:12" ht="15.6" outlineLevel="1">
      <c r="A2002" s="11">
        <v>17691000</v>
      </c>
      <c r="B2002" s="64">
        <v>0</v>
      </c>
      <c r="C2002" s="131">
        <v>769100</v>
      </c>
      <c r="D2002" s="66">
        <v>1</v>
      </c>
      <c r="E2002" s="67"/>
      <c r="F2002" s="68" t="s">
        <v>1214</v>
      </c>
      <c r="G2002" s="69" t="s">
        <v>15</v>
      </c>
      <c r="H2002" s="51"/>
      <c r="I2002" s="47"/>
      <c r="J2002" s="48"/>
      <c r="K2002" s="49"/>
      <c r="L2002" s="50"/>
    </row>
    <row r="2003" spans="1:12" ht="15.6" outlineLevel="1">
      <c r="A2003" s="11">
        <v>1769100450</v>
      </c>
      <c r="B2003" s="40">
        <v>450</v>
      </c>
      <c r="C2003" s="109">
        <v>769100</v>
      </c>
      <c r="D2003" s="42">
        <v>1</v>
      </c>
      <c r="E2003" s="43"/>
      <c r="F2003" s="11" t="s">
        <v>41</v>
      </c>
      <c r="G2003" s="45" t="s">
        <v>29</v>
      </c>
      <c r="H2003" s="51">
        <f t="shared" si="31"/>
        <v>0</v>
      </c>
      <c r="I2003" s="47"/>
      <c r="J2003" s="48">
        <f>VLOOKUP(A2003,'[1]תקציב 2026'!$A$1:$M$65536,9,0)</f>
        <v>1500</v>
      </c>
      <c r="K2003" s="49">
        <f>VLOOKUP(A2003,[3]גיליון1!$A$1:$C$7693,3,0)</f>
        <v>1500</v>
      </c>
      <c r="L2003" s="50">
        <f>VLOOKUP(A2003,[2]data1761205830331!$A$1:$J$65536,10,0)</f>
        <v>0</v>
      </c>
    </row>
    <row r="2004" spans="1:12" ht="15.6" outlineLevel="1">
      <c r="A2004" s="11">
        <v>1769100471</v>
      </c>
      <c r="B2004" s="40">
        <v>471</v>
      </c>
      <c r="C2004" s="109">
        <v>769100</v>
      </c>
      <c r="D2004" s="42">
        <v>1</v>
      </c>
      <c r="E2004" s="43"/>
      <c r="F2004" s="44" t="s">
        <v>71</v>
      </c>
      <c r="G2004" s="45" t="s">
        <v>37</v>
      </c>
      <c r="H2004" s="51">
        <f t="shared" si="31"/>
        <v>0.85185185185185186</v>
      </c>
      <c r="I2004" s="47"/>
      <c r="J2004" s="48">
        <f>VLOOKUP(A2004,'[1]תקציב 2026'!$A$1:$M$65536,9,0)</f>
        <v>4000</v>
      </c>
      <c r="K2004" s="49">
        <f>VLOOKUP(A2004,[3]גיליון1!$A$1:$C$7693,3,0)*0.9</f>
        <v>2160</v>
      </c>
      <c r="L2004" s="50">
        <f>VLOOKUP(A2004,[2]data1761205830331!$A$1:$J$65536,10,0)</f>
        <v>1469.21</v>
      </c>
    </row>
    <row r="2005" spans="1:12" ht="15.6" outlineLevel="1">
      <c r="A2005" s="11">
        <v>1769100511</v>
      </c>
      <c r="B2005" s="40">
        <v>511</v>
      </c>
      <c r="C2005" s="109">
        <v>769100</v>
      </c>
      <c r="D2005" s="42">
        <v>1</v>
      </c>
      <c r="E2005" s="43"/>
      <c r="F2005" s="44" t="s">
        <v>72</v>
      </c>
      <c r="G2005" s="45" t="s">
        <v>37</v>
      </c>
      <c r="H2005" s="51">
        <f t="shared" si="31"/>
        <v>3.2735042735042734</v>
      </c>
      <c r="I2005" s="47"/>
      <c r="J2005" s="48">
        <f>VLOOKUP(A2005,'[1]תקציב 2026'!$A$1:$M$65536,9,0)</f>
        <v>5000</v>
      </c>
      <c r="K2005" s="49">
        <f>1300*0.9</f>
        <v>1170</v>
      </c>
      <c r="L2005" s="50">
        <f>VLOOKUP(A2005,[2]data1761205830331!$A$1:$J$65536,10,0)</f>
        <v>960.82</v>
      </c>
    </row>
    <row r="2006" spans="1:12" ht="15.6" outlineLevel="1">
      <c r="A2006" s="11">
        <v>1769100544</v>
      </c>
      <c r="B2006" s="40">
        <v>544</v>
      </c>
      <c r="C2006" s="109">
        <v>769100</v>
      </c>
      <c r="D2006" s="42">
        <v>1</v>
      </c>
      <c r="E2006" s="43"/>
      <c r="F2006" s="44" t="s">
        <v>743</v>
      </c>
      <c r="G2006" s="45" t="s">
        <v>29</v>
      </c>
      <c r="H2006" s="51">
        <f t="shared" si="31"/>
        <v>0</v>
      </c>
      <c r="I2006" s="47"/>
      <c r="J2006" s="48">
        <f>VLOOKUP(A2006,'[1]תקציב 2026'!$A$1:$M$65536,9,0)</f>
        <v>5000</v>
      </c>
      <c r="K2006" s="49">
        <v>5000</v>
      </c>
      <c r="L2006" s="50">
        <f>VLOOKUP(A2006,[2]data1761205830331!$A$1:$J$65536,10,0)</f>
        <v>0</v>
      </c>
    </row>
    <row r="2007" spans="1:12" ht="15.6" outlineLevel="1">
      <c r="A2007" s="11">
        <v>1769100561</v>
      </c>
      <c r="B2007" s="40">
        <v>561</v>
      </c>
      <c r="C2007" s="109">
        <v>769100</v>
      </c>
      <c r="D2007" s="42">
        <v>1</v>
      </c>
      <c r="E2007" s="43"/>
      <c r="F2007" s="44" t="s">
        <v>74</v>
      </c>
      <c r="G2007" s="45" t="s">
        <v>37</v>
      </c>
      <c r="H2007" s="51">
        <f t="shared" si="31"/>
        <v>-1</v>
      </c>
      <c r="I2007" s="47"/>
      <c r="J2007" s="48">
        <f>VLOOKUP(A2007,'[1]תקציב 2026'!$A$1:$M$65536,9,0)</f>
        <v>0</v>
      </c>
      <c r="K2007" s="49">
        <f>VLOOKUP(A2007,[3]גיליון1!$A$1:$C$7693,3,0)*0.9</f>
        <v>3690</v>
      </c>
      <c r="L2007" s="50">
        <f>VLOOKUP(A2007,[2]data1761205830331!$A$1:$J$65536,10,0)</f>
        <v>0</v>
      </c>
    </row>
    <row r="2008" spans="1:12" ht="15.6" outlineLevel="1">
      <c r="A2008" s="11">
        <v>1769100723</v>
      </c>
      <c r="B2008" s="40">
        <v>723</v>
      </c>
      <c r="C2008" s="109">
        <v>769100</v>
      </c>
      <c r="D2008" s="42">
        <v>1</v>
      </c>
      <c r="E2008" s="43"/>
      <c r="F2008" s="44" t="s">
        <v>1215</v>
      </c>
      <c r="G2008" s="45" t="s">
        <v>37</v>
      </c>
      <c r="H2008" s="51">
        <f t="shared" si="31"/>
        <v>-1.2345679012345734E-2</v>
      </c>
      <c r="I2008" s="47"/>
      <c r="J2008" s="48">
        <f>VLOOKUP(A2008,'[1]תקציב 2026'!$A$1:$M$65536,9,0)</f>
        <v>800</v>
      </c>
      <c r="K2008" s="49">
        <f>VLOOKUP(A2008,[3]גיליון1!$A$1:$C$7693,3,0)*0.9</f>
        <v>810</v>
      </c>
      <c r="L2008" s="50">
        <f>VLOOKUP(A2008,[2]data1761205830331!$A$1:$J$65536,10,0)</f>
        <v>0</v>
      </c>
    </row>
    <row r="2009" spans="1:12" ht="15.6" outlineLevel="1">
      <c r="A2009" s="11">
        <v>1769100752</v>
      </c>
      <c r="B2009" s="40">
        <v>752</v>
      </c>
      <c r="C2009" s="109">
        <v>769100</v>
      </c>
      <c r="D2009" s="42">
        <v>1</v>
      </c>
      <c r="E2009" s="43"/>
      <c r="F2009" s="44" t="s">
        <v>1216</v>
      </c>
      <c r="G2009" s="45" t="s">
        <v>29</v>
      </c>
      <c r="H2009" s="51">
        <f t="shared" si="31"/>
        <v>0.38461538461538458</v>
      </c>
      <c r="I2009" s="47"/>
      <c r="J2009" s="48">
        <f>VLOOKUP(A2009,'[1]תקציב 2026'!$A$1:$M$65536,9,0)</f>
        <v>18000</v>
      </c>
      <c r="K2009" s="49">
        <f>VLOOKUP(A2009,[3]גיליון1!$A$1:$C$7693,3,0)</f>
        <v>13000</v>
      </c>
      <c r="L2009" s="50">
        <f>VLOOKUP(A2009,[2]data1761205830331!$A$1:$J$65536,10,0)</f>
        <v>12877.2</v>
      </c>
    </row>
    <row r="2010" spans="1:12" ht="15.6" outlineLevel="1">
      <c r="A2010" s="11">
        <v>1769100781</v>
      </c>
      <c r="B2010" s="40">
        <v>781</v>
      </c>
      <c r="C2010" s="109">
        <v>769100</v>
      </c>
      <c r="D2010" s="42">
        <v>1</v>
      </c>
      <c r="E2010" s="43"/>
      <c r="F2010" s="44" t="s">
        <v>1217</v>
      </c>
      <c r="G2010" s="45" t="s">
        <v>37</v>
      </c>
      <c r="H2010" s="51">
        <f t="shared" si="31"/>
        <v>1.5531660692950977E-2</v>
      </c>
      <c r="I2010" s="47"/>
      <c r="J2010" s="48">
        <f>VLOOKUP(A2010,'[1]תקציב 2026'!$A$1:$M$65536,9,0)</f>
        <v>17000</v>
      </c>
      <c r="K2010" s="49">
        <f>VLOOKUP(A2010,[3]גיליון1!$A$1:$C$7693,3,0)*0.9</f>
        <v>16740</v>
      </c>
      <c r="L2010" s="50">
        <f>VLOOKUP(A2010,[2]data1761205830331!$A$1:$J$65536,10,0)</f>
        <v>18317.669999999998</v>
      </c>
    </row>
    <row r="2011" spans="1:12" ht="16.2" outlineLevel="1" thickBot="1">
      <c r="A2011" s="11">
        <v>1769100931</v>
      </c>
      <c r="B2011" s="40">
        <v>931</v>
      </c>
      <c r="C2011" s="109">
        <v>769100</v>
      </c>
      <c r="D2011" s="42">
        <v>1</v>
      </c>
      <c r="E2011" s="43"/>
      <c r="F2011" s="44" t="s">
        <v>1073</v>
      </c>
      <c r="G2011" s="45" t="s">
        <v>37</v>
      </c>
      <c r="H2011" s="51">
        <f t="shared" si="31"/>
        <v>0</v>
      </c>
      <c r="I2011" s="47"/>
      <c r="J2011" s="48">
        <f>VLOOKUP(A2011,'[1]תקציב 2026'!$A$1:$M$65536,9,0)</f>
        <v>1440</v>
      </c>
      <c r="K2011" s="49">
        <f>VLOOKUP(A2011,[3]גיליון1!$A$1:$C$7693,3,0)*0.9</f>
        <v>1440</v>
      </c>
      <c r="L2011" s="50">
        <f>VLOOKUP(A2011,[2]data1761205830331!$A$1:$J$65536,10,0)</f>
        <v>1030.83</v>
      </c>
    </row>
    <row r="2012" spans="1:12" ht="16.2" thickBot="1">
      <c r="A2012" s="11" t="e">
        <v>#VALUE!</v>
      </c>
      <c r="B2012" s="53" t="s">
        <v>1218</v>
      </c>
      <c r="C2012" s="223"/>
      <c r="D2012" s="55"/>
      <c r="E2012" s="56"/>
      <c r="F2012" s="116" t="s">
        <v>1214</v>
      </c>
      <c r="G2012" s="58"/>
      <c r="H2012" s="166">
        <f>J2012/K2012-1</f>
        <v>0.1588661832564271</v>
      </c>
      <c r="I2012" s="72"/>
      <c r="J2012" s="74">
        <f>SUBTOTAL(9,J2003:J2011)</f>
        <v>52740</v>
      </c>
      <c r="K2012" s="92">
        <f>SUBTOTAL(9,K2003:K2011)</f>
        <v>45510</v>
      </c>
      <c r="L2012" s="75">
        <f>SUBTOTAL(9,L2003:L2011)</f>
        <v>34655.730000000003</v>
      </c>
    </row>
    <row r="2013" spans="1:12" ht="15.6" outlineLevel="1">
      <c r="A2013" s="11">
        <v>17700000</v>
      </c>
      <c r="B2013" s="40">
        <v>0</v>
      </c>
      <c r="C2013" s="109">
        <v>770000</v>
      </c>
      <c r="D2013" s="42">
        <v>1</v>
      </c>
      <c r="E2013" s="43"/>
      <c r="F2013" s="44" t="s">
        <v>1219</v>
      </c>
      <c r="G2013" s="45" t="s">
        <v>15</v>
      </c>
      <c r="H2013" s="51"/>
      <c r="I2013" s="47"/>
      <c r="J2013" s="48"/>
      <c r="K2013" s="49"/>
      <c r="L2013" s="50"/>
    </row>
    <row r="2014" spans="1:12" ht="15.6" outlineLevel="1">
      <c r="A2014" s="11">
        <v>1772100119</v>
      </c>
      <c r="B2014" s="40">
        <v>119</v>
      </c>
      <c r="C2014" s="109">
        <v>772100</v>
      </c>
      <c r="D2014" s="42">
        <v>1</v>
      </c>
      <c r="E2014" s="43"/>
      <c r="F2014" s="44" t="s">
        <v>23</v>
      </c>
      <c r="G2014" s="45" t="s">
        <v>22</v>
      </c>
      <c r="H2014" s="51">
        <v>0</v>
      </c>
      <c r="I2014" s="47"/>
      <c r="J2014" s="48">
        <f>VLOOKUP(A2014,'[1]תקציב 2026'!$A$1:$M$65536,9,0)</f>
        <v>0</v>
      </c>
      <c r="K2014" s="49">
        <v>0</v>
      </c>
      <c r="L2014" s="50">
        <f>VLOOKUP(A2014,[2]data1761205830331!$A$1:$J$65536,10,0)</f>
        <v>661182.93999999994</v>
      </c>
    </row>
    <row r="2015" spans="1:12" ht="15.6" outlineLevel="1">
      <c r="A2015" s="11">
        <v>1772100122</v>
      </c>
      <c r="B2015" s="40">
        <v>122</v>
      </c>
      <c r="C2015" s="109">
        <v>772100</v>
      </c>
      <c r="D2015" s="42">
        <v>1</v>
      </c>
      <c r="E2015" s="43"/>
      <c r="F2015" s="44" t="s">
        <v>24</v>
      </c>
      <c r="G2015" s="45" t="s">
        <v>22</v>
      </c>
      <c r="H2015" s="51">
        <v>0</v>
      </c>
      <c r="I2015" s="47"/>
      <c r="J2015" s="48">
        <f>VLOOKUP(A2015,'[1]תקציב 2026'!$A$1:$M$65536,9,0)</f>
        <v>0</v>
      </c>
      <c r="K2015" s="49">
        <v>0</v>
      </c>
      <c r="L2015" s="50">
        <f>VLOOKUP(A2015,[2]data1761205830331!$A$1:$J$65536,10,0)</f>
        <v>9403</v>
      </c>
    </row>
    <row r="2016" spans="1:12" ht="15.6" outlineLevel="1">
      <c r="A2016" s="11">
        <v>1772100126</v>
      </c>
      <c r="B2016" s="40">
        <v>126</v>
      </c>
      <c r="C2016" s="109">
        <v>772100</v>
      </c>
      <c r="D2016" s="42">
        <v>1</v>
      </c>
      <c r="E2016" s="43"/>
      <c r="F2016" s="44" t="s">
        <v>25</v>
      </c>
      <c r="G2016" s="45" t="s">
        <v>22</v>
      </c>
      <c r="H2016" s="51">
        <v>0</v>
      </c>
      <c r="I2016" s="47"/>
      <c r="J2016" s="48">
        <f>VLOOKUP(A2016,'[1]תקציב 2026'!$A$1:$M$65536,9,0)</f>
        <v>0</v>
      </c>
      <c r="K2016" s="49">
        <v>0</v>
      </c>
      <c r="L2016" s="50">
        <f>VLOOKUP(A2016,[2]data1761205830331!$A$1:$J$65536,10,0)</f>
        <v>29042.11</v>
      </c>
    </row>
    <row r="2017" spans="1:12" ht="15.6" outlineLevel="1">
      <c r="A2017" s="11">
        <v>1772100140</v>
      </c>
      <c r="B2017" s="40">
        <v>140</v>
      </c>
      <c r="C2017" s="109">
        <v>772100</v>
      </c>
      <c r="D2017" s="42">
        <v>1</v>
      </c>
      <c r="E2017" s="43"/>
      <c r="F2017" s="44" t="s">
        <v>27</v>
      </c>
      <c r="G2017" s="45" t="s">
        <v>22</v>
      </c>
      <c r="H2017" s="51">
        <v>0</v>
      </c>
      <c r="I2017" s="47"/>
      <c r="J2017" s="48">
        <f>VLOOKUP(A2017,'[1]תקציב 2026'!$A$1:$M$65536,9,0)</f>
        <v>0</v>
      </c>
      <c r="K2017" s="49">
        <v>0</v>
      </c>
      <c r="L2017" s="50">
        <f>VLOOKUP(A2017,[2]data1761205830331!$A$1:$J$65536,10,0)</f>
        <v>69616.509999999995</v>
      </c>
    </row>
    <row r="2018" spans="1:12" ht="15.6" outlineLevel="1">
      <c r="A2018" s="11">
        <v>1772100433</v>
      </c>
      <c r="B2018" s="40">
        <v>433</v>
      </c>
      <c r="C2018" s="109">
        <v>772100</v>
      </c>
      <c r="D2018" s="42">
        <v>1</v>
      </c>
      <c r="E2018" s="43"/>
      <c r="F2018" s="44" t="s">
        <v>34</v>
      </c>
      <c r="G2018" s="45" t="s">
        <v>37</v>
      </c>
      <c r="H2018" s="51">
        <v>0</v>
      </c>
      <c r="I2018" s="47"/>
      <c r="J2018" s="48">
        <f>VLOOKUP(A2018,'[1]תקציב 2026'!$A$1:$M$65536,9,0)</f>
        <v>0</v>
      </c>
      <c r="K2018" s="49">
        <v>0</v>
      </c>
      <c r="L2018" s="50">
        <f>VLOOKUP(A2018,[2]data1761205830331!$A$1:$J$65536,10,0)</f>
        <v>1230.53</v>
      </c>
    </row>
    <row r="2019" spans="1:12" ht="15.6" outlineLevel="1">
      <c r="A2019" s="11">
        <v>1772100471</v>
      </c>
      <c r="B2019" s="40">
        <v>471</v>
      </c>
      <c r="C2019" s="109">
        <v>772100</v>
      </c>
      <c r="D2019" s="42">
        <v>1</v>
      </c>
      <c r="E2019" s="43"/>
      <c r="F2019" s="44" t="s">
        <v>71</v>
      </c>
      <c r="G2019" s="45" t="s">
        <v>37</v>
      </c>
      <c r="H2019" s="51">
        <v>0</v>
      </c>
      <c r="I2019" s="47"/>
      <c r="J2019" s="48">
        <f>VLOOKUP(A2019,'[1]תקציב 2026'!$A$1:$M$65536,9,0)</f>
        <v>0</v>
      </c>
      <c r="K2019" s="49">
        <v>0</v>
      </c>
      <c r="L2019" s="50">
        <f>VLOOKUP(A2019,[2]data1761205830331!$A$1:$J$65536,10,0)</f>
        <v>7184.33</v>
      </c>
    </row>
    <row r="2020" spans="1:12" ht="15.6" outlineLevel="1">
      <c r="A2020" s="11">
        <v>1772100492</v>
      </c>
      <c r="B2020" s="40">
        <v>492</v>
      </c>
      <c r="C2020" s="109">
        <v>772100</v>
      </c>
      <c r="D2020" s="42">
        <v>1</v>
      </c>
      <c r="E2020" s="43"/>
      <c r="F2020" s="44" t="s">
        <v>66</v>
      </c>
      <c r="G2020" s="45" t="s">
        <v>29</v>
      </c>
      <c r="H2020" s="51">
        <v>0</v>
      </c>
      <c r="I2020" s="47"/>
      <c r="J2020" s="48">
        <f>VLOOKUP(A2020,'[1]תקציב 2026'!$A$1:$M$65536,9,0)</f>
        <v>0</v>
      </c>
      <c r="K2020" s="49">
        <v>0</v>
      </c>
      <c r="L2020" s="50">
        <f>VLOOKUP(A2020,[2]data1761205830331!$A$1:$J$65536,10,0)</f>
        <v>91430</v>
      </c>
    </row>
    <row r="2021" spans="1:12" ht="15.6" outlineLevel="1">
      <c r="A2021" s="11">
        <v>1772100511</v>
      </c>
      <c r="B2021" s="40">
        <v>511</v>
      </c>
      <c r="C2021" s="109">
        <v>772100</v>
      </c>
      <c r="D2021" s="42">
        <v>1</v>
      </c>
      <c r="E2021" s="43"/>
      <c r="F2021" s="44" t="s">
        <v>72</v>
      </c>
      <c r="G2021" s="45" t="s">
        <v>37</v>
      </c>
      <c r="H2021" s="51">
        <v>0</v>
      </c>
      <c r="I2021" s="47"/>
      <c r="J2021" s="48">
        <f>VLOOKUP(A2021,'[1]תקציב 2026'!$A$1:$M$65536,9,0)</f>
        <v>0</v>
      </c>
      <c r="K2021" s="49">
        <v>0</v>
      </c>
      <c r="L2021" s="50">
        <f>VLOOKUP(A2021,[2]data1761205830331!$A$1:$J$65536,10,0)</f>
        <v>4849.76</v>
      </c>
    </row>
    <row r="2022" spans="1:12" ht="15.6" outlineLevel="1">
      <c r="A2022" s="11">
        <v>1772100512</v>
      </c>
      <c r="B2022" s="40">
        <v>512</v>
      </c>
      <c r="C2022" s="109">
        <v>772100</v>
      </c>
      <c r="D2022" s="42">
        <v>1</v>
      </c>
      <c r="E2022" s="43"/>
      <c r="F2022" s="44" t="s">
        <v>88</v>
      </c>
      <c r="G2022" s="45" t="s">
        <v>37</v>
      </c>
      <c r="H2022" s="51">
        <v>0</v>
      </c>
      <c r="I2022" s="47"/>
      <c r="J2022" s="48">
        <f>VLOOKUP(A2022,'[1]תקציב 2026'!$A$1:$M$65536,9,0)</f>
        <v>0</v>
      </c>
      <c r="K2022" s="49">
        <v>0</v>
      </c>
      <c r="L2022" s="50">
        <f>VLOOKUP(A2022,[2]data1761205830331!$A$1:$J$65536,10,0)</f>
        <v>391</v>
      </c>
    </row>
    <row r="2023" spans="1:12" ht="15.6" outlineLevel="1">
      <c r="A2023" s="11">
        <v>1772100522</v>
      </c>
      <c r="B2023" s="40">
        <v>522</v>
      </c>
      <c r="C2023" s="109">
        <v>772100</v>
      </c>
      <c r="D2023" s="42">
        <v>1</v>
      </c>
      <c r="E2023" s="43"/>
      <c r="F2023" s="44" t="s">
        <v>90</v>
      </c>
      <c r="G2023" s="45" t="s">
        <v>37</v>
      </c>
      <c r="H2023" s="51">
        <v>0</v>
      </c>
      <c r="I2023" s="47"/>
      <c r="J2023" s="48">
        <f>VLOOKUP(A2023,'[1]תקציב 2026'!$A$1:$M$65536,9,0)</f>
        <v>0</v>
      </c>
      <c r="K2023" s="49">
        <v>0</v>
      </c>
      <c r="L2023" s="50">
        <f>VLOOKUP(A2023,[2]data1761205830331!$A$1:$J$65536,10,0)</f>
        <v>912.1</v>
      </c>
    </row>
    <row r="2024" spans="1:12" ht="15.6" outlineLevel="1">
      <c r="A2024" s="11">
        <v>1772100544</v>
      </c>
      <c r="B2024" s="40">
        <v>544</v>
      </c>
      <c r="C2024" s="109">
        <v>772100</v>
      </c>
      <c r="D2024" s="42">
        <v>1</v>
      </c>
      <c r="E2024" s="43"/>
      <c r="F2024" s="44" t="s">
        <v>743</v>
      </c>
      <c r="G2024" s="45" t="s">
        <v>29</v>
      </c>
      <c r="H2024" s="51">
        <v>0</v>
      </c>
      <c r="I2024" s="47"/>
      <c r="J2024" s="48">
        <f>VLOOKUP(A2024,'[1]תקציב 2026'!$A$1:$M$65536,9,0)</f>
        <v>0</v>
      </c>
      <c r="K2024" s="49">
        <v>0</v>
      </c>
      <c r="L2024" s="50">
        <f>VLOOKUP(A2024,[2]data1761205830331!$A$1:$J$65536,10,0)</f>
        <v>217</v>
      </c>
    </row>
    <row r="2025" spans="1:12" ht="15.6" outlineLevel="1">
      <c r="A2025" s="11">
        <v>1772100571</v>
      </c>
      <c r="B2025" s="40">
        <v>571</v>
      </c>
      <c r="C2025" s="109">
        <v>772100</v>
      </c>
      <c r="D2025" s="42">
        <v>1</v>
      </c>
      <c r="E2025" s="43"/>
      <c r="F2025" s="44" t="s">
        <v>75</v>
      </c>
      <c r="G2025" s="45" t="s">
        <v>29</v>
      </c>
      <c r="H2025" s="51">
        <v>0</v>
      </c>
      <c r="I2025" s="47"/>
      <c r="J2025" s="48">
        <f>VLOOKUP(A2025,'[1]תקציב 2026'!$A$1:$M$65536,9,0)</f>
        <v>0</v>
      </c>
      <c r="K2025" s="49">
        <v>0</v>
      </c>
      <c r="L2025" s="50">
        <f>VLOOKUP(A2025,[2]data1761205830331!$A$1:$J$65536,10,0)</f>
        <v>95000</v>
      </c>
    </row>
    <row r="2026" spans="1:12" ht="15.6" outlineLevel="1">
      <c r="A2026" s="11">
        <v>1772100596</v>
      </c>
      <c r="B2026" s="40">
        <v>596</v>
      </c>
      <c r="C2026" s="109">
        <v>772100</v>
      </c>
      <c r="D2026" s="42">
        <v>1</v>
      </c>
      <c r="E2026" s="43"/>
      <c r="F2026" s="44" t="s">
        <v>76</v>
      </c>
      <c r="G2026" s="45" t="s">
        <v>29</v>
      </c>
      <c r="H2026" s="51">
        <v>0</v>
      </c>
      <c r="I2026" s="47"/>
      <c r="J2026" s="48">
        <f>VLOOKUP(A2026,'[1]תקציב 2026'!$A$1:$M$65536,9,0)</f>
        <v>0</v>
      </c>
      <c r="K2026" s="49">
        <v>0</v>
      </c>
      <c r="L2026" s="50">
        <f>VLOOKUP(A2026,[2]data1761205830331!$A$1:$J$65536,10,0)</f>
        <v>12432</v>
      </c>
    </row>
    <row r="2027" spans="1:12" ht="15.6" outlineLevel="1">
      <c r="A2027" s="11">
        <v>1772100752</v>
      </c>
      <c r="B2027" s="40">
        <v>752</v>
      </c>
      <c r="C2027" s="109">
        <v>772100</v>
      </c>
      <c r="D2027" s="42">
        <v>1</v>
      </c>
      <c r="E2027" s="43"/>
      <c r="F2027" s="44" t="s">
        <v>54</v>
      </c>
      <c r="G2027" s="45" t="s">
        <v>29</v>
      </c>
      <c r="H2027" s="51">
        <v>0</v>
      </c>
      <c r="I2027" s="47"/>
      <c r="J2027" s="48">
        <f>VLOOKUP(A2027,'[1]תקציב 2026'!$A$1:$M$65536,9,0)</f>
        <v>0</v>
      </c>
      <c r="K2027" s="49">
        <v>0</v>
      </c>
      <c r="L2027" s="50">
        <f>VLOOKUP(A2027,[2]data1761205830331!$A$1:$J$65536,10,0)</f>
        <v>28944.53</v>
      </c>
    </row>
    <row r="2028" spans="1:12" ht="15.6" outlineLevel="1">
      <c r="A2028" s="11">
        <v>1772100759</v>
      </c>
      <c r="B2028" s="40">
        <v>759</v>
      </c>
      <c r="C2028" s="109">
        <v>772100</v>
      </c>
      <c r="D2028" s="42">
        <v>1</v>
      </c>
      <c r="E2028" s="43"/>
      <c r="F2028" s="44" t="s">
        <v>1220</v>
      </c>
      <c r="G2028" s="45" t="s">
        <v>37</v>
      </c>
      <c r="H2028" s="51">
        <v>0</v>
      </c>
      <c r="I2028" s="47"/>
      <c r="J2028" s="48">
        <f>VLOOKUP(A2028,'[1]תקציב 2026'!$A$1:$M$65536,9,0)</f>
        <v>0</v>
      </c>
      <c r="K2028" s="49">
        <v>0</v>
      </c>
      <c r="L2028" s="50">
        <f>VLOOKUP(A2028,[2]data1761205830331!$A$1:$J$65536,10,0)</f>
        <v>293</v>
      </c>
    </row>
    <row r="2029" spans="1:12" ht="15.6" outlineLevel="1">
      <c r="A2029" s="11">
        <v>1772100781</v>
      </c>
      <c r="B2029" s="40">
        <v>781</v>
      </c>
      <c r="C2029" s="109">
        <v>772100</v>
      </c>
      <c r="D2029" s="42">
        <v>1</v>
      </c>
      <c r="E2029" s="43"/>
      <c r="F2029" s="44" t="s">
        <v>775</v>
      </c>
      <c r="G2029" s="45" t="s">
        <v>37</v>
      </c>
      <c r="H2029" s="51">
        <v>0</v>
      </c>
      <c r="I2029" s="47"/>
      <c r="J2029" s="48">
        <f>VLOOKUP(A2029,'[1]תקציב 2026'!$A$1:$M$65536,9,0)</f>
        <v>0</v>
      </c>
      <c r="K2029" s="49">
        <v>0</v>
      </c>
      <c r="L2029" s="50">
        <f>VLOOKUP(A2029,[2]data1761205830331!$A$1:$J$65536,10,0)</f>
        <v>3160.82</v>
      </c>
    </row>
    <row r="2030" spans="1:12" ht="15.6" outlineLevel="1">
      <c r="A2030" s="11">
        <v>1772100794</v>
      </c>
      <c r="B2030" s="40">
        <v>794</v>
      </c>
      <c r="C2030" s="109">
        <v>772100</v>
      </c>
      <c r="D2030" s="42">
        <v>1</v>
      </c>
      <c r="E2030" s="43"/>
      <c r="F2030" s="44" t="s">
        <v>58</v>
      </c>
      <c r="G2030" s="45" t="s">
        <v>29</v>
      </c>
      <c r="H2030" s="51">
        <v>0</v>
      </c>
      <c r="I2030" s="47"/>
      <c r="J2030" s="48">
        <f>VLOOKUP(A2030,'[1]תקציב 2026'!$A$1:$M$65536,9,0)</f>
        <v>0</v>
      </c>
      <c r="K2030" s="49">
        <v>0</v>
      </c>
      <c r="L2030" s="50">
        <f>VLOOKUP(A2030,[2]data1761205830331!$A$1:$J$65536,10,0)</f>
        <v>10972</v>
      </c>
    </row>
    <row r="2031" spans="1:12" ht="15.6" outlineLevel="1">
      <c r="A2031" s="11">
        <v>1772100870</v>
      </c>
      <c r="B2031" s="40">
        <v>870</v>
      </c>
      <c r="C2031" s="109">
        <v>772100</v>
      </c>
      <c r="D2031" s="42">
        <v>1</v>
      </c>
      <c r="E2031" s="43"/>
      <c r="F2031" s="44" t="s">
        <v>1221</v>
      </c>
      <c r="G2031" s="45" t="s">
        <v>37</v>
      </c>
      <c r="H2031" s="51">
        <v>0</v>
      </c>
      <c r="I2031" s="47"/>
      <c r="J2031" s="48">
        <f>VLOOKUP(A2031,'[1]תקציב 2026'!$A$1:$M$65536,9,0)</f>
        <v>0</v>
      </c>
      <c r="K2031" s="49">
        <v>0</v>
      </c>
      <c r="L2031" s="50">
        <f>VLOOKUP(A2031,[2]data1761205830331!$A$1:$J$65536,10,0)</f>
        <v>6318</v>
      </c>
    </row>
    <row r="2032" spans="1:12" ht="16.2" outlineLevel="1" thickBot="1">
      <c r="A2032" s="11">
        <v>1772100960</v>
      </c>
      <c r="B2032" s="40">
        <v>960</v>
      </c>
      <c r="C2032" s="109">
        <v>772100</v>
      </c>
      <c r="D2032" s="42">
        <v>1</v>
      </c>
      <c r="E2032" s="43"/>
      <c r="F2032" s="44" t="s">
        <v>1222</v>
      </c>
      <c r="G2032" s="45" t="s">
        <v>37</v>
      </c>
      <c r="H2032" s="51">
        <v>0</v>
      </c>
      <c r="I2032" s="47"/>
      <c r="J2032" s="48">
        <f>VLOOKUP(A2032,'[1]תקציב 2026'!$A$1:$M$65536,9,0)</f>
        <v>0</v>
      </c>
      <c r="K2032" s="49">
        <v>0</v>
      </c>
      <c r="L2032" s="50">
        <f>VLOOKUP(A2032,[2]data1761205830331!$A$1:$J$65536,10,0)</f>
        <v>90.87</v>
      </c>
    </row>
    <row r="2033" spans="1:12" ht="16.2" thickBot="1">
      <c r="A2033" s="11" t="e">
        <v>#VALUE!</v>
      </c>
      <c r="B2033" s="53" t="s">
        <v>1223</v>
      </c>
      <c r="C2033" s="223"/>
      <c r="D2033" s="55"/>
      <c r="E2033" s="56"/>
      <c r="F2033" s="116" t="s">
        <v>1224</v>
      </c>
      <c r="G2033" s="58"/>
      <c r="H2033" s="166">
        <v>0</v>
      </c>
      <c r="I2033" s="72"/>
      <c r="J2033" s="74">
        <f>SUBTOTAL(9,J2014:J2032)</f>
        <v>0</v>
      </c>
      <c r="K2033" s="92">
        <f>SUBTOTAL(9,K2014:K2032)</f>
        <v>0</v>
      </c>
      <c r="L2033" s="75">
        <f>SUBTOTAL(9,L2014:L2032)</f>
        <v>1032670.4999999999</v>
      </c>
    </row>
    <row r="2034" spans="1:12" ht="15.6" outlineLevel="1">
      <c r="A2034" s="11">
        <v>17800000</v>
      </c>
      <c r="B2034" s="64">
        <v>0</v>
      </c>
      <c r="C2034" s="131">
        <v>780000</v>
      </c>
      <c r="D2034" s="66">
        <v>1</v>
      </c>
      <c r="E2034" s="67"/>
      <c r="F2034" s="68" t="s">
        <v>230</v>
      </c>
      <c r="G2034" s="69" t="s">
        <v>15</v>
      </c>
      <c r="H2034" s="51"/>
      <c r="I2034" s="47"/>
      <c r="J2034" s="48"/>
      <c r="K2034" s="49"/>
      <c r="L2034" s="50"/>
    </row>
    <row r="2035" spans="1:12" ht="15.6" outlineLevel="1">
      <c r="A2035" s="11">
        <v>1781100110</v>
      </c>
      <c r="B2035" s="40">
        <v>110</v>
      </c>
      <c r="C2035" s="109">
        <v>781100</v>
      </c>
      <c r="D2035" s="42">
        <v>1</v>
      </c>
      <c r="E2035" s="43"/>
      <c r="F2035" s="44" t="s">
        <v>21</v>
      </c>
      <c r="G2035" s="45" t="s">
        <v>22</v>
      </c>
      <c r="H2035" s="51">
        <f t="shared" si="31"/>
        <v>2.5006535947712294E-2</v>
      </c>
      <c r="I2035" s="47"/>
      <c r="J2035" s="48">
        <f>VLOOKUP(A2035,'[1]תקציב 2026'!$A$1:$M$65536,9,0)</f>
        <v>784129.99999999988</v>
      </c>
      <c r="K2035" s="49">
        <v>765000</v>
      </c>
      <c r="L2035" s="50">
        <f>VLOOKUP(A2035,[2]data1761205830331!$A$1:$J$65536,10,0)</f>
        <v>681685.03</v>
      </c>
    </row>
    <row r="2036" spans="1:12" ht="15.6" outlineLevel="1">
      <c r="A2036" s="11">
        <v>1781100119</v>
      </c>
      <c r="B2036" s="40">
        <v>119</v>
      </c>
      <c r="C2036" s="109">
        <v>781100</v>
      </c>
      <c r="D2036" s="42">
        <v>1</v>
      </c>
      <c r="E2036" s="43"/>
      <c r="F2036" s="44" t="s">
        <v>23</v>
      </c>
      <c r="G2036" s="45" t="s">
        <v>22</v>
      </c>
      <c r="H2036" s="51">
        <f t="shared" si="31"/>
        <v>0.10459303153019106</v>
      </c>
      <c r="I2036" s="47"/>
      <c r="J2036" s="48">
        <f>VLOOKUP(A2036,'[1]תקציב 2026'!$A$1:$M$65536,9,0)</f>
        <v>8537510</v>
      </c>
      <c r="K2036" s="49">
        <f>6865100+864000</f>
        <v>7729100</v>
      </c>
      <c r="L2036" s="50">
        <f>VLOOKUP(A2036,[2]data1761205830331!$A$1:$J$65536,10,0)</f>
        <v>9548325.9399999995</v>
      </c>
    </row>
    <row r="2037" spans="1:12" ht="15.6" outlineLevel="1">
      <c r="A2037" s="11">
        <v>1781100122</v>
      </c>
      <c r="B2037" s="40">
        <v>122</v>
      </c>
      <c r="C2037" s="109">
        <v>781100</v>
      </c>
      <c r="D2037" s="42">
        <v>1</v>
      </c>
      <c r="E2037" s="43"/>
      <c r="F2037" s="44" t="s">
        <v>24</v>
      </c>
      <c r="G2037" s="45" t="s">
        <v>22</v>
      </c>
      <c r="H2037" s="51">
        <f t="shared" si="31"/>
        <v>0</v>
      </c>
      <c r="I2037" s="47"/>
      <c r="J2037" s="48">
        <f>VLOOKUP(A2037,'[1]תקציב 2026'!$A$1:$M$65536,9,0)</f>
        <v>29000</v>
      </c>
      <c r="K2037" s="49">
        <f>VLOOKUP(A2037,[3]גיליון1!$A$1:$C$7693,3,0)</f>
        <v>29000</v>
      </c>
      <c r="L2037" s="50">
        <f>VLOOKUP(A2037,[2]data1761205830331!$A$1:$J$65536,10,0)</f>
        <v>27641.69</v>
      </c>
    </row>
    <row r="2038" spans="1:12" ht="15.6" outlineLevel="1">
      <c r="A2038" s="11">
        <v>1781100126</v>
      </c>
      <c r="B2038" s="40">
        <v>126</v>
      </c>
      <c r="C2038" s="109">
        <v>781100</v>
      </c>
      <c r="D2038" s="42">
        <v>1</v>
      </c>
      <c r="E2038" s="43"/>
      <c r="F2038" s="44" t="s">
        <v>25</v>
      </c>
      <c r="G2038" s="45" t="s">
        <v>22</v>
      </c>
      <c r="H2038" s="51">
        <f t="shared" si="31"/>
        <v>0</v>
      </c>
      <c r="I2038" s="47"/>
      <c r="J2038" s="48">
        <f>VLOOKUP(A2038,'[1]תקציב 2026'!$A$1:$M$65536,9,0)</f>
        <v>245000</v>
      </c>
      <c r="K2038" s="49">
        <f>VLOOKUP(A2038,[3]גיליון1!$A$1:$C$7693,3,0)</f>
        <v>245000</v>
      </c>
      <c r="L2038" s="50">
        <f>VLOOKUP(A2038,[2]data1761205830331!$A$1:$J$65536,10,0)</f>
        <v>253159.61</v>
      </c>
    </row>
    <row r="2039" spans="1:12" ht="15.6" outlineLevel="1">
      <c r="A2039" s="11">
        <v>1781100130</v>
      </c>
      <c r="B2039" s="40">
        <v>130</v>
      </c>
      <c r="C2039" s="109">
        <v>781100</v>
      </c>
      <c r="D2039" s="42">
        <v>1</v>
      </c>
      <c r="E2039" s="43"/>
      <c r="F2039" s="44" t="s">
        <v>26</v>
      </c>
      <c r="G2039" s="45" t="s">
        <v>22</v>
      </c>
      <c r="H2039" s="51">
        <f t="shared" si="31"/>
        <v>0</v>
      </c>
      <c r="I2039" s="47"/>
      <c r="J2039" s="48">
        <f>VLOOKUP(A2039,'[1]תקציב 2026'!$A$1:$M$65536,9,0)</f>
        <v>1032000</v>
      </c>
      <c r="K2039" s="49">
        <f>VLOOKUP(A2039,[3]גיליון1!$A$1:$C$7693,3,0)*0.86</f>
        <v>1032000</v>
      </c>
      <c r="L2039" s="50">
        <f>VLOOKUP(A2039,[2]data1761205830331!$A$1:$J$65536,10,0)</f>
        <v>349023.62</v>
      </c>
    </row>
    <row r="2040" spans="1:12" ht="15.6" outlineLevel="1">
      <c r="A2040" s="11">
        <v>1781100140</v>
      </c>
      <c r="B2040" s="40">
        <v>140</v>
      </c>
      <c r="C2040" s="109">
        <v>781100</v>
      </c>
      <c r="D2040" s="42">
        <v>1</v>
      </c>
      <c r="E2040" s="43"/>
      <c r="F2040" s="44" t="s">
        <v>27</v>
      </c>
      <c r="G2040" s="45" t="s">
        <v>22</v>
      </c>
      <c r="H2040" s="51">
        <f t="shared" si="31"/>
        <v>0</v>
      </c>
      <c r="I2040" s="47"/>
      <c r="J2040" s="48">
        <f>VLOOKUP(A2040,'[1]תקציב 2026'!$A$1:$M$65536,9,0)</f>
        <v>737400</v>
      </c>
      <c r="K2040" s="49">
        <f>VLOOKUP(A2040,[3]גיליון1!$A$1:$C$7693,3,0)</f>
        <v>737400</v>
      </c>
      <c r="L2040" s="50">
        <f>VLOOKUP(A2040,[2]data1761205830331!$A$1:$J$65536,10,0)</f>
        <v>1135407.17</v>
      </c>
    </row>
    <row r="2041" spans="1:12" ht="15.6" outlineLevel="1">
      <c r="A2041" s="11">
        <v>1781100253</v>
      </c>
      <c r="B2041" s="40">
        <v>253</v>
      </c>
      <c r="C2041" s="109">
        <v>781100</v>
      </c>
      <c r="D2041" s="42">
        <v>1</v>
      </c>
      <c r="E2041" s="43"/>
      <c r="F2041" s="44" t="s">
        <v>1225</v>
      </c>
      <c r="G2041" s="45" t="s">
        <v>22</v>
      </c>
      <c r="H2041" s="51">
        <v>0</v>
      </c>
      <c r="I2041" s="47"/>
      <c r="J2041" s="48">
        <f>VLOOKUP(A2041,'[1]תקציב 2026'!$A$1:$M$65536,9,0)</f>
        <v>0</v>
      </c>
      <c r="K2041" s="49">
        <f>VLOOKUP(A2041,[3]גיליון1!$A$1:$C$7693,3,0)</f>
        <v>0</v>
      </c>
      <c r="L2041" s="50">
        <f>VLOOKUP(A2041,[2]data1761205830331!$A$1:$J$65536,10,0)</f>
        <v>1250.7</v>
      </c>
    </row>
    <row r="2042" spans="1:12" ht="15.6" outlineLevel="1">
      <c r="A2042" s="11">
        <v>1781100350</v>
      </c>
      <c r="B2042" s="40">
        <v>350</v>
      </c>
      <c r="C2042" s="109">
        <v>781100</v>
      </c>
      <c r="D2042" s="42">
        <v>1</v>
      </c>
      <c r="E2042" s="43"/>
      <c r="F2042" s="44" t="s">
        <v>1226</v>
      </c>
      <c r="G2042" s="45" t="s">
        <v>22</v>
      </c>
      <c r="H2042" s="51">
        <f t="shared" ref="H2042:H2105" si="32">J2042/K2042-1</f>
        <v>-1</v>
      </c>
      <c r="I2042" s="47" t="s">
        <v>137</v>
      </c>
      <c r="J2042" s="48">
        <f>VLOOKUP(A2042,'[1]תקציב 2026'!$A$1:$M$65536,9,0)</f>
        <v>0</v>
      </c>
      <c r="K2042" s="49">
        <f>VLOOKUP(A2042,[3]גיליון1!$A$1:$C$7693,3,0)</f>
        <v>60000</v>
      </c>
      <c r="L2042" s="50">
        <f>VLOOKUP(A2042,[2]data1761205830331!$A$1:$J$65536,10,0)</f>
        <v>31412.79</v>
      </c>
    </row>
    <row r="2043" spans="1:12" ht="15.6" outlineLevel="1">
      <c r="A2043" s="11">
        <v>1781100351</v>
      </c>
      <c r="B2043" s="40">
        <v>351</v>
      </c>
      <c r="C2043" s="109">
        <v>781100</v>
      </c>
      <c r="D2043" s="42">
        <v>1</v>
      </c>
      <c r="E2043" s="43"/>
      <c r="F2043" s="44" t="s">
        <v>740</v>
      </c>
      <c r="G2043" s="45" t="s">
        <v>22</v>
      </c>
      <c r="H2043" s="51">
        <f t="shared" si="32"/>
        <v>-1</v>
      </c>
      <c r="I2043" s="47" t="s">
        <v>137</v>
      </c>
      <c r="J2043" s="48">
        <f>VLOOKUP(A2043,'[1]תקציב 2026'!$A$1:$M$65536,9,0)</f>
        <v>0</v>
      </c>
      <c r="K2043" s="49">
        <f>VLOOKUP(A2043,[3]גיליון1!$A$1:$C$7693,3,0)</f>
        <v>10000</v>
      </c>
      <c r="L2043" s="50">
        <f>VLOOKUP(A2043,[2]data1761205830331!$A$1:$J$65536,10,0)</f>
        <v>26019.98</v>
      </c>
    </row>
    <row r="2044" spans="1:12" ht="15.6" outlineLevel="1">
      <c r="A2044" s="11">
        <v>1781100410</v>
      </c>
      <c r="B2044" s="40">
        <v>410</v>
      </c>
      <c r="C2044" s="109">
        <v>781100</v>
      </c>
      <c r="D2044" s="42">
        <v>1</v>
      </c>
      <c r="E2044" s="43"/>
      <c r="F2044" s="44" t="s">
        <v>1227</v>
      </c>
      <c r="G2044" s="45" t="s">
        <v>29</v>
      </c>
      <c r="H2044" s="51">
        <f t="shared" si="32"/>
        <v>0.52112676056338025</v>
      </c>
      <c r="I2044" s="47"/>
      <c r="J2044" s="48">
        <f>VLOOKUP(A2044,'[1]תקציב 2026'!$A$1:$M$65536,9,0)</f>
        <v>540000</v>
      </c>
      <c r="K2044" s="49">
        <v>355000</v>
      </c>
      <c r="L2044" s="50">
        <f>VLOOKUP(A2044,[2]data1761205830331!$A$1:$J$65536,10,0)</f>
        <v>369999.8</v>
      </c>
    </row>
    <row r="2045" spans="1:12" ht="15.6" outlineLevel="1">
      <c r="A2045" s="11">
        <v>1781100420</v>
      </c>
      <c r="B2045" s="40">
        <v>420</v>
      </c>
      <c r="C2045" s="109">
        <v>781100</v>
      </c>
      <c r="D2045" s="42">
        <v>1</v>
      </c>
      <c r="E2045" s="43"/>
      <c r="F2045" s="44" t="s">
        <v>30</v>
      </c>
      <c r="G2045" s="45" t="s">
        <v>29</v>
      </c>
      <c r="H2045" s="51">
        <f t="shared" si="32"/>
        <v>0</v>
      </c>
      <c r="I2045" s="47"/>
      <c r="J2045" s="48">
        <f>VLOOKUP(A2045,'[1]תקציב 2026'!$A$1:$M$65536,9,0)</f>
        <v>1170</v>
      </c>
      <c r="K2045" s="49">
        <f>VLOOKUP(A2045,[3]גיליון1!$A$1:$C$7693,3,0)*0.9</f>
        <v>1170</v>
      </c>
      <c r="L2045" s="50">
        <f>VLOOKUP(A2045,[2]data1761205830331!$A$1:$J$65536,10,0)</f>
        <v>977.64</v>
      </c>
    </row>
    <row r="2046" spans="1:12" ht="15.6" outlineLevel="1">
      <c r="A2046" s="11">
        <v>1781100431</v>
      </c>
      <c r="B2046" s="40">
        <v>431</v>
      </c>
      <c r="C2046" s="109">
        <v>781100</v>
      </c>
      <c r="D2046" s="42">
        <v>1</v>
      </c>
      <c r="E2046" s="43"/>
      <c r="F2046" s="44" t="s">
        <v>32</v>
      </c>
      <c r="G2046" s="45" t="s">
        <v>29</v>
      </c>
      <c r="H2046" s="51">
        <f t="shared" si="32"/>
        <v>0</v>
      </c>
      <c r="I2046" s="47"/>
      <c r="J2046" s="48">
        <f>VLOOKUP(A2046,'[1]תקציב 2026'!$A$1:$M$65536,9,0)</f>
        <v>140000</v>
      </c>
      <c r="K2046" s="49">
        <v>140000</v>
      </c>
      <c r="L2046" s="50">
        <f>VLOOKUP(A2046,[2]data1761205830331!$A$1:$J$65536,10,0)</f>
        <v>111824.36</v>
      </c>
    </row>
    <row r="2047" spans="1:12" ht="15.6" outlineLevel="1">
      <c r="A2047" s="11">
        <v>1781100432</v>
      </c>
      <c r="B2047" s="40">
        <v>432</v>
      </c>
      <c r="C2047" s="109">
        <v>781100</v>
      </c>
      <c r="D2047" s="42">
        <v>1</v>
      </c>
      <c r="E2047" s="43"/>
      <c r="F2047" s="44" t="s">
        <v>33</v>
      </c>
      <c r="G2047" s="45" t="s">
        <v>29</v>
      </c>
      <c r="H2047" s="51">
        <f t="shared" si="32"/>
        <v>9.7560975609756184E-2</v>
      </c>
      <c r="I2047" s="47"/>
      <c r="J2047" s="48">
        <f>VLOOKUP(A2047,'[1]תקציב 2026'!$A$1:$M$65536,9,0)</f>
        <v>4500</v>
      </c>
      <c r="K2047" s="49">
        <f>VLOOKUP(A2047,[3]גיליון1!$A$1:$C$7693,3,0)</f>
        <v>4100</v>
      </c>
      <c r="L2047" s="50">
        <f>VLOOKUP(A2047,[2]data1761205830331!$A$1:$J$65536,10,0)</f>
        <v>4500</v>
      </c>
    </row>
    <row r="2048" spans="1:12" ht="15.6" outlineLevel="1">
      <c r="A2048" s="11">
        <v>1781100433</v>
      </c>
      <c r="B2048" s="40">
        <v>433</v>
      </c>
      <c r="C2048" s="109">
        <v>781100</v>
      </c>
      <c r="D2048" s="42">
        <v>1</v>
      </c>
      <c r="E2048" s="43"/>
      <c r="F2048" s="44" t="s">
        <v>34</v>
      </c>
      <c r="G2048" s="45" t="s">
        <v>37</v>
      </c>
      <c r="H2048" s="51">
        <f t="shared" si="32"/>
        <v>0.11111111111111116</v>
      </c>
      <c r="I2048" s="47"/>
      <c r="J2048" s="48">
        <f>VLOOKUP(A2048,'[1]תקציב 2026'!$A$1:$M$65536,9,0)</f>
        <v>8200</v>
      </c>
      <c r="K2048" s="49">
        <f>VLOOKUP(A2048,[3]גיליון1!$A$1:$C$7693,3,0)*0.9</f>
        <v>7380</v>
      </c>
      <c r="L2048" s="50">
        <f>VLOOKUP(A2048,[2]data1761205830331!$A$1:$J$65536,10,0)</f>
        <v>7502.99</v>
      </c>
    </row>
    <row r="2049" spans="1:12" ht="15.6" outlineLevel="1">
      <c r="A2049" s="11">
        <v>1781100437</v>
      </c>
      <c r="B2049" s="40">
        <v>437</v>
      </c>
      <c r="C2049" s="109">
        <v>781100</v>
      </c>
      <c r="D2049" s="42">
        <v>1</v>
      </c>
      <c r="E2049" s="43"/>
      <c r="F2049" s="44" t="s">
        <v>38</v>
      </c>
      <c r="G2049" s="45" t="s">
        <v>29</v>
      </c>
      <c r="H2049" s="51">
        <f t="shared" si="32"/>
        <v>0</v>
      </c>
      <c r="I2049" s="47"/>
      <c r="J2049" s="48">
        <f>VLOOKUP(A2049,'[1]תקציב 2026'!$A$1:$M$65536,9,0)</f>
        <v>5400</v>
      </c>
      <c r="K2049" s="49">
        <f>VLOOKUP(A2049,[3]גיליון1!$A$1:$C$7693,3,0)</f>
        <v>5400</v>
      </c>
      <c r="L2049" s="50">
        <f>VLOOKUP(A2049,[2]data1761205830331!$A$1:$J$65536,10,0)</f>
        <v>2442.96</v>
      </c>
    </row>
    <row r="2050" spans="1:12" ht="15.6" outlineLevel="1">
      <c r="A2050" s="11">
        <v>1781100441</v>
      </c>
      <c r="B2050" s="40">
        <v>441</v>
      </c>
      <c r="C2050" s="109">
        <v>781100</v>
      </c>
      <c r="D2050" s="42">
        <v>1</v>
      </c>
      <c r="E2050" s="43"/>
      <c r="F2050" s="44" t="s">
        <v>1228</v>
      </c>
      <c r="G2050" s="45" t="s">
        <v>29</v>
      </c>
      <c r="H2050" s="51">
        <v>1</v>
      </c>
      <c r="I2050" s="47"/>
      <c r="J2050" s="48">
        <f>VLOOKUP(A2050,'[1]תקציב 2026'!$A$1:$M$65536,9,0)</f>
        <v>25200</v>
      </c>
      <c r="K2050" s="49">
        <v>0</v>
      </c>
      <c r="L2050" s="50">
        <f>VLOOKUP(A2050,[2]data1761205830331!$A$1:$J$65536,10,0)</f>
        <v>0</v>
      </c>
    </row>
    <row r="2051" spans="1:12" ht="15.6" outlineLevel="1">
      <c r="A2051" s="11">
        <v>1781100450</v>
      </c>
      <c r="B2051" s="40">
        <v>450</v>
      </c>
      <c r="C2051" s="109">
        <v>781100</v>
      </c>
      <c r="D2051" s="42">
        <v>1</v>
      </c>
      <c r="E2051" s="43"/>
      <c r="F2051" s="11" t="s">
        <v>41</v>
      </c>
      <c r="G2051" s="45" t="s">
        <v>29</v>
      </c>
      <c r="H2051" s="51">
        <f t="shared" si="32"/>
        <v>0</v>
      </c>
      <c r="I2051" s="47"/>
      <c r="J2051" s="48">
        <f>VLOOKUP(A2051,'[1]תקציב 2026'!$A$1:$M$65536,9,0)</f>
        <v>1100</v>
      </c>
      <c r="K2051" s="49">
        <v>1100</v>
      </c>
      <c r="L2051" s="50">
        <f>VLOOKUP(A2051,[2]data1761205830331!$A$1:$J$65536,10,0)</f>
        <v>0</v>
      </c>
    </row>
    <row r="2052" spans="1:12" ht="15.6" outlineLevel="1">
      <c r="A2052" s="11">
        <v>1781100470</v>
      </c>
      <c r="B2052" s="40">
        <v>470</v>
      </c>
      <c r="C2052" s="109">
        <v>781100</v>
      </c>
      <c r="D2052" s="42">
        <v>1</v>
      </c>
      <c r="E2052" s="43"/>
      <c r="F2052" s="44" t="s">
        <v>43</v>
      </c>
      <c r="G2052" s="45" t="s">
        <v>37</v>
      </c>
      <c r="H2052" s="51">
        <f t="shared" si="32"/>
        <v>-1</v>
      </c>
      <c r="I2052" s="47"/>
      <c r="J2052" s="48">
        <f>VLOOKUP(A2052,'[1]תקציב 2026'!$A$1:$M$65536,9,0)</f>
        <v>0</v>
      </c>
      <c r="K2052" s="49">
        <f>VLOOKUP(A2052,[3]גיליון1!$A$1:$C$7693,3,0)*0.9</f>
        <v>2160</v>
      </c>
      <c r="L2052" s="50">
        <f>VLOOKUP(A2052,[2]data1761205830331!$A$1:$J$65536,10,0)</f>
        <v>0</v>
      </c>
    </row>
    <row r="2053" spans="1:12" ht="15.6" outlineLevel="1">
      <c r="A2053" s="11">
        <v>1781100471</v>
      </c>
      <c r="B2053" s="40">
        <v>471</v>
      </c>
      <c r="C2053" s="109">
        <v>781100</v>
      </c>
      <c r="D2053" s="42">
        <v>1</v>
      </c>
      <c r="E2053" s="43"/>
      <c r="F2053" s="44" t="s">
        <v>71</v>
      </c>
      <c r="G2053" s="45" t="s">
        <v>37</v>
      </c>
      <c r="H2053" s="51">
        <f t="shared" si="32"/>
        <v>0.3346680013346679</v>
      </c>
      <c r="I2053" s="47"/>
      <c r="J2053" s="48">
        <f>VLOOKUP(A2053,'[1]תקציב 2026'!$A$1:$M$65536,9,0)</f>
        <v>40000</v>
      </c>
      <c r="K2053" s="49">
        <f>VLOOKUP(A2053,[3]גיליון1!$A$1:$C$7693,3,0)*0.9</f>
        <v>29970</v>
      </c>
      <c r="L2053" s="50">
        <f>VLOOKUP(A2053,[2]data1761205830331!$A$1:$J$65536,10,0)</f>
        <v>31824.62</v>
      </c>
    </row>
    <row r="2054" spans="1:12" ht="15.6" outlineLevel="1">
      <c r="A2054" s="11">
        <v>1781100472</v>
      </c>
      <c r="B2054" s="40">
        <v>472</v>
      </c>
      <c r="C2054" s="109">
        <v>781100</v>
      </c>
      <c r="D2054" s="42">
        <v>1</v>
      </c>
      <c r="E2054" s="43"/>
      <c r="F2054" s="44" t="s">
        <v>1229</v>
      </c>
      <c r="G2054" s="45" t="s">
        <v>37</v>
      </c>
      <c r="H2054" s="51">
        <v>1</v>
      </c>
      <c r="I2054" s="47" t="s">
        <v>86</v>
      </c>
      <c r="J2054" s="48">
        <f>VLOOKUP(A2054,'[1]תקציב 2026'!$A$1:$M$65536,9,0)</f>
        <v>26000</v>
      </c>
      <c r="K2054" s="49">
        <v>0</v>
      </c>
      <c r="L2054" s="50">
        <v>0</v>
      </c>
    </row>
    <row r="2055" spans="1:12" ht="15.6" outlineLevel="1">
      <c r="A2055" s="11">
        <v>1781100473</v>
      </c>
      <c r="B2055" s="40">
        <v>473</v>
      </c>
      <c r="C2055" s="109">
        <v>781100</v>
      </c>
      <c r="D2055" s="42">
        <v>1</v>
      </c>
      <c r="E2055" s="43"/>
      <c r="F2055" s="44" t="s">
        <v>1230</v>
      </c>
      <c r="G2055" s="45" t="s">
        <v>37</v>
      </c>
      <c r="H2055" s="51">
        <v>1</v>
      </c>
      <c r="I2055" s="47" t="s">
        <v>86</v>
      </c>
      <c r="J2055" s="48">
        <f>VLOOKUP(A2055,'[1]תקציב 2026'!$A$1:$M$65536,9,0)</f>
        <v>14000</v>
      </c>
      <c r="K2055" s="49">
        <v>0</v>
      </c>
      <c r="L2055" s="50">
        <v>0</v>
      </c>
    </row>
    <row r="2056" spans="1:12" ht="15.6" outlineLevel="1">
      <c r="A2056" s="11">
        <v>1781100474</v>
      </c>
      <c r="B2056" s="40">
        <v>474</v>
      </c>
      <c r="C2056" s="109">
        <v>781100</v>
      </c>
      <c r="D2056" s="42">
        <v>1</v>
      </c>
      <c r="E2056" s="43"/>
      <c r="F2056" s="44" t="s">
        <v>1231</v>
      </c>
      <c r="G2056" s="45" t="s">
        <v>37</v>
      </c>
      <c r="H2056" s="51">
        <v>1</v>
      </c>
      <c r="I2056" s="47" t="s">
        <v>86</v>
      </c>
      <c r="J2056" s="48">
        <f>VLOOKUP(A2056,'[1]תקציב 2026'!$A$1:$M$65536,9,0)</f>
        <v>5000</v>
      </c>
      <c r="K2056" s="49">
        <v>0</v>
      </c>
      <c r="L2056" s="50">
        <v>0</v>
      </c>
    </row>
    <row r="2057" spans="1:12" ht="15.6" outlineLevel="1">
      <c r="A2057" s="11">
        <v>1781100492</v>
      </c>
      <c r="B2057" s="40">
        <v>492</v>
      </c>
      <c r="C2057" s="109">
        <v>781100</v>
      </c>
      <c r="D2057" s="42">
        <v>1</v>
      </c>
      <c r="E2057" s="43"/>
      <c r="F2057" s="44" t="s">
        <v>66</v>
      </c>
      <c r="G2057" s="45" t="s">
        <v>29</v>
      </c>
      <c r="H2057" s="51">
        <f t="shared" si="32"/>
        <v>3.8363171355498826E-2</v>
      </c>
      <c r="I2057" s="47"/>
      <c r="J2057" s="48">
        <f>VLOOKUP(A2057,'[1]תקציב 2026'!$A$1:$M$65536,9,0)</f>
        <v>324800</v>
      </c>
      <c r="K2057" s="49">
        <f>VLOOKUP(A2057,[3]גיליון1!$A$1:$C$7693,3,0)</f>
        <v>312800</v>
      </c>
      <c r="L2057" s="50">
        <f>VLOOKUP(A2057,[2]data1761205830331!$A$1:$J$65536,10,0)</f>
        <v>342509</v>
      </c>
    </row>
    <row r="2058" spans="1:12" ht="15.6" outlineLevel="1">
      <c r="A2058" s="11">
        <v>1781100511</v>
      </c>
      <c r="B2058" s="40">
        <v>511</v>
      </c>
      <c r="C2058" s="109">
        <v>781100</v>
      </c>
      <c r="D2058" s="42">
        <v>1</v>
      </c>
      <c r="E2058" s="43"/>
      <c r="F2058" s="44" t="s">
        <v>72</v>
      </c>
      <c r="G2058" s="45" t="s">
        <v>37</v>
      </c>
      <c r="H2058" s="51">
        <f t="shared" si="32"/>
        <v>3.0864197530864335E-3</v>
      </c>
      <c r="I2058" s="47"/>
      <c r="J2058" s="48">
        <f>VLOOKUP(A2058,'[1]תקציב 2026'!$A$1:$M$65536,9,0)</f>
        <v>26000</v>
      </c>
      <c r="K2058" s="49">
        <f>28800*0.9</f>
        <v>25920</v>
      </c>
      <c r="L2058" s="50">
        <f>VLOOKUP(A2058,[2]data1761205830331!$A$1:$J$65536,10,0)</f>
        <v>23023.75</v>
      </c>
    </row>
    <row r="2059" spans="1:12" ht="15.6" outlineLevel="1">
      <c r="A2059" s="11">
        <v>1781100516</v>
      </c>
      <c r="B2059" s="40">
        <v>516</v>
      </c>
      <c r="C2059" s="109">
        <v>781100</v>
      </c>
      <c r="D2059" s="42">
        <v>1</v>
      </c>
      <c r="E2059" s="43"/>
      <c r="F2059" s="44" t="s">
        <v>1232</v>
      </c>
      <c r="G2059" s="45" t="s">
        <v>37</v>
      </c>
      <c r="H2059" s="51">
        <f t="shared" si="32"/>
        <v>0.11111111111111116</v>
      </c>
      <c r="I2059" s="47"/>
      <c r="J2059" s="48">
        <f>VLOOKUP(A2059,'[1]תקציב 2026'!$A$1:$M$65536,9,0)</f>
        <v>8100</v>
      </c>
      <c r="K2059" s="49">
        <f>VLOOKUP(A2059,[3]גיליון1!$A$1:$C$7693,3,0)*0.9</f>
        <v>7290</v>
      </c>
      <c r="L2059" s="50">
        <f>VLOOKUP(A2059,[2]data1761205830331!$A$1:$J$65536,10,0)</f>
        <v>500</v>
      </c>
    </row>
    <row r="2060" spans="1:12" ht="15.6" outlineLevel="1">
      <c r="A2060" s="11">
        <v>1781100544</v>
      </c>
      <c r="B2060" s="40">
        <v>544</v>
      </c>
      <c r="C2060" s="109">
        <v>781100</v>
      </c>
      <c r="D2060" s="42">
        <v>1</v>
      </c>
      <c r="E2060" s="43"/>
      <c r="F2060" s="44" t="s">
        <v>743</v>
      </c>
      <c r="G2060" s="45" t="s">
        <v>29</v>
      </c>
      <c r="H2060" s="51">
        <f t="shared" si="32"/>
        <v>0</v>
      </c>
      <c r="I2060" s="47"/>
      <c r="J2060" s="48">
        <f>VLOOKUP(A2060,'[1]תקציב 2026'!$A$1:$M$65536,9,0)</f>
        <v>15000</v>
      </c>
      <c r="K2060" s="49">
        <v>15000</v>
      </c>
      <c r="L2060" s="50">
        <f>VLOOKUP(A2060,[2]data1761205830331!$A$1:$J$65536,10,0)</f>
        <v>24289.15</v>
      </c>
    </row>
    <row r="2061" spans="1:12" ht="15.6" outlineLevel="1">
      <c r="A2061" s="11">
        <v>1781100550</v>
      </c>
      <c r="B2061" s="40">
        <v>550</v>
      </c>
      <c r="C2061" s="109">
        <v>781100</v>
      </c>
      <c r="D2061" s="42">
        <v>1</v>
      </c>
      <c r="E2061" s="43"/>
      <c r="F2061" s="44" t="s">
        <v>73</v>
      </c>
      <c r="G2061" s="45" t="s">
        <v>37</v>
      </c>
      <c r="H2061" s="51">
        <f t="shared" si="32"/>
        <v>0.11111111111111116</v>
      </c>
      <c r="I2061" s="47"/>
      <c r="J2061" s="48">
        <f>VLOOKUP(A2061,'[1]תקציב 2026'!$A$1:$M$65536,9,0)</f>
        <v>800</v>
      </c>
      <c r="K2061" s="49">
        <f>VLOOKUP(A2061,[3]גיליון1!$A$1:$C$7693,3,0)*0.9</f>
        <v>720</v>
      </c>
      <c r="L2061" s="50">
        <f>VLOOKUP(A2061,[2]data1761205830331!$A$1:$J$65536,10,0)</f>
        <v>0</v>
      </c>
    </row>
    <row r="2062" spans="1:12" ht="15.6" outlineLevel="1">
      <c r="A2062" s="11">
        <v>1781100561</v>
      </c>
      <c r="B2062" s="40">
        <v>561</v>
      </c>
      <c r="C2062" s="109">
        <v>781100</v>
      </c>
      <c r="D2062" s="42">
        <v>1</v>
      </c>
      <c r="E2062" s="43"/>
      <c r="F2062" s="44" t="s">
        <v>74</v>
      </c>
      <c r="G2062" s="45" t="s">
        <v>37</v>
      </c>
      <c r="H2062" s="51">
        <f t="shared" si="32"/>
        <v>-1</v>
      </c>
      <c r="I2062" s="47"/>
      <c r="J2062" s="48">
        <f>VLOOKUP(A2062,'[1]תקציב 2026'!$A$1:$M$65536,9,0)</f>
        <v>0</v>
      </c>
      <c r="K2062" s="49">
        <f>VLOOKUP(A2062,[3]גיליון1!$A$1:$C$7693,3,0)*0.9</f>
        <v>10980</v>
      </c>
      <c r="L2062" s="50">
        <f>VLOOKUP(A2062,[2]data1761205830331!$A$1:$J$65536,10,0)</f>
        <v>11221</v>
      </c>
    </row>
    <row r="2063" spans="1:12" ht="15.6" outlineLevel="1">
      <c r="A2063" s="11">
        <v>1781100562</v>
      </c>
      <c r="B2063" s="40">
        <v>562</v>
      </c>
      <c r="C2063" s="109">
        <v>781100</v>
      </c>
      <c r="D2063" s="42">
        <v>1</v>
      </c>
      <c r="E2063" s="43"/>
      <c r="F2063" s="44" t="s">
        <v>748</v>
      </c>
      <c r="G2063" s="45" t="s">
        <v>37</v>
      </c>
      <c r="H2063" s="51">
        <f t="shared" si="32"/>
        <v>0.8193632228719947</v>
      </c>
      <c r="I2063" s="47"/>
      <c r="J2063" s="48">
        <f>VLOOKUP(A2063,'[1]תקציב 2026'!$A$1:$M$65536,9,0)</f>
        <v>28000</v>
      </c>
      <c r="K2063" s="49">
        <f>VLOOKUP(A2063,[3]גיליון1!$A$1:$C$7693,3,0)*0.9</f>
        <v>15390</v>
      </c>
      <c r="L2063" s="50">
        <f>VLOOKUP(A2063,[2]data1761205830331!$A$1:$J$65536,10,0)</f>
        <v>17099.580000000002</v>
      </c>
    </row>
    <row r="2064" spans="1:12" ht="15.6" outlineLevel="1">
      <c r="A2064" s="11">
        <v>1781100565</v>
      </c>
      <c r="B2064" s="40">
        <v>565</v>
      </c>
      <c r="C2064" s="109">
        <v>781100</v>
      </c>
      <c r="D2064" s="42">
        <v>1</v>
      </c>
      <c r="E2064" s="43"/>
      <c r="F2064" s="44" t="s">
        <v>1233</v>
      </c>
      <c r="G2064" s="45" t="s">
        <v>37</v>
      </c>
      <c r="H2064" s="51">
        <f t="shared" si="32"/>
        <v>0.17370892018779349</v>
      </c>
      <c r="I2064" s="47"/>
      <c r="J2064" s="48">
        <f>VLOOKUP(A2064,'[1]תקציב 2026'!$A$1:$M$65536,9,0)</f>
        <v>30000</v>
      </c>
      <c r="K2064" s="49">
        <f>VLOOKUP(A2064,[3]גיליון1!$A$1:$C$7693,3,0)*0.9</f>
        <v>25560</v>
      </c>
      <c r="L2064" s="50">
        <f>VLOOKUP(A2064,[2]data1761205830331!$A$1:$J$65536,10,0)</f>
        <v>25948.37</v>
      </c>
    </row>
    <row r="2065" spans="1:12" ht="15.6" outlineLevel="1">
      <c r="A2065" s="11">
        <v>1781100571</v>
      </c>
      <c r="B2065" s="40">
        <v>571</v>
      </c>
      <c r="C2065" s="109">
        <v>781100</v>
      </c>
      <c r="D2065" s="42">
        <v>1</v>
      </c>
      <c r="E2065" s="43"/>
      <c r="F2065" s="44" t="s">
        <v>75</v>
      </c>
      <c r="G2065" s="45" t="s">
        <v>29</v>
      </c>
      <c r="H2065" s="51">
        <f t="shared" si="32"/>
        <v>0</v>
      </c>
      <c r="I2065" s="47"/>
      <c r="J2065" s="48">
        <f>VLOOKUP(A2065,'[1]תקציב 2026'!$A$1:$M$65536,9,0)</f>
        <v>354100</v>
      </c>
      <c r="K2065" s="49">
        <v>354100</v>
      </c>
      <c r="L2065" s="50">
        <f>VLOOKUP(A2065,[2]data1761205830331!$A$1:$J$65536,10,0)</f>
        <v>344100</v>
      </c>
    </row>
    <row r="2066" spans="1:12" ht="15.6" outlineLevel="1">
      <c r="A2066" s="11">
        <v>1781100572</v>
      </c>
      <c r="B2066" s="40">
        <v>572</v>
      </c>
      <c r="C2066" s="109">
        <v>781100</v>
      </c>
      <c r="D2066" s="42">
        <v>1</v>
      </c>
      <c r="E2066" s="43"/>
      <c r="F2066" s="44" t="s">
        <v>1234</v>
      </c>
      <c r="G2066" s="45" t="s">
        <v>29</v>
      </c>
      <c r="H2066" s="51">
        <f t="shared" si="32"/>
        <v>-1</v>
      </c>
      <c r="I2066" s="47"/>
      <c r="J2066" s="48">
        <f>VLOOKUP(A2066,'[1]תקציב 2026'!$A$1:$M$65536,9,0)</f>
        <v>0</v>
      </c>
      <c r="K2066" s="49">
        <v>400</v>
      </c>
      <c r="L2066" s="50">
        <f>VLOOKUP(A2066,[2]data1761205830331!$A$1:$J$65536,10,0)</f>
        <v>0</v>
      </c>
    </row>
    <row r="2067" spans="1:12" ht="15.6" outlineLevel="1">
      <c r="A2067" s="11">
        <v>1781100580</v>
      </c>
      <c r="B2067" s="40">
        <v>580</v>
      </c>
      <c r="C2067" s="109">
        <v>781100</v>
      </c>
      <c r="D2067" s="42">
        <v>1</v>
      </c>
      <c r="E2067" s="43"/>
      <c r="F2067" s="44" t="s">
        <v>1235</v>
      </c>
      <c r="G2067" s="45" t="s">
        <v>37</v>
      </c>
      <c r="H2067" s="51">
        <f t="shared" si="32"/>
        <v>0</v>
      </c>
      <c r="I2067" s="47"/>
      <c r="J2067" s="48">
        <f>VLOOKUP(A2067,'[1]תקציב 2026'!$A$1:$M$65536,9,0)</f>
        <v>2700</v>
      </c>
      <c r="K2067" s="49">
        <f>3000*0.9</f>
        <v>2700</v>
      </c>
      <c r="L2067" s="50">
        <f>VLOOKUP(A2067,[2]data1761205830331!$A$1:$J$65536,10,0)</f>
        <v>2246</v>
      </c>
    </row>
    <row r="2068" spans="1:12" ht="15.6" outlineLevel="1">
      <c r="A2068" s="11">
        <v>1781100596</v>
      </c>
      <c r="B2068" s="40">
        <v>596</v>
      </c>
      <c r="C2068" s="109">
        <v>781100</v>
      </c>
      <c r="D2068" s="42">
        <v>1</v>
      </c>
      <c r="E2068" s="43"/>
      <c r="F2068" s="44" t="s">
        <v>76</v>
      </c>
      <c r="G2068" s="45" t="s">
        <v>29</v>
      </c>
      <c r="H2068" s="51">
        <f t="shared" si="32"/>
        <v>0</v>
      </c>
      <c r="I2068" s="47"/>
      <c r="J2068" s="48">
        <f>VLOOKUP(A2068,'[1]תקציב 2026'!$A$1:$M$65536,9,0)</f>
        <v>952000</v>
      </c>
      <c r="K2068" s="49">
        <v>952000</v>
      </c>
      <c r="L2068" s="50">
        <f>VLOOKUP(A2068,[2]data1761205830331!$A$1:$J$65536,10,0)</f>
        <v>864593</v>
      </c>
    </row>
    <row r="2069" spans="1:12" ht="15.6" outlineLevel="1">
      <c r="A2069" s="11">
        <v>1781100722</v>
      </c>
      <c r="B2069" s="40">
        <v>722</v>
      </c>
      <c r="C2069" s="109">
        <v>781100</v>
      </c>
      <c r="D2069" s="42">
        <v>1</v>
      </c>
      <c r="E2069" s="43"/>
      <c r="F2069" s="44" t="s">
        <v>51</v>
      </c>
      <c r="G2069" s="45" t="s">
        <v>37</v>
      </c>
      <c r="H2069" s="51">
        <f t="shared" si="32"/>
        <v>0.38888888888888884</v>
      </c>
      <c r="I2069" s="47"/>
      <c r="J2069" s="48">
        <f>VLOOKUP(A2069,'[1]תקציב 2026'!$A$1:$M$65536,9,0)</f>
        <v>4000</v>
      </c>
      <c r="K2069" s="49">
        <f>VLOOKUP(A2069,[3]גיליון1!$A$1:$C$7693,3,0)*0.9</f>
        <v>2880</v>
      </c>
      <c r="L2069" s="50">
        <f>VLOOKUP(A2069,[2]data1761205830331!$A$1:$J$65536,10,0)</f>
        <v>2896</v>
      </c>
    </row>
    <row r="2070" spans="1:12" ht="15.6" outlineLevel="1">
      <c r="A2070" s="11">
        <v>1781100735</v>
      </c>
      <c r="B2070" s="40">
        <v>735</v>
      </c>
      <c r="C2070" s="109">
        <v>781100</v>
      </c>
      <c r="D2070" s="42">
        <v>1</v>
      </c>
      <c r="E2070" s="43"/>
      <c r="F2070" s="44" t="s">
        <v>739</v>
      </c>
      <c r="G2070" s="45" t="s">
        <v>29</v>
      </c>
      <c r="H2070" s="51">
        <f t="shared" si="32"/>
        <v>1.1351714285714287</v>
      </c>
      <c r="I2070" s="47"/>
      <c r="J2070" s="48">
        <f>VLOOKUP(A2070,'[1]תקציב 2026'!$A$1:$M$65536,9,0)</f>
        <v>747310</v>
      </c>
      <c r="K2070" s="49">
        <v>350000</v>
      </c>
      <c r="L2070" s="50">
        <f>VLOOKUP(A2070,[2]data1761205830331!$A$1:$J$65536,10,0)</f>
        <v>400152.69</v>
      </c>
    </row>
    <row r="2071" spans="1:12" ht="15.6" outlineLevel="1">
      <c r="A2071" s="11">
        <v>1781100744</v>
      </c>
      <c r="B2071" s="40">
        <v>744</v>
      </c>
      <c r="C2071" s="109">
        <v>781100</v>
      </c>
      <c r="D2071" s="42">
        <v>1</v>
      </c>
      <c r="E2071" s="43"/>
      <c r="F2071" s="44" t="s">
        <v>1236</v>
      </c>
      <c r="G2071" s="45" t="s">
        <v>37</v>
      </c>
      <c r="H2071" s="51">
        <f t="shared" si="32"/>
        <v>0.19540229885057481</v>
      </c>
      <c r="I2071" s="47"/>
      <c r="J2071" s="48">
        <f>VLOOKUP(A2071,'[1]תקציב 2026'!$A$1:$M$65536,9,0)</f>
        <v>140400</v>
      </c>
      <c r="K2071" s="49">
        <f>VLOOKUP(A2071,[3]גיליון1!$A$1:$C$7693,3,0)*0.9</f>
        <v>117450</v>
      </c>
      <c r="L2071" s="50">
        <f>VLOOKUP(A2071,[2]data1761205830331!$A$1:$J$65536,10,0)</f>
        <v>127439.73</v>
      </c>
    </row>
    <row r="2072" spans="1:12" ht="15.6" outlineLevel="1">
      <c r="A2072" s="11">
        <v>1781100751</v>
      </c>
      <c r="B2072" s="40">
        <v>751</v>
      </c>
      <c r="C2072" s="109">
        <v>781100</v>
      </c>
      <c r="D2072" s="42">
        <v>1</v>
      </c>
      <c r="E2072" s="43"/>
      <c r="F2072" s="44" t="s">
        <v>53</v>
      </c>
      <c r="G2072" s="45" t="s">
        <v>37</v>
      </c>
      <c r="H2072" s="51">
        <f t="shared" si="32"/>
        <v>0.11111111111111116</v>
      </c>
      <c r="I2072" s="47"/>
      <c r="J2072" s="48">
        <f>VLOOKUP(A2072,'[1]תקציב 2026'!$A$1:$M$65536,9,0)</f>
        <v>3500</v>
      </c>
      <c r="K2072" s="49">
        <f>VLOOKUP(A2072,[3]גיליון1!$A$1:$C$7693,3,0)*0.9</f>
        <v>3150</v>
      </c>
      <c r="L2072" s="50">
        <f>VLOOKUP(A2072,[2]data1761205830331!$A$1:$J$65536,10,0)</f>
        <v>3500</v>
      </c>
    </row>
    <row r="2073" spans="1:12" ht="15.6" outlineLevel="1">
      <c r="A2073" s="11">
        <v>1781100752</v>
      </c>
      <c r="B2073" s="40">
        <v>752</v>
      </c>
      <c r="C2073" s="109">
        <v>781100</v>
      </c>
      <c r="D2073" s="42">
        <v>1</v>
      </c>
      <c r="E2073" s="43"/>
      <c r="F2073" s="44" t="s">
        <v>54</v>
      </c>
      <c r="G2073" s="45" t="s">
        <v>29</v>
      </c>
      <c r="H2073" s="51">
        <f t="shared" si="32"/>
        <v>-4.7619047619047672E-2</v>
      </c>
      <c r="I2073" s="47"/>
      <c r="J2073" s="48">
        <f>VLOOKUP(A2073,'[1]תקציב 2026'!$A$1:$M$65536,9,0)</f>
        <v>160000</v>
      </c>
      <c r="K2073" s="49">
        <f>VLOOKUP(A2073,[3]גיליון1!$A$1:$C$7693,3,0)</f>
        <v>168000</v>
      </c>
      <c r="L2073" s="50">
        <f>VLOOKUP(A2073,[2]data1761205830331!$A$1:$J$65536,10,0)</f>
        <v>158531.44</v>
      </c>
    </row>
    <row r="2074" spans="1:12" ht="15.6" outlineLevel="1">
      <c r="A2074" s="11">
        <v>1781100759</v>
      </c>
      <c r="B2074" s="40">
        <v>759</v>
      </c>
      <c r="C2074" s="109">
        <v>781100</v>
      </c>
      <c r="D2074" s="42">
        <v>1</v>
      </c>
      <c r="E2074" s="43"/>
      <c r="F2074" s="44" t="s">
        <v>1237</v>
      </c>
      <c r="G2074" s="45" t="s">
        <v>37</v>
      </c>
      <c r="H2074" s="51">
        <f t="shared" si="32"/>
        <v>1.3174603174603177</v>
      </c>
      <c r="I2074" s="47"/>
      <c r="J2074" s="48">
        <f>VLOOKUP(A2074,'[1]תקציב 2026'!$A$1:$M$65536,9,0)</f>
        <v>146000</v>
      </c>
      <c r="K2074" s="49">
        <f>70000*0.9</f>
        <v>63000</v>
      </c>
      <c r="L2074" s="50">
        <f>VLOOKUP(A2074,[2]data1761205830331!$A$1:$J$65536,10,0)</f>
        <v>75241.8</v>
      </c>
    </row>
    <row r="2075" spans="1:12" ht="15.6" outlineLevel="1">
      <c r="A2075" s="11">
        <v>1781100780</v>
      </c>
      <c r="B2075" s="40">
        <v>780</v>
      </c>
      <c r="C2075" s="109">
        <v>781100</v>
      </c>
      <c r="D2075" s="42">
        <v>1</v>
      </c>
      <c r="E2075" s="43"/>
      <c r="F2075" s="230" t="s">
        <v>1238</v>
      </c>
      <c r="G2075" s="45" t="s">
        <v>37</v>
      </c>
      <c r="H2075" s="51">
        <f t="shared" si="32"/>
        <v>0</v>
      </c>
      <c r="I2075" s="47"/>
      <c r="J2075" s="48">
        <f>VLOOKUP(A2075,'[1]תקציב 2026'!$A$1:$M$65536,9,0)</f>
        <v>18270</v>
      </c>
      <c r="K2075" s="49">
        <f>VLOOKUP(A2075,[3]גיליון1!$A$1:$C$7693,3,0)*0.9</f>
        <v>18270</v>
      </c>
      <c r="L2075" s="50">
        <f>VLOOKUP(A2075,[2]data1761205830331!$A$1:$J$65536,10,0)</f>
        <v>19289.400000000001</v>
      </c>
    </row>
    <row r="2076" spans="1:12" ht="15.6" outlineLevel="1">
      <c r="A2076" s="11">
        <v>1781100789</v>
      </c>
      <c r="B2076" s="40">
        <v>789</v>
      </c>
      <c r="C2076" s="109">
        <v>781100</v>
      </c>
      <c r="D2076" s="42">
        <v>1</v>
      </c>
      <c r="E2076" s="43"/>
      <c r="F2076" s="44" t="s">
        <v>1239</v>
      </c>
      <c r="G2076" s="45" t="s">
        <v>37</v>
      </c>
      <c r="H2076" s="51">
        <f t="shared" si="32"/>
        <v>-1</v>
      </c>
      <c r="I2076" s="47"/>
      <c r="J2076" s="48">
        <f>VLOOKUP(A2076,'[1]תקציב 2026'!$A$1:$M$65536,9,0)</f>
        <v>0</v>
      </c>
      <c r="K2076" s="49">
        <f>VLOOKUP(A2076,[3]גיליון1!$A$1:$C$7693,3,0)*0.9</f>
        <v>1260</v>
      </c>
      <c r="L2076" s="50">
        <f>VLOOKUP(A2076,[2]data1761205830331!$A$1:$J$65536,10,0)</f>
        <v>0</v>
      </c>
    </row>
    <row r="2077" spans="1:12" ht="15.6" outlineLevel="1">
      <c r="A2077" s="11">
        <v>1781100794</v>
      </c>
      <c r="B2077" s="40">
        <v>794</v>
      </c>
      <c r="C2077" s="109">
        <v>781100</v>
      </c>
      <c r="D2077" s="42">
        <v>1</v>
      </c>
      <c r="E2077" s="43"/>
      <c r="F2077" s="44" t="s">
        <v>58</v>
      </c>
      <c r="G2077" s="45" t="s">
        <v>29</v>
      </c>
      <c r="H2077" s="51">
        <f t="shared" si="32"/>
        <v>0</v>
      </c>
      <c r="I2077" s="47"/>
      <c r="J2077" s="48">
        <f>VLOOKUP(A2077,'[1]תקציב 2026'!$A$1:$M$65536,9,0)</f>
        <v>32400</v>
      </c>
      <c r="K2077" s="49">
        <f>VLOOKUP(A2077,[3]גיליון1!$A$1:$C$7693,3,0)</f>
        <v>32400</v>
      </c>
      <c r="L2077" s="50">
        <f>VLOOKUP(A2077,[2]data1761205830331!$A$1:$J$65536,10,0)</f>
        <v>38644</v>
      </c>
    </row>
    <row r="2078" spans="1:12" ht="16.2" outlineLevel="1" thickBot="1">
      <c r="A2078" s="11">
        <v>1781100932</v>
      </c>
      <c r="B2078" s="40">
        <v>932</v>
      </c>
      <c r="C2078" s="109">
        <v>781100</v>
      </c>
      <c r="D2078" s="42">
        <v>1</v>
      </c>
      <c r="E2078" s="43"/>
      <c r="F2078" s="44" t="s">
        <v>1240</v>
      </c>
      <c r="G2078" s="45" t="s">
        <v>37</v>
      </c>
      <c r="H2078" s="51">
        <f t="shared" si="32"/>
        <v>0.11111111111111116</v>
      </c>
      <c r="I2078" s="47"/>
      <c r="J2078" s="48">
        <f>VLOOKUP(A2078,'[1]תקציב 2026'!$A$1:$M$65536,9,0)</f>
        <v>17600</v>
      </c>
      <c r="K2078" s="49">
        <f>VLOOKUP(A2078,[3]גיליון1!$A$1:$C$7693,3,0)*0.9</f>
        <v>15840</v>
      </c>
      <c r="L2078" s="50">
        <f>VLOOKUP(A2078,[2]data1761205830331!$A$1:$J$65536,10,0)</f>
        <v>17048</v>
      </c>
    </row>
    <row r="2079" spans="1:12" ht="16.2" thickBot="1">
      <c r="A2079" s="11" t="e">
        <v>#VALUE!</v>
      </c>
      <c r="B2079" s="53" t="s">
        <v>1241</v>
      </c>
      <c r="C2079" s="223"/>
      <c r="D2079" s="55"/>
      <c r="E2079" s="56"/>
      <c r="F2079" s="116" t="s">
        <v>1242</v>
      </c>
      <c r="G2079" s="58"/>
      <c r="H2079" s="166">
        <f>J2079/K2079-1</f>
        <v>0.11266117611029181</v>
      </c>
      <c r="I2079" s="72"/>
      <c r="J2079" s="74">
        <f>SUBTOTAL(9,J2035:J2078)</f>
        <v>15186590</v>
      </c>
      <c r="K2079" s="92">
        <f>SUBTOTAL(9,K2035:K2078)</f>
        <v>13648890</v>
      </c>
      <c r="L2079" s="75">
        <f>SUBTOTAL(9,L2035:L2078)</f>
        <v>15081271.809999997</v>
      </c>
    </row>
    <row r="2080" spans="1:12" ht="15.6" outlineLevel="1">
      <c r="A2080" s="11">
        <v>17812000</v>
      </c>
      <c r="B2080" s="64">
        <v>0</v>
      </c>
      <c r="C2080" s="131">
        <v>781200</v>
      </c>
      <c r="D2080" s="66">
        <v>1</v>
      </c>
      <c r="E2080" s="67"/>
      <c r="F2080" s="68" t="s">
        <v>243</v>
      </c>
      <c r="G2080" s="69" t="s">
        <v>15</v>
      </c>
      <c r="H2080" s="51"/>
      <c r="I2080" s="47"/>
      <c r="J2080" s="48"/>
      <c r="K2080" s="49"/>
      <c r="L2080" s="50"/>
    </row>
    <row r="2081" spans="1:12" ht="15.6" outlineLevel="1">
      <c r="A2081" s="11">
        <v>1781200439</v>
      </c>
      <c r="B2081" s="40">
        <v>439</v>
      </c>
      <c r="C2081" s="109">
        <v>781200</v>
      </c>
      <c r="D2081" s="42">
        <v>1</v>
      </c>
      <c r="E2081" s="43"/>
      <c r="F2081" s="44" t="str">
        <f>[4]גיליון1!$F$3637</f>
        <v>שאילתות משרד התחבורה</v>
      </c>
      <c r="G2081" s="45" t="s">
        <v>29</v>
      </c>
      <c r="H2081" s="51">
        <f t="shared" si="32"/>
        <v>0</v>
      </c>
      <c r="I2081" s="47"/>
      <c r="J2081" s="48">
        <f>VLOOKUP(A2081,'[1]תקציב 2026'!$A$1:$M$65536,9,0)</f>
        <v>696000</v>
      </c>
      <c r="K2081" s="49">
        <f>VLOOKUP(A2081,[3]גיליון1!$A$1:$C$7693,3,0)</f>
        <v>696000</v>
      </c>
      <c r="L2081" s="50">
        <f>VLOOKUP(A2081,[2]data1761205830331!$A$1:$J$65536,10,0)</f>
        <v>320322.14</v>
      </c>
    </row>
    <row r="2082" spans="1:12" ht="15.6" outlineLevel="1">
      <c r="A2082" s="11">
        <v>1781200541</v>
      </c>
      <c r="B2082" s="40">
        <v>541</v>
      </c>
      <c r="C2082" s="109">
        <v>781200</v>
      </c>
      <c r="D2082" s="42">
        <v>1</v>
      </c>
      <c r="E2082" s="43"/>
      <c r="F2082" s="44" t="s">
        <v>773</v>
      </c>
      <c r="G2082" s="45" t="s">
        <v>29</v>
      </c>
      <c r="H2082" s="51">
        <f t="shared" si="32"/>
        <v>-0.39098660170523747</v>
      </c>
      <c r="I2082" s="51"/>
      <c r="J2082" s="48">
        <f>VLOOKUP(A2082,'[1]תקציב 2026'!$A$1:$M$65536,9,0)</f>
        <v>1200000</v>
      </c>
      <c r="K2082" s="49">
        <v>1970400</v>
      </c>
      <c r="L2082" s="50">
        <f>VLOOKUP(A2082,[2]data1761205830331!$A$1:$J$65536,10,0)</f>
        <v>566748.41</v>
      </c>
    </row>
    <row r="2083" spans="1:12" ht="15.6" outlineLevel="1">
      <c r="A2083" s="11">
        <v>1781200542</v>
      </c>
      <c r="B2083" s="40">
        <v>542</v>
      </c>
      <c r="C2083" s="109">
        <v>781200</v>
      </c>
      <c r="D2083" s="42">
        <v>1</v>
      </c>
      <c r="E2083" s="43"/>
      <c r="F2083" s="44" t="s">
        <v>1243</v>
      </c>
      <c r="G2083" s="45" t="s">
        <v>37</v>
      </c>
      <c r="H2083" s="51">
        <v>1</v>
      </c>
      <c r="I2083" s="47"/>
      <c r="J2083" s="48">
        <f>VLOOKUP(A2083,'[1]תקציב 2026'!$A$1:$M$65536,9,0)</f>
        <v>120000</v>
      </c>
      <c r="K2083" s="49">
        <v>0</v>
      </c>
      <c r="L2083" s="50">
        <f>VLOOKUP(A2083,[2]data1761205830331!$A$1:$J$65536,10,0)</f>
        <v>0</v>
      </c>
    </row>
    <row r="2084" spans="1:12" ht="15.6" outlineLevel="1">
      <c r="A2084" s="11">
        <v>1781200544</v>
      </c>
      <c r="B2084" s="40">
        <v>544</v>
      </c>
      <c r="C2084" s="109">
        <v>781200</v>
      </c>
      <c r="D2084" s="42">
        <v>1</v>
      </c>
      <c r="E2084" s="43"/>
      <c r="F2084" s="44" t="s">
        <v>743</v>
      </c>
      <c r="G2084" s="45" t="s">
        <v>29</v>
      </c>
      <c r="H2084" s="51">
        <f t="shared" si="32"/>
        <v>0</v>
      </c>
      <c r="I2084" s="47"/>
      <c r="J2084" s="48">
        <f>VLOOKUP(A2084,'[1]תקציב 2026'!$A$1:$M$65536,9,0)</f>
        <v>34200</v>
      </c>
      <c r="K2084" s="49">
        <v>34200</v>
      </c>
      <c r="L2084" s="50">
        <f>VLOOKUP(A2084,[2]data1761205830331!$A$1:$J$65536,10,0)</f>
        <v>426149.38</v>
      </c>
    </row>
    <row r="2085" spans="1:12" ht="15.6" outlineLevel="1">
      <c r="A2085" s="11">
        <v>1781200561</v>
      </c>
      <c r="B2085" s="40">
        <v>561</v>
      </c>
      <c r="C2085" s="109">
        <v>781200</v>
      </c>
      <c r="D2085" s="42">
        <v>1</v>
      </c>
      <c r="E2085" s="43"/>
      <c r="F2085" s="44" t="s">
        <v>74</v>
      </c>
      <c r="G2085" s="45" t="s">
        <v>37</v>
      </c>
      <c r="H2085" s="51">
        <f t="shared" si="32"/>
        <v>-1</v>
      </c>
      <c r="I2085" s="47"/>
      <c r="J2085" s="48">
        <f>VLOOKUP(A2085,'[1]תקציב 2026'!$A$1:$M$65536,9,0)</f>
        <v>0</v>
      </c>
      <c r="K2085" s="49">
        <f>VLOOKUP(A2085,[3]גיליון1!$A$1:$C$7693,3,0)*0.9</f>
        <v>360</v>
      </c>
      <c r="L2085" s="50">
        <f>VLOOKUP(A2085,[2]data1761205830331!$A$1:$J$65536,10,0)</f>
        <v>0</v>
      </c>
    </row>
    <row r="2086" spans="1:12" ht="15.6" outlineLevel="1">
      <c r="A2086" s="11">
        <v>1781200562</v>
      </c>
      <c r="B2086" s="40">
        <v>562</v>
      </c>
      <c r="C2086" s="109">
        <v>781200</v>
      </c>
      <c r="D2086" s="42">
        <v>1</v>
      </c>
      <c r="E2086" s="43"/>
      <c r="F2086" s="44" t="s">
        <v>748</v>
      </c>
      <c r="G2086" s="45" t="s">
        <v>37</v>
      </c>
      <c r="H2086" s="51">
        <f t="shared" si="32"/>
        <v>0</v>
      </c>
      <c r="I2086" s="47"/>
      <c r="J2086" s="48">
        <f>VLOOKUP(A2086,'[1]תקציב 2026'!$A$1:$M$65536,9,0)</f>
        <v>21600</v>
      </c>
      <c r="K2086" s="49">
        <f>VLOOKUP(A2086,[3]גיליון1!$A$1:$C$7693,3,0)*0.9</f>
        <v>21600</v>
      </c>
      <c r="L2086" s="50">
        <f>VLOOKUP(A2086,[2]data1761205830331!$A$1:$J$65536,10,0)</f>
        <v>50455.17</v>
      </c>
    </row>
    <row r="2087" spans="1:12" ht="15.6" outlineLevel="1">
      <c r="A2087" s="11">
        <v>1781200570</v>
      </c>
      <c r="B2087" s="40">
        <v>570</v>
      </c>
      <c r="C2087" s="109">
        <v>781200</v>
      </c>
      <c r="D2087" s="42">
        <v>1</v>
      </c>
      <c r="E2087" s="43"/>
      <c r="F2087" s="44" t="s">
        <v>1244</v>
      </c>
      <c r="G2087" s="45" t="s">
        <v>29</v>
      </c>
      <c r="H2087" s="51">
        <f t="shared" si="32"/>
        <v>-1</v>
      </c>
      <c r="I2087" s="47"/>
      <c r="J2087" s="48">
        <f>VLOOKUP(A2087,'[1]תקציב 2026'!$A$1:$M$65536,9,0)</f>
        <v>0</v>
      </c>
      <c r="K2087" s="49">
        <f>VLOOKUP(A2087,[3]גיליון1!$A$1:$C$7693,3,0)</f>
        <v>270000</v>
      </c>
      <c r="L2087" s="50">
        <f>VLOOKUP(A2087,[2]data1761205830331!$A$1:$J$65536,10,0)</f>
        <v>298341.56</v>
      </c>
    </row>
    <row r="2088" spans="1:12" ht="15.6" outlineLevel="1">
      <c r="A2088" s="11">
        <v>1781200758</v>
      </c>
      <c r="B2088" s="40">
        <v>758</v>
      </c>
      <c r="C2088" s="109">
        <v>781200</v>
      </c>
      <c r="D2088" s="42">
        <v>1</v>
      </c>
      <c r="E2088" s="43"/>
      <c r="F2088" s="44" t="s">
        <v>1245</v>
      </c>
      <c r="G2088" s="45" t="s">
        <v>29</v>
      </c>
      <c r="H2088" s="51">
        <f t="shared" si="32"/>
        <v>0.61746575342465748</v>
      </c>
      <c r="I2088" s="47"/>
      <c r="J2088" s="48">
        <f>VLOOKUP(A2088,'[1]תקציב 2026'!$A$1:$M$65536,9,0)</f>
        <v>472300</v>
      </c>
      <c r="K2088" s="49">
        <f>VLOOKUP(A2088,[3]גיליון1!$A$1:$C$7693,3,0)</f>
        <v>292000</v>
      </c>
      <c r="L2088" s="50">
        <f>VLOOKUP(A2088,[2]data1761205830331!$A$1:$J$65536,10,0)</f>
        <v>224122.3</v>
      </c>
    </row>
    <row r="2089" spans="1:12" ht="15.6" outlineLevel="1">
      <c r="A2089" s="11">
        <v>1781200780</v>
      </c>
      <c r="B2089" s="40">
        <v>780</v>
      </c>
      <c r="C2089" s="109">
        <v>781200</v>
      </c>
      <c r="D2089" s="42">
        <v>1</v>
      </c>
      <c r="E2089" s="231"/>
      <c r="F2089" s="44" t="s">
        <v>1246</v>
      </c>
      <c r="G2089" s="45" t="s">
        <v>37</v>
      </c>
      <c r="H2089" s="51">
        <f t="shared" si="32"/>
        <v>-1</v>
      </c>
      <c r="I2089" s="47"/>
      <c r="J2089" s="48">
        <f>VLOOKUP(A2089,'[1]תקציב 2026'!$A$1:$M$65536,9,0)</f>
        <v>0</v>
      </c>
      <c r="K2089" s="49">
        <f>VLOOKUP(A2089,[3]גיליון1!$A$1:$C$7693,3,0)*0.9</f>
        <v>21960</v>
      </c>
      <c r="L2089" s="50">
        <f>VLOOKUP(A2089,[2]data1761205830331!$A$1:$J$65536,10,0)</f>
        <v>0</v>
      </c>
    </row>
    <row r="2090" spans="1:12" ht="16.2" outlineLevel="1" thickBot="1">
      <c r="A2090" s="11">
        <v>1781200781</v>
      </c>
      <c r="B2090" s="119">
        <v>781</v>
      </c>
      <c r="C2090" s="120">
        <v>781200</v>
      </c>
      <c r="D2090" s="121">
        <v>1</v>
      </c>
      <c r="E2090" s="232"/>
      <c r="F2090" s="122" t="s">
        <v>1247</v>
      </c>
      <c r="G2090" s="153" t="s">
        <v>37</v>
      </c>
      <c r="H2090" s="124">
        <v>1</v>
      </c>
      <c r="I2090" s="160" t="s">
        <v>86</v>
      </c>
      <c r="J2090" s="48">
        <f>VLOOKUP(A2090,'[1]תקציב 2026'!$A$1:$M$65536,9,0)</f>
        <v>368160</v>
      </c>
      <c r="K2090" s="162">
        <v>0</v>
      </c>
      <c r="L2090" s="50">
        <v>0</v>
      </c>
    </row>
    <row r="2091" spans="1:12" ht="16.2" thickBot="1">
      <c r="A2091" s="11" t="e">
        <v>#VALUE!</v>
      </c>
      <c r="B2091" s="53" t="s">
        <v>1248</v>
      </c>
      <c r="C2091" s="223"/>
      <c r="D2091" s="55"/>
      <c r="E2091" s="56"/>
      <c r="F2091" s="116" t="s">
        <v>243</v>
      </c>
      <c r="G2091" s="58"/>
      <c r="H2091" s="166">
        <f>J2091/K2091-1</f>
        <v>-0.11923714358298154</v>
      </c>
      <c r="I2091" s="72"/>
      <c r="J2091" s="74">
        <f>SUBTOTAL(9,J2081:J2090)</f>
        <v>2912260</v>
      </c>
      <c r="K2091" s="92">
        <f>SUBTOTAL(9,K2081:K2090)</f>
        <v>3306520</v>
      </c>
      <c r="L2091" s="75">
        <f>SUBTOTAL(9,L2081:L2090)</f>
        <v>1886138.9600000002</v>
      </c>
    </row>
    <row r="2092" spans="1:12" ht="15.6" outlineLevel="1">
      <c r="A2092" s="11">
        <v>17813000</v>
      </c>
      <c r="B2092" s="40">
        <v>0</v>
      </c>
      <c r="C2092" s="109">
        <v>781300</v>
      </c>
      <c r="D2092" s="42">
        <v>1</v>
      </c>
      <c r="E2092" s="43"/>
      <c r="F2092" s="44" t="s">
        <v>256</v>
      </c>
      <c r="G2092" s="45" t="s">
        <v>15</v>
      </c>
      <c r="H2092" s="51"/>
      <c r="I2092" s="47"/>
      <c r="J2092" s="48"/>
      <c r="K2092" s="49"/>
      <c r="L2092" s="50"/>
    </row>
    <row r="2093" spans="1:12" ht="15.6" outlineLevel="1">
      <c r="A2093" s="11">
        <v>1781300119</v>
      </c>
      <c r="B2093" s="40">
        <v>119</v>
      </c>
      <c r="C2093" s="109">
        <v>781300</v>
      </c>
      <c r="D2093" s="42">
        <v>1</v>
      </c>
      <c r="E2093" s="43"/>
      <c r="F2093" s="44" t="s">
        <v>23</v>
      </c>
      <c r="G2093" s="45" t="s">
        <v>22</v>
      </c>
      <c r="H2093" s="51">
        <f t="shared" si="32"/>
        <v>0.98067399210709594</v>
      </c>
      <c r="I2093" s="47"/>
      <c r="J2093" s="48">
        <f>VLOOKUP(A2093,'[1]תקציב 2026'!$A$1:$M$65536,9,0)</f>
        <v>10238500</v>
      </c>
      <c r="K2093" s="49">
        <f>4737200+432000</f>
        <v>5169200</v>
      </c>
      <c r="L2093" s="50">
        <f>VLOOKUP(A2093,[2]data1761205830331!$A$1:$J$65536,10,0)</f>
        <v>4384047.41</v>
      </c>
    </row>
    <row r="2094" spans="1:12" ht="15.6" outlineLevel="1">
      <c r="A2094" s="11">
        <v>1781300122</v>
      </c>
      <c r="B2094" s="40">
        <v>122</v>
      </c>
      <c r="C2094" s="109">
        <v>781300</v>
      </c>
      <c r="D2094" s="42">
        <v>1</v>
      </c>
      <c r="E2094" s="43"/>
      <c r="F2094" s="44" t="s">
        <v>24</v>
      </c>
      <c r="G2094" s="45" t="s">
        <v>22</v>
      </c>
      <c r="H2094" s="51">
        <f t="shared" si="32"/>
        <v>0.21978021978021989</v>
      </c>
      <c r="I2094" s="47"/>
      <c r="J2094" s="48">
        <f>VLOOKUP(A2094,'[1]תקציב 2026'!$A$1:$M$65536,9,0)</f>
        <v>11100</v>
      </c>
      <c r="K2094" s="49">
        <f>VLOOKUP(A2094,[3]גיליון1!$A$1:$C$7693,3,0)</f>
        <v>9100</v>
      </c>
      <c r="L2094" s="50">
        <f>VLOOKUP(A2094,[2]data1761205830331!$A$1:$J$65536,10,0)</f>
        <v>8626.5400000000009</v>
      </c>
    </row>
    <row r="2095" spans="1:12" ht="15.6" outlineLevel="1">
      <c r="A2095" s="11">
        <v>1781300126</v>
      </c>
      <c r="B2095" s="40">
        <v>126</v>
      </c>
      <c r="C2095" s="109">
        <v>781300</v>
      </c>
      <c r="D2095" s="42">
        <v>1</v>
      </c>
      <c r="E2095" s="43"/>
      <c r="F2095" s="44" t="s">
        <v>25</v>
      </c>
      <c r="G2095" s="45" t="s">
        <v>22</v>
      </c>
      <c r="H2095" s="51">
        <f t="shared" si="32"/>
        <v>0.219090909090909</v>
      </c>
      <c r="I2095" s="47"/>
      <c r="J2095" s="48">
        <f>VLOOKUP(A2095,'[1]תקציב 2026'!$A$1:$M$65536,9,0)</f>
        <v>134100</v>
      </c>
      <c r="K2095" s="49">
        <f>VLOOKUP(A2095,[3]גיליון1!$A$1:$C$7693,3,0)</f>
        <v>110000</v>
      </c>
      <c r="L2095" s="50">
        <f>VLOOKUP(A2095,[2]data1761205830331!$A$1:$J$65536,10,0)</f>
        <v>111588.27</v>
      </c>
    </row>
    <row r="2096" spans="1:12" ht="15.6" outlineLevel="1">
      <c r="A2096" s="11">
        <v>1781300130</v>
      </c>
      <c r="B2096" s="40">
        <v>130</v>
      </c>
      <c r="C2096" s="109">
        <v>781300</v>
      </c>
      <c r="D2096" s="42">
        <v>1</v>
      </c>
      <c r="E2096" s="43"/>
      <c r="F2096" s="44" t="s">
        <v>26</v>
      </c>
      <c r="G2096" s="45" t="s">
        <v>22</v>
      </c>
      <c r="H2096" s="51">
        <f t="shared" si="32"/>
        <v>0.2195146612740142</v>
      </c>
      <c r="I2096" s="47"/>
      <c r="J2096" s="48">
        <f>VLOOKUP(A2096,'[1]תקציב 2026'!$A$1:$M$65536,9,0)</f>
        <v>1206100</v>
      </c>
      <c r="K2096" s="49">
        <f>VLOOKUP(A2096,[3]גיליון1!$A$1:$C$7693,3,0)*0.86</f>
        <v>989000</v>
      </c>
      <c r="L2096" s="50">
        <f>VLOOKUP(A2096,[2]data1761205830331!$A$1:$J$65536,10,0)</f>
        <v>1227881.23</v>
      </c>
    </row>
    <row r="2097" spans="1:12" ht="15.6" outlineLevel="1">
      <c r="A2097" s="11">
        <v>1781300140</v>
      </c>
      <c r="B2097" s="40">
        <v>140</v>
      </c>
      <c r="C2097" s="109">
        <v>781300</v>
      </c>
      <c r="D2097" s="42">
        <v>1</v>
      </c>
      <c r="E2097" s="43"/>
      <c r="F2097" s="44" t="s">
        <v>27</v>
      </c>
      <c r="G2097" s="45" t="s">
        <v>22</v>
      </c>
      <c r="H2097" s="51">
        <f t="shared" si="32"/>
        <v>0</v>
      </c>
      <c r="I2097" s="47"/>
      <c r="J2097" s="48">
        <f>VLOOKUP(A2097,'[1]תקציב 2026'!$A$1:$M$65536,9,0)</f>
        <v>357000</v>
      </c>
      <c r="K2097" s="49">
        <f>VLOOKUP(A2097,[3]גיליון1!$A$1:$C$7693,3,0)</f>
        <v>357000</v>
      </c>
      <c r="L2097" s="50">
        <f>VLOOKUP(A2097,[2]data1761205830331!$A$1:$J$65536,10,0)</f>
        <v>394368.12</v>
      </c>
    </row>
    <row r="2098" spans="1:12" ht="15.6" outlineLevel="1">
      <c r="A2098" s="11">
        <v>1781300350</v>
      </c>
      <c r="B2098" s="40">
        <v>350</v>
      </c>
      <c r="C2098" s="109">
        <v>781300</v>
      </c>
      <c r="D2098" s="42">
        <v>1</v>
      </c>
      <c r="E2098" s="43"/>
      <c r="F2098" s="44" t="s">
        <v>1249</v>
      </c>
      <c r="G2098" s="45" t="s">
        <v>22</v>
      </c>
      <c r="H2098" s="51">
        <f t="shared" si="32"/>
        <v>0</v>
      </c>
      <c r="I2098" s="47"/>
      <c r="J2098" s="48">
        <f>VLOOKUP(A2098,'[1]תקציב 2026'!$A$1:$M$65536,9,0)</f>
        <v>58000</v>
      </c>
      <c r="K2098" s="49">
        <f>VLOOKUP(A2098,[3]גיליון1!$A$1:$C$7693,3,0)</f>
        <v>58000</v>
      </c>
      <c r="L2098" s="50">
        <f>VLOOKUP(A2098,[2]data1761205830331!$A$1:$J$65536,10,0)</f>
        <v>41182.18</v>
      </c>
    </row>
    <row r="2099" spans="1:12" ht="15.6" outlineLevel="1">
      <c r="A2099" s="11">
        <v>1781300351</v>
      </c>
      <c r="B2099" s="40">
        <v>351</v>
      </c>
      <c r="C2099" s="109">
        <v>781300</v>
      </c>
      <c r="D2099" s="42">
        <v>1</v>
      </c>
      <c r="E2099" s="43"/>
      <c r="F2099" s="44" t="s">
        <v>1250</v>
      </c>
      <c r="G2099" s="45" t="s">
        <v>22</v>
      </c>
      <c r="H2099" s="51">
        <f t="shared" si="32"/>
        <v>0</v>
      </c>
      <c r="I2099" s="47"/>
      <c r="J2099" s="48">
        <f>VLOOKUP(A2099,'[1]תקציב 2026'!$A$1:$M$65536,9,0)</f>
        <v>33800</v>
      </c>
      <c r="K2099" s="49">
        <f>VLOOKUP(A2099,[3]גיליון1!$A$1:$C$7693,3,0)</f>
        <v>33800</v>
      </c>
      <c r="L2099" s="50">
        <f>VLOOKUP(A2099,[2]data1761205830331!$A$1:$J$65536,10,0)</f>
        <v>19949.45</v>
      </c>
    </row>
    <row r="2100" spans="1:12" ht="15.6" outlineLevel="1">
      <c r="A2100" s="11">
        <v>1781300410</v>
      </c>
      <c r="B2100" s="40">
        <v>410</v>
      </c>
      <c r="C2100" s="109">
        <v>781300</v>
      </c>
      <c r="D2100" s="42">
        <v>1</v>
      </c>
      <c r="E2100" s="133"/>
      <c r="F2100" s="43" t="s">
        <v>1227</v>
      </c>
      <c r="G2100" s="45" t="s">
        <v>29</v>
      </c>
      <c r="H2100" s="51">
        <f t="shared" si="32"/>
        <v>0</v>
      </c>
      <c r="I2100" s="47"/>
      <c r="J2100" s="48">
        <f>VLOOKUP(A2100,'[1]תקציב 2026'!$A$1:$M$65536,9,0)</f>
        <v>210000</v>
      </c>
      <c r="K2100" s="49">
        <v>210000</v>
      </c>
      <c r="L2100" s="50">
        <f>VLOOKUP(A2100,[2]data1761205830331!$A$1:$J$65536,10,0)</f>
        <v>219078.39999999999</v>
      </c>
    </row>
    <row r="2101" spans="1:12" ht="15.6" outlineLevel="1">
      <c r="A2101" s="11">
        <v>1781300431</v>
      </c>
      <c r="B2101" s="40">
        <v>431</v>
      </c>
      <c r="C2101" s="109">
        <v>781300</v>
      </c>
      <c r="D2101" s="42">
        <v>1</v>
      </c>
      <c r="E2101" s="43"/>
      <c r="F2101" s="44" t="s">
        <v>32</v>
      </c>
      <c r="G2101" s="45" t="s">
        <v>29</v>
      </c>
      <c r="H2101" s="51">
        <f t="shared" si="32"/>
        <v>0</v>
      </c>
      <c r="I2101" s="47"/>
      <c r="J2101" s="48">
        <f>VLOOKUP(A2101,'[1]תקציב 2026'!$A$1:$M$65536,9,0)</f>
        <v>42400</v>
      </c>
      <c r="K2101" s="49">
        <v>42400</v>
      </c>
      <c r="L2101" s="50">
        <f>VLOOKUP(A2101,[2]data1761205830331!$A$1:$J$65536,10,0)</f>
        <v>27341</v>
      </c>
    </row>
    <row r="2102" spans="1:12" ht="15.6" outlineLevel="1">
      <c r="A2102" s="11">
        <v>1781300432</v>
      </c>
      <c r="B2102" s="40">
        <v>432</v>
      </c>
      <c r="C2102" s="109">
        <v>781300</v>
      </c>
      <c r="D2102" s="42">
        <v>1</v>
      </c>
      <c r="E2102" s="43"/>
      <c r="F2102" s="44" t="s">
        <v>33</v>
      </c>
      <c r="G2102" s="45" t="s">
        <v>29</v>
      </c>
      <c r="H2102" s="51">
        <f t="shared" si="32"/>
        <v>0</v>
      </c>
      <c r="I2102" s="47"/>
      <c r="J2102" s="48">
        <f>VLOOKUP(A2102,'[1]תקציב 2026'!$A$1:$M$65536,9,0)</f>
        <v>4200</v>
      </c>
      <c r="K2102" s="49">
        <f>VLOOKUP(A2102,[3]גיליון1!$A$1:$C$7693,3,0)</f>
        <v>4200</v>
      </c>
      <c r="L2102" s="50">
        <f>VLOOKUP(A2102,[2]data1761205830331!$A$1:$J$65536,10,0)</f>
        <v>4030</v>
      </c>
    </row>
    <row r="2103" spans="1:12" ht="15.6" outlineLevel="1">
      <c r="A2103" s="11">
        <v>1781300433</v>
      </c>
      <c r="B2103" s="40">
        <v>433</v>
      </c>
      <c r="C2103" s="109">
        <v>781300</v>
      </c>
      <c r="D2103" s="42">
        <v>1</v>
      </c>
      <c r="E2103" s="43"/>
      <c r="F2103" s="44" t="s">
        <v>34</v>
      </c>
      <c r="G2103" s="45" t="s">
        <v>37</v>
      </c>
      <c r="H2103" s="51">
        <f t="shared" si="32"/>
        <v>0</v>
      </c>
      <c r="I2103" s="47"/>
      <c r="J2103" s="48">
        <f>VLOOKUP(A2103,'[1]תקציב 2026'!$A$1:$M$65536,9,0)</f>
        <v>6030</v>
      </c>
      <c r="K2103" s="49">
        <f>VLOOKUP(A2103,[3]גיליון1!$A$1:$C$7693,3,0)*0.9</f>
        <v>6030</v>
      </c>
      <c r="L2103" s="50">
        <f>VLOOKUP(A2103,[2]data1761205830331!$A$1:$J$65536,10,0)</f>
        <v>3947.25</v>
      </c>
    </row>
    <row r="2104" spans="1:12" ht="15.6" outlineLevel="1">
      <c r="A2104" s="11">
        <v>1781300437</v>
      </c>
      <c r="B2104" s="40">
        <v>437</v>
      </c>
      <c r="C2104" s="109">
        <v>781300</v>
      </c>
      <c r="D2104" s="42">
        <v>1</v>
      </c>
      <c r="E2104" s="43"/>
      <c r="F2104" s="44" t="s">
        <v>1251</v>
      </c>
      <c r="G2104" s="45" t="s">
        <v>29</v>
      </c>
      <c r="H2104" s="51">
        <f t="shared" si="32"/>
        <v>0</v>
      </c>
      <c r="I2104" s="47"/>
      <c r="J2104" s="48">
        <f>VLOOKUP(A2104,'[1]תקציב 2026'!$A$1:$M$65536,9,0)</f>
        <v>2800</v>
      </c>
      <c r="K2104" s="49">
        <f>VLOOKUP(A2104,[3]גיליון1!$A$1:$C$7693,3,0)</f>
        <v>2800</v>
      </c>
      <c r="L2104" s="50">
        <f>VLOOKUP(A2104,[2]data1761205830331!$A$1:$J$65536,10,0)</f>
        <v>0</v>
      </c>
    </row>
    <row r="2105" spans="1:12" ht="15.6" outlineLevel="1">
      <c r="A2105" s="11">
        <v>1781300441</v>
      </c>
      <c r="B2105" s="40">
        <v>441</v>
      </c>
      <c r="C2105" s="109">
        <v>781300</v>
      </c>
      <c r="D2105" s="42">
        <v>1</v>
      </c>
      <c r="E2105" s="43"/>
      <c r="F2105" s="44" t="s">
        <v>1252</v>
      </c>
      <c r="G2105" s="45" t="s">
        <v>29</v>
      </c>
      <c r="H2105" s="51">
        <f t="shared" si="32"/>
        <v>2.25</v>
      </c>
      <c r="I2105" s="47"/>
      <c r="J2105" s="48">
        <f>VLOOKUP(A2105,'[1]תקציב 2026'!$A$1:$M$65536,9,0)</f>
        <v>195000</v>
      </c>
      <c r="K2105" s="49">
        <f>VLOOKUP(A2105,[3]גיליון1!$A$1:$C$7693,3,0)</f>
        <v>60000</v>
      </c>
      <c r="L2105" s="50">
        <f>VLOOKUP(A2105,[2]data1761205830331!$A$1:$J$65536,10,0)</f>
        <v>59351</v>
      </c>
    </row>
    <row r="2106" spans="1:12" ht="15.6" outlineLevel="1">
      <c r="A2106" s="11">
        <v>1781300445</v>
      </c>
      <c r="B2106" s="40">
        <v>445</v>
      </c>
      <c r="C2106" s="109">
        <v>781300</v>
      </c>
      <c r="D2106" s="42">
        <v>1</v>
      </c>
      <c r="E2106" s="43"/>
      <c r="F2106" s="44" t="s">
        <v>1253</v>
      </c>
      <c r="G2106" s="45" t="s">
        <v>29</v>
      </c>
      <c r="H2106" s="51">
        <f t="shared" ref="H2106:H2139" si="33">J2106/K2106-1</f>
        <v>0.8085106382978724</v>
      </c>
      <c r="I2106" s="47"/>
      <c r="J2106" s="48">
        <f>VLOOKUP(A2106,'[1]תקציב 2026'!$A$1:$M$65536,9,0)</f>
        <v>85000</v>
      </c>
      <c r="K2106" s="49">
        <v>47000</v>
      </c>
      <c r="L2106" s="50">
        <f>VLOOKUP(A2106,[2]data1761205830331!$A$1:$J$65536,10,0)</f>
        <v>0</v>
      </c>
    </row>
    <row r="2107" spans="1:12" ht="15.6" outlineLevel="1">
      <c r="A2107" s="11">
        <v>1781300450</v>
      </c>
      <c r="B2107" s="206">
        <v>450</v>
      </c>
      <c r="C2107" s="207">
        <v>781300</v>
      </c>
      <c r="D2107" s="208">
        <v>1</v>
      </c>
      <c r="E2107" s="229"/>
      <c r="F2107" s="210" t="s">
        <v>41</v>
      </c>
      <c r="G2107" s="45" t="s">
        <v>29</v>
      </c>
      <c r="H2107" s="51">
        <f t="shared" si="33"/>
        <v>0</v>
      </c>
      <c r="I2107" s="47"/>
      <c r="J2107" s="48">
        <f>VLOOKUP(A2107,'[1]תקציב 2026'!$A$1:$M$65536,9,0)</f>
        <v>2000</v>
      </c>
      <c r="K2107" s="49">
        <f>VLOOKUP(A2107,[3]גיליון1!$A$1:$C$7693,3,0)</f>
        <v>2000</v>
      </c>
      <c r="L2107" s="50">
        <f>VLOOKUP(A2107,[2]data1761205830331!$A$1:$J$65536,10,0)</f>
        <v>0</v>
      </c>
    </row>
    <row r="2108" spans="1:12" ht="15.6" outlineLevel="1">
      <c r="A2108" s="11">
        <v>1781300470</v>
      </c>
      <c r="B2108" s="40">
        <v>470</v>
      </c>
      <c r="C2108" s="109">
        <v>781300</v>
      </c>
      <c r="D2108" s="42">
        <v>1</v>
      </c>
      <c r="E2108" s="43"/>
      <c r="F2108" s="44" t="s">
        <v>43</v>
      </c>
      <c r="G2108" s="45" t="s">
        <v>37</v>
      </c>
      <c r="H2108" s="51">
        <f t="shared" si="33"/>
        <v>0</v>
      </c>
      <c r="I2108" s="47"/>
      <c r="J2108" s="48">
        <f>VLOOKUP(A2108,'[1]תקציב 2026'!$A$1:$M$65536,9,0)</f>
        <v>1530</v>
      </c>
      <c r="K2108" s="49">
        <f>VLOOKUP(A2108,[3]גיליון1!$A$1:$C$7693,3,0)*0.9</f>
        <v>1530</v>
      </c>
      <c r="L2108" s="50">
        <f>VLOOKUP(A2108,[2]data1761205830331!$A$1:$J$65536,10,0)</f>
        <v>0</v>
      </c>
    </row>
    <row r="2109" spans="1:12" ht="15.6" outlineLevel="1">
      <c r="A2109" s="11">
        <v>1781300471</v>
      </c>
      <c r="B2109" s="40">
        <v>471</v>
      </c>
      <c r="C2109" s="109">
        <v>781300</v>
      </c>
      <c r="D2109" s="42">
        <v>1</v>
      </c>
      <c r="E2109" s="43"/>
      <c r="F2109" s="44" t="s">
        <v>71</v>
      </c>
      <c r="G2109" s="45" t="s">
        <v>37</v>
      </c>
      <c r="H2109" s="51">
        <f t="shared" si="33"/>
        <v>0.70175438596491224</v>
      </c>
      <c r="I2109" s="47"/>
      <c r="J2109" s="48">
        <f>VLOOKUP(A2109,'[1]תקציב 2026'!$A$1:$M$65536,9,0)</f>
        <v>29100</v>
      </c>
      <c r="K2109" s="49">
        <f>VLOOKUP(A2109,[3]גיליון1!$A$1:$C$7693,3,0)*0.9</f>
        <v>17100</v>
      </c>
      <c r="L2109" s="50">
        <f>VLOOKUP(A2109,[2]data1761205830331!$A$1:$J$65536,10,0)</f>
        <v>12675.13</v>
      </c>
    </row>
    <row r="2110" spans="1:12" ht="15.75" customHeight="1" outlineLevel="1">
      <c r="A2110" s="11">
        <v>1781300472</v>
      </c>
      <c r="B2110" s="40">
        <v>472</v>
      </c>
      <c r="C2110" s="109">
        <v>781300</v>
      </c>
      <c r="D2110" s="42">
        <v>1</v>
      </c>
      <c r="E2110" s="43"/>
      <c r="F2110" s="44" t="s">
        <v>1254</v>
      </c>
      <c r="G2110" s="45" t="s">
        <v>37</v>
      </c>
      <c r="H2110" s="51">
        <f t="shared" si="33"/>
        <v>0.63654618473895574</v>
      </c>
      <c r="I2110" s="51"/>
      <c r="J2110" s="48">
        <f>VLOOKUP(A2110,'[1]תקציב 2026'!$A$1:$M$65536,9,0)</f>
        <v>48900</v>
      </c>
      <c r="K2110" s="49">
        <f>VLOOKUP(A2110,[3]גיליון1!$A$1:$C$7693,3,0)*0.9</f>
        <v>29880</v>
      </c>
      <c r="L2110" s="50">
        <f>VLOOKUP(A2110,[2]data1761205830331!$A$1:$J$65536,10,0)</f>
        <v>25657.8</v>
      </c>
    </row>
    <row r="2111" spans="1:12" ht="15.6" outlineLevel="1">
      <c r="A2111" s="11">
        <v>1781300473</v>
      </c>
      <c r="B2111" s="40">
        <v>473</v>
      </c>
      <c r="C2111" s="109">
        <v>781300</v>
      </c>
      <c r="D2111" s="42">
        <v>1</v>
      </c>
      <c r="E2111" s="43"/>
      <c r="F2111" s="44" t="s">
        <v>1255</v>
      </c>
      <c r="G2111" s="45" t="s">
        <v>37</v>
      </c>
      <c r="H2111" s="51">
        <f t="shared" si="33"/>
        <v>0.80778727445394116</v>
      </c>
      <c r="I2111" s="51"/>
      <c r="J2111" s="48">
        <f>VLOOKUP(A2111,'[1]תקציב 2026'!$A$1:$M$65536,9,0)</f>
        <v>951800</v>
      </c>
      <c r="K2111" s="49">
        <f>VLOOKUP(A2111,[3]גיליון1!$A$1:$C$7693,3,0)*0.9</f>
        <v>526500</v>
      </c>
      <c r="L2111" s="50">
        <f>VLOOKUP(A2111,[2]data1761205830331!$A$1:$J$65536,10,0)</f>
        <v>320349.42</v>
      </c>
    </row>
    <row r="2112" spans="1:12" ht="15.6" outlineLevel="1">
      <c r="A2112" s="11">
        <v>1781300511</v>
      </c>
      <c r="B2112" s="40">
        <v>511</v>
      </c>
      <c r="C2112" s="109">
        <v>781300</v>
      </c>
      <c r="D2112" s="42">
        <v>1</v>
      </c>
      <c r="E2112" s="43"/>
      <c r="F2112" s="44" t="s">
        <v>72</v>
      </c>
      <c r="G2112" s="45" t="s">
        <v>37</v>
      </c>
      <c r="H2112" s="51">
        <f t="shared" si="33"/>
        <v>0.85185185185185186</v>
      </c>
      <c r="I2112" s="47"/>
      <c r="J2112" s="48">
        <f>VLOOKUP(A2112,'[1]תקציב 2026'!$A$1:$M$65536,9,0)</f>
        <v>32000</v>
      </c>
      <c r="K2112" s="49">
        <f>19200*0.9</f>
        <v>17280</v>
      </c>
      <c r="L2112" s="50">
        <f>VLOOKUP(A2112,[2]data1761205830331!$A$1:$J$65536,10,0)</f>
        <v>17055.27</v>
      </c>
    </row>
    <row r="2113" spans="1:12" ht="15.6" outlineLevel="1">
      <c r="A2113" s="11">
        <v>1781300512</v>
      </c>
      <c r="B2113" s="40">
        <v>512</v>
      </c>
      <c r="C2113" s="109">
        <v>781300</v>
      </c>
      <c r="D2113" s="42">
        <v>1</v>
      </c>
      <c r="E2113" s="43"/>
      <c r="F2113" s="44" t="s">
        <v>1256</v>
      </c>
      <c r="G2113" s="45" t="s">
        <v>37</v>
      </c>
      <c r="H2113" s="51">
        <f t="shared" si="33"/>
        <v>0.80770147830233663</v>
      </c>
      <c r="I2113" s="47"/>
      <c r="J2113" s="48">
        <f>VLOOKUP(A2113,'[1]תקציב 2026'!$A$1:$M$65536,9,0)</f>
        <v>303260</v>
      </c>
      <c r="K2113" s="49">
        <f>VLOOKUP(A2113,[3]גיליון1!$A$1:$C$7693,3,0)*0.9</f>
        <v>167760</v>
      </c>
      <c r="L2113" s="50">
        <f>VLOOKUP(A2113,[2]data1761205830331!$A$1:$J$65536,10,0)</f>
        <v>143923.06</v>
      </c>
    </row>
    <row r="2114" spans="1:12" ht="15.6" outlineLevel="1">
      <c r="A2114" s="11">
        <v>1781300524</v>
      </c>
      <c r="B2114" s="40">
        <v>524</v>
      </c>
      <c r="C2114" s="109">
        <v>781300</v>
      </c>
      <c r="D2114" s="42">
        <v>1</v>
      </c>
      <c r="E2114" s="43"/>
      <c r="F2114" s="44" t="s">
        <v>1257</v>
      </c>
      <c r="G2114" s="45" t="s">
        <v>37</v>
      </c>
      <c r="H2114" s="51">
        <f t="shared" si="33"/>
        <v>0.80767676767676777</v>
      </c>
      <c r="I2114" s="47"/>
      <c r="J2114" s="48">
        <f>VLOOKUP(A2114,'[1]תקציב 2026'!$A$1:$M$65536,9,0)</f>
        <v>178960</v>
      </c>
      <c r="K2114" s="49">
        <f>110000*0.9</f>
        <v>99000</v>
      </c>
      <c r="L2114" s="50">
        <f>VLOOKUP(A2114,[2]data1761205830331!$A$1:$J$65536,10,0)</f>
        <v>121325.83</v>
      </c>
    </row>
    <row r="2115" spans="1:12" ht="15.6" outlineLevel="1">
      <c r="A2115" s="11">
        <v>1781300550</v>
      </c>
      <c r="B2115" s="40">
        <v>550</v>
      </c>
      <c r="C2115" s="109">
        <v>781300</v>
      </c>
      <c r="D2115" s="42">
        <v>1</v>
      </c>
      <c r="E2115" s="43"/>
      <c r="F2115" s="44" t="s">
        <v>850</v>
      </c>
      <c r="G2115" s="45" t="s">
        <v>37</v>
      </c>
      <c r="H2115" s="51">
        <f t="shared" si="33"/>
        <v>0</v>
      </c>
      <c r="I2115" s="47"/>
      <c r="J2115" s="48">
        <f>VLOOKUP(A2115,'[1]תקציב 2026'!$A$1:$M$65536,9,0)</f>
        <v>4230</v>
      </c>
      <c r="K2115" s="49">
        <f>VLOOKUP(A2115,[3]גיליון1!$A$1:$C$7693,3,0)*0.9</f>
        <v>4230</v>
      </c>
      <c r="L2115" s="50">
        <f>VLOOKUP(A2115,[2]data1761205830331!$A$1:$J$65536,10,0)</f>
        <v>1853</v>
      </c>
    </row>
    <row r="2116" spans="1:12" ht="15.6" outlineLevel="1">
      <c r="A2116" s="11">
        <v>1781300561</v>
      </c>
      <c r="B2116" s="40">
        <v>561</v>
      </c>
      <c r="C2116" s="109">
        <v>781300</v>
      </c>
      <c r="D2116" s="42">
        <v>1</v>
      </c>
      <c r="E2116" s="43"/>
      <c r="F2116" s="44" t="s">
        <v>74</v>
      </c>
      <c r="G2116" s="45" t="s">
        <v>37</v>
      </c>
      <c r="H2116" s="51">
        <f t="shared" si="33"/>
        <v>-1</v>
      </c>
      <c r="I2116" s="47"/>
      <c r="J2116" s="48">
        <f>VLOOKUP(A2116,'[1]תקציב 2026'!$A$1:$M$65536,9,0)</f>
        <v>0</v>
      </c>
      <c r="K2116" s="49">
        <f>VLOOKUP(A2116,[3]גיליון1!$A$1:$C$7693,3,0)*0.9</f>
        <v>8550</v>
      </c>
      <c r="L2116" s="50">
        <f>VLOOKUP(A2116,[2]data1761205830331!$A$1:$J$65536,10,0)</f>
        <v>1053</v>
      </c>
    </row>
    <row r="2117" spans="1:12" ht="15.6" outlineLevel="1">
      <c r="A2117" s="11">
        <v>1781300562</v>
      </c>
      <c r="B2117" s="40">
        <v>562</v>
      </c>
      <c r="C2117" s="109">
        <v>781300</v>
      </c>
      <c r="D2117" s="42">
        <v>1</v>
      </c>
      <c r="E2117" s="43"/>
      <c r="F2117" s="44" t="s">
        <v>748</v>
      </c>
      <c r="G2117" s="45" t="s">
        <v>37</v>
      </c>
      <c r="H2117" s="51">
        <f t="shared" si="33"/>
        <v>1.4242424242424243</v>
      </c>
      <c r="I2117" s="47"/>
      <c r="J2117" s="48">
        <f>VLOOKUP(A2117,'[1]תקציב 2026'!$A$1:$M$65536,9,0)</f>
        <v>14400</v>
      </c>
      <c r="K2117" s="49">
        <f>VLOOKUP(A2117,[3]גיליון1!$A$1:$C$7693,3,0)*0.9</f>
        <v>5940</v>
      </c>
      <c r="L2117" s="50">
        <f>VLOOKUP(A2117,[2]data1761205830331!$A$1:$J$65536,10,0)</f>
        <v>6599.09</v>
      </c>
    </row>
    <row r="2118" spans="1:12" ht="15.6" outlineLevel="1">
      <c r="A2118" s="11">
        <v>1781300572</v>
      </c>
      <c r="B2118" s="40">
        <v>572</v>
      </c>
      <c r="C2118" s="109">
        <v>781300</v>
      </c>
      <c r="D2118" s="42">
        <v>1</v>
      </c>
      <c r="E2118" s="43"/>
      <c r="F2118" s="44" t="str">
        <f>[4]גיליון1!$F$3683</f>
        <v>דמי מנוי לעמדת טעינה</v>
      </c>
      <c r="G2118" s="45" t="s">
        <v>29</v>
      </c>
      <c r="H2118" s="51">
        <v>0</v>
      </c>
      <c r="I2118" s="47"/>
      <c r="J2118" s="48">
        <f>VLOOKUP(A2118,'[1]תקציב 2026'!$A$1:$M$65536,9,0)</f>
        <v>0</v>
      </c>
      <c r="K2118" s="49">
        <v>0</v>
      </c>
      <c r="L2118" s="50">
        <f>VLOOKUP(A2118,[2]data1761205830331!$A$1:$J$65536,10,0)</f>
        <v>315</v>
      </c>
    </row>
    <row r="2119" spans="1:12" ht="15.6" outlineLevel="1">
      <c r="A2119" s="11">
        <v>1781300715</v>
      </c>
      <c r="B2119" s="40">
        <v>715</v>
      </c>
      <c r="C2119" s="109">
        <v>781300</v>
      </c>
      <c r="D2119" s="42">
        <v>1</v>
      </c>
      <c r="E2119" s="43"/>
      <c r="F2119" s="44" t="s">
        <v>1258</v>
      </c>
      <c r="G2119" s="45" t="s">
        <v>29</v>
      </c>
      <c r="H2119" s="51">
        <f t="shared" si="33"/>
        <v>1.75</v>
      </c>
      <c r="I2119" s="47"/>
      <c r="J2119" s="48">
        <f>VLOOKUP(A2119,'[1]תקציב 2026'!$A$1:$M$65536,9,0)</f>
        <v>55000</v>
      </c>
      <c r="K2119" s="49">
        <f>VLOOKUP(A2119,[3]גיליון1!$A$1:$C$7693,3,0)</f>
        <v>20000</v>
      </c>
      <c r="L2119" s="50">
        <f>VLOOKUP(A2119,[2]data1761205830331!$A$1:$J$65536,10,0)</f>
        <v>7002</v>
      </c>
    </row>
    <row r="2120" spans="1:12" ht="15.6" outlineLevel="1">
      <c r="A2120" s="11">
        <v>1781300722</v>
      </c>
      <c r="B2120" s="40">
        <v>722</v>
      </c>
      <c r="C2120" s="109">
        <v>781300</v>
      </c>
      <c r="D2120" s="42">
        <v>1</v>
      </c>
      <c r="E2120" s="43"/>
      <c r="F2120" s="44" t="s">
        <v>51</v>
      </c>
      <c r="G2120" s="45" t="s">
        <v>37</v>
      </c>
      <c r="H2120" s="51">
        <f t="shared" si="33"/>
        <v>0.80952380952380953</v>
      </c>
      <c r="I2120" s="47"/>
      <c r="J2120" s="48">
        <f>VLOOKUP(A2120,'[1]תקציב 2026'!$A$1:$M$65536,9,0)</f>
        <v>2280</v>
      </c>
      <c r="K2120" s="49">
        <f>VLOOKUP(A2120,[3]גיליון1!$A$1:$C$7693,3,0)*0.9</f>
        <v>1260</v>
      </c>
      <c r="L2120" s="50">
        <f>VLOOKUP(A2120,[2]data1761205830331!$A$1:$J$65536,10,0)</f>
        <v>1339</v>
      </c>
    </row>
    <row r="2121" spans="1:12" ht="15.6" outlineLevel="1">
      <c r="A2121" s="11">
        <v>1781300735</v>
      </c>
      <c r="B2121" s="40">
        <v>735</v>
      </c>
      <c r="C2121" s="109">
        <v>781300</v>
      </c>
      <c r="D2121" s="42">
        <v>1</v>
      </c>
      <c r="E2121" s="43"/>
      <c r="F2121" s="44" t="s">
        <v>739</v>
      </c>
      <c r="G2121" s="45" t="s">
        <v>22</v>
      </c>
      <c r="H2121" s="51">
        <f t="shared" si="33"/>
        <v>0.41507936507936516</v>
      </c>
      <c r="I2121" s="47"/>
      <c r="J2121" s="48">
        <v>267450</v>
      </c>
      <c r="K2121" s="49">
        <f>210000*0.9</f>
        <v>189000</v>
      </c>
      <c r="L2121" s="50">
        <f>VLOOKUP(A2121,[2]data1761205830331!$A$1:$J$65536,10,0)</f>
        <v>183302.45</v>
      </c>
    </row>
    <row r="2122" spans="1:12" ht="15.6" outlineLevel="1">
      <c r="A2122" s="11">
        <v>1781300736</v>
      </c>
      <c r="B2122" s="40">
        <v>736</v>
      </c>
      <c r="C2122" s="109">
        <v>781300</v>
      </c>
      <c r="D2122" s="42">
        <v>1</v>
      </c>
      <c r="E2122" s="43"/>
      <c r="F2122" s="44" t="s">
        <v>1259</v>
      </c>
      <c r="G2122" s="45" t="s">
        <v>29</v>
      </c>
      <c r="H2122" s="51">
        <f t="shared" si="33"/>
        <v>1.75</v>
      </c>
      <c r="I2122" s="47"/>
      <c r="J2122" s="48">
        <f>VLOOKUP(A2122,'[1]תקציב 2026'!$A$1:$M$65536,9,0)</f>
        <v>558250</v>
      </c>
      <c r="K2122" s="49">
        <v>203000</v>
      </c>
      <c r="L2122" s="50">
        <f>VLOOKUP(A2122,[2]data1761205830331!$A$1:$J$65536,10,0)</f>
        <v>146501.42000000001</v>
      </c>
    </row>
    <row r="2123" spans="1:12" ht="15.6" outlineLevel="1">
      <c r="A2123" s="11">
        <v>1781300737</v>
      </c>
      <c r="B2123" s="40">
        <v>737</v>
      </c>
      <c r="C2123" s="109">
        <v>781300</v>
      </c>
      <c r="D2123" s="42">
        <v>1</v>
      </c>
      <c r="E2123" s="43"/>
      <c r="F2123" s="44" t="s">
        <v>1093</v>
      </c>
      <c r="G2123" s="45" t="s">
        <v>37</v>
      </c>
      <c r="H2123" s="51">
        <f t="shared" si="33"/>
        <v>0</v>
      </c>
      <c r="I2123" s="47"/>
      <c r="J2123" s="48">
        <f>VLOOKUP(A2123,'[1]תקציב 2026'!$A$1:$M$65536,9,0)</f>
        <v>2700</v>
      </c>
      <c r="K2123" s="49">
        <f>3000*0.9</f>
        <v>2700</v>
      </c>
      <c r="L2123" s="50">
        <f>VLOOKUP(A2123,[2]data1761205830331!$A$1:$J$65536,10,0)</f>
        <v>0</v>
      </c>
    </row>
    <row r="2124" spans="1:12" ht="15.6" outlineLevel="1">
      <c r="A2124" s="11">
        <v>1781300742</v>
      </c>
      <c r="B2124" s="40">
        <v>742</v>
      </c>
      <c r="C2124" s="109">
        <v>781300</v>
      </c>
      <c r="D2124" s="42">
        <v>1</v>
      </c>
      <c r="E2124" s="43"/>
      <c r="F2124" s="44" t="s">
        <v>52</v>
      </c>
      <c r="G2124" s="45" t="s">
        <v>37</v>
      </c>
      <c r="H2124" s="51">
        <f t="shared" si="33"/>
        <v>0.80740740740740735</v>
      </c>
      <c r="I2124" s="47"/>
      <c r="J2124" s="48">
        <f>VLOOKUP(A2124,'[1]תקציב 2026'!$A$1:$M$65536,9,0)</f>
        <v>48800</v>
      </c>
      <c r="K2124" s="49">
        <f>30000*0.9</f>
        <v>27000</v>
      </c>
      <c r="L2124" s="50">
        <f>VLOOKUP(A2124,[2]data1761205830331!$A$1:$J$65536,10,0)</f>
        <v>33122.160000000003</v>
      </c>
    </row>
    <row r="2125" spans="1:12" ht="15.6" outlineLevel="1">
      <c r="A2125" s="11">
        <v>1781300744</v>
      </c>
      <c r="B2125" s="40">
        <v>744</v>
      </c>
      <c r="C2125" s="109">
        <v>781300</v>
      </c>
      <c r="D2125" s="42">
        <v>1</v>
      </c>
      <c r="E2125" s="43"/>
      <c r="F2125" s="44" t="s">
        <v>1260</v>
      </c>
      <c r="G2125" s="45" t="s">
        <v>37</v>
      </c>
      <c r="H2125" s="51">
        <f t="shared" si="33"/>
        <v>0.80793650793650795</v>
      </c>
      <c r="I2125" s="47"/>
      <c r="J2125" s="48">
        <f>VLOOKUP(A2125,'[1]תקציב 2026'!$A$1:$M$65536,9,0)</f>
        <v>113900</v>
      </c>
      <c r="K2125" s="49">
        <f>VLOOKUP(A2125,[3]גיליון1!$A$1:$C$7693,3,0)*0.9</f>
        <v>63000</v>
      </c>
      <c r="L2125" s="50">
        <f>VLOOKUP(A2125,[2]data1761205830331!$A$1:$J$65536,10,0)</f>
        <v>64599.65</v>
      </c>
    </row>
    <row r="2126" spans="1:12" ht="15.6" outlineLevel="1">
      <c r="A2126" s="11">
        <v>1781300751</v>
      </c>
      <c r="B2126" s="40">
        <v>751</v>
      </c>
      <c r="C2126" s="109">
        <v>781300</v>
      </c>
      <c r="D2126" s="42">
        <v>1</v>
      </c>
      <c r="E2126" s="43"/>
      <c r="F2126" s="44" t="s">
        <v>919</v>
      </c>
      <c r="G2126" s="45" t="s">
        <v>29</v>
      </c>
      <c r="H2126" s="51">
        <f t="shared" si="33"/>
        <v>0</v>
      </c>
      <c r="I2126" s="47"/>
      <c r="J2126" s="48">
        <f>VLOOKUP(A2126,'[1]תקציב 2026'!$A$1:$M$65536,9,0)</f>
        <v>3000</v>
      </c>
      <c r="K2126" s="49">
        <f>VLOOKUP(A2126,[3]גיליון1!$A$1:$C$7693,3,0)</f>
        <v>3000</v>
      </c>
      <c r="L2126" s="50">
        <f>VLOOKUP(A2126,[2]data1761205830331!$A$1:$J$65536,10,0)</f>
        <v>1303.5</v>
      </c>
    </row>
    <row r="2127" spans="1:12" ht="15.6" outlineLevel="1">
      <c r="A2127" s="11">
        <v>1781300752</v>
      </c>
      <c r="B2127" s="40">
        <v>752</v>
      </c>
      <c r="C2127" s="109">
        <v>781300</v>
      </c>
      <c r="D2127" s="42">
        <v>1</v>
      </c>
      <c r="E2127" s="43"/>
      <c r="F2127" s="44" t="s">
        <v>54</v>
      </c>
      <c r="G2127" s="45" t="s">
        <v>29</v>
      </c>
      <c r="H2127" s="51">
        <f t="shared" si="33"/>
        <v>0</v>
      </c>
      <c r="I2127" s="47"/>
      <c r="J2127" s="48">
        <f>VLOOKUP(A2127,'[1]תקציב 2026'!$A$1:$M$65536,9,0)</f>
        <v>144000</v>
      </c>
      <c r="K2127" s="49">
        <f>VLOOKUP(A2127,[3]גיליון1!$A$1:$C$7693,3,0)</f>
        <v>144000</v>
      </c>
      <c r="L2127" s="50">
        <f>VLOOKUP(A2127,[2]data1761205830331!$A$1:$J$65536,10,0)</f>
        <v>142332.85999999999</v>
      </c>
    </row>
    <row r="2128" spans="1:12" ht="15.6" outlineLevel="1">
      <c r="A2128" s="11">
        <v>1781300780</v>
      </c>
      <c r="B2128" s="40">
        <v>780</v>
      </c>
      <c r="C2128" s="109">
        <v>781300</v>
      </c>
      <c r="D2128" s="42">
        <v>1</v>
      </c>
      <c r="E2128" s="43"/>
      <c r="F2128" s="44" t="s">
        <v>1261</v>
      </c>
      <c r="G2128" s="45" t="s">
        <v>37</v>
      </c>
      <c r="H2128" s="51">
        <v>0</v>
      </c>
      <c r="I2128" s="47"/>
      <c r="J2128" s="48">
        <f>VLOOKUP(A2128,'[1]תקציב 2026'!$A$1:$M$65536,9,0)</f>
        <v>0</v>
      </c>
      <c r="K2128" s="49">
        <f>VLOOKUP(A2128,[3]גיליון1!$A$1:$C$7693,3,0)</f>
        <v>0</v>
      </c>
      <c r="L2128" s="50">
        <f>VLOOKUP(A2128,[2]data1761205830331!$A$1:$J$65536,10,0)</f>
        <v>366.44</v>
      </c>
    </row>
    <row r="2129" spans="1:12" ht="15.6" outlineLevel="1">
      <c r="A2129" s="11">
        <v>1781300781</v>
      </c>
      <c r="B2129" s="40">
        <v>781</v>
      </c>
      <c r="C2129" s="109">
        <v>781300</v>
      </c>
      <c r="D2129" s="42">
        <v>1</v>
      </c>
      <c r="E2129" s="43"/>
      <c r="F2129" s="44" t="s">
        <v>1262</v>
      </c>
      <c r="G2129" s="45" t="s">
        <v>29</v>
      </c>
      <c r="H2129" s="51">
        <f t="shared" si="33"/>
        <v>0.81</v>
      </c>
      <c r="I2129" s="47"/>
      <c r="J2129" s="48">
        <f>VLOOKUP(A2129,'[1]תקציב 2026'!$A$1:$M$65536,9,0)</f>
        <v>18100</v>
      </c>
      <c r="K2129" s="49">
        <v>10000</v>
      </c>
      <c r="L2129" s="50">
        <f>VLOOKUP(A2129,[2]data1761205830331!$A$1:$J$65536,10,0)</f>
        <v>3924.6</v>
      </c>
    </row>
    <row r="2130" spans="1:12" ht="15.6" outlineLevel="1">
      <c r="A2130" s="11">
        <v>1781300782</v>
      </c>
      <c r="B2130" s="40">
        <v>782</v>
      </c>
      <c r="C2130" s="109">
        <v>781300</v>
      </c>
      <c r="D2130" s="42">
        <v>1</v>
      </c>
      <c r="E2130" s="43"/>
      <c r="F2130" s="230" t="s">
        <v>1238</v>
      </c>
      <c r="G2130" s="45" t="s">
        <v>37</v>
      </c>
      <c r="H2130" s="51">
        <f t="shared" si="33"/>
        <v>0.80701754385964919</v>
      </c>
      <c r="I2130" s="47"/>
      <c r="J2130" s="48">
        <f>VLOOKUP(A2130,'[1]תקציב 2026'!$A$1:$M$65536,9,0)</f>
        <v>30900</v>
      </c>
      <c r="K2130" s="49">
        <f>VLOOKUP(A2130,[3]גיליון1!$A$1:$C$7693,3,0)*0.9</f>
        <v>17100</v>
      </c>
      <c r="L2130" s="50">
        <f>VLOOKUP(A2130,[2]data1761205830331!$A$1:$J$65536,10,0)</f>
        <v>19000</v>
      </c>
    </row>
    <row r="2131" spans="1:12" ht="15.6" outlineLevel="1">
      <c r="A2131" s="11">
        <f>[4]גיליון1!$A$3698</f>
        <v>1781300783</v>
      </c>
      <c r="B2131" s="40">
        <f>[4]גיליון1!$B$3698</f>
        <v>783</v>
      </c>
      <c r="C2131" s="109">
        <f>[4]גיליון1!$C$3692</f>
        <v>781300</v>
      </c>
      <c r="D2131" s="42">
        <f>[4]גיליון1!$D$3692</f>
        <v>1</v>
      </c>
      <c r="E2131" s="43"/>
      <c r="F2131" s="230" t="str">
        <f>[4]גיליון1!$F$3698</f>
        <v>סיירת שיטור שכונתי</v>
      </c>
      <c r="G2131" s="45" t="str">
        <f>[4]גיליון1!$H$3698</f>
        <v>גמיש</v>
      </c>
      <c r="H2131" s="51">
        <f t="shared" si="33"/>
        <v>-1</v>
      </c>
      <c r="I2131" s="47"/>
      <c r="J2131" s="48">
        <f>VLOOKUP(A2131,'[1]תקציב 2026'!$A$1:$M$65536,9,0)</f>
        <v>0</v>
      </c>
      <c r="K2131" s="49">
        <v>5700000</v>
      </c>
      <c r="L2131" s="50">
        <f>VLOOKUP(A2131,[2]data1761205830331!$A$1:$J$65536,10,0)</f>
        <v>0</v>
      </c>
    </row>
    <row r="2132" spans="1:12" ht="15.6" outlineLevel="1">
      <c r="A2132" s="11">
        <v>1781300789</v>
      </c>
      <c r="B2132" s="40">
        <v>789</v>
      </c>
      <c r="C2132" s="109">
        <v>781300</v>
      </c>
      <c r="D2132" s="42">
        <v>1</v>
      </c>
      <c r="E2132" s="43"/>
      <c r="F2132" s="44" t="s">
        <v>1239</v>
      </c>
      <c r="G2132" s="45" t="s">
        <v>37</v>
      </c>
      <c r="H2132" s="51">
        <f t="shared" si="33"/>
        <v>0</v>
      </c>
      <c r="I2132" s="47"/>
      <c r="J2132" s="48">
        <f>VLOOKUP(A2132,'[1]תקציב 2026'!$A$1:$M$65536,9,0)</f>
        <v>1260</v>
      </c>
      <c r="K2132" s="49">
        <f>VLOOKUP(A2132,[3]גיליון1!$A$1:$C$7693,3,0)*0.9</f>
        <v>1260</v>
      </c>
      <c r="L2132" s="50">
        <f>VLOOKUP(A2132,[2]data1761205830331!$A$1:$J$65536,10,0)</f>
        <v>0</v>
      </c>
    </row>
    <row r="2133" spans="1:12" ht="15.6" outlineLevel="1">
      <c r="A2133" s="11">
        <v>1781300910</v>
      </c>
      <c r="B2133" s="40">
        <v>910</v>
      </c>
      <c r="C2133" s="109">
        <v>781300</v>
      </c>
      <c r="D2133" s="42">
        <v>1</v>
      </c>
      <c r="E2133" s="43"/>
      <c r="F2133" s="44" t="s">
        <v>1263</v>
      </c>
      <c r="G2133" s="45" t="s">
        <v>29</v>
      </c>
      <c r="H2133" s="51">
        <f t="shared" si="33"/>
        <v>0</v>
      </c>
      <c r="I2133" s="47"/>
      <c r="J2133" s="48">
        <f>VLOOKUP(A2133,'[1]תקציב 2026'!$A$1:$M$65536,9,0)</f>
        <v>78000</v>
      </c>
      <c r="K2133" s="49">
        <v>78000</v>
      </c>
      <c r="L2133" s="50">
        <f>VLOOKUP(A2133,[2]data1761205830331!$A$1:$J$65536,10,0)</f>
        <v>30000</v>
      </c>
    </row>
    <row r="2134" spans="1:12" ht="15.6" outlineLevel="1">
      <c r="A2134" s="11">
        <v>1781300911</v>
      </c>
      <c r="B2134" s="40">
        <v>911</v>
      </c>
      <c r="C2134" s="109">
        <v>781300</v>
      </c>
      <c r="D2134" s="42">
        <v>1</v>
      </c>
      <c r="E2134" s="43"/>
      <c r="F2134" s="44" t="s">
        <v>1264</v>
      </c>
      <c r="G2134" s="45" t="s">
        <v>29</v>
      </c>
      <c r="H2134" s="51">
        <v>0</v>
      </c>
      <c r="I2134" s="47"/>
      <c r="J2134" s="48">
        <f>VLOOKUP(A2134,'[1]תקציב 2026'!$A$1:$M$65536,9,0)</f>
        <v>0</v>
      </c>
      <c r="K2134" s="49">
        <v>0</v>
      </c>
      <c r="L2134" s="50">
        <f>VLOOKUP(A2134,[2]data1761205830331!$A$1:$J$65536,10,0)</f>
        <v>72600</v>
      </c>
    </row>
    <row r="2135" spans="1:12" ht="15.6" outlineLevel="1">
      <c r="A2135" s="11">
        <v>1781300912</v>
      </c>
      <c r="B2135" s="40">
        <v>912</v>
      </c>
      <c r="C2135" s="109">
        <v>781300</v>
      </c>
      <c r="D2135" s="42">
        <v>1</v>
      </c>
      <c r="E2135" s="43"/>
      <c r="F2135" s="44" t="s">
        <v>1265</v>
      </c>
      <c r="G2135" s="45" t="s">
        <v>29</v>
      </c>
      <c r="H2135" s="51">
        <f t="shared" si="33"/>
        <v>0</v>
      </c>
      <c r="I2135" s="47"/>
      <c r="J2135" s="48">
        <f>VLOOKUP(A2135,'[1]תקציב 2026'!$A$1:$M$65536,9,0)</f>
        <v>150000</v>
      </c>
      <c r="K2135" s="49">
        <v>150000</v>
      </c>
      <c r="L2135" s="50">
        <f>VLOOKUP(A2135,[2]data1761205830331!$A$1:$J$65536,10,0)</f>
        <v>8000</v>
      </c>
    </row>
    <row r="2136" spans="1:12" ht="15.6" outlineLevel="1">
      <c r="A2136" s="11">
        <v>1781300913</v>
      </c>
      <c r="B2136" s="40">
        <v>913</v>
      </c>
      <c r="C2136" s="109">
        <v>781300</v>
      </c>
      <c r="D2136" s="42">
        <v>1</v>
      </c>
      <c r="E2136" s="43"/>
      <c r="F2136" s="44" t="s">
        <v>1266</v>
      </c>
      <c r="G2136" s="45" t="s">
        <v>29</v>
      </c>
      <c r="H2136" s="51">
        <f t="shared" si="33"/>
        <v>0</v>
      </c>
      <c r="I2136" s="47"/>
      <c r="J2136" s="48">
        <f>VLOOKUP(A2136,'[1]תקציב 2026'!$A$1:$M$65536,9,0)</f>
        <v>19000</v>
      </c>
      <c r="K2136" s="49">
        <v>19000</v>
      </c>
      <c r="L2136" s="50">
        <f>VLOOKUP(A2136,[2]data1761205830331!$A$1:$J$65536,10,0)</f>
        <v>10000</v>
      </c>
    </row>
    <row r="2137" spans="1:12" ht="15.6" outlineLevel="1">
      <c r="A2137" s="11">
        <v>1781300914</v>
      </c>
      <c r="B2137" s="40">
        <v>914</v>
      </c>
      <c r="C2137" s="109">
        <v>781300</v>
      </c>
      <c r="D2137" s="42">
        <v>1</v>
      </c>
      <c r="E2137" s="43"/>
      <c r="F2137" s="44" t="s">
        <v>1267</v>
      </c>
      <c r="G2137" s="45" t="s">
        <v>29</v>
      </c>
      <c r="H2137" s="51">
        <f t="shared" si="33"/>
        <v>0</v>
      </c>
      <c r="I2137" s="47"/>
      <c r="J2137" s="48">
        <f>VLOOKUP(A2137,'[1]תקציב 2026'!$A$1:$M$65536,9,0)</f>
        <v>150000</v>
      </c>
      <c r="K2137" s="49">
        <v>150000</v>
      </c>
      <c r="L2137" s="50">
        <f>VLOOKUP(A2137,[2]data1761205830331!$A$1:$J$65536,10,0)</f>
        <v>300000</v>
      </c>
    </row>
    <row r="2138" spans="1:12" ht="15.6" outlineLevel="1">
      <c r="A2138" s="11">
        <v>1781300920</v>
      </c>
      <c r="B2138" s="40">
        <v>920</v>
      </c>
      <c r="C2138" s="109">
        <v>781300</v>
      </c>
      <c r="D2138" s="42">
        <v>1</v>
      </c>
      <c r="E2138" s="43"/>
      <c r="F2138" s="44" t="s">
        <v>1268</v>
      </c>
      <c r="G2138" s="45" t="s">
        <v>37</v>
      </c>
      <c r="H2138" s="51">
        <v>0</v>
      </c>
      <c r="I2138" s="47"/>
      <c r="J2138" s="48">
        <f>VLOOKUP(A2138,'[1]תקציב 2026'!$A$1:$M$65536,9,0)</f>
        <v>0</v>
      </c>
      <c r="K2138" s="49">
        <f>VLOOKUP(A2138,[3]גיליון1!$A$1:$C$7693,3,0)</f>
        <v>0</v>
      </c>
      <c r="L2138" s="50">
        <f>VLOOKUP(A2138,[2]data1761205830331!$A$1:$J$65536,10,0)</f>
        <v>36823.42</v>
      </c>
    </row>
    <row r="2139" spans="1:12" ht="16.2" outlineLevel="1" thickBot="1">
      <c r="A2139" s="11">
        <v>1781300932</v>
      </c>
      <c r="B2139" s="40">
        <v>932</v>
      </c>
      <c r="C2139" s="109">
        <v>781300</v>
      </c>
      <c r="D2139" s="42">
        <v>1</v>
      </c>
      <c r="E2139" s="43"/>
      <c r="F2139" s="44" t="s">
        <v>1269</v>
      </c>
      <c r="G2139" s="45" t="s">
        <v>29</v>
      </c>
      <c r="H2139" s="51">
        <f t="shared" si="33"/>
        <v>0</v>
      </c>
      <c r="I2139" s="47"/>
      <c r="J2139" s="48">
        <f>VLOOKUP(A2139,'[1]תקציב 2026'!$A$1:$M$65536,9,0)</f>
        <v>5000</v>
      </c>
      <c r="K2139" s="49">
        <f>VLOOKUP(A2139,[3]גיליון1!$A$1:$C$7693,3,0)</f>
        <v>5000</v>
      </c>
      <c r="L2139" s="50">
        <f>VLOOKUP(A2139,[2]data1761205830331!$A$1:$J$65536,10,0)</f>
        <v>2308.91</v>
      </c>
    </row>
    <row r="2140" spans="1:12" ht="16.2" thickBot="1">
      <c r="A2140" s="11" t="e">
        <v>#VALUE!</v>
      </c>
      <c r="B2140" s="53" t="s">
        <v>1270</v>
      </c>
      <c r="C2140" s="223"/>
      <c r="D2140" s="55"/>
      <c r="E2140" s="56"/>
      <c r="F2140" s="116" t="s">
        <v>256</v>
      </c>
      <c r="G2140" s="58"/>
      <c r="H2140" s="166">
        <f>J2140/K2140-1</f>
        <v>7.0197579940413091E-2</v>
      </c>
      <c r="I2140" s="72"/>
      <c r="J2140" s="74">
        <f>SUBTOTAL(9,J2093:J2139)</f>
        <v>15797850</v>
      </c>
      <c r="K2140" s="92">
        <f>SUBTOTAL(9,K2093:K2139)</f>
        <v>14761620</v>
      </c>
      <c r="L2140" s="75">
        <f>SUBTOTAL(9,L2093:L2139)</f>
        <v>8214723.8599999994</v>
      </c>
    </row>
    <row r="2141" spans="1:12" ht="15.6" outlineLevel="1">
      <c r="A2141" s="11">
        <v>17820000</v>
      </c>
      <c r="B2141" s="40">
        <v>0</v>
      </c>
      <c r="C2141" s="109">
        <v>782000</v>
      </c>
      <c r="D2141" s="42">
        <v>1</v>
      </c>
      <c r="E2141" s="43"/>
      <c r="F2141" s="44" t="s">
        <v>259</v>
      </c>
      <c r="G2141" s="45" t="s">
        <v>15</v>
      </c>
      <c r="H2141" s="51"/>
      <c r="I2141" s="47"/>
      <c r="J2141" s="48"/>
      <c r="K2141" s="49"/>
      <c r="L2141" s="50"/>
    </row>
    <row r="2142" spans="1:12" ht="15.6" outlineLevel="1">
      <c r="A2142" s="11">
        <v>1782000110</v>
      </c>
      <c r="B2142" s="40">
        <v>110</v>
      </c>
      <c r="C2142" s="109">
        <v>782000</v>
      </c>
      <c r="D2142" s="42">
        <v>1</v>
      </c>
      <c r="E2142" s="43"/>
      <c r="F2142" s="44" t="s">
        <v>21</v>
      </c>
      <c r="G2142" s="45" t="s">
        <v>22</v>
      </c>
      <c r="H2142" s="51">
        <v>0</v>
      </c>
      <c r="I2142" s="47"/>
      <c r="J2142" s="48">
        <f>VLOOKUP(A2142,'[1]תקציב 2026'!$A$1:$M$65536,9,0)</f>
        <v>0</v>
      </c>
      <c r="K2142" s="49">
        <f>VLOOKUP(A2142,[3]גיליון1!$A$1:$C$7693,3,0)</f>
        <v>0</v>
      </c>
      <c r="L2142" s="50">
        <f>VLOOKUP(A2142,[2]data1761205830331!$A$1:$J$65536,10,0)</f>
        <v>461758.71999999997</v>
      </c>
    </row>
    <row r="2143" spans="1:12" ht="15.6" outlineLevel="1">
      <c r="A2143" s="11">
        <v>1782000119</v>
      </c>
      <c r="B2143" s="40">
        <v>119</v>
      </c>
      <c r="C2143" s="109">
        <v>782000</v>
      </c>
      <c r="D2143" s="42">
        <v>1</v>
      </c>
      <c r="E2143" s="43"/>
      <c r="F2143" s="44" t="s">
        <v>23</v>
      </c>
      <c r="G2143" s="45" t="s">
        <v>22</v>
      </c>
      <c r="H2143" s="51">
        <v>0</v>
      </c>
      <c r="I2143" s="47"/>
      <c r="J2143" s="48">
        <f>VLOOKUP(A2143,'[1]תקציב 2026'!$A$1:$M$65536,9,0)</f>
        <v>0</v>
      </c>
      <c r="K2143" s="49">
        <f>VLOOKUP(A2143,[3]גיליון1!$A$1:$C$7693,3,0)</f>
        <v>0</v>
      </c>
      <c r="L2143" s="50">
        <f>VLOOKUP(A2143,[2]data1761205830331!$A$1:$J$65536,10,0)</f>
        <v>597313.99</v>
      </c>
    </row>
    <row r="2144" spans="1:12" ht="15.6" outlineLevel="1">
      <c r="A2144" s="11">
        <v>1782000122</v>
      </c>
      <c r="B2144" s="40">
        <v>122</v>
      </c>
      <c r="C2144" s="109">
        <v>782000</v>
      </c>
      <c r="D2144" s="42">
        <v>1</v>
      </c>
      <c r="E2144" s="43"/>
      <c r="F2144" s="44" t="s">
        <v>24</v>
      </c>
      <c r="G2144" s="45" t="s">
        <v>22</v>
      </c>
      <c r="H2144" s="51">
        <v>0</v>
      </c>
      <c r="I2144" s="47"/>
      <c r="J2144" s="48">
        <f>VLOOKUP(A2144,'[1]תקציב 2026'!$A$1:$M$65536,9,0)</f>
        <v>0</v>
      </c>
      <c r="K2144" s="49">
        <f>VLOOKUP(A2144,[3]גיליון1!$A$1:$C$7693,3,0)</f>
        <v>0</v>
      </c>
      <c r="L2144" s="50">
        <f>VLOOKUP(A2144,[2]data1761205830331!$A$1:$J$65536,10,0)</f>
        <v>12221.63</v>
      </c>
    </row>
    <row r="2145" spans="1:12" ht="15.6" outlineLevel="1">
      <c r="A2145" s="11">
        <v>1782000126</v>
      </c>
      <c r="B2145" s="40">
        <v>126</v>
      </c>
      <c r="C2145" s="109">
        <v>782000</v>
      </c>
      <c r="D2145" s="42">
        <v>1</v>
      </c>
      <c r="E2145" s="43"/>
      <c r="F2145" s="44" t="s">
        <v>25</v>
      </c>
      <c r="G2145" s="45" t="s">
        <v>22</v>
      </c>
      <c r="H2145" s="51">
        <v>0</v>
      </c>
      <c r="I2145" s="47"/>
      <c r="J2145" s="48">
        <f>VLOOKUP(A2145,'[1]תקציב 2026'!$A$1:$M$65536,9,0)</f>
        <v>0</v>
      </c>
      <c r="K2145" s="49">
        <f>VLOOKUP(A2145,[3]גיליון1!$A$1:$C$7693,3,0)</f>
        <v>0</v>
      </c>
      <c r="L2145" s="50">
        <f>VLOOKUP(A2145,[2]data1761205830331!$A$1:$J$65536,10,0)</f>
        <v>34687.879999999997</v>
      </c>
    </row>
    <row r="2146" spans="1:12" ht="15.6" outlineLevel="1">
      <c r="A2146" s="11">
        <v>1782000130</v>
      </c>
      <c r="B2146" s="40">
        <v>130</v>
      </c>
      <c r="C2146" s="109">
        <v>782000</v>
      </c>
      <c r="D2146" s="42">
        <v>1</v>
      </c>
      <c r="E2146" s="43"/>
      <c r="F2146" s="44" t="s">
        <v>26</v>
      </c>
      <c r="G2146" s="45" t="s">
        <v>22</v>
      </c>
      <c r="H2146" s="51">
        <v>0</v>
      </c>
      <c r="I2146" s="47"/>
      <c r="J2146" s="48">
        <f>VLOOKUP(A2146,'[1]תקציב 2026'!$A$1:$M$65536,9,0)</f>
        <v>0</v>
      </c>
      <c r="K2146" s="49">
        <f>VLOOKUP(A2146,[3]גיליון1!$A$1:$C$7693,3,0)</f>
        <v>0</v>
      </c>
      <c r="L2146" s="50">
        <f>VLOOKUP(A2146,[2]data1761205830331!$A$1:$J$65536,10,0)</f>
        <v>79400.149999999994</v>
      </c>
    </row>
    <row r="2147" spans="1:12" ht="15.6" outlineLevel="1">
      <c r="A2147" s="11">
        <v>1782000140</v>
      </c>
      <c r="B2147" s="40">
        <v>140</v>
      </c>
      <c r="C2147" s="109">
        <v>782000</v>
      </c>
      <c r="D2147" s="42">
        <v>1</v>
      </c>
      <c r="E2147" s="43"/>
      <c r="F2147" s="44" t="s">
        <v>27</v>
      </c>
      <c r="G2147" s="45" t="s">
        <v>22</v>
      </c>
      <c r="H2147" s="51">
        <v>0</v>
      </c>
      <c r="I2147" s="47"/>
      <c r="J2147" s="48">
        <f>VLOOKUP(A2147,'[1]תקציב 2026'!$A$1:$M$65536,9,0)</f>
        <v>0</v>
      </c>
      <c r="K2147" s="49">
        <f>VLOOKUP(A2147,[3]גיליון1!$A$1:$C$7693,3,0)</f>
        <v>0</v>
      </c>
      <c r="L2147" s="50">
        <f>VLOOKUP(A2147,[2]data1761205830331!$A$1:$J$65536,10,0)</f>
        <v>88357.47</v>
      </c>
    </row>
    <row r="2148" spans="1:12" ht="15.6" outlineLevel="1">
      <c r="A2148" s="11">
        <v>1782000253</v>
      </c>
      <c r="B2148" s="40">
        <v>253</v>
      </c>
      <c r="C2148" s="109">
        <v>782000</v>
      </c>
      <c r="D2148" s="42">
        <v>1</v>
      </c>
      <c r="E2148" s="43"/>
      <c r="F2148" s="44" t="s">
        <v>738</v>
      </c>
      <c r="G2148" s="45" t="s">
        <v>22</v>
      </c>
      <c r="H2148" s="51">
        <v>0</v>
      </c>
      <c r="I2148" s="47"/>
      <c r="J2148" s="48">
        <f>VLOOKUP(A2148,'[1]תקציב 2026'!$A$1:$M$65536,9,0)</f>
        <v>0</v>
      </c>
      <c r="K2148" s="49">
        <f>VLOOKUP(A2148,[3]גיליון1!$A$1:$C$7693,3,0)</f>
        <v>0</v>
      </c>
      <c r="L2148" s="50">
        <f>VLOOKUP(A2148,[2]data1761205830331!$A$1:$J$65536,10,0)</f>
        <v>27317.97</v>
      </c>
    </row>
    <row r="2149" spans="1:12" ht="15.6" outlineLevel="1">
      <c r="A2149" s="11">
        <v>1782000410</v>
      </c>
      <c r="B2149" s="40">
        <v>410</v>
      </c>
      <c r="C2149" s="109">
        <v>782000</v>
      </c>
      <c r="D2149" s="42">
        <v>1</v>
      </c>
      <c r="E2149" s="43"/>
      <c r="F2149" s="44" t="s">
        <v>1271</v>
      </c>
      <c r="G2149" s="45" t="s">
        <v>29</v>
      </c>
      <c r="H2149" s="51">
        <v>0</v>
      </c>
      <c r="I2149" s="47"/>
      <c r="J2149" s="48">
        <f>VLOOKUP(A2149,'[1]תקציב 2026'!$A$1:$M$65536,9,0)</f>
        <v>0</v>
      </c>
      <c r="K2149" s="49">
        <f>VLOOKUP(A2149,[3]גיליון1!$A$1:$C$7693,3,0)</f>
        <v>0</v>
      </c>
      <c r="L2149" s="50">
        <f>VLOOKUP(A2149,[2]data1761205830331!$A$1:$J$65536,10,0)</f>
        <v>66502.92</v>
      </c>
    </row>
    <row r="2150" spans="1:12" ht="15.6" outlineLevel="1">
      <c r="A2150" s="11">
        <v>1782000431</v>
      </c>
      <c r="B2150" s="40">
        <v>431</v>
      </c>
      <c r="C2150" s="109">
        <v>782000</v>
      </c>
      <c r="D2150" s="42">
        <v>1</v>
      </c>
      <c r="E2150" s="43"/>
      <c r="F2150" s="44" t="s">
        <v>32</v>
      </c>
      <c r="G2150" s="45" t="s">
        <v>29</v>
      </c>
      <c r="H2150" s="51">
        <v>0</v>
      </c>
      <c r="I2150" s="47"/>
      <c r="J2150" s="48">
        <f>VLOOKUP(A2150,'[1]תקציב 2026'!$A$1:$M$65536,9,0)</f>
        <v>0</v>
      </c>
      <c r="K2150" s="49">
        <f>VLOOKUP(A2150,[3]גיליון1!$A$1:$C$7693,3,0)</f>
        <v>0</v>
      </c>
      <c r="L2150" s="50">
        <f>VLOOKUP(A2150,[2]data1761205830331!$A$1:$J$65536,10,0)</f>
        <v>6580.33</v>
      </c>
    </row>
    <row r="2151" spans="1:12" ht="15.6" outlineLevel="1">
      <c r="A2151" s="11">
        <v>1782000432</v>
      </c>
      <c r="B2151" s="40">
        <v>432</v>
      </c>
      <c r="C2151" s="109">
        <v>782000</v>
      </c>
      <c r="D2151" s="42">
        <v>1</v>
      </c>
      <c r="E2151" s="43"/>
      <c r="F2151" s="44" t="s">
        <v>33</v>
      </c>
      <c r="G2151" s="45" t="s">
        <v>29</v>
      </c>
      <c r="H2151" s="51">
        <v>0</v>
      </c>
      <c r="I2151" s="47"/>
      <c r="J2151" s="48">
        <f>VLOOKUP(A2151,'[1]תקציב 2026'!$A$1:$M$65536,9,0)</f>
        <v>0</v>
      </c>
      <c r="K2151" s="49">
        <f>VLOOKUP(A2151,[3]גיליון1!$A$1:$C$7693,3,0)</f>
        <v>0</v>
      </c>
      <c r="L2151" s="50">
        <f>VLOOKUP(A2151,[2]data1761205830331!$A$1:$J$65536,10,0)</f>
        <v>242.66</v>
      </c>
    </row>
    <row r="2152" spans="1:12" ht="15.6" outlineLevel="1">
      <c r="A2152" s="11">
        <v>1782000433</v>
      </c>
      <c r="B2152" s="40">
        <v>433</v>
      </c>
      <c r="C2152" s="109">
        <v>782000</v>
      </c>
      <c r="D2152" s="42">
        <v>1</v>
      </c>
      <c r="E2152" s="43"/>
      <c r="F2152" s="44" t="s">
        <v>34</v>
      </c>
      <c r="G2152" s="45" t="s">
        <v>37</v>
      </c>
      <c r="H2152" s="51">
        <v>0</v>
      </c>
      <c r="I2152" s="47"/>
      <c r="J2152" s="48">
        <f>VLOOKUP(A2152,'[1]תקציב 2026'!$A$1:$M$65536,9,0)</f>
        <v>0</v>
      </c>
      <c r="K2152" s="49">
        <f>VLOOKUP(A2152,[3]גיליון1!$A$1:$C$7693,3,0)</f>
        <v>0</v>
      </c>
      <c r="L2152" s="50">
        <f>VLOOKUP(A2152,[2]data1761205830331!$A$1:$J$65536,10,0)</f>
        <v>1076.9100000000001</v>
      </c>
    </row>
    <row r="2153" spans="1:12" ht="15.6" outlineLevel="1">
      <c r="A2153" s="11">
        <v>1782000437</v>
      </c>
      <c r="B2153" s="40">
        <v>437</v>
      </c>
      <c r="C2153" s="109">
        <v>782000</v>
      </c>
      <c r="D2153" s="42">
        <v>1</v>
      </c>
      <c r="E2153" s="43"/>
      <c r="F2153" s="44" t="s">
        <v>1272</v>
      </c>
      <c r="G2153" s="45" t="s">
        <v>29</v>
      </c>
      <c r="H2153" s="51">
        <v>0</v>
      </c>
      <c r="I2153" s="47"/>
      <c r="J2153" s="48">
        <f>VLOOKUP(A2153,'[1]תקציב 2026'!$A$1:$M$65536,9,0)</f>
        <v>0</v>
      </c>
      <c r="K2153" s="49">
        <f>VLOOKUP(A2153,[3]גיליון1!$A$1:$C$7693,3,0)</f>
        <v>0</v>
      </c>
      <c r="L2153" s="50">
        <f>VLOOKUP(A2153,[2]data1761205830331!$A$1:$J$65536,10,0)</f>
        <v>1221.48</v>
      </c>
    </row>
    <row r="2154" spans="1:12" ht="15.6" outlineLevel="1">
      <c r="A2154" s="11">
        <v>1782000471</v>
      </c>
      <c r="B2154" s="40">
        <v>471</v>
      </c>
      <c r="C2154" s="109">
        <v>782000</v>
      </c>
      <c r="D2154" s="42">
        <v>1</v>
      </c>
      <c r="E2154" s="43"/>
      <c r="F2154" s="44" t="s">
        <v>71</v>
      </c>
      <c r="G2154" s="45" t="s">
        <v>37</v>
      </c>
      <c r="H2154" s="51">
        <v>0</v>
      </c>
      <c r="I2154" s="47"/>
      <c r="J2154" s="48">
        <f>VLOOKUP(A2154,'[1]תקציב 2026'!$A$1:$M$65536,9,0)</f>
        <v>0</v>
      </c>
      <c r="K2154" s="49">
        <f>VLOOKUP(A2154,[3]גיליון1!$A$1:$C$7693,3,0)</f>
        <v>0</v>
      </c>
      <c r="L2154" s="50">
        <f>VLOOKUP(A2154,[2]data1761205830331!$A$1:$J$65536,10,0)</f>
        <v>12736.16</v>
      </c>
    </row>
    <row r="2155" spans="1:12" ht="15.6" outlineLevel="1">
      <c r="A2155" s="11">
        <v>1782000511</v>
      </c>
      <c r="B2155" s="40">
        <v>511</v>
      </c>
      <c r="C2155" s="109">
        <v>782000</v>
      </c>
      <c r="D2155" s="42">
        <v>1</v>
      </c>
      <c r="E2155" s="43"/>
      <c r="F2155" s="44" t="s">
        <v>72</v>
      </c>
      <c r="G2155" s="45" t="s">
        <v>37</v>
      </c>
      <c r="H2155" s="51">
        <v>0</v>
      </c>
      <c r="I2155" s="47"/>
      <c r="J2155" s="48">
        <f>VLOOKUP(A2155,'[1]תקציב 2026'!$A$1:$M$65536,9,0)</f>
        <v>0</v>
      </c>
      <c r="K2155" s="49">
        <f>VLOOKUP(A2155,[3]גיליון1!$A$1:$C$7693,3,0)</f>
        <v>0</v>
      </c>
      <c r="L2155" s="50">
        <f>VLOOKUP(A2155,[2]data1761205830331!$A$1:$J$65536,10,0)</f>
        <v>5005.78</v>
      </c>
    </row>
    <row r="2156" spans="1:12" ht="15.6" outlineLevel="1">
      <c r="A2156" s="11">
        <v>1782000540</v>
      </c>
      <c r="B2156" s="40">
        <v>540</v>
      </c>
      <c r="C2156" s="109">
        <v>782000</v>
      </c>
      <c r="D2156" s="42">
        <v>1</v>
      </c>
      <c r="E2156" s="43"/>
      <c r="F2156" s="44" t="s">
        <v>47</v>
      </c>
      <c r="G2156" s="45" t="s">
        <v>29</v>
      </c>
      <c r="H2156" s="51">
        <v>0</v>
      </c>
      <c r="I2156" s="47"/>
      <c r="J2156" s="48">
        <f>VLOOKUP(A2156,'[1]תקציב 2026'!$A$1:$M$65536,9,0)</f>
        <v>0</v>
      </c>
      <c r="K2156" s="49">
        <f>VLOOKUP(A2156,[3]גיליון1!$A$1:$C$7693,3,0)</f>
        <v>0</v>
      </c>
      <c r="L2156" s="50">
        <f>VLOOKUP(A2156,[2]data1761205830331!$A$1:$J$65536,10,0)</f>
        <v>331.07</v>
      </c>
    </row>
    <row r="2157" spans="1:12" ht="15.6" outlineLevel="1">
      <c r="A2157" s="11">
        <v>1782000544</v>
      </c>
      <c r="B2157" s="40">
        <v>544</v>
      </c>
      <c r="C2157" s="109">
        <v>782000</v>
      </c>
      <c r="D2157" s="42">
        <v>1</v>
      </c>
      <c r="E2157" s="43"/>
      <c r="F2157" s="44" t="s">
        <v>743</v>
      </c>
      <c r="G2157" s="45" t="s">
        <v>29</v>
      </c>
      <c r="H2157" s="51">
        <v>0</v>
      </c>
      <c r="I2157" s="47"/>
      <c r="J2157" s="48">
        <f>VLOOKUP(A2157,'[1]תקציב 2026'!$A$1:$M$65536,9,0)</f>
        <v>0</v>
      </c>
      <c r="K2157" s="49">
        <f>VLOOKUP(A2157,[3]גיליון1!$A$1:$C$7693,3,0)</f>
        <v>0</v>
      </c>
      <c r="L2157" s="50">
        <f>VLOOKUP(A2157,[2]data1761205830331!$A$1:$J$65536,10,0)</f>
        <v>2660.07</v>
      </c>
    </row>
    <row r="2158" spans="1:12" ht="15.6" outlineLevel="1">
      <c r="A2158" s="11">
        <v>1782000571</v>
      </c>
      <c r="B2158" s="40">
        <v>571</v>
      </c>
      <c r="C2158" s="109">
        <v>782000</v>
      </c>
      <c r="D2158" s="42">
        <v>1</v>
      </c>
      <c r="E2158" s="43"/>
      <c r="F2158" s="44" t="s">
        <v>75</v>
      </c>
      <c r="G2158" s="45" t="s">
        <v>29</v>
      </c>
      <c r="H2158" s="51">
        <v>0</v>
      </c>
      <c r="I2158" s="47"/>
      <c r="J2158" s="48">
        <f>VLOOKUP(A2158,'[1]תקציב 2026'!$A$1:$M$65536,9,0)</f>
        <v>0</v>
      </c>
      <c r="K2158" s="49">
        <v>0</v>
      </c>
      <c r="L2158" s="50">
        <f>VLOOKUP(A2158,[2]data1761205830331!$A$1:$J$65536,10,0)</f>
        <v>205600</v>
      </c>
    </row>
    <row r="2159" spans="1:12" ht="15.6" outlineLevel="1">
      <c r="A2159" s="11">
        <v>1782000752</v>
      </c>
      <c r="B2159" s="40">
        <v>752</v>
      </c>
      <c r="C2159" s="109">
        <v>782000</v>
      </c>
      <c r="D2159" s="42">
        <v>1</v>
      </c>
      <c r="E2159" s="43"/>
      <c r="F2159" s="44" t="s">
        <v>54</v>
      </c>
      <c r="G2159" s="45" t="s">
        <v>29</v>
      </c>
      <c r="H2159" s="51">
        <v>0</v>
      </c>
      <c r="I2159" s="47"/>
      <c r="J2159" s="48">
        <f>VLOOKUP(A2159,'[1]תקציב 2026'!$A$1:$M$65536,9,0)</f>
        <v>0</v>
      </c>
      <c r="K2159" s="49">
        <f>VLOOKUP(A2159,[3]גיליון1!$A$1:$C$7693,3,0)</f>
        <v>0</v>
      </c>
      <c r="L2159" s="50">
        <f>VLOOKUP(A2159,[2]data1761205830331!$A$1:$J$65536,10,0)</f>
        <v>19794.810000000001</v>
      </c>
    </row>
    <row r="2160" spans="1:12" ht="15.6" outlineLevel="1">
      <c r="A2160" s="11">
        <v>1782000753</v>
      </c>
      <c r="B2160" s="40">
        <v>753</v>
      </c>
      <c r="C2160" s="109">
        <v>782000</v>
      </c>
      <c r="D2160" s="42">
        <v>1</v>
      </c>
      <c r="E2160" s="43"/>
      <c r="F2160" s="44" t="s">
        <v>1273</v>
      </c>
      <c r="G2160" s="45" t="s">
        <v>29</v>
      </c>
      <c r="H2160" s="51">
        <v>0</v>
      </c>
      <c r="I2160" s="47"/>
      <c r="J2160" s="48">
        <f>VLOOKUP(A2160,'[1]תקציב 2026'!$A$1:$M$65536,9,0)</f>
        <v>0</v>
      </c>
      <c r="K2160" s="49">
        <f>VLOOKUP(A2160,[3]גיליון1!$A$1:$C$7693,3,0)</f>
        <v>0</v>
      </c>
      <c r="L2160" s="50">
        <f>VLOOKUP(A2160,[2]data1761205830331!$A$1:$J$65536,10,0)</f>
        <v>18620</v>
      </c>
    </row>
    <row r="2161" spans="1:12" ht="15.6" outlineLevel="1">
      <c r="A2161" s="11">
        <v>1782000756</v>
      </c>
      <c r="B2161" s="40">
        <v>756</v>
      </c>
      <c r="C2161" s="109">
        <v>782000</v>
      </c>
      <c r="D2161" s="42">
        <v>1</v>
      </c>
      <c r="E2161" s="43"/>
      <c r="F2161" s="44" t="s">
        <v>55</v>
      </c>
      <c r="G2161" s="45" t="s">
        <v>29</v>
      </c>
      <c r="H2161" s="51">
        <v>0</v>
      </c>
      <c r="I2161" s="47"/>
      <c r="J2161" s="48">
        <f>VLOOKUP(A2161,'[1]תקציב 2026'!$A$1:$M$65536,9,0)</f>
        <v>0</v>
      </c>
      <c r="K2161" s="49">
        <f>VLOOKUP(A2161,[3]גיליון1!$A$1:$C$7693,3,0)</f>
        <v>0</v>
      </c>
      <c r="L2161" s="50">
        <f>VLOOKUP(A2161,[2]data1761205830331!$A$1:$J$65536,10,0)</f>
        <v>173353.07</v>
      </c>
    </row>
    <row r="2162" spans="1:12" ht="15.6" outlineLevel="1">
      <c r="A2162" s="11">
        <v>1782000780</v>
      </c>
      <c r="B2162" s="40">
        <v>780</v>
      </c>
      <c r="C2162" s="109">
        <v>782000</v>
      </c>
      <c r="D2162" s="42">
        <v>1</v>
      </c>
      <c r="E2162" s="43"/>
      <c r="F2162" s="44" t="s">
        <v>1274</v>
      </c>
      <c r="G2162" s="45" t="s">
        <v>29</v>
      </c>
      <c r="H2162" s="51">
        <v>0</v>
      </c>
      <c r="I2162" s="47"/>
      <c r="J2162" s="48">
        <f>VLOOKUP(A2162,'[1]תקציב 2026'!$A$1:$M$65536,9,0)</f>
        <v>0</v>
      </c>
      <c r="K2162" s="49">
        <f>VLOOKUP(A2162,[3]גיליון1!$A$1:$C$7693,3,0)</f>
        <v>0</v>
      </c>
      <c r="L2162" s="50">
        <f>VLOOKUP(A2162,[2]data1761205830331!$A$1:$J$65536,10,0)</f>
        <v>266198</v>
      </c>
    </row>
    <row r="2163" spans="1:12" ht="16.2" outlineLevel="1" thickBot="1">
      <c r="A2163" s="11">
        <v>1782000794</v>
      </c>
      <c r="B2163" s="40">
        <v>794</v>
      </c>
      <c r="C2163" s="109">
        <v>782000</v>
      </c>
      <c r="D2163" s="42">
        <v>1</v>
      </c>
      <c r="E2163" s="43"/>
      <c r="F2163" s="44" t="s">
        <v>58</v>
      </c>
      <c r="G2163" s="45" t="s">
        <v>29</v>
      </c>
      <c r="H2163" s="51">
        <v>0</v>
      </c>
      <c r="I2163" s="47"/>
      <c r="J2163" s="48">
        <f>VLOOKUP(A2163,'[1]תקציב 2026'!$A$1:$M$65536,9,0)</f>
        <v>0</v>
      </c>
      <c r="K2163" s="49">
        <v>0</v>
      </c>
      <c r="L2163" s="50">
        <f>VLOOKUP(A2163,[2]data1761205830331!$A$1:$J$65536,10,0)</f>
        <v>3937</v>
      </c>
    </row>
    <row r="2164" spans="1:12" ht="16.2" thickBot="1">
      <c r="A2164" s="11" t="e">
        <v>#VALUE!</v>
      </c>
      <c r="B2164" s="53" t="s">
        <v>1275</v>
      </c>
      <c r="C2164" s="223"/>
      <c r="D2164" s="55"/>
      <c r="E2164" s="56"/>
      <c r="F2164" s="116" t="s">
        <v>259</v>
      </c>
      <c r="G2164" s="58"/>
      <c r="H2164" s="166">
        <v>0</v>
      </c>
      <c r="I2164" s="72"/>
      <c r="J2164" s="74">
        <f>SUBTOTAL(9,J2142:J2163)</f>
        <v>0</v>
      </c>
      <c r="K2164" s="92">
        <f>SUBTOTAL(9,K2142:K2163)</f>
        <v>0</v>
      </c>
      <c r="L2164" s="75">
        <f>SUBTOTAL(9,L2142:L2163)</f>
        <v>2084918.0699999996</v>
      </c>
    </row>
    <row r="2165" spans="1:12" ht="15.6" outlineLevel="1">
      <c r="A2165" s="233">
        <v>18000000</v>
      </c>
      <c r="B2165" s="234">
        <v>0</v>
      </c>
      <c r="C2165" s="131">
        <v>800000</v>
      </c>
      <c r="D2165" s="66">
        <v>1</v>
      </c>
      <c r="E2165" s="67"/>
      <c r="F2165" s="68" t="s">
        <v>262</v>
      </c>
      <c r="G2165" s="69" t="s">
        <v>15</v>
      </c>
      <c r="H2165" s="51"/>
      <c r="I2165" s="70"/>
      <c r="J2165" s="48"/>
      <c r="K2165" s="186"/>
      <c r="L2165" s="50"/>
    </row>
    <row r="2166" spans="1:12" ht="15.6" outlineLevel="1">
      <c r="A2166" s="11">
        <v>1811100110</v>
      </c>
      <c r="B2166" s="40">
        <v>110</v>
      </c>
      <c r="C2166" s="109">
        <v>811100</v>
      </c>
      <c r="D2166" s="42">
        <v>1</v>
      </c>
      <c r="E2166" s="43"/>
      <c r="F2166" s="44" t="s">
        <v>21</v>
      </c>
      <c r="G2166" s="45" t="s">
        <v>22</v>
      </c>
      <c r="H2166" s="51">
        <f t="shared" ref="H2166:H2228" si="34">J2166/K2166-1</f>
        <v>2.4999999999999911E-2</v>
      </c>
      <c r="I2166" s="47"/>
      <c r="J2166" s="48">
        <f>VLOOKUP(A2166,'[1]תקציב 2026'!$A$1:$M$65536,9,0)</f>
        <v>364899.99999999994</v>
      </c>
      <c r="K2166" s="49">
        <f>VLOOKUP(A2166,[3]גיליון1!$A$1:$C$7693,3,0)</f>
        <v>356000</v>
      </c>
      <c r="L2166" s="50">
        <f>VLOOKUP(A2166,[2]data1761205830331!$A$1:$J$65536,10,0)</f>
        <v>368427.29</v>
      </c>
    </row>
    <row r="2167" spans="1:12" ht="15.6" outlineLevel="1">
      <c r="A2167" s="11">
        <v>1811100119</v>
      </c>
      <c r="B2167" s="40">
        <v>119</v>
      </c>
      <c r="C2167" s="109">
        <v>811100</v>
      </c>
      <c r="D2167" s="42">
        <v>1</v>
      </c>
      <c r="E2167" s="43"/>
      <c r="F2167" s="44" t="s">
        <v>23</v>
      </c>
      <c r="G2167" s="45" t="s">
        <v>22</v>
      </c>
      <c r="H2167" s="51">
        <f t="shared" si="34"/>
        <v>4.9202403917494975E-2</v>
      </c>
      <c r="I2167" s="47"/>
      <c r="J2167" s="48">
        <f>VLOOKUP(A2167,'[1]תקציב 2026'!$A$1:$M$65536,9,0)</f>
        <v>14141149.999999998</v>
      </c>
      <c r="K2167" s="49">
        <f>13608000-130000</f>
        <v>13478000</v>
      </c>
      <c r="L2167" s="50">
        <f>VLOOKUP(A2167,[2]data1761205830331!$A$1:$J$65536,10,0)</f>
        <v>12466983.369999999</v>
      </c>
    </row>
    <row r="2168" spans="1:12" ht="15.6" outlineLevel="1">
      <c r="A2168" s="11">
        <v>1811100122</v>
      </c>
      <c r="B2168" s="40">
        <v>122</v>
      </c>
      <c r="C2168" s="109">
        <v>811100</v>
      </c>
      <c r="D2168" s="42">
        <v>1</v>
      </c>
      <c r="E2168" s="43"/>
      <c r="F2168" s="44" t="s">
        <v>24</v>
      </c>
      <c r="G2168" s="45" t="s">
        <v>22</v>
      </c>
      <c r="H2168" s="51">
        <f t="shared" si="34"/>
        <v>1.562043795620438E-2</v>
      </c>
      <c r="I2168" s="47"/>
      <c r="J2168" s="48">
        <v>139140</v>
      </c>
      <c r="K2168" s="49">
        <f>VLOOKUP(A2168,[3]גיליון1!$A$1:$C$7693,3,0)</f>
        <v>137000</v>
      </c>
      <c r="L2168" s="50">
        <f>VLOOKUP(A2168,[2]data1761205830331!$A$1:$J$65536,10,0)</f>
        <v>135413.54</v>
      </c>
    </row>
    <row r="2169" spans="1:12" ht="15.6" outlineLevel="1">
      <c r="A2169" s="11">
        <v>1811100126</v>
      </c>
      <c r="B2169" s="40">
        <v>126</v>
      </c>
      <c r="C2169" s="109">
        <v>811100</v>
      </c>
      <c r="D2169" s="42">
        <v>1</v>
      </c>
      <c r="E2169" s="43"/>
      <c r="F2169" s="44" t="s">
        <v>25</v>
      </c>
      <c r="G2169" s="45" t="s">
        <v>22</v>
      </c>
      <c r="H2169" s="51">
        <f t="shared" si="34"/>
        <v>1.5619047619047643E-2</v>
      </c>
      <c r="I2169" s="47"/>
      <c r="J2169" s="48">
        <v>319920</v>
      </c>
      <c r="K2169" s="49">
        <f>VLOOKUP(A2169,[3]גיליון1!$A$1:$C$7693,3,0)</f>
        <v>315000</v>
      </c>
      <c r="L2169" s="50">
        <f>VLOOKUP(A2169,[2]data1761205830331!$A$1:$J$65536,10,0)</f>
        <v>315659.32</v>
      </c>
    </row>
    <row r="2170" spans="1:12" ht="15.6" outlineLevel="1">
      <c r="A2170" s="11">
        <v>1811100130</v>
      </c>
      <c r="B2170" s="40">
        <v>130</v>
      </c>
      <c r="C2170" s="109">
        <v>811100</v>
      </c>
      <c r="D2170" s="42">
        <v>1</v>
      </c>
      <c r="E2170" s="43"/>
      <c r="F2170" s="44" t="s">
        <v>26</v>
      </c>
      <c r="G2170" s="45" t="s">
        <v>22</v>
      </c>
      <c r="H2170" s="51">
        <f t="shared" si="34"/>
        <v>1.0480532411046481</v>
      </c>
      <c r="I2170" s="47"/>
      <c r="J2170" s="48">
        <f>VLOOKUP(A2170,'[1]תקציב 2026'!$A$1:$M$65536,9,0)</f>
        <v>390830</v>
      </c>
      <c r="K2170" s="49">
        <f>VLOOKUP(A2170,[3]גיליון1!$A$1:$C$7693,3,0)*0.86-4</f>
        <v>190830</v>
      </c>
      <c r="L2170" s="50">
        <f>VLOOKUP(A2170,[2]data1761205830331!$A$1:$J$65536,10,0)</f>
        <v>364046.35</v>
      </c>
    </row>
    <row r="2171" spans="1:12" ht="15.6" outlineLevel="1">
      <c r="A2171" s="11">
        <v>1811100140</v>
      </c>
      <c r="B2171" s="40">
        <v>140</v>
      </c>
      <c r="C2171" s="109">
        <v>811100</v>
      </c>
      <c r="D2171" s="42">
        <v>1</v>
      </c>
      <c r="E2171" s="43"/>
      <c r="F2171" s="44" t="s">
        <v>27</v>
      </c>
      <c r="G2171" s="45" t="s">
        <v>22</v>
      </c>
      <c r="H2171" s="51">
        <f t="shared" si="34"/>
        <v>0</v>
      </c>
      <c r="I2171" s="47"/>
      <c r="J2171" s="48">
        <f>VLOOKUP(A2171,'[1]תקציב 2026'!$A$1:$M$65536,9,0)</f>
        <v>1385000</v>
      </c>
      <c r="K2171" s="49">
        <f>VLOOKUP(A2171,[3]גיליון1!$A$1:$C$7693,3,0)</f>
        <v>1385000</v>
      </c>
      <c r="L2171" s="50">
        <f>VLOOKUP(A2171,[2]data1761205830331!$A$1:$J$65536,10,0)</f>
        <v>1661577.1</v>
      </c>
    </row>
    <row r="2172" spans="1:12" ht="15.6" outlineLevel="1">
      <c r="A2172" s="11">
        <v>1811100210</v>
      </c>
      <c r="B2172" s="40">
        <v>210</v>
      </c>
      <c r="C2172" s="109">
        <v>811100</v>
      </c>
      <c r="D2172" s="42">
        <v>1</v>
      </c>
      <c r="E2172" s="43"/>
      <c r="F2172" s="44" t="s">
        <v>1276</v>
      </c>
      <c r="G2172" s="45" t="s">
        <v>22</v>
      </c>
      <c r="H2172" s="51">
        <v>0</v>
      </c>
      <c r="I2172" s="47"/>
      <c r="J2172" s="48">
        <f>VLOOKUP(A2172,'[1]תקציב 2026'!$A$1:$M$65536,9,0)</f>
        <v>0</v>
      </c>
      <c r="K2172" s="49">
        <v>0</v>
      </c>
      <c r="L2172" s="50">
        <f>VLOOKUP(A2172,[2]data1761205830331!$A$1:$J$65536,10,0)</f>
        <v>218910.62</v>
      </c>
    </row>
    <row r="2173" spans="1:12" ht="15.6" outlineLevel="1">
      <c r="A2173" s="11">
        <v>1811100263</v>
      </c>
      <c r="B2173" s="40">
        <v>263</v>
      </c>
      <c r="C2173" s="109">
        <v>811100</v>
      </c>
      <c r="D2173" s="42">
        <v>1</v>
      </c>
      <c r="E2173" s="43"/>
      <c r="F2173" s="44" t="s">
        <v>1277</v>
      </c>
      <c r="G2173" s="45" t="s">
        <v>22</v>
      </c>
      <c r="H2173" s="51">
        <f t="shared" si="34"/>
        <v>0.72</v>
      </c>
      <c r="I2173" s="47"/>
      <c r="J2173" s="48">
        <f>VLOOKUP(A2173,'[1]תקציב 2026'!$A$1:$M$65536,9,0)</f>
        <v>430000</v>
      </c>
      <c r="K2173" s="49">
        <f>VLOOKUP(A2173,[3]גיליון1!$A$1:$C$7693,3,0)</f>
        <v>250000</v>
      </c>
      <c r="L2173" s="50">
        <f>VLOOKUP(A2173,[2]data1761205830331!$A$1:$J$65536,10,0)</f>
        <v>339342.41</v>
      </c>
    </row>
    <row r="2174" spans="1:12" ht="15.6" outlineLevel="1">
      <c r="A2174" s="11">
        <v>1811100264</v>
      </c>
      <c r="B2174" s="40">
        <v>264</v>
      </c>
      <c r="C2174" s="109">
        <v>811100</v>
      </c>
      <c r="D2174" s="42">
        <v>1</v>
      </c>
      <c r="E2174" s="43"/>
      <c r="F2174" s="44" t="s">
        <v>1278</v>
      </c>
      <c r="G2174" s="45" t="s">
        <v>22</v>
      </c>
      <c r="H2174" s="51">
        <f t="shared" si="34"/>
        <v>0</v>
      </c>
      <c r="I2174" s="47"/>
      <c r="J2174" s="48">
        <f>VLOOKUP(A2174,'[1]תקציב 2026'!$A$1:$M$65536,9,0)</f>
        <v>46000</v>
      </c>
      <c r="K2174" s="49">
        <f>VLOOKUP(A2174,[3]גיליון1!$A$1:$C$7693,3,0)</f>
        <v>46000</v>
      </c>
      <c r="L2174" s="50">
        <f>VLOOKUP(A2174,[2]data1761205830331!$A$1:$J$65536,10,0)</f>
        <v>58335.1</v>
      </c>
    </row>
    <row r="2175" spans="1:12" ht="15.6" outlineLevel="1">
      <c r="A2175" s="11">
        <v>1811100350</v>
      </c>
      <c r="B2175" s="40">
        <v>350</v>
      </c>
      <c r="C2175" s="109">
        <v>811100</v>
      </c>
      <c r="D2175" s="42">
        <v>1</v>
      </c>
      <c r="E2175" s="43"/>
      <c r="F2175" s="44" t="s">
        <v>833</v>
      </c>
      <c r="G2175" s="45" t="s">
        <v>22</v>
      </c>
      <c r="H2175" s="51">
        <f t="shared" si="34"/>
        <v>6.1250000000000027E-2</v>
      </c>
      <c r="I2175" s="47"/>
      <c r="J2175" s="48">
        <v>93390</v>
      </c>
      <c r="K2175" s="49">
        <f>VLOOKUP(A2175,[3]גיליון1!$A$1:$C$7693,3,0)</f>
        <v>88000</v>
      </c>
      <c r="L2175" s="50">
        <f>VLOOKUP(A2175,[2]data1761205830331!$A$1:$J$65536,10,0)</f>
        <v>89791.38</v>
      </c>
    </row>
    <row r="2176" spans="1:12" ht="15.6" outlineLevel="1">
      <c r="A2176" s="11">
        <v>1811100351</v>
      </c>
      <c r="B2176" s="40">
        <v>351</v>
      </c>
      <c r="C2176" s="109">
        <v>811100</v>
      </c>
      <c r="D2176" s="42">
        <v>1</v>
      </c>
      <c r="E2176" s="43"/>
      <c r="F2176" s="44" t="s">
        <v>834</v>
      </c>
      <c r="G2176" s="45" t="s">
        <v>22</v>
      </c>
      <c r="H2176" s="51">
        <f t="shared" si="34"/>
        <v>-0.4285714285714286</v>
      </c>
      <c r="I2176" s="47"/>
      <c r="J2176" s="48">
        <f>VLOOKUP(A2176,'[1]תקציב 2026'!$A$1:$M$65536,9,0)</f>
        <v>48000</v>
      </c>
      <c r="K2176" s="49">
        <f>VLOOKUP(A2176,[3]גיליון1!$A$1:$C$7693,3,0)</f>
        <v>84000</v>
      </c>
      <c r="L2176" s="50">
        <f>VLOOKUP(A2176,[2]data1761205830331!$A$1:$J$65536,10,0)</f>
        <v>39507.660000000003</v>
      </c>
    </row>
    <row r="2177" spans="1:12" ht="15.6" outlineLevel="1">
      <c r="A2177" s="11">
        <v>1811100431</v>
      </c>
      <c r="B2177" s="40">
        <v>431</v>
      </c>
      <c r="C2177" s="109">
        <v>811100</v>
      </c>
      <c r="D2177" s="42">
        <v>1</v>
      </c>
      <c r="E2177" s="43"/>
      <c r="F2177" s="44" t="s">
        <v>32</v>
      </c>
      <c r="G2177" s="45" t="s">
        <v>29</v>
      </c>
      <c r="H2177" s="51">
        <f t="shared" si="34"/>
        <v>-0.8</v>
      </c>
      <c r="I2177" s="47"/>
      <c r="J2177" s="48">
        <f>VLOOKUP(A2177,'[1]תקציב 2026'!$A$1:$M$65536,9,0)</f>
        <v>20000</v>
      </c>
      <c r="K2177" s="49">
        <v>100000</v>
      </c>
      <c r="L2177" s="50">
        <f>VLOOKUP(A2177,[2]data1761205830331!$A$1:$J$65536,10,0)</f>
        <v>-10000</v>
      </c>
    </row>
    <row r="2178" spans="1:12" ht="15.6" outlineLevel="1">
      <c r="A2178" s="11">
        <v>1811100435</v>
      </c>
      <c r="B2178" s="40">
        <v>435</v>
      </c>
      <c r="C2178" s="109">
        <v>811100</v>
      </c>
      <c r="D2178" s="42">
        <v>1</v>
      </c>
      <c r="E2178" s="43"/>
      <c r="F2178" s="44" t="s">
        <v>1279</v>
      </c>
      <c r="G2178" s="45" t="s">
        <v>29</v>
      </c>
      <c r="H2178" s="51">
        <f t="shared" si="34"/>
        <v>0.20233918128654982</v>
      </c>
      <c r="I2178" s="47"/>
      <c r="J2178" s="48">
        <f>VLOOKUP(A2178,'[1]תקציב 2026'!$A$1:$M$65536,9,0)</f>
        <v>1028000</v>
      </c>
      <c r="K2178" s="49">
        <f>VLOOKUP(A2178,[3]גיליון1!$A$1:$C$7693,3,0)</f>
        <v>855000</v>
      </c>
      <c r="L2178" s="50">
        <f>VLOOKUP(A2178,[2]data1761205830331!$A$1:$J$65536,10,0)</f>
        <v>809201.78</v>
      </c>
    </row>
    <row r="2179" spans="1:12" ht="15.6" outlineLevel="1">
      <c r="A2179" s="11">
        <v>1811100436</v>
      </c>
      <c r="B2179" s="40">
        <v>436</v>
      </c>
      <c r="C2179" s="109">
        <v>811100</v>
      </c>
      <c r="D2179" s="42">
        <v>1</v>
      </c>
      <c r="E2179" s="43"/>
      <c r="F2179" s="44" t="s">
        <v>36</v>
      </c>
      <c r="G2179" s="45" t="s">
        <v>37</v>
      </c>
      <c r="H2179" s="51">
        <f t="shared" si="34"/>
        <v>0</v>
      </c>
      <c r="I2179" s="47"/>
      <c r="J2179" s="48">
        <f>VLOOKUP(A2179,'[1]תקציב 2026'!$A$1:$M$65536,9,0)</f>
        <v>85500</v>
      </c>
      <c r="K2179" s="49">
        <f>VLOOKUP(A2179,[3]גיליון1!$A$1:$C$7693,3,0)*0.9</f>
        <v>85500</v>
      </c>
      <c r="L2179" s="50">
        <f>VLOOKUP(A2179,[2]data1761205830331!$A$1:$J$65536,10,0)</f>
        <v>8596</v>
      </c>
    </row>
    <row r="2180" spans="1:12" ht="15.6" outlineLevel="1">
      <c r="A2180" s="11">
        <v>1811100437</v>
      </c>
      <c r="B2180" s="40">
        <v>437</v>
      </c>
      <c r="C2180" s="109">
        <v>811100</v>
      </c>
      <c r="D2180" s="42">
        <v>1</v>
      </c>
      <c r="E2180" s="43"/>
      <c r="F2180" s="44" t="s">
        <v>1251</v>
      </c>
      <c r="G2180" s="45" t="s">
        <v>29</v>
      </c>
      <c r="H2180" s="51">
        <f t="shared" si="34"/>
        <v>0</v>
      </c>
      <c r="I2180" s="47"/>
      <c r="J2180" s="48">
        <f>VLOOKUP(A2180,'[1]תקציב 2026'!$A$1:$M$65536,9,0)</f>
        <v>5000</v>
      </c>
      <c r="K2180" s="49">
        <f>VLOOKUP(A2180,[3]גיליון1!$A$1:$C$7693,3,0)</f>
        <v>5000</v>
      </c>
      <c r="L2180" s="50">
        <f>VLOOKUP(A2180,[2]data1761205830331!$A$1:$J$65536,10,0)</f>
        <v>3053.7</v>
      </c>
    </row>
    <row r="2181" spans="1:12" ht="15.6" outlineLevel="1">
      <c r="A2181" s="11">
        <v>1811100450</v>
      </c>
      <c r="B2181" s="40">
        <v>450</v>
      </c>
      <c r="C2181" s="109">
        <v>811100</v>
      </c>
      <c r="D2181" s="42">
        <v>1</v>
      </c>
      <c r="E2181" s="43"/>
      <c r="F2181" s="11" t="s">
        <v>41</v>
      </c>
      <c r="G2181" s="45" t="s">
        <v>29</v>
      </c>
      <c r="H2181" s="51">
        <f t="shared" si="34"/>
        <v>0</v>
      </c>
      <c r="I2181" s="47"/>
      <c r="J2181" s="48">
        <f>VLOOKUP(A2181,'[1]תקציב 2026'!$A$1:$M$65536,9,0)</f>
        <v>4500</v>
      </c>
      <c r="K2181" s="49">
        <f>VLOOKUP(A2181,[3]גיליון1!$A$1:$C$7693,3,0)</f>
        <v>4500</v>
      </c>
      <c r="L2181" s="50">
        <f>VLOOKUP(A2181,[2]data1761205830331!$A$1:$J$65536,10,0)</f>
        <v>0</v>
      </c>
    </row>
    <row r="2182" spans="1:12" ht="15.6" outlineLevel="1">
      <c r="A2182" s="11">
        <v>1811100451</v>
      </c>
      <c r="B2182" s="40">
        <v>451</v>
      </c>
      <c r="C2182" s="109">
        <v>811100</v>
      </c>
      <c r="D2182" s="42">
        <v>1</v>
      </c>
      <c r="E2182" s="43"/>
      <c r="F2182" s="44" t="s">
        <v>42</v>
      </c>
      <c r="G2182" s="45" t="s">
        <v>37</v>
      </c>
      <c r="H2182" s="51">
        <f t="shared" si="34"/>
        <v>0</v>
      </c>
      <c r="I2182" s="47"/>
      <c r="J2182" s="48">
        <f>VLOOKUP(A2182,'[1]תקציב 2026'!$A$1:$M$65536,9,0)</f>
        <v>2700</v>
      </c>
      <c r="K2182" s="49">
        <f>VLOOKUP(A2182,[3]גיליון1!$A$1:$C$7693,3,0)*0.9</f>
        <v>2700</v>
      </c>
      <c r="L2182" s="50">
        <f>VLOOKUP(A2182,[2]data1761205830331!$A$1:$J$65536,10,0)</f>
        <v>0</v>
      </c>
    </row>
    <row r="2183" spans="1:12" ht="15.6" outlineLevel="1">
      <c r="A2183" s="11">
        <v>1811100470</v>
      </c>
      <c r="B2183" s="40">
        <v>470</v>
      </c>
      <c r="C2183" s="109">
        <v>811100</v>
      </c>
      <c r="D2183" s="42">
        <v>1</v>
      </c>
      <c r="E2183" s="43"/>
      <c r="F2183" s="44" t="s">
        <v>43</v>
      </c>
      <c r="G2183" s="45" t="s">
        <v>37</v>
      </c>
      <c r="H2183" s="51">
        <f t="shared" si="34"/>
        <v>-0.1285403050108932</v>
      </c>
      <c r="I2183" s="47"/>
      <c r="J2183" s="48">
        <f>VLOOKUP(A2183,'[1]תקציב 2026'!$A$1:$M$65536,9,0)</f>
        <v>4000</v>
      </c>
      <c r="K2183" s="49">
        <f>VLOOKUP(A2183,[3]גיליון1!$A$1:$C$7693,3,0)*0.9</f>
        <v>4590</v>
      </c>
      <c r="L2183" s="50">
        <f>VLOOKUP(A2183,[2]data1761205830331!$A$1:$J$65536,10,0)</f>
        <v>1352.3</v>
      </c>
    </row>
    <row r="2184" spans="1:12" ht="15.6" outlineLevel="1">
      <c r="A2184" s="11">
        <v>1811100471</v>
      </c>
      <c r="B2184" s="40">
        <v>471</v>
      </c>
      <c r="C2184" s="109">
        <v>811100</v>
      </c>
      <c r="D2184" s="42">
        <v>1</v>
      </c>
      <c r="E2184" s="43"/>
      <c r="F2184" s="44" t="s">
        <v>71</v>
      </c>
      <c r="G2184" s="45" t="s">
        <v>37</v>
      </c>
      <c r="H2184" s="51">
        <f t="shared" si="34"/>
        <v>0</v>
      </c>
      <c r="I2184" s="47"/>
      <c r="J2184" s="48">
        <f>VLOOKUP(A2184,'[1]תקציב 2026'!$A$1:$M$65536,9,0)</f>
        <v>76950</v>
      </c>
      <c r="K2184" s="49">
        <f>VLOOKUP(A2184,[3]גיליון1!$A$1:$C$7693,3,0)*0.9</f>
        <v>76950</v>
      </c>
      <c r="L2184" s="50">
        <f>VLOOKUP(A2184,[2]data1761205830331!$A$1:$J$65536,10,0)</f>
        <v>83608.02</v>
      </c>
    </row>
    <row r="2185" spans="1:12" ht="15.6" outlineLevel="1">
      <c r="A2185" s="11">
        <v>1811100492</v>
      </c>
      <c r="B2185" s="40">
        <v>492</v>
      </c>
      <c r="C2185" s="109">
        <v>811100</v>
      </c>
      <c r="D2185" s="42">
        <v>1</v>
      </c>
      <c r="E2185" s="43"/>
      <c r="F2185" s="44" t="s">
        <v>66</v>
      </c>
      <c r="G2185" s="45" t="s">
        <v>29</v>
      </c>
      <c r="H2185" s="51">
        <f t="shared" si="34"/>
        <v>9.7406626132274576E-2</v>
      </c>
      <c r="I2185" s="47"/>
      <c r="J2185" s="48">
        <f>VLOOKUP(A2185,'[1]תקציב 2026'!$A$1:$M$65536,9,0)</f>
        <v>1768800</v>
      </c>
      <c r="K2185" s="49">
        <f>1475800+68000+68000</f>
        <v>1611800</v>
      </c>
      <c r="L2185" s="50">
        <f>VLOOKUP(A2185,[2]data1761205830331!$A$1:$J$65536,10,0)</f>
        <v>1607860.76</v>
      </c>
    </row>
    <row r="2186" spans="1:12" ht="15.6" outlineLevel="1">
      <c r="A2186" s="11">
        <v>1811100511</v>
      </c>
      <c r="B2186" s="40">
        <v>511</v>
      </c>
      <c r="C2186" s="109">
        <v>811100</v>
      </c>
      <c r="D2186" s="42">
        <v>1</v>
      </c>
      <c r="E2186" s="43"/>
      <c r="F2186" s="44" t="s">
        <v>72</v>
      </c>
      <c r="G2186" s="45" t="s">
        <v>37</v>
      </c>
      <c r="H2186" s="51">
        <f t="shared" si="34"/>
        <v>0.1659192825112108</v>
      </c>
      <c r="I2186" s="47"/>
      <c r="J2186" s="48">
        <f>VLOOKUP(A2186,'[1]תקציב 2026'!$A$1:$M$65536,9,0)</f>
        <v>23400</v>
      </c>
      <c r="K2186" s="49">
        <f>22300*0.9</f>
        <v>20070</v>
      </c>
      <c r="L2186" s="50">
        <f>VLOOKUP(A2186,[2]data1761205830331!$A$1:$J$65536,10,0)</f>
        <v>21833.37</v>
      </c>
    </row>
    <row r="2187" spans="1:12" ht="15.6" outlineLevel="1">
      <c r="A2187" s="11">
        <v>1811100512</v>
      </c>
      <c r="B2187" s="40">
        <v>512</v>
      </c>
      <c r="C2187" s="109">
        <v>811100</v>
      </c>
      <c r="D2187" s="42">
        <v>1</v>
      </c>
      <c r="E2187" s="43"/>
      <c r="F2187" s="44" t="s">
        <v>88</v>
      </c>
      <c r="G2187" s="45" t="s">
        <v>37</v>
      </c>
      <c r="H2187" s="51">
        <f t="shared" si="34"/>
        <v>0</v>
      </c>
      <c r="I2187" s="47"/>
      <c r="J2187" s="48">
        <f>VLOOKUP(A2187,'[1]תקציב 2026'!$A$1:$M$65536,9,0)</f>
        <v>1530</v>
      </c>
      <c r="K2187" s="49">
        <f>VLOOKUP(A2187,[3]גיליון1!$A$1:$C$7693,3,0)*0.9</f>
        <v>1530</v>
      </c>
      <c r="L2187" s="50">
        <f>VLOOKUP(A2187,[2]data1761205830331!$A$1:$J$65536,10,0)</f>
        <v>428</v>
      </c>
    </row>
    <row r="2188" spans="1:12" ht="15.6" outlineLevel="1">
      <c r="A2188" s="11">
        <v>1811100522</v>
      </c>
      <c r="B2188" s="40">
        <v>522</v>
      </c>
      <c r="C2188" s="109">
        <v>811100</v>
      </c>
      <c r="D2188" s="42">
        <v>1</v>
      </c>
      <c r="E2188" s="43"/>
      <c r="F2188" s="44" t="s">
        <v>90</v>
      </c>
      <c r="G2188" s="45" t="s">
        <v>37</v>
      </c>
      <c r="H2188" s="51">
        <f t="shared" si="34"/>
        <v>0</v>
      </c>
      <c r="I2188" s="47"/>
      <c r="J2188" s="48">
        <f>VLOOKUP(A2188,'[1]תקציב 2026'!$A$1:$M$65536,9,0)</f>
        <v>2340</v>
      </c>
      <c r="K2188" s="49">
        <f>VLOOKUP(A2188,[3]גיליון1!$A$1:$C$7693,3,0)*0.9</f>
        <v>2340</v>
      </c>
      <c r="L2188" s="50">
        <f>VLOOKUP(A2188,[2]data1761205830331!$A$1:$J$65536,10,0)</f>
        <v>0</v>
      </c>
    </row>
    <row r="2189" spans="1:12" ht="15.6" outlineLevel="1">
      <c r="A2189" s="11">
        <v>1811100544</v>
      </c>
      <c r="B2189" s="40">
        <v>544</v>
      </c>
      <c r="C2189" s="109">
        <v>811100</v>
      </c>
      <c r="D2189" s="42">
        <v>1</v>
      </c>
      <c r="E2189" s="43"/>
      <c r="F2189" s="44" t="s">
        <v>743</v>
      </c>
      <c r="G2189" s="45" t="s">
        <v>29</v>
      </c>
      <c r="H2189" s="51">
        <f t="shared" si="34"/>
        <v>0.1686143572621035</v>
      </c>
      <c r="I2189" s="47"/>
      <c r="J2189" s="48">
        <f>VLOOKUP(A2189,'[1]תקציב 2026'!$A$1:$M$65536,9,0)</f>
        <v>70000</v>
      </c>
      <c r="K2189" s="49">
        <f>VLOOKUP(A2189,[3]גיליון1!$A$1:$C$7693,3,0)</f>
        <v>59900</v>
      </c>
      <c r="L2189" s="50">
        <f>VLOOKUP(A2189,[2]data1761205830331!$A$1:$J$65536,10,0)</f>
        <v>68641.899999999994</v>
      </c>
    </row>
    <row r="2190" spans="1:12" ht="15.6" outlineLevel="1">
      <c r="A2190" s="11">
        <v>1811100550</v>
      </c>
      <c r="B2190" s="40">
        <v>550</v>
      </c>
      <c r="C2190" s="109">
        <v>811100</v>
      </c>
      <c r="D2190" s="42">
        <v>1</v>
      </c>
      <c r="E2190" s="43"/>
      <c r="F2190" s="44" t="s">
        <v>73</v>
      </c>
      <c r="G2190" s="45" t="s">
        <v>37</v>
      </c>
      <c r="H2190" s="51">
        <f t="shared" si="34"/>
        <v>0</v>
      </c>
      <c r="I2190" s="47"/>
      <c r="J2190" s="48">
        <f>VLOOKUP(A2190,'[1]תקציב 2026'!$A$1:$M$65536,9,0)</f>
        <v>4500</v>
      </c>
      <c r="K2190" s="49">
        <f>VLOOKUP(A2190,[3]גיליון1!$A$1:$C$7693,3,0)*0.9</f>
        <v>4500</v>
      </c>
      <c r="L2190" s="50">
        <f>VLOOKUP(A2190,[2]data1761205830331!$A$1:$J$65536,10,0)</f>
        <v>2813.5</v>
      </c>
    </row>
    <row r="2191" spans="1:12" ht="15.6" outlineLevel="1">
      <c r="A2191" s="11">
        <v>1811100562</v>
      </c>
      <c r="B2191" s="40">
        <v>562</v>
      </c>
      <c r="C2191" s="109">
        <v>811100</v>
      </c>
      <c r="D2191" s="42">
        <v>1</v>
      </c>
      <c r="E2191" s="43"/>
      <c r="F2191" s="44" t="s">
        <v>748</v>
      </c>
      <c r="G2191" s="45" t="s">
        <v>37</v>
      </c>
      <c r="H2191" s="51">
        <f t="shared" si="34"/>
        <v>0</v>
      </c>
      <c r="I2191" s="47"/>
      <c r="J2191" s="48">
        <f>VLOOKUP(A2191,'[1]תקציב 2026'!$A$1:$M$65536,9,0)</f>
        <v>4230</v>
      </c>
      <c r="K2191" s="49">
        <f>VLOOKUP(A2191,[3]גיליון1!$A$1:$C$7693,3,0)*0.9</f>
        <v>4230</v>
      </c>
      <c r="L2191" s="50">
        <f>VLOOKUP(A2191,[2]data1761205830331!$A$1:$J$65536,10,0)</f>
        <v>2879.2</v>
      </c>
    </row>
    <row r="2192" spans="1:12" ht="15.6" outlineLevel="1">
      <c r="A2192" s="11">
        <v>1811100571</v>
      </c>
      <c r="B2192" s="40">
        <v>571</v>
      </c>
      <c r="C2192" s="109">
        <v>811100</v>
      </c>
      <c r="D2192" s="42">
        <v>1</v>
      </c>
      <c r="E2192" s="43"/>
      <c r="F2192" s="44" t="s">
        <v>75</v>
      </c>
      <c r="G2192" s="45" t="s">
        <v>29</v>
      </c>
      <c r="H2192" s="51">
        <f t="shared" si="34"/>
        <v>0.34516338806698088</v>
      </c>
      <c r="I2192" s="47"/>
      <c r="J2192" s="48">
        <f>VLOOKUP(A2192,'[1]תקציב 2026'!$A$1:$M$65536,9,0)</f>
        <v>827410</v>
      </c>
      <c r="K2192" s="49">
        <v>615100</v>
      </c>
      <c r="L2192" s="50">
        <f>VLOOKUP(A2192,[2]data1761205830331!$A$1:$J$65536,10,0)</f>
        <v>525100</v>
      </c>
    </row>
    <row r="2193" spans="1:12" ht="15.6" outlineLevel="1">
      <c r="A2193" s="11">
        <v>1811100580</v>
      </c>
      <c r="B2193" s="40">
        <v>580</v>
      </c>
      <c r="C2193" s="109">
        <v>811100</v>
      </c>
      <c r="D2193" s="42">
        <v>1</v>
      </c>
      <c r="E2193" s="43"/>
      <c r="F2193" s="44" t="s">
        <v>1280</v>
      </c>
      <c r="G2193" s="45" t="s">
        <v>37</v>
      </c>
      <c r="H2193" s="51">
        <f t="shared" si="34"/>
        <v>0.11111111111111116</v>
      </c>
      <c r="I2193" s="47"/>
      <c r="J2193" s="48">
        <f>VLOOKUP(A2193,'[1]תקציב 2026'!$A$1:$M$65536,9,0)</f>
        <v>350000</v>
      </c>
      <c r="K2193" s="49">
        <f>VLOOKUP(A2193,[3]גיליון1!$A$1:$C$7693,3,0)*0.9</f>
        <v>315000</v>
      </c>
      <c r="L2193" s="50">
        <f>VLOOKUP(A2193,[2]data1761205830331!$A$1:$J$65536,10,0)</f>
        <v>350000</v>
      </c>
    </row>
    <row r="2194" spans="1:12" ht="15.6" outlineLevel="1">
      <c r="A2194" s="11">
        <v>1811100583</v>
      </c>
      <c r="B2194" s="40">
        <v>583</v>
      </c>
      <c r="C2194" s="109">
        <v>811100</v>
      </c>
      <c r="D2194" s="42">
        <v>1</v>
      </c>
      <c r="E2194" s="43"/>
      <c r="F2194" s="44" t="s">
        <v>1281</v>
      </c>
      <c r="G2194" s="45" t="s">
        <v>37</v>
      </c>
      <c r="H2194" s="51">
        <f t="shared" si="34"/>
        <v>-1</v>
      </c>
      <c r="I2194" s="47"/>
      <c r="J2194" s="48">
        <f>VLOOKUP(A2194,'[1]תקציב 2026'!$A$1:$M$65536,9,0)</f>
        <v>0</v>
      </c>
      <c r="K2194" s="49">
        <f>VLOOKUP(A2194,[3]גיליון1!$A$1:$C$7693,3,0)*0.9</f>
        <v>45000</v>
      </c>
      <c r="L2194" s="50">
        <f>VLOOKUP(A2194,[2]data1761205830331!$A$1:$J$65536,10,0)</f>
        <v>0</v>
      </c>
    </row>
    <row r="2195" spans="1:12" ht="15.6" outlineLevel="1">
      <c r="A2195" s="11">
        <v>1811100596</v>
      </c>
      <c r="B2195" s="40">
        <v>596</v>
      </c>
      <c r="C2195" s="109">
        <v>811100</v>
      </c>
      <c r="D2195" s="42">
        <v>1</v>
      </c>
      <c r="E2195" s="43"/>
      <c r="F2195" s="44" t="s">
        <v>76</v>
      </c>
      <c r="G2195" s="45" t="s">
        <v>29</v>
      </c>
      <c r="H2195" s="51">
        <f t="shared" si="34"/>
        <v>0.44052863436123357</v>
      </c>
      <c r="I2195" s="47"/>
      <c r="J2195" s="48">
        <f>VLOOKUP(A2195,'[1]תקציב 2026'!$A$1:$M$65536,9,0)</f>
        <v>32700</v>
      </c>
      <c r="K2195" s="49">
        <v>22700</v>
      </c>
      <c r="L2195" s="50">
        <f>VLOOKUP(A2195,[2]data1761205830331!$A$1:$J$65536,10,0)</f>
        <v>21217</v>
      </c>
    </row>
    <row r="2196" spans="1:12" ht="15.6" outlineLevel="1">
      <c r="A2196" s="11">
        <v>1811100710</v>
      </c>
      <c r="B2196" s="40">
        <v>710</v>
      </c>
      <c r="C2196" s="109">
        <v>811100</v>
      </c>
      <c r="D2196" s="42">
        <v>1</v>
      </c>
      <c r="E2196" s="43"/>
      <c r="F2196" s="44" t="s">
        <v>1282</v>
      </c>
      <c r="G2196" s="45" t="s">
        <v>37</v>
      </c>
      <c r="H2196" s="51">
        <f t="shared" si="34"/>
        <v>0.22222222222222232</v>
      </c>
      <c r="I2196" s="47"/>
      <c r="J2196" s="48">
        <f>VLOOKUP(A2196,'[1]תקציב 2026'!$A$1:$M$65536,9,0)</f>
        <v>220000</v>
      </c>
      <c r="K2196" s="49">
        <f>200000*0.9</f>
        <v>180000</v>
      </c>
      <c r="L2196" s="50">
        <f>VLOOKUP(A2196,[2]data1761205830331!$A$1:$J$65536,10,0)</f>
        <v>150499.5</v>
      </c>
    </row>
    <row r="2197" spans="1:12" ht="15.6" outlineLevel="1">
      <c r="A2197" s="11">
        <v>1811100729</v>
      </c>
      <c r="B2197" s="40">
        <v>729</v>
      </c>
      <c r="C2197" s="109">
        <v>811100</v>
      </c>
      <c r="D2197" s="42">
        <v>1</v>
      </c>
      <c r="E2197" s="43"/>
      <c r="F2197" s="44" t="s">
        <v>1283</v>
      </c>
      <c r="G2197" s="45" t="s">
        <v>37</v>
      </c>
      <c r="H2197" s="51">
        <f t="shared" si="34"/>
        <v>9.7393689986282617E-2</v>
      </c>
      <c r="I2197" s="47"/>
      <c r="J2197" s="48">
        <f>VLOOKUP(A2197,'[1]תקציב 2026'!$A$1:$M$65536,9,0)</f>
        <v>800000</v>
      </c>
      <c r="K2197" s="49">
        <f>VLOOKUP(A2197,[3]גיליון1!$A$1:$C$7693,3,0)*0.9</f>
        <v>729000</v>
      </c>
      <c r="L2197" s="50">
        <f>VLOOKUP(A2197,[2]data1761205830331!$A$1:$J$65536,10,0)</f>
        <v>681702.68</v>
      </c>
    </row>
    <row r="2198" spans="1:12" ht="15.6" outlineLevel="1">
      <c r="A2198" s="11">
        <v>1811100750</v>
      </c>
      <c r="B2198" s="40">
        <v>750</v>
      </c>
      <c r="C2198" s="109">
        <v>811100</v>
      </c>
      <c r="D2198" s="42">
        <v>1</v>
      </c>
      <c r="E2198" s="43"/>
      <c r="F2198" s="44" t="s">
        <v>1284</v>
      </c>
      <c r="G2198" s="45" t="s">
        <v>29</v>
      </c>
      <c r="H2198" s="51">
        <f t="shared" si="34"/>
        <v>0.1333333333333333</v>
      </c>
      <c r="I2198" s="47"/>
      <c r="J2198" s="48">
        <f>VLOOKUP(A2198,'[1]תקציב 2026'!$A$1:$M$65536,9,0)</f>
        <v>340000</v>
      </c>
      <c r="K2198" s="49">
        <v>300000</v>
      </c>
      <c r="L2198" s="50">
        <f>VLOOKUP(A2198,[2]data1761205830331!$A$1:$J$65536,10,0)</f>
        <v>256736.24</v>
      </c>
    </row>
    <row r="2199" spans="1:12" ht="15.6" outlineLevel="1">
      <c r="A2199" s="11">
        <v>1811100751</v>
      </c>
      <c r="B2199" s="40">
        <v>751</v>
      </c>
      <c r="C2199" s="109">
        <v>811100</v>
      </c>
      <c r="D2199" s="42">
        <v>1</v>
      </c>
      <c r="E2199" s="43"/>
      <c r="F2199" s="44" t="s">
        <v>919</v>
      </c>
      <c r="G2199" s="45" t="s">
        <v>37</v>
      </c>
      <c r="H2199" s="51">
        <f t="shared" si="34"/>
        <v>0</v>
      </c>
      <c r="I2199" s="47"/>
      <c r="J2199" s="48">
        <f>VLOOKUP(A2199,'[1]תקציב 2026'!$A$1:$M$65536,9,0)</f>
        <v>155300</v>
      </c>
      <c r="K2199" s="49">
        <v>155300</v>
      </c>
      <c r="L2199" s="50">
        <f>VLOOKUP(A2199,[2]data1761205830331!$A$1:$J$65536,10,0)</f>
        <v>46231</v>
      </c>
    </row>
    <row r="2200" spans="1:12" ht="15.6" outlineLevel="1">
      <c r="A2200" s="11">
        <v>1811100752</v>
      </c>
      <c r="B2200" s="40">
        <v>752</v>
      </c>
      <c r="C2200" s="109">
        <v>811100</v>
      </c>
      <c r="D2200" s="42">
        <v>1</v>
      </c>
      <c r="E2200" s="43"/>
      <c r="F2200" s="44" t="s">
        <v>54</v>
      </c>
      <c r="G2200" s="45" t="s">
        <v>29</v>
      </c>
      <c r="H2200" s="51">
        <f t="shared" si="34"/>
        <v>0</v>
      </c>
      <c r="I2200" s="47"/>
      <c r="J2200" s="48">
        <f>VLOOKUP(A2200,'[1]תקציב 2026'!$A$1:$M$65536,9,0)</f>
        <v>300000</v>
      </c>
      <c r="K2200" s="49">
        <f>VLOOKUP(A2200,[3]גיליון1!$A$1:$C$7693,3,0)</f>
        <v>300000</v>
      </c>
      <c r="L2200" s="50">
        <f>VLOOKUP(A2200,[2]data1761205830331!$A$1:$J$65536,10,0)</f>
        <v>297027.84000000003</v>
      </c>
    </row>
    <row r="2201" spans="1:12" ht="15.6" outlineLevel="1">
      <c r="A2201" s="11">
        <v>1811100756</v>
      </c>
      <c r="B2201" s="40">
        <v>756</v>
      </c>
      <c r="C2201" s="109">
        <v>811100</v>
      </c>
      <c r="D2201" s="42">
        <v>1</v>
      </c>
      <c r="E2201" s="43"/>
      <c r="F2201" s="154" t="s">
        <v>55</v>
      </c>
      <c r="G2201" s="45" t="s">
        <v>29</v>
      </c>
      <c r="H2201" s="51">
        <f t="shared" si="34"/>
        <v>0.39999999999999991</v>
      </c>
      <c r="I2201" s="47"/>
      <c r="J2201" s="48">
        <f>VLOOKUP(A2201,'[1]תקציב 2026'!$A$1:$M$65536,9,0)</f>
        <v>350000</v>
      </c>
      <c r="K2201" s="49">
        <f>VLOOKUP(A2201,[3]גיליון1!$A$1:$C$7693,3,0)</f>
        <v>250000</v>
      </c>
      <c r="L2201" s="50">
        <f>VLOOKUP(A2201,[2]data1761205830331!$A$1:$J$65536,10,0)</f>
        <v>379247.11</v>
      </c>
    </row>
    <row r="2202" spans="1:12" ht="15.6" outlineLevel="1">
      <c r="A2202" s="11">
        <v>1811100759</v>
      </c>
      <c r="B2202" s="40">
        <v>759</v>
      </c>
      <c r="C2202" s="109">
        <v>811100</v>
      </c>
      <c r="D2202" s="42">
        <v>1</v>
      </c>
      <c r="E2202" s="43"/>
      <c r="F2202" s="44" t="s">
        <v>1285</v>
      </c>
      <c r="G2202" s="45" t="s">
        <v>37</v>
      </c>
      <c r="H2202" s="51">
        <f t="shared" si="34"/>
        <v>0.50551005965018714</v>
      </c>
      <c r="I2202" s="47"/>
      <c r="J2202" s="48">
        <f>VLOOKUP(A2202,'[1]תקציב 2026'!$A$1:$M$65536,9,0)</f>
        <v>1489100</v>
      </c>
      <c r="K2202" s="49">
        <f>VLOOKUP(A2202,[3]גיליון1!$A$1:$C$7693,3,0)*0.9</f>
        <v>989100</v>
      </c>
      <c r="L2202" s="50">
        <f>VLOOKUP(A2202,[2]data1761205830331!$A$1:$J$65536,10,0)</f>
        <v>993120</v>
      </c>
    </row>
    <row r="2203" spans="1:12" ht="15.6" outlineLevel="1">
      <c r="A2203" s="11">
        <v>1811100780</v>
      </c>
      <c r="B2203" s="40">
        <v>780</v>
      </c>
      <c r="C2203" s="109">
        <v>811100</v>
      </c>
      <c r="D2203" s="42">
        <v>1</v>
      </c>
      <c r="E2203" s="43"/>
      <c r="F2203" s="44" t="s">
        <v>1286</v>
      </c>
      <c r="G2203" s="45" t="s">
        <v>37</v>
      </c>
      <c r="H2203" s="51">
        <f t="shared" si="34"/>
        <v>0</v>
      </c>
      <c r="I2203" s="47"/>
      <c r="J2203" s="48">
        <f>VLOOKUP(A2203,'[1]תקציב 2026'!$A$1:$M$65536,9,0)</f>
        <v>24300</v>
      </c>
      <c r="K2203" s="49">
        <f>VLOOKUP(A2203,[3]גיליון1!$A$1:$C$7693,3,0)*0.9</f>
        <v>24300</v>
      </c>
      <c r="L2203" s="50">
        <f>VLOOKUP(A2203,[2]data1761205830331!$A$1:$J$65536,10,0)</f>
        <v>25108.13</v>
      </c>
    </row>
    <row r="2204" spans="1:12" ht="15.6" outlineLevel="1">
      <c r="A2204" s="11">
        <v>1811100781</v>
      </c>
      <c r="B2204" s="40">
        <v>781</v>
      </c>
      <c r="C2204" s="109">
        <v>811100</v>
      </c>
      <c r="D2204" s="42">
        <v>1</v>
      </c>
      <c r="E2204" s="43"/>
      <c r="F2204" s="44" t="s">
        <v>775</v>
      </c>
      <c r="G2204" s="45" t="s">
        <v>37</v>
      </c>
      <c r="H2204" s="51">
        <f t="shared" si="34"/>
        <v>0.6333333333333333</v>
      </c>
      <c r="I2204" s="47"/>
      <c r="J2204" s="48">
        <f>VLOOKUP(A2204,'[1]תקציב 2026'!$A$1:$M$65536,9,0)</f>
        <v>58800</v>
      </c>
      <c r="K2204" s="49">
        <f>VLOOKUP(A2204,[3]גיליון1!$A$1:$C$7693,3,0)*0.9</f>
        <v>36000</v>
      </c>
      <c r="L2204" s="50">
        <f>VLOOKUP(A2204,[2]data1761205830331!$A$1:$J$65536,10,0)</f>
        <v>34829.51</v>
      </c>
    </row>
    <row r="2205" spans="1:12" ht="15.6" outlineLevel="1">
      <c r="A2205" s="11">
        <v>1811100783</v>
      </c>
      <c r="B2205" s="40">
        <v>783</v>
      </c>
      <c r="C2205" s="109">
        <v>811100</v>
      </c>
      <c r="D2205" s="42">
        <v>1</v>
      </c>
      <c r="E2205" s="43"/>
      <c r="F2205" s="44" t="s">
        <v>1287</v>
      </c>
      <c r="G2205" s="45" t="s">
        <v>37</v>
      </c>
      <c r="H2205" s="51">
        <f t="shared" si="34"/>
        <v>0</v>
      </c>
      <c r="I2205" s="47"/>
      <c r="J2205" s="48">
        <f>VLOOKUP(A2205,'[1]תקציב 2026'!$A$1:$M$65536,9,0)</f>
        <v>5580</v>
      </c>
      <c r="K2205" s="49">
        <f>VLOOKUP(A2205,[3]גיליון1!$A$1:$C$7693,3,0)*0.9</f>
        <v>5580</v>
      </c>
      <c r="L2205" s="50">
        <f>VLOOKUP(A2205,[2]data1761205830331!$A$1:$J$65536,10,0)</f>
        <v>0</v>
      </c>
    </row>
    <row r="2206" spans="1:12" ht="15.6" outlineLevel="1">
      <c r="A2206" s="11">
        <v>1811100784</v>
      </c>
      <c r="B2206" s="40">
        <v>784</v>
      </c>
      <c r="C2206" s="109">
        <v>811100</v>
      </c>
      <c r="D2206" s="42">
        <v>1</v>
      </c>
      <c r="E2206" s="43"/>
      <c r="F2206" s="44" t="s">
        <v>1288</v>
      </c>
      <c r="G2206" s="45" t="s">
        <v>37</v>
      </c>
      <c r="H2206" s="51">
        <f t="shared" si="34"/>
        <v>-3.6820446177171506E-3</v>
      </c>
      <c r="I2206" s="47"/>
      <c r="J2206" s="48">
        <f>VLOOKUP(A2206,'[1]תקציב 2026'!$A$1:$M$65536,9,0)</f>
        <v>46000</v>
      </c>
      <c r="K2206" s="49">
        <f>VLOOKUP(A2206,[3]גיליון1!$A$1:$C$7693,3,0)*0.9</f>
        <v>46170</v>
      </c>
      <c r="L2206" s="50">
        <f>VLOOKUP(A2206,[2]data1761205830331!$A$1:$J$65536,10,0)</f>
        <v>40296.97</v>
      </c>
    </row>
    <row r="2207" spans="1:12" ht="15.6" outlineLevel="1">
      <c r="A2207" s="11">
        <v>1811100785</v>
      </c>
      <c r="B2207" s="40">
        <v>785</v>
      </c>
      <c r="C2207" s="109">
        <v>811100</v>
      </c>
      <c r="D2207" s="42">
        <v>1</v>
      </c>
      <c r="E2207" s="43"/>
      <c r="F2207" s="44" t="s">
        <v>1289</v>
      </c>
      <c r="G2207" s="45" t="s">
        <v>37</v>
      </c>
      <c r="H2207" s="51">
        <f t="shared" si="34"/>
        <v>0</v>
      </c>
      <c r="I2207" s="47"/>
      <c r="J2207" s="48">
        <f>VLOOKUP(A2207,'[1]תקציב 2026'!$A$1:$M$65536,9,0)</f>
        <v>24400</v>
      </c>
      <c r="K2207" s="49">
        <v>24400</v>
      </c>
      <c r="L2207" s="50">
        <f>VLOOKUP(A2207,[2]data1761205830331!$A$1:$J$65536,10,0)</f>
        <v>1755</v>
      </c>
    </row>
    <row r="2208" spans="1:12" ht="15.6" outlineLevel="1">
      <c r="A2208" s="11">
        <v>1811100786</v>
      </c>
      <c r="B2208" s="40">
        <v>786</v>
      </c>
      <c r="C2208" s="109">
        <v>811100</v>
      </c>
      <c r="D2208" s="42">
        <v>1</v>
      </c>
      <c r="E2208" s="43"/>
      <c r="F2208" s="44" t="s">
        <v>1290</v>
      </c>
      <c r="G2208" s="45" t="s">
        <v>29</v>
      </c>
      <c r="H2208" s="51">
        <f t="shared" si="34"/>
        <v>0.22222222222222232</v>
      </c>
      <c r="I2208" s="47"/>
      <c r="J2208" s="48">
        <f>VLOOKUP(A2208,'[1]תקציב 2026'!$A$1:$M$65536,9,0)</f>
        <v>99000</v>
      </c>
      <c r="K2208" s="49">
        <f>VLOOKUP(A2208,[3]גיליון1!$A$1:$C$7693,3,0)*0.9</f>
        <v>81000</v>
      </c>
      <c r="L2208" s="50">
        <f>VLOOKUP(A2208,[2]data1761205830331!$A$1:$J$65536,10,0)</f>
        <v>90000</v>
      </c>
    </row>
    <row r="2209" spans="1:12" ht="15.6" outlineLevel="1">
      <c r="A2209" s="11">
        <v>1811100787</v>
      </c>
      <c r="B2209" s="40">
        <v>787</v>
      </c>
      <c r="C2209" s="109">
        <v>811100</v>
      </c>
      <c r="D2209" s="42">
        <v>1</v>
      </c>
      <c r="E2209" s="43"/>
      <c r="F2209" s="44" t="s">
        <v>1291</v>
      </c>
      <c r="G2209" s="45" t="s">
        <v>37</v>
      </c>
      <c r="H2209" s="51">
        <f t="shared" si="34"/>
        <v>0.22222222222222232</v>
      </c>
      <c r="I2209" s="47"/>
      <c r="J2209" s="48">
        <f>VLOOKUP(A2209,'[1]תקציב 2026'!$A$1:$M$65536,9,0)</f>
        <v>121000</v>
      </c>
      <c r="K2209" s="49">
        <f>VLOOKUP(A2209,[3]גיליון1!$A$1:$C$7693,3,0)*0.9</f>
        <v>99000</v>
      </c>
      <c r="L2209" s="50">
        <f>VLOOKUP(A2209,[2]data1761205830331!$A$1:$J$65536,10,0)</f>
        <v>110000</v>
      </c>
    </row>
    <row r="2210" spans="1:12" ht="15.6" outlineLevel="1">
      <c r="A2210" s="11">
        <v>1811100788</v>
      </c>
      <c r="B2210" s="40">
        <v>788</v>
      </c>
      <c r="C2210" s="109">
        <v>811100</v>
      </c>
      <c r="D2210" s="42">
        <v>1</v>
      </c>
      <c r="E2210" s="43"/>
      <c r="F2210" s="44" t="s">
        <v>1292</v>
      </c>
      <c r="G2210" s="45" t="s">
        <v>37</v>
      </c>
      <c r="H2210" s="51">
        <f t="shared" si="34"/>
        <v>0.13960113960113962</v>
      </c>
      <c r="I2210" s="47" t="s">
        <v>137</v>
      </c>
      <c r="J2210" s="48">
        <f>VLOOKUP(A2210,'[1]תקציב 2026'!$A$1:$M$65536,9,0)</f>
        <v>440000</v>
      </c>
      <c r="K2210" s="49">
        <v>386100</v>
      </c>
      <c r="L2210" s="50">
        <f>VLOOKUP(A2210,[2]data1761205830331!$A$1:$J$65536,10,0)</f>
        <v>324727.94</v>
      </c>
    </row>
    <row r="2211" spans="1:12" ht="15.6" outlineLevel="1">
      <c r="A2211" s="11">
        <v>1811100791</v>
      </c>
      <c r="B2211" s="40">
        <v>791</v>
      </c>
      <c r="C2211" s="109">
        <v>811100</v>
      </c>
      <c r="D2211" s="42">
        <v>1</v>
      </c>
      <c r="E2211" s="43"/>
      <c r="F2211" s="44" t="s">
        <v>1293</v>
      </c>
      <c r="G2211" s="45" t="s">
        <v>29</v>
      </c>
      <c r="H2211" s="51">
        <f t="shared" si="34"/>
        <v>0</v>
      </c>
      <c r="I2211" s="47"/>
      <c r="J2211" s="48">
        <f>VLOOKUP(A2211,'[1]תקציב 2026'!$A$1:$M$65536,9,0)</f>
        <v>65000</v>
      </c>
      <c r="K2211" s="49">
        <f>VLOOKUP(A2211,[3]גיליון1!$A$1:$C$7693,3,0)</f>
        <v>65000</v>
      </c>
      <c r="L2211" s="50">
        <f>VLOOKUP(A2211,[2]data1761205830331!$A$1:$J$65536,10,0)</f>
        <v>22978.59</v>
      </c>
    </row>
    <row r="2212" spans="1:12" ht="15.6" outlineLevel="1">
      <c r="A2212" s="11">
        <v>1811100792</v>
      </c>
      <c r="B2212" s="40">
        <v>792</v>
      </c>
      <c r="C2212" s="109">
        <v>811100</v>
      </c>
      <c r="D2212" s="42">
        <v>1</v>
      </c>
      <c r="E2212" s="43"/>
      <c r="F2212" s="44" t="s">
        <v>1294</v>
      </c>
      <c r="G2212" s="45" t="s">
        <v>29</v>
      </c>
      <c r="H2212" s="51">
        <f t="shared" si="34"/>
        <v>-1</v>
      </c>
      <c r="I2212" s="47"/>
      <c r="J2212" s="48">
        <f>VLOOKUP(A2212,'[1]תקציב 2026'!$A$1:$M$65536,9,0)</f>
        <v>0</v>
      </c>
      <c r="K2212" s="49">
        <v>130000</v>
      </c>
      <c r="L2212" s="50">
        <f>VLOOKUP(A2212,[2]data1761205830331!$A$1:$J$65536,10,0)</f>
        <v>0</v>
      </c>
    </row>
    <row r="2213" spans="1:12" ht="15.6" outlineLevel="1">
      <c r="A2213" s="11">
        <v>1811100793</v>
      </c>
      <c r="B2213" s="40">
        <v>793</v>
      </c>
      <c r="C2213" s="109">
        <v>811100</v>
      </c>
      <c r="D2213" s="42">
        <v>1</v>
      </c>
      <c r="E2213" s="43"/>
      <c r="F2213" s="44" t="s">
        <v>1295</v>
      </c>
      <c r="G2213" s="45" t="s">
        <v>37</v>
      </c>
      <c r="H2213" s="51">
        <v>1</v>
      </c>
      <c r="I2213" s="47" t="s">
        <v>86</v>
      </c>
      <c r="J2213" s="48">
        <f>VLOOKUP(A2213,'[1]תקציב 2026'!$A$1:$M$65536,9,0)</f>
        <v>100000</v>
      </c>
      <c r="K2213" s="49">
        <v>0</v>
      </c>
      <c r="L2213" s="50">
        <v>0</v>
      </c>
    </row>
    <row r="2214" spans="1:12" ht="15.6" outlineLevel="1">
      <c r="A2214" s="11">
        <v>1811100794</v>
      </c>
      <c r="B2214" s="40">
        <v>794</v>
      </c>
      <c r="C2214" s="109">
        <v>811100</v>
      </c>
      <c r="D2214" s="42">
        <v>1</v>
      </c>
      <c r="E2214" s="43"/>
      <c r="F2214" s="44" t="s">
        <v>58</v>
      </c>
      <c r="G2214" s="45" t="s">
        <v>29</v>
      </c>
      <c r="H2214" s="51">
        <f t="shared" si="34"/>
        <v>0.13681818181818173</v>
      </c>
      <c r="I2214" s="47"/>
      <c r="J2214" s="48">
        <f>VLOOKUP(A2214,'[1]תקציב 2026'!$A$1:$M$65536,9,0)</f>
        <v>75030</v>
      </c>
      <c r="K2214" s="49">
        <v>66000</v>
      </c>
      <c r="L2214" s="50">
        <f>VLOOKUP(A2214,[2]data1761205830331!$A$1:$J$65536,10,0)</f>
        <v>75141</v>
      </c>
    </row>
    <row r="2215" spans="1:12" ht="15.6" outlineLevel="1">
      <c r="A2215" s="11">
        <v>1811100810</v>
      </c>
      <c r="B2215" s="40">
        <v>810</v>
      </c>
      <c r="C2215" s="109">
        <v>811100</v>
      </c>
      <c r="D2215" s="42">
        <v>1</v>
      </c>
      <c r="E2215" s="43"/>
      <c r="F2215" s="44" t="s">
        <v>1296</v>
      </c>
      <c r="G2215" s="45" t="s">
        <v>37</v>
      </c>
      <c r="H2215" s="51">
        <f t="shared" si="34"/>
        <v>0</v>
      </c>
      <c r="I2215" s="47"/>
      <c r="J2215" s="48">
        <f>VLOOKUP(A2215,'[1]תקציב 2026'!$A$1:$M$65536,9,0)</f>
        <v>36000</v>
      </c>
      <c r="K2215" s="49">
        <f>VLOOKUP(A2215,[3]גיליון1!$A$1:$C$7693,3,0)*0.9</f>
        <v>36000</v>
      </c>
      <c r="L2215" s="50">
        <f>VLOOKUP(A2215,[2]data1761205830331!$A$1:$J$65536,10,0)</f>
        <v>0</v>
      </c>
    </row>
    <row r="2216" spans="1:12" ht="15.6" outlineLevel="1">
      <c r="A2216" s="11">
        <v>1811100850</v>
      </c>
      <c r="B2216" s="40">
        <v>850</v>
      </c>
      <c r="C2216" s="109">
        <v>811100</v>
      </c>
      <c r="D2216" s="42">
        <v>1</v>
      </c>
      <c r="E2216" s="43"/>
      <c r="F2216" s="44" t="s">
        <v>1297</v>
      </c>
      <c r="G2216" s="45" t="s">
        <v>37</v>
      </c>
      <c r="H2216" s="51">
        <f t="shared" si="34"/>
        <v>3.9876224200082966E-2</v>
      </c>
      <c r="I2216" s="47"/>
      <c r="J2216" s="48">
        <f>VLOOKUP(A2216,'[1]תקציב 2026'!$A$1:$M$65536,9,0)</f>
        <v>1303880</v>
      </c>
      <c r="K2216" s="49">
        <f>(VLOOKUP(A2216,[3]גיליון1!$A$1:$C$7693,3,0)+150000)*0.9</f>
        <v>1253880</v>
      </c>
      <c r="L2216" s="50">
        <f>VLOOKUP(A2216,[2]data1761205830331!$A$1:$J$65536,10,0)</f>
        <v>1007500</v>
      </c>
    </row>
    <row r="2217" spans="1:12" ht="15.6" outlineLevel="1">
      <c r="A2217" s="11">
        <v>1811100852</v>
      </c>
      <c r="B2217" s="40">
        <v>852</v>
      </c>
      <c r="C2217" s="109">
        <v>811100</v>
      </c>
      <c r="D2217" s="42">
        <v>1</v>
      </c>
      <c r="E2217" s="43"/>
      <c r="F2217" s="154" t="s">
        <v>1298</v>
      </c>
      <c r="G2217" s="45" t="s">
        <v>37</v>
      </c>
      <c r="H2217" s="51">
        <f t="shared" si="34"/>
        <v>0</v>
      </c>
      <c r="I2217" s="47"/>
      <c r="J2217" s="48">
        <f>VLOOKUP(A2217,'[1]תקציב 2026'!$A$1:$M$65536,9,0)</f>
        <v>264600</v>
      </c>
      <c r="K2217" s="49">
        <f>VLOOKUP(A2217,[3]גיליון1!$A$1:$C$7693,3,0)*0.9</f>
        <v>264600</v>
      </c>
      <c r="L2217" s="50">
        <f>VLOOKUP(A2217,[2]data1761205830331!$A$1:$J$65536,10,0)</f>
        <v>238000</v>
      </c>
    </row>
    <row r="2218" spans="1:12" ht="15.6" outlineLevel="1">
      <c r="A2218" s="11">
        <v>1811100930</v>
      </c>
      <c r="B2218" s="40">
        <v>930</v>
      </c>
      <c r="C2218" s="109">
        <v>811100</v>
      </c>
      <c r="D2218" s="42">
        <v>1</v>
      </c>
      <c r="E2218" s="43"/>
      <c r="F2218" s="44" t="s">
        <v>268</v>
      </c>
      <c r="G2218" s="45" t="s">
        <v>37</v>
      </c>
      <c r="H2218" s="51">
        <f t="shared" si="34"/>
        <v>0</v>
      </c>
      <c r="I2218" s="47"/>
      <c r="J2218" s="48">
        <f>VLOOKUP(A2218,'[1]תקציב 2026'!$A$1:$M$65536,9,0)</f>
        <v>111960</v>
      </c>
      <c r="K2218" s="49">
        <f>VLOOKUP(A2218,[3]גיליון1!$A$1:$C$7693,3,0)*0.9</f>
        <v>111960</v>
      </c>
      <c r="L2218" s="50">
        <f>VLOOKUP(A2218,[2]data1761205830331!$A$1:$J$65536,10,0)</f>
        <v>34486</v>
      </c>
    </row>
    <row r="2219" spans="1:12" ht="15.6" outlineLevel="1">
      <c r="A2219" s="11">
        <v>1811100931</v>
      </c>
      <c r="B2219" s="40">
        <v>931</v>
      </c>
      <c r="C2219" s="109">
        <v>811100</v>
      </c>
      <c r="D2219" s="42">
        <v>1</v>
      </c>
      <c r="E2219" s="43"/>
      <c r="F2219" s="44" t="s">
        <v>1299</v>
      </c>
      <c r="G2219" s="45" t="s">
        <v>37</v>
      </c>
      <c r="H2219" s="51">
        <f t="shared" si="34"/>
        <v>0</v>
      </c>
      <c r="I2219" s="47"/>
      <c r="J2219" s="48">
        <f>VLOOKUP(A2219,'[1]תקציב 2026'!$A$1:$M$65536,9,0)</f>
        <v>46170</v>
      </c>
      <c r="K2219" s="49">
        <f>VLOOKUP(A2219,[3]גיליון1!$A$1:$C$7693,3,0)*0.9</f>
        <v>46170</v>
      </c>
      <c r="L2219" s="50">
        <f>VLOOKUP(A2219,[2]data1761205830331!$A$1:$J$65536,10,0)</f>
        <v>23750</v>
      </c>
    </row>
    <row r="2220" spans="1:12" ht="15.6" outlineLevel="1">
      <c r="A2220" s="11">
        <v>1811100933</v>
      </c>
      <c r="B2220" s="40">
        <v>933</v>
      </c>
      <c r="C2220" s="109">
        <v>811100</v>
      </c>
      <c r="D2220" s="42">
        <v>1</v>
      </c>
      <c r="E2220" s="43"/>
      <c r="F2220" s="44" t="s">
        <v>1300</v>
      </c>
      <c r="G2220" s="45" t="s">
        <v>37</v>
      </c>
      <c r="H2220" s="51">
        <f t="shared" si="34"/>
        <v>-1</v>
      </c>
      <c r="I2220" s="47"/>
      <c r="J2220" s="48">
        <f>VLOOKUP(A2220,'[1]תקציב 2026'!$A$1:$M$65536,9,0)</f>
        <v>0</v>
      </c>
      <c r="K2220" s="49">
        <f>VLOOKUP(A2220,[3]גיליון1!$A$1:$C$7693,3,0)*0.9</f>
        <v>342000</v>
      </c>
      <c r="L2220" s="50">
        <f>VLOOKUP(A2220,[2]data1761205830331!$A$1:$J$65536,10,0)</f>
        <v>247573.81</v>
      </c>
    </row>
    <row r="2221" spans="1:12" ht="17.25" customHeight="1" outlineLevel="1">
      <c r="A2221" s="11">
        <v>1811100934</v>
      </c>
      <c r="B2221" s="40">
        <v>934</v>
      </c>
      <c r="C2221" s="109">
        <v>811100</v>
      </c>
      <c r="D2221" s="42">
        <v>1</v>
      </c>
      <c r="E2221" s="43"/>
      <c r="F2221" s="44" t="s">
        <v>1301</v>
      </c>
      <c r="G2221" s="45" t="s">
        <v>37</v>
      </c>
      <c r="H2221" s="51">
        <f t="shared" si="34"/>
        <v>0.33333333333333326</v>
      </c>
      <c r="I2221" s="47"/>
      <c r="J2221" s="48">
        <f>VLOOKUP(A2221,'[1]תקציב 2026'!$A$1:$M$65536,9,0)</f>
        <v>60000</v>
      </c>
      <c r="K2221" s="49">
        <f>VLOOKUP(A2221,[3]גיליון1!$A$1:$C$7693,3,0)*0.9</f>
        <v>45000</v>
      </c>
      <c r="L2221" s="50">
        <f>VLOOKUP(A2221,[2]data1761205830331!$A$1:$J$65536,10,0)</f>
        <v>17166.59</v>
      </c>
    </row>
    <row r="2222" spans="1:12" ht="15.6" outlineLevel="1">
      <c r="A2222" s="11">
        <v>1811100935</v>
      </c>
      <c r="B2222" s="40">
        <v>935</v>
      </c>
      <c r="C2222" s="109">
        <v>811100</v>
      </c>
      <c r="D2222" s="42">
        <v>1</v>
      </c>
      <c r="E2222" s="43"/>
      <c r="F2222" s="44" t="s">
        <v>1302</v>
      </c>
      <c r="G2222" s="45" t="s">
        <v>37</v>
      </c>
      <c r="H2222" s="51">
        <f t="shared" si="34"/>
        <v>0.23456790123456783</v>
      </c>
      <c r="I2222" s="47"/>
      <c r="J2222" s="48">
        <f>VLOOKUP(A2222,'[1]תקציב 2026'!$A$1:$M$65536,9,0)</f>
        <v>500000</v>
      </c>
      <c r="K2222" s="49">
        <f>VLOOKUP(A2222,[3]גיליון1!$A$1:$C$7693,3,0)*0.9</f>
        <v>405000</v>
      </c>
      <c r="L2222" s="50">
        <f>VLOOKUP(A2222,[2]data1761205830331!$A$1:$J$65536,10,0)</f>
        <v>436798.1</v>
      </c>
    </row>
    <row r="2223" spans="1:12" ht="15.6" outlineLevel="1">
      <c r="A2223" s="11">
        <v>1811100936</v>
      </c>
      <c r="B2223" s="40">
        <v>936</v>
      </c>
      <c r="C2223" s="109">
        <v>811100</v>
      </c>
      <c r="D2223" s="42">
        <v>1</v>
      </c>
      <c r="E2223" s="43"/>
      <c r="F2223" s="44" t="s">
        <v>1303</v>
      </c>
      <c r="G2223" s="45" t="s">
        <v>37</v>
      </c>
      <c r="H2223" s="51">
        <f t="shared" si="34"/>
        <v>0.53846153846153855</v>
      </c>
      <c r="I2223" s="47"/>
      <c r="J2223" s="48">
        <f>VLOOKUP(A2223,'[1]תקציב 2026'!$A$1:$M$65536,9,0)</f>
        <v>450000</v>
      </c>
      <c r="K2223" s="49">
        <f>VLOOKUP(A2223,[3]גיליון1!$A$1:$C$7693,3,0)*0.9</f>
        <v>292500</v>
      </c>
      <c r="L2223" s="50">
        <f>VLOOKUP(A2223,[2]data1761205830331!$A$1:$J$65536,10,0)</f>
        <v>283888.24</v>
      </c>
    </row>
    <row r="2224" spans="1:12" ht="15.6" outlineLevel="1">
      <c r="A2224" s="11">
        <v>1811100937</v>
      </c>
      <c r="B2224" s="40">
        <v>937</v>
      </c>
      <c r="C2224" s="109">
        <v>811100</v>
      </c>
      <c r="D2224" s="42">
        <v>1</v>
      </c>
      <c r="E2224" s="43"/>
      <c r="F2224" s="44" t="s">
        <v>1304</v>
      </c>
      <c r="G2224" s="45" t="s">
        <v>37</v>
      </c>
      <c r="H2224" s="51">
        <f t="shared" si="34"/>
        <v>0</v>
      </c>
      <c r="I2224" s="47"/>
      <c r="J2224" s="48">
        <f>VLOOKUP(A2224,'[1]תקציב 2026'!$A$1:$M$65536,9,0)</f>
        <v>900000</v>
      </c>
      <c r="K2224" s="49">
        <f>VLOOKUP(A2224,[3]גיליון1!$A$1:$C$7693,3,0)*0.9</f>
        <v>900000</v>
      </c>
      <c r="L2224" s="50">
        <f>VLOOKUP(A2224,[2]data1761205830331!$A$1:$J$65536,10,0)</f>
        <v>1537993.92</v>
      </c>
    </row>
    <row r="2225" spans="1:12" ht="15.6" outlineLevel="1">
      <c r="A2225" s="11">
        <v>1811100938</v>
      </c>
      <c r="B2225" s="40">
        <v>938</v>
      </c>
      <c r="C2225" s="109">
        <v>811100</v>
      </c>
      <c r="D2225" s="42">
        <v>1</v>
      </c>
      <c r="E2225" s="43"/>
      <c r="F2225" s="44" t="s">
        <v>1305</v>
      </c>
      <c r="G2225" s="45" t="s">
        <v>29</v>
      </c>
      <c r="H2225" s="51">
        <f t="shared" si="34"/>
        <v>0</v>
      </c>
      <c r="I2225" s="47"/>
      <c r="J2225" s="48">
        <f>VLOOKUP(A2225,'[1]תקציב 2026'!$A$1:$M$65536,9,0)</f>
        <v>80000</v>
      </c>
      <c r="K2225" s="49">
        <f>VLOOKUP(A2225,[3]גיליון1!$A$1:$C$7693,3,0)</f>
        <v>80000</v>
      </c>
      <c r="L2225" s="50">
        <f>VLOOKUP(A2225,[2]data1761205830331!$A$1:$J$65536,10,0)</f>
        <v>74094</v>
      </c>
    </row>
    <row r="2226" spans="1:12" ht="15.6" outlineLevel="1">
      <c r="A2226" s="11">
        <v>1811100940</v>
      </c>
      <c r="B2226" s="40">
        <v>940</v>
      </c>
      <c r="C2226" s="109">
        <v>811100</v>
      </c>
      <c r="D2226" s="42">
        <v>1</v>
      </c>
      <c r="E2226" s="43"/>
      <c r="F2226" s="44" t="s">
        <v>1306</v>
      </c>
      <c r="G2226" s="45" t="s">
        <v>37</v>
      </c>
      <c r="H2226" s="51">
        <f t="shared" si="34"/>
        <v>0</v>
      </c>
      <c r="I2226" s="47"/>
      <c r="J2226" s="48">
        <f>VLOOKUP(A2226,'[1]תקציב 2026'!$A$1:$M$65536,9,0)</f>
        <v>20250</v>
      </c>
      <c r="K2226" s="49">
        <f>VLOOKUP(A2226,[3]גיליון1!$A$1:$C$7693,3,0)*0.9</f>
        <v>20250</v>
      </c>
      <c r="L2226" s="50">
        <f>VLOOKUP(A2226,[2]data1761205830331!$A$1:$J$65536,10,0)</f>
        <v>5512.76</v>
      </c>
    </row>
    <row r="2227" spans="1:12" ht="15.6" outlineLevel="1">
      <c r="A2227" s="11">
        <v>1811100941</v>
      </c>
      <c r="B2227" s="40">
        <v>941</v>
      </c>
      <c r="C2227" s="109">
        <v>811100</v>
      </c>
      <c r="D2227" s="42">
        <v>1</v>
      </c>
      <c r="E2227" s="43"/>
      <c r="F2227" s="44" t="s">
        <v>1307</v>
      </c>
      <c r="G2227" s="45" t="s">
        <v>29</v>
      </c>
      <c r="H2227" s="51">
        <f t="shared" si="34"/>
        <v>-1</v>
      </c>
      <c r="I2227" s="47"/>
      <c r="J2227" s="48">
        <f>VLOOKUP(A2227,'[1]תקציב 2026'!$A$1:$M$65536,9,0)</f>
        <v>0</v>
      </c>
      <c r="K2227" s="49">
        <f>VLOOKUP(A2227,[3]גיליון1!$A$1:$C$7693,3,0)*0.9</f>
        <v>900000</v>
      </c>
      <c r="L2227" s="50">
        <f>VLOOKUP(A2227,[2]data1761205830331!$A$1:$J$65536,10,0)</f>
        <v>1171359.6000000001</v>
      </c>
    </row>
    <row r="2228" spans="1:12" ht="16.2" outlineLevel="1" thickBot="1">
      <c r="A2228" s="11">
        <v>1811100961</v>
      </c>
      <c r="B2228" s="40">
        <v>961</v>
      </c>
      <c r="C2228" s="109">
        <v>811100</v>
      </c>
      <c r="D2228" s="42">
        <v>1</v>
      </c>
      <c r="E2228" s="43"/>
      <c r="F2228" s="44" t="s">
        <v>873</v>
      </c>
      <c r="G2228" s="45" t="s">
        <v>37</v>
      </c>
      <c r="H2228" s="51">
        <f t="shared" si="34"/>
        <v>0</v>
      </c>
      <c r="I2228" s="47"/>
      <c r="J2228" s="48">
        <f>VLOOKUP(A2228,'[1]תקציב 2026'!$A$1:$M$65536,9,0)</f>
        <v>23130</v>
      </c>
      <c r="K2228" s="49">
        <f>VLOOKUP(A2228,[3]גיליון1!$A$1:$C$7693,3,0)*0.9</f>
        <v>23130</v>
      </c>
      <c r="L2228" s="50">
        <f>VLOOKUP(A2228,[2]data1761205830331!$A$1:$J$65536,10,0)</f>
        <v>5402.14</v>
      </c>
    </row>
    <row r="2229" spans="1:12" ht="16.2" thickBot="1">
      <c r="A2229" s="11" t="e">
        <v>#VALUE!</v>
      </c>
      <c r="B2229" s="53" t="s">
        <v>1308</v>
      </c>
      <c r="C2229" s="223"/>
      <c r="D2229" s="55"/>
      <c r="E2229" s="56"/>
      <c r="F2229" s="116" t="s">
        <v>1309</v>
      </c>
      <c r="G2229" s="58"/>
      <c r="H2229" s="166">
        <f>J2229/K2229-1</f>
        <v>4.9583566346985908E-2</v>
      </c>
      <c r="I2229" s="72"/>
      <c r="J2229" s="74">
        <f>SUBTOTAL(9,J2166:J2228)</f>
        <v>30179390</v>
      </c>
      <c r="K2229" s="92">
        <f>SUBTOTAL(9,K2166:K2228)</f>
        <v>28753680</v>
      </c>
      <c r="L2229" s="75">
        <f>SUBTOTAL(9,L2166:L2228)</f>
        <v>28167506.34</v>
      </c>
    </row>
    <row r="2230" spans="1:12" ht="15.6" outlineLevel="1">
      <c r="A2230" s="11">
        <v>18112000</v>
      </c>
      <c r="B2230" s="40">
        <v>0</v>
      </c>
      <c r="C2230" s="109">
        <v>811200</v>
      </c>
      <c r="D2230" s="42">
        <v>1</v>
      </c>
      <c r="E2230" s="43"/>
      <c r="F2230" s="44" t="s">
        <v>1310</v>
      </c>
      <c r="G2230" s="45" t="s">
        <v>15</v>
      </c>
      <c r="H2230" s="51"/>
      <c r="I2230" s="47"/>
      <c r="J2230" s="48"/>
      <c r="K2230" s="49"/>
      <c r="L2230" s="50"/>
    </row>
    <row r="2231" spans="1:12" ht="15.6" outlineLevel="1">
      <c r="A2231" s="11">
        <v>1811200780</v>
      </c>
      <c r="B2231" s="40">
        <v>780</v>
      </c>
      <c r="C2231" s="109">
        <v>811200</v>
      </c>
      <c r="D2231" s="42">
        <v>1</v>
      </c>
      <c r="E2231" s="43"/>
      <c r="F2231" s="154" t="s">
        <v>282</v>
      </c>
      <c r="G2231" s="45" t="s">
        <v>37</v>
      </c>
      <c r="H2231" s="51">
        <f t="shared" ref="H2231:H2294" si="35">J2231/K2231-1</f>
        <v>-1</v>
      </c>
      <c r="I2231" s="47"/>
      <c r="J2231" s="48">
        <f>VLOOKUP(A2231,'[1]תקציב 2026'!$A$1:$M$65536,9,0)</f>
        <v>0</v>
      </c>
      <c r="K2231" s="49">
        <f>156300*0.9</f>
        <v>140670</v>
      </c>
      <c r="L2231" s="50">
        <f>VLOOKUP(A2231,[2]data1761205830331!$A$1:$J$65536,10,0)</f>
        <v>0</v>
      </c>
    </row>
    <row r="2232" spans="1:12" ht="16.2" outlineLevel="1" thickBot="1">
      <c r="A2232" s="11">
        <v>1811200814</v>
      </c>
      <c r="B2232" s="40">
        <v>814</v>
      </c>
      <c r="C2232" s="109">
        <v>811200</v>
      </c>
      <c r="D2232" s="42">
        <v>1</v>
      </c>
      <c r="E2232" s="43"/>
      <c r="F2232" s="235" t="s">
        <v>1311</v>
      </c>
      <c r="G2232" s="45" t="s">
        <v>29</v>
      </c>
      <c r="H2232" s="51">
        <f t="shared" si="35"/>
        <v>0</v>
      </c>
      <c r="I2232" s="47"/>
      <c r="J2232" s="48">
        <f>VLOOKUP(A2232,'[1]תקציב 2026'!$A$1:$M$65536,9,0)</f>
        <v>1260000</v>
      </c>
      <c r="K2232" s="49">
        <f>VLOOKUP(A2232,[3]גיליון1!$A$1:$C$7693,3,0)</f>
        <v>1260000</v>
      </c>
      <c r="L2232" s="50">
        <f>VLOOKUP(A2232,[2]data1761205830331!$A$1:$J$65536,10,0)</f>
        <v>794762.5</v>
      </c>
    </row>
    <row r="2233" spans="1:12" ht="16.2" thickBot="1">
      <c r="A2233" s="11" t="e">
        <v>#VALUE!</v>
      </c>
      <c r="B2233" s="53" t="s">
        <v>1312</v>
      </c>
      <c r="C2233" s="223"/>
      <c r="D2233" s="55"/>
      <c r="E2233" s="56"/>
      <c r="F2233" s="116" t="s">
        <v>1310</v>
      </c>
      <c r="G2233" s="58"/>
      <c r="H2233" s="166">
        <f>J2233/K2233-1</f>
        <v>-0.10043050825676281</v>
      </c>
      <c r="I2233" s="72"/>
      <c r="J2233" s="74">
        <f>SUBTOTAL(9,J2231:J2232)</f>
        <v>1260000</v>
      </c>
      <c r="K2233" s="92">
        <f>SUBTOTAL(9,K2231:K2232)</f>
        <v>1400670</v>
      </c>
      <c r="L2233" s="75">
        <f>SUBTOTAL(9,L2231:L2232)</f>
        <v>794762.5</v>
      </c>
    </row>
    <row r="2234" spans="1:12" ht="15.6" outlineLevel="1">
      <c r="A2234" s="11">
        <v>18113000</v>
      </c>
      <c r="B2234" s="40">
        <v>0</v>
      </c>
      <c r="C2234" s="109">
        <v>811300</v>
      </c>
      <c r="D2234" s="42">
        <v>1</v>
      </c>
      <c r="E2234" s="43"/>
      <c r="F2234" s="154" t="s">
        <v>1313</v>
      </c>
      <c r="G2234" s="45" t="s">
        <v>15</v>
      </c>
      <c r="H2234" s="51"/>
      <c r="I2234" s="47"/>
      <c r="J2234" s="48"/>
      <c r="K2234" s="49"/>
      <c r="L2234" s="50"/>
    </row>
    <row r="2235" spans="1:12" ht="15.6" outlineLevel="1">
      <c r="A2235" s="11">
        <v>1811300780</v>
      </c>
      <c r="B2235" s="40">
        <v>780</v>
      </c>
      <c r="C2235" s="109">
        <v>811300</v>
      </c>
      <c r="D2235" s="42">
        <v>1</v>
      </c>
      <c r="E2235" s="43"/>
      <c r="F2235" s="44" t="s">
        <v>1314</v>
      </c>
      <c r="G2235" s="45" t="s">
        <v>37</v>
      </c>
      <c r="H2235" s="51">
        <f t="shared" si="35"/>
        <v>0.10582396730404331</v>
      </c>
      <c r="I2235" s="51"/>
      <c r="J2235" s="48">
        <f>VLOOKUP(A2235,'[1]תקציב 2026'!$A$1:$M$65536,9,0)</f>
        <v>757600</v>
      </c>
      <c r="K2235" s="49">
        <v>685100</v>
      </c>
      <c r="L2235" s="50">
        <f>VLOOKUP(A2235,[2]data1761205830331!$A$1:$J$65536,10,0)</f>
        <v>1030145.16</v>
      </c>
    </row>
    <row r="2236" spans="1:12" ht="15.6" outlineLevel="1">
      <c r="A2236" s="11">
        <v>1811300781</v>
      </c>
      <c r="B2236" s="40">
        <v>781</v>
      </c>
      <c r="C2236" s="109">
        <v>811300</v>
      </c>
      <c r="D2236" s="42">
        <v>1</v>
      </c>
      <c r="E2236" s="43"/>
      <c r="F2236" s="44" t="s">
        <v>1315</v>
      </c>
      <c r="G2236" s="45" t="s">
        <v>37</v>
      </c>
      <c r="H2236" s="51">
        <f t="shared" si="35"/>
        <v>0</v>
      </c>
      <c r="I2236" s="47"/>
      <c r="J2236" s="48">
        <f>VLOOKUP(A2236,'[1]תקציב 2026'!$A$1:$M$65536,9,0)</f>
        <v>97200</v>
      </c>
      <c r="K2236" s="49">
        <f>VLOOKUP(A2236,[3]גיליון1!$A$1:$C$7693,3,0)*0.9</f>
        <v>97200</v>
      </c>
      <c r="L2236" s="50">
        <f>VLOOKUP(A2236,[2]data1761205830331!$A$1:$J$65536,10,0)</f>
        <v>2100000.0099999998</v>
      </c>
    </row>
    <row r="2237" spans="1:12" ht="15.6" outlineLevel="1">
      <c r="A2237" s="11">
        <v>1811300782</v>
      </c>
      <c r="B2237" s="40">
        <v>782</v>
      </c>
      <c r="C2237" s="109">
        <v>811300</v>
      </c>
      <c r="D2237" s="42">
        <v>1</v>
      </c>
      <c r="E2237" s="43"/>
      <c r="F2237" s="44" t="s">
        <v>1316</v>
      </c>
      <c r="G2237" s="45" t="s">
        <v>37</v>
      </c>
      <c r="H2237" s="51">
        <f t="shared" si="35"/>
        <v>-9.3449210354146217E-5</v>
      </c>
      <c r="I2237" s="47"/>
      <c r="J2237" s="48">
        <f>VLOOKUP(A2237,'[1]תקציב 2026'!$A$1:$M$65536,9,0)</f>
        <v>107000</v>
      </c>
      <c r="K2237" s="49">
        <f>VLOOKUP(A2237,[3]גיליון1!$A$1:$C$7693,3,0)*0.9</f>
        <v>107010</v>
      </c>
      <c r="L2237" s="50">
        <f>VLOOKUP(A2237,[2]data1761205830331!$A$1:$J$65536,10,0)</f>
        <v>35100</v>
      </c>
    </row>
    <row r="2238" spans="1:12" ht="15.6" outlineLevel="1">
      <c r="A2238" s="11">
        <v>1811300784</v>
      </c>
      <c r="B2238" s="40">
        <v>784</v>
      </c>
      <c r="C2238" s="109">
        <v>811300</v>
      </c>
      <c r="D2238" s="42">
        <v>1</v>
      </c>
      <c r="E2238" s="43"/>
      <c r="F2238" s="44" t="s">
        <v>1317</v>
      </c>
      <c r="G2238" s="45" t="s">
        <v>37</v>
      </c>
      <c r="H2238" s="51">
        <f t="shared" si="35"/>
        <v>0</v>
      </c>
      <c r="I2238" s="47"/>
      <c r="J2238" s="48">
        <f>VLOOKUP(A2238,'[1]תקציב 2026'!$A$1:$M$65536,9,0)</f>
        <v>446310</v>
      </c>
      <c r="K2238" s="49">
        <f>VLOOKUP(A2238,[3]גיליון1!$A$1:$C$7693,3,0)*0.9</f>
        <v>446310</v>
      </c>
      <c r="L2238" s="50">
        <f>VLOOKUP(A2238,[2]data1761205830331!$A$1:$J$65536,10,0)</f>
        <v>476154.5</v>
      </c>
    </row>
    <row r="2239" spans="1:12" ht="15.6" outlineLevel="1">
      <c r="A2239" s="11">
        <v>1811300952</v>
      </c>
      <c r="B2239" s="40">
        <v>952</v>
      </c>
      <c r="C2239" s="109">
        <v>811300</v>
      </c>
      <c r="D2239" s="42">
        <v>1</v>
      </c>
      <c r="E2239" s="43"/>
      <c r="F2239" s="156" t="s">
        <v>1318</v>
      </c>
      <c r="G2239" s="45" t="s">
        <v>37</v>
      </c>
      <c r="H2239" s="51">
        <f t="shared" si="35"/>
        <v>0</v>
      </c>
      <c r="I2239" s="47"/>
      <c r="J2239" s="48">
        <f>VLOOKUP(A2239,'[1]תקציב 2026'!$A$1:$M$65536,9,0)</f>
        <v>117000</v>
      </c>
      <c r="K2239" s="49">
        <f>VLOOKUP(A2239,[3]גיליון1!$A$1:$C$7693,3,0)*0.9</f>
        <v>117000</v>
      </c>
      <c r="L2239" s="50">
        <f>VLOOKUP(A2239,[2]data1761205830331!$A$1:$J$65536,10,0)</f>
        <v>123447.65</v>
      </c>
    </row>
    <row r="2240" spans="1:12" ht="15.6" outlineLevel="1">
      <c r="A2240" s="11">
        <v>1811300981</v>
      </c>
      <c r="B2240" s="40">
        <v>981</v>
      </c>
      <c r="C2240" s="109">
        <v>811300</v>
      </c>
      <c r="D2240" s="42">
        <v>1</v>
      </c>
      <c r="E2240" s="43"/>
      <c r="F2240" s="44" t="s">
        <v>1319</v>
      </c>
      <c r="G2240" s="45" t="s">
        <v>37</v>
      </c>
      <c r="H2240" s="51">
        <f t="shared" si="35"/>
        <v>0</v>
      </c>
      <c r="I2240" s="47"/>
      <c r="J2240" s="48">
        <f>VLOOKUP(A2240,'[1]תקציב 2026'!$A$1:$M$65536,9,0)</f>
        <v>1701540</v>
      </c>
      <c r="K2240" s="49">
        <f>VLOOKUP(A2240,[3]גיליון1!$A$1:$C$7693,3,0)*0.9</f>
        <v>1701540</v>
      </c>
      <c r="L2240" s="50">
        <f>VLOOKUP(A2240,[2]data1761205830331!$A$1:$J$65536,10,0)</f>
        <v>1945609</v>
      </c>
    </row>
    <row r="2241" spans="1:12" ht="16.2" outlineLevel="1" thickBot="1">
      <c r="A2241" s="11">
        <v>1811300982</v>
      </c>
      <c r="B2241" s="40">
        <v>982</v>
      </c>
      <c r="C2241" s="109">
        <v>811300</v>
      </c>
      <c r="D2241" s="42">
        <v>1</v>
      </c>
      <c r="E2241" s="43"/>
      <c r="F2241" s="44" t="s">
        <v>1320</v>
      </c>
      <c r="G2241" s="45" t="s">
        <v>37</v>
      </c>
      <c r="H2241" s="51">
        <f t="shared" si="35"/>
        <v>0</v>
      </c>
      <c r="I2241" s="47"/>
      <c r="J2241" s="48">
        <f>VLOOKUP(A2241,'[1]תקציב 2026'!$A$1:$M$65536,9,0)</f>
        <v>1408680</v>
      </c>
      <c r="K2241" s="49">
        <f>VLOOKUP(A2241,[3]גיליון1!$A$1:$C$7693,3,0)*0.9</f>
        <v>1408680</v>
      </c>
      <c r="L2241" s="50">
        <f>VLOOKUP(A2241,[2]data1761205830331!$A$1:$J$65536,10,0)</f>
        <v>1510200</v>
      </c>
    </row>
    <row r="2242" spans="1:12" ht="16.2" thickBot="1">
      <c r="A2242" s="11" t="e">
        <v>#VALUE!</v>
      </c>
      <c r="B2242" s="53" t="s">
        <v>1321</v>
      </c>
      <c r="C2242" s="223"/>
      <c r="D2242" s="55"/>
      <c r="E2242" s="56"/>
      <c r="F2242" s="236" t="s">
        <v>1313</v>
      </c>
      <c r="G2242" s="58"/>
      <c r="H2242" s="166">
        <f>J2242/K2242-1</f>
        <v>1.5887035267508898E-2</v>
      </c>
      <c r="I2242" s="72"/>
      <c r="J2242" s="74">
        <f>SUBTOTAL(9,J2235:J2241)</f>
        <v>4635330</v>
      </c>
      <c r="K2242" s="92">
        <f>SUBTOTAL(9,K2235:K2241)</f>
        <v>4562840</v>
      </c>
      <c r="L2242" s="75">
        <f>SUBTOTAL(9,L2235:L2241)</f>
        <v>7220656.3200000003</v>
      </c>
    </row>
    <row r="2243" spans="1:12" ht="15.6" outlineLevel="1">
      <c r="A2243" s="11">
        <v>18113010</v>
      </c>
      <c r="B2243" s="40">
        <v>0</v>
      </c>
      <c r="C2243" s="109">
        <v>811301</v>
      </c>
      <c r="D2243" s="42">
        <v>1</v>
      </c>
      <c r="E2243" s="43"/>
      <c r="F2243" s="154" t="s">
        <v>1322</v>
      </c>
      <c r="G2243" s="45" t="s">
        <v>15</v>
      </c>
      <c r="H2243" s="51"/>
      <c r="I2243" s="47"/>
      <c r="J2243" s="48"/>
      <c r="K2243" s="49"/>
      <c r="L2243" s="50"/>
    </row>
    <row r="2244" spans="1:12" ht="15.6" outlineLevel="1">
      <c r="A2244" s="11">
        <v>1811301780</v>
      </c>
      <c r="B2244" s="40">
        <v>780</v>
      </c>
      <c r="C2244" s="109">
        <v>811301</v>
      </c>
      <c r="D2244" s="42">
        <v>1</v>
      </c>
      <c r="E2244" s="43"/>
      <c r="F2244" s="44" t="s">
        <v>1314</v>
      </c>
      <c r="G2244" s="45" t="s">
        <v>37</v>
      </c>
      <c r="H2244" s="51">
        <f t="shared" si="35"/>
        <v>0</v>
      </c>
      <c r="I2244" s="47"/>
      <c r="J2244" s="48">
        <f>VLOOKUP(A2244,'[1]תקציב 2026'!$A$1:$M$65536,9,0)</f>
        <v>200000</v>
      </c>
      <c r="K2244" s="49">
        <f>VLOOKUP(A2244,[3]גיליון1!$A$1:$C$7693,3,0)</f>
        <v>200000</v>
      </c>
      <c r="L2244" s="50">
        <f>VLOOKUP(A2244,[2]data1761205830331!$A$1:$J$65536,10,0)</f>
        <v>691689.83</v>
      </c>
    </row>
    <row r="2245" spans="1:12" ht="16.2" outlineLevel="1" thickBot="1">
      <c r="A2245" s="11">
        <v>1811301781</v>
      </c>
      <c r="B2245" s="187">
        <v>781</v>
      </c>
      <c r="C2245" s="188">
        <v>811301</v>
      </c>
      <c r="D2245" s="189">
        <v>1</v>
      </c>
      <c r="E2245" s="197"/>
      <c r="F2245" s="191" t="s">
        <v>1323</v>
      </c>
      <c r="G2245" s="198" t="s">
        <v>37</v>
      </c>
      <c r="H2245" s="237">
        <v>1</v>
      </c>
      <c r="I2245" s="238" t="s">
        <v>86</v>
      </c>
      <c r="J2245" s="48">
        <f>VLOOKUP(A2245,'[1]תקציב 2026'!$A$1:$M$65536,9,0)</f>
        <v>500000</v>
      </c>
      <c r="K2245" s="239">
        <v>0</v>
      </c>
      <c r="L2245" s="50">
        <v>0</v>
      </c>
    </row>
    <row r="2246" spans="1:12" ht="16.2" thickBot="1">
      <c r="A2246" s="11" t="e">
        <v>#VALUE!</v>
      </c>
      <c r="B2246" s="157" t="s">
        <v>1324</v>
      </c>
      <c r="C2246" s="223"/>
      <c r="D2246" s="55"/>
      <c r="E2246" s="56"/>
      <c r="F2246" s="116" t="s">
        <v>1322</v>
      </c>
      <c r="G2246" s="58"/>
      <c r="H2246" s="166">
        <f>J2246/K2246-1</f>
        <v>2.5</v>
      </c>
      <c r="I2246" s="72"/>
      <c r="J2246" s="74">
        <f>SUBTOTAL(9,J2244:J2245)</f>
        <v>700000</v>
      </c>
      <c r="K2246" s="92">
        <f>SUBTOTAL(9,K2244:K2245)</f>
        <v>200000</v>
      </c>
      <c r="L2246" s="75">
        <f>SUBTOTAL(9,L2244:L2245)</f>
        <v>691689.83</v>
      </c>
    </row>
    <row r="2247" spans="1:12" ht="15.6" outlineLevel="1">
      <c r="A2247" s="11">
        <v>18113040</v>
      </c>
      <c r="B2247" s="40">
        <v>0</v>
      </c>
      <c r="C2247" s="109">
        <v>811304</v>
      </c>
      <c r="D2247" s="42">
        <v>1</v>
      </c>
      <c r="E2247" s="43"/>
      <c r="F2247" s="154" t="s">
        <v>1325</v>
      </c>
      <c r="G2247" s="45" t="s">
        <v>15</v>
      </c>
      <c r="H2247" s="51"/>
      <c r="I2247" s="47"/>
      <c r="J2247" s="48"/>
      <c r="K2247" s="49"/>
      <c r="L2247" s="50"/>
    </row>
    <row r="2248" spans="1:12" ht="15.6" outlineLevel="1">
      <c r="A2248" s="11">
        <v>1811304780</v>
      </c>
      <c r="B2248" s="40">
        <v>780</v>
      </c>
      <c r="C2248" s="109">
        <v>811304</v>
      </c>
      <c r="D2248" s="42">
        <v>1</v>
      </c>
      <c r="E2248" s="43"/>
      <c r="F2248" s="44" t="s">
        <v>1314</v>
      </c>
      <c r="G2248" s="45" t="s">
        <v>37</v>
      </c>
      <c r="H2248" s="51">
        <f t="shared" si="35"/>
        <v>0.2603347449082476</v>
      </c>
      <c r="I2248" s="47"/>
      <c r="J2248" s="48">
        <f>VLOOKUP(A2248,'[1]תקציב 2026'!$A$1:$M$65536,9,0)</f>
        <v>500000</v>
      </c>
      <c r="K2248" s="49">
        <f>VLOOKUP(A2248,[3]גיליון1!$A$1:$C$7693,3,0)*0.9</f>
        <v>396720</v>
      </c>
      <c r="L2248" s="50">
        <f>VLOOKUP(A2248,[2]data1761205830331!$A$1:$J$65536,10,0)</f>
        <v>433876.78</v>
      </c>
    </row>
    <row r="2249" spans="1:12" ht="15.6" outlineLevel="1">
      <c r="A2249" s="11">
        <v>1811304781</v>
      </c>
      <c r="B2249" s="40">
        <v>781</v>
      </c>
      <c r="C2249" s="109">
        <v>811304</v>
      </c>
      <c r="D2249" s="42">
        <v>1</v>
      </c>
      <c r="E2249" s="43"/>
      <c r="F2249" s="44" t="s">
        <v>1326</v>
      </c>
      <c r="G2249" s="45" t="s">
        <v>29</v>
      </c>
      <c r="H2249" s="51">
        <v>0</v>
      </c>
      <c r="I2249" s="47"/>
      <c r="J2249" s="48">
        <f>VLOOKUP(A2249,'[1]תקציב 2026'!$A$1:$M$65536,9,0)</f>
        <v>0</v>
      </c>
      <c r="K2249" s="49">
        <f>VLOOKUP(A2249,[3]גיליון1!$A$1:$C$7693,3,0)</f>
        <v>0</v>
      </c>
      <c r="L2249" s="50">
        <f>VLOOKUP(A2249,[2]data1761205830331!$A$1:$J$65536,10,0)</f>
        <v>296430.87</v>
      </c>
    </row>
    <row r="2250" spans="1:12" ht="16.2" outlineLevel="1" thickBot="1">
      <c r="A2250" s="11">
        <v>1811304782</v>
      </c>
      <c r="B2250" s="40">
        <v>782</v>
      </c>
      <c r="C2250" s="109">
        <v>811304</v>
      </c>
      <c r="D2250" s="42">
        <v>1</v>
      </c>
      <c r="E2250" s="43"/>
      <c r="F2250" s="44" t="s">
        <v>1327</v>
      </c>
      <c r="G2250" s="45" t="s">
        <v>37</v>
      </c>
      <c r="H2250" s="51">
        <f t="shared" si="35"/>
        <v>0.3168724279835391</v>
      </c>
      <c r="I2250" s="47"/>
      <c r="J2250" s="48">
        <f>VLOOKUP(A2250,'[1]תקציב 2026'!$A$1:$M$65536,9,0)</f>
        <v>48000</v>
      </c>
      <c r="K2250" s="49">
        <f>VLOOKUP(A2250,[3]גיליון1!$A$1:$C$7693,3,0)*0.9</f>
        <v>36450</v>
      </c>
      <c r="L2250" s="50">
        <f>VLOOKUP(A2250,[2]data1761205830331!$A$1:$J$65536,10,0)</f>
        <v>40500</v>
      </c>
    </row>
    <row r="2251" spans="1:12" ht="16.2" thickBot="1">
      <c r="A2251" s="11" t="e">
        <v>#VALUE!</v>
      </c>
      <c r="B2251" s="157" t="s">
        <v>1328</v>
      </c>
      <c r="C2251" s="223"/>
      <c r="D2251" s="55"/>
      <c r="E2251" s="56"/>
      <c r="F2251" s="236" t="s">
        <v>1325</v>
      </c>
      <c r="G2251" s="58"/>
      <c r="H2251" s="166">
        <f>J2251/K2251-1</f>
        <v>0.26509222707020341</v>
      </c>
      <c r="I2251" s="72"/>
      <c r="J2251" s="74">
        <f>SUBTOTAL(9,J2248:J2250)</f>
        <v>548000</v>
      </c>
      <c r="K2251" s="92">
        <f>SUBTOTAL(9,K2248:K2250)</f>
        <v>433170</v>
      </c>
      <c r="L2251" s="75">
        <f>SUBTOTAL(9,L2248:L2250)</f>
        <v>770807.65</v>
      </c>
    </row>
    <row r="2252" spans="1:12" ht="15.6" outlineLevel="1">
      <c r="A2252" s="11">
        <v>18113050</v>
      </c>
      <c r="B2252" s="64">
        <v>0</v>
      </c>
      <c r="C2252" s="131">
        <v>811305</v>
      </c>
      <c r="D2252" s="66">
        <v>1</v>
      </c>
      <c r="E2252" s="67"/>
      <c r="F2252" s="240" t="s">
        <v>287</v>
      </c>
      <c r="G2252" s="69" t="s">
        <v>15</v>
      </c>
      <c r="H2252" s="51"/>
      <c r="I2252" s="47"/>
      <c r="J2252" s="48"/>
      <c r="K2252" s="49"/>
      <c r="L2252" s="50"/>
    </row>
    <row r="2253" spans="1:12" ht="15.6" outlineLevel="1">
      <c r="A2253" s="11">
        <v>1811305118</v>
      </c>
      <c r="B2253" s="40">
        <v>118</v>
      </c>
      <c r="C2253" s="109">
        <v>811305</v>
      </c>
      <c r="D2253" s="42">
        <v>1</v>
      </c>
      <c r="E2253" s="43"/>
      <c r="F2253" s="44" t="s">
        <v>1329</v>
      </c>
      <c r="G2253" s="45" t="s">
        <v>22</v>
      </c>
      <c r="H2253" s="51">
        <f t="shared" si="35"/>
        <v>-0.25</v>
      </c>
      <c r="I2253" s="47"/>
      <c r="J2253" s="48">
        <f>VLOOKUP(A2253,'[1]תקציב 2026'!$A$1:$M$65536,9,0)</f>
        <v>300000</v>
      </c>
      <c r="K2253" s="49">
        <f>VLOOKUP(A2253,[3]גיליון1!$A$1:$C$7693,3,0)</f>
        <v>400000</v>
      </c>
      <c r="L2253" s="50">
        <f>VLOOKUP(A2253,[2]data1761205830331!$A$1:$J$65536,10,0)</f>
        <v>51200.81</v>
      </c>
    </row>
    <row r="2254" spans="1:12" ht="15.6" outlineLevel="1">
      <c r="A2254" s="11">
        <v>1811305119</v>
      </c>
      <c r="B2254" s="40">
        <v>119</v>
      </c>
      <c r="C2254" s="109">
        <v>811305</v>
      </c>
      <c r="D2254" s="42">
        <v>1</v>
      </c>
      <c r="E2254" s="43"/>
      <c r="F2254" s="154" t="s">
        <v>1105</v>
      </c>
      <c r="G2254" s="45" t="s">
        <v>22</v>
      </c>
      <c r="H2254" s="51">
        <f t="shared" si="35"/>
        <v>2.4999999999999911E-2</v>
      </c>
      <c r="I2254" s="47"/>
      <c r="J2254" s="48">
        <f>VLOOKUP(A2254,'[1]תקציב 2026'!$A$1:$M$65536,9,0)</f>
        <v>1254600</v>
      </c>
      <c r="K2254" s="49">
        <v>1224000</v>
      </c>
      <c r="L2254" s="50">
        <f>VLOOKUP(A2254,[2]data1761205830331!$A$1:$J$65536,10,0)</f>
        <v>1348488.16</v>
      </c>
    </row>
    <row r="2255" spans="1:12" ht="15.6" outlineLevel="1">
      <c r="A2255" s="11">
        <v>1811305122</v>
      </c>
      <c r="B2255" s="40">
        <v>122</v>
      </c>
      <c r="C2255" s="109">
        <v>811305</v>
      </c>
      <c r="D2255" s="42">
        <v>1</v>
      </c>
      <c r="E2255" s="43"/>
      <c r="F2255" s="44" t="str">
        <f>[4]גיליון1!$F$3959</f>
        <v xml:space="preserve">ביגוד             </v>
      </c>
      <c r="G2255" s="45" t="s">
        <v>22</v>
      </c>
      <c r="H2255" s="51">
        <f t="shared" si="35"/>
        <v>0</v>
      </c>
      <c r="I2255" s="47"/>
      <c r="J2255" s="48">
        <f>VLOOKUP(A2255,'[1]תקציב 2026'!$A$1:$M$65536,9,0)</f>
        <v>17600</v>
      </c>
      <c r="K2255" s="49">
        <f>VLOOKUP(A2255,[3]גיליון1!$A$1:$C$7693,3,0)</f>
        <v>17600</v>
      </c>
      <c r="L2255" s="50">
        <f>VLOOKUP(A2255,[2]data1761205830331!$A$1:$J$65536,10,0)</f>
        <v>17712.2</v>
      </c>
    </row>
    <row r="2256" spans="1:12" ht="15.6" outlineLevel="1">
      <c r="A2256" s="11">
        <v>1811305126</v>
      </c>
      <c r="B2256" s="40">
        <v>126</v>
      </c>
      <c r="C2256" s="109">
        <v>811305</v>
      </c>
      <c r="D2256" s="42">
        <v>1</v>
      </c>
      <c r="E2256" s="43"/>
      <c r="F2256" s="44" t="str">
        <f>[4]גיליון1!$F$3960</f>
        <v xml:space="preserve">דמי הבראה         </v>
      </c>
      <c r="G2256" s="45" t="s">
        <v>22</v>
      </c>
      <c r="H2256" s="51">
        <f t="shared" si="35"/>
        <v>0</v>
      </c>
      <c r="I2256" s="47"/>
      <c r="J2256" s="48">
        <f>VLOOKUP(A2256,'[1]תקציב 2026'!$A$1:$M$65536,9,0)</f>
        <v>40000</v>
      </c>
      <c r="K2256" s="49">
        <f>VLOOKUP(A2256,[3]גיליון1!$A$1:$C$7693,3,0)</f>
        <v>40000</v>
      </c>
      <c r="L2256" s="50">
        <f>VLOOKUP(A2256,[2]data1761205830331!$A$1:$J$65536,10,0)</f>
        <v>38131.760000000002</v>
      </c>
    </row>
    <row r="2257" spans="1:12" ht="15.6" outlineLevel="1">
      <c r="A2257" s="11">
        <v>1811305210</v>
      </c>
      <c r="B2257" s="40">
        <v>210</v>
      </c>
      <c r="C2257" s="109">
        <v>811305</v>
      </c>
      <c r="D2257" s="42">
        <v>1</v>
      </c>
      <c r="E2257" s="43"/>
      <c r="F2257" s="44" t="s">
        <v>1330</v>
      </c>
      <c r="G2257" s="45" t="s">
        <v>22</v>
      </c>
      <c r="H2257" s="51">
        <v>0</v>
      </c>
      <c r="I2257" s="47"/>
      <c r="J2257" s="48">
        <f>VLOOKUP(A2257,'[1]תקציב 2026'!$A$1:$M$65536,9,0)</f>
        <v>0</v>
      </c>
      <c r="K2257" s="49">
        <f>VLOOKUP(A2257,[3]גיליון1!$A$1:$C$7693,3,0)</f>
        <v>0</v>
      </c>
      <c r="L2257" s="50">
        <f>VLOOKUP(A2257,[2]data1761205830331!$A$1:$J$65536,10,0)</f>
        <v>77068.320000000007</v>
      </c>
    </row>
    <row r="2258" spans="1:12" ht="15.6" outlineLevel="1">
      <c r="A2258" s="11">
        <v>1811305263</v>
      </c>
      <c r="B2258" s="40">
        <v>263</v>
      </c>
      <c r="C2258" s="109">
        <v>811305</v>
      </c>
      <c r="D2258" s="42">
        <v>1</v>
      </c>
      <c r="E2258" s="43"/>
      <c r="F2258" s="44" t="s">
        <v>1331</v>
      </c>
      <c r="G2258" s="45" t="s">
        <v>22</v>
      </c>
      <c r="H2258" s="51">
        <f t="shared" si="35"/>
        <v>0</v>
      </c>
      <c r="I2258" s="47"/>
      <c r="J2258" s="48">
        <f>VLOOKUP(A2258,'[1]תקציב 2026'!$A$1:$M$65536,9,0)</f>
        <v>20000</v>
      </c>
      <c r="K2258" s="49">
        <f>VLOOKUP(A2258,[3]גיליון1!$A$1:$C$7693,3,0)</f>
        <v>20000</v>
      </c>
      <c r="L2258" s="50">
        <f>VLOOKUP(A2258,[2]data1761205830331!$A$1:$J$65536,10,0)</f>
        <v>20000</v>
      </c>
    </row>
    <row r="2259" spans="1:12" ht="15.6" outlineLevel="1">
      <c r="A2259" s="11">
        <v>1811305759</v>
      </c>
      <c r="B2259" s="40">
        <v>759</v>
      </c>
      <c r="C2259" s="109">
        <v>811305</v>
      </c>
      <c r="D2259" s="42">
        <v>1</v>
      </c>
      <c r="E2259" s="43"/>
      <c r="F2259" s="44" t="s">
        <v>1332</v>
      </c>
      <c r="G2259" s="45" t="s">
        <v>29</v>
      </c>
      <c r="H2259" s="51">
        <f t="shared" si="35"/>
        <v>1.980113877793821E-2</v>
      </c>
      <c r="I2259" s="47"/>
      <c r="J2259" s="48">
        <f>VLOOKUP(A2259,'[1]תקציב 2026'!$A$1:$M$65536,9,0)</f>
        <v>1200000</v>
      </c>
      <c r="K2259" s="49">
        <v>1176700</v>
      </c>
      <c r="L2259" s="50">
        <f>VLOOKUP(A2259,[2]data1761205830331!$A$1:$J$65536,10,0)</f>
        <v>957437.56</v>
      </c>
    </row>
    <row r="2260" spans="1:12" ht="15.6" outlineLevel="1">
      <c r="A2260" s="11">
        <v>1811305780</v>
      </c>
      <c r="B2260" s="40">
        <v>780</v>
      </c>
      <c r="C2260" s="109">
        <v>811305</v>
      </c>
      <c r="D2260" s="42">
        <v>1</v>
      </c>
      <c r="E2260" s="43"/>
      <c r="F2260" s="44" t="s">
        <v>1314</v>
      </c>
      <c r="G2260" s="45" t="s">
        <v>37</v>
      </c>
      <c r="H2260" s="51">
        <f t="shared" si="35"/>
        <v>0.18434298572866692</v>
      </c>
      <c r="I2260" s="47"/>
      <c r="J2260" s="48">
        <f>VLOOKUP(A2260,'[1]תקציב 2026'!$A$1:$M$65536,9,0)</f>
        <v>600000</v>
      </c>
      <c r="K2260" s="49">
        <f>VLOOKUP(A2260,[3]גיליון1!$A$1:$C$7693,3,0)*0.9</f>
        <v>506610</v>
      </c>
      <c r="L2260" s="50">
        <f>VLOOKUP(A2260,[2]data1761205830331!$A$1:$J$65536,10,0)</f>
        <v>540491.65</v>
      </c>
    </row>
    <row r="2261" spans="1:12" ht="15.6" outlineLevel="1">
      <c r="A2261" s="11">
        <v>1811305781</v>
      </c>
      <c r="B2261" s="40">
        <v>781</v>
      </c>
      <c r="C2261" s="109">
        <v>811305</v>
      </c>
      <c r="D2261" s="42">
        <v>1</v>
      </c>
      <c r="E2261" s="43"/>
      <c r="F2261" s="44" t="s">
        <v>1333</v>
      </c>
      <c r="G2261" s="45" t="s">
        <v>37</v>
      </c>
      <c r="H2261" s="51">
        <f t="shared" si="35"/>
        <v>7.5095414718056253E-2</v>
      </c>
      <c r="I2261" s="47"/>
      <c r="J2261" s="48">
        <f>VLOOKUP(A2261,'[1]תקציב 2026'!$A$1:$M$65536,9,0)</f>
        <v>800000</v>
      </c>
      <c r="K2261" s="49">
        <f>VLOOKUP(A2261,[3]גיליון1!$A$1:$C$7693,3,0)*0.9</f>
        <v>744120</v>
      </c>
      <c r="L2261" s="50">
        <f>VLOOKUP(A2261,[2]data1761205830331!$A$1:$J$65536,10,0)</f>
        <v>683333</v>
      </c>
    </row>
    <row r="2262" spans="1:12" ht="15.6" outlineLevel="1">
      <c r="A2262" s="11">
        <v>1811305782</v>
      </c>
      <c r="B2262" s="40">
        <v>782</v>
      </c>
      <c r="C2262" s="109">
        <v>811305</v>
      </c>
      <c r="D2262" s="42">
        <v>1</v>
      </c>
      <c r="E2262" s="43"/>
      <c r="F2262" s="156" t="s">
        <v>1334</v>
      </c>
      <c r="G2262" s="45" t="s">
        <v>37</v>
      </c>
      <c r="H2262" s="51">
        <f t="shared" si="35"/>
        <v>0</v>
      </c>
      <c r="I2262" s="47"/>
      <c r="J2262" s="48">
        <f>VLOOKUP(A2262,'[1]תקציב 2026'!$A$1:$M$65536,9,0)</f>
        <v>81000</v>
      </c>
      <c r="K2262" s="49">
        <f>VLOOKUP(A2262,[3]גיליון1!$A$1:$C$7693,3,0)*0.9</f>
        <v>81000</v>
      </c>
      <c r="L2262" s="50">
        <f>VLOOKUP(A2262,[2]data1761205830331!$A$1:$J$65536,10,0)</f>
        <v>90000</v>
      </c>
    </row>
    <row r="2263" spans="1:12" ht="15.6" outlineLevel="1">
      <c r="A2263" s="11">
        <v>1811305783</v>
      </c>
      <c r="B2263" s="40">
        <v>783</v>
      </c>
      <c r="C2263" s="109">
        <v>811305</v>
      </c>
      <c r="D2263" s="42">
        <v>1</v>
      </c>
      <c r="E2263" s="43"/>
      <c r="F2263" s="44" t="s">
        <v>1335</v>
      </c>
      <c r="G2263" s="45" t="s">
        <v>37</v>
      </c>
      <c r="H2263" s="51">
        <f t="shared" si="35"/>
        <v>0</v>
      </c>
      <c r="I2263" s="47"/>
      <c r="J2263" s="48">
        <f>VLOOKUP(A2263,'[1]תקציב 2026'!$A$1:$M$65536,9,0)</f>
        <v>153900</v>
      </c>
      <c r="K2263" s="49">
        <f>VLOOKUP(A2263,[3]גיליון1!$A$1:$C$7693,3,0)*0.9</f>
        <v>153900</v>
      </c>
      <c r="L2263" s="50">
        <f>VLOOKUP(A2263,[2]data1761205830331!$A$1:$J$65536,10,0)</f>
        <v>164117.23000000001</v>
      </c>
    </row>
    <row r="2264" spans="1:12" ht="15.6" outlineLevel="1">
      <c r="A2264" s="11">
        <v>1811305784</v>
      </c>
      <c r="B2264" s="40">
        <v>784</v>
      </c>
      <c r="C2264" s="109">
        <v>811305</v>
      </c>
      <c r="D2264" s="42">
        <v>1</v>
      </c>
      <c r="E2264" s="43"/>
      <c r="F2264" s="156" t="s">
        <v>1336</v>
      </c>
      <c r="G2264" s="45" t="s">
        <v>37</v>
      </c>
      <c r="H2264" s="51">
        <f t="shared" si="35"/>
        <v>0</v>
      </c>
      <c r="I2264" s="47"/>
      <c r="J2264" s="48">
        <f>VLOOKUP(A2264,'[1]תקציב 2026'!$A$1:$M$65536,9,0)</f>
        <v>34020</v>
      </c>
      <c r="K2264" s="49">
        <f>VLOOKUP(A2264,[3]גיליון1!$A$1:$C$7693,3,0)*0.9</f>
        <v>34020</v>
      </c>
      <c r="L2264" s="50">
        <f>VLOOKUP(A2264,[2]data1761205830331!$A$1:$J$65536,10,0)</f>
        <v>30000</v>
      </c>
    </row>
    <row r="2265" spans="1:12" ht="15.6" outlineLevel="1">
      <c r="A2265" s="11">
        <v>1811305785</v>
      </c>
      <c r="B2265" s="40">
        <v>785</v>
      </c>
      <c r="C2265" s="109">
        <v>811305</v>
      </c>
      <c r="D2265" s="42">
        <v>1</v>
      </c>
      <c r="E2265" s="43"/>
      <c r="F2265" s="44" t="s">
        <v>1337</v>
      </c>
      <c r="G2265" s="45" t="s">
        <v>29</v>
      </c>
      <c r="H2265" s="51">
        <f t="shared" si="35"/>
        <v>0</v>
      </c>
      <c r="I2265" s="47"/>
      <c r="J2265" s="48">
        <f>VLOOKUP(A2265,'[1]תקציב 2026'!$A$1:$M$65536,9,0)</f>
        <v>414000</v>
      </c>
      <c r="K2265" s="49">
        <f>VLOOKUP(A2265,[3]גיליון1!$A$1:$C$7693,3,0)*0.9</f>
        <v>414000</v>
      </c>
      <c r="L2265" s="50">
        <f>VLOOKUP(A2265,[2]data1761205830331!$A$1:$J$65536,10,0)</f>
        <v>444566.01</v>
      </c>
    </row>
    <row r="2266" spans="1:12" ht="15.6" outlineLevel="1">
      <c r="A2266" s="11">
        <v>1811305786</v>
      </c>
      <c r="B2266" s="40">
        <v>786</v>
      </c>
      <c r="C2266" s="109">
        <v>811305</v>
      </c>
      <c r="D2266" s="42">
        <v>1</v>
      </c>
      <c r="E2266" s="43"/>
      <c r="F2266" s="44" t="s">
        <v>1338</v>
      </c>
      <c r="G2266" s="45" t="s">
        <v>37</v>
      </c>
      <c r="H2266" s="51">
        <f t="shared" si="35"/>
        <v>0</v>
      </c>
      <c r="I2266" s="47"/>
      <c r="J2266" s="48">
        <f>VLOOKUP(A2266,'[1]תקציב 2026'!$A$1:$M$65536,9,0)</f>
        <v>405000</v>
      </c>
      <c r="K2266" s="49">
        <f>VLOOKUP(A2266,[3]גיליון1!$A$1:$C$7693,3,0)*0.9</f>
        <v>405000</v>
      </c>
      <c r="L2266" s="50">
        <f>VLOOKUP(A2266,[2]data1761205830331!$A$1:$J$65536,10,0)</f>
        <v>180105.94</v>
      </c>
    </row>
    <row r="2267" spans="1:12" ht="16.2" outlineLevel="1" thickBot="1">
      <c r="A2267" s="11">
        <v>1811305787</v>
      </c>
      <c r="B2267" s="119">
        <v>787</v>
      </c>
      <c r="C2267" s="120">
        <v>811305</v>
      </c>
      <c r="D2267" s="121">
        <v>1</v>
      </c>
      <c r="E2267" s="201"/>
      <c r="F2267" s="122" t="str">
        <f>[4]גיליון1!$F$3971</f>
        <v>תחרות האתגר</v>
      </c>
      <c r="G2267" s="153" t="s">
        <v>37</v>
      </c>
      <c r="H2267" s="51">
        <f t="shared" si="35"/>
        <v>-1</v>
      </c>
      <c r="I2267" s="47"/>
      <c r="J2267" s="48">
        <f>VLOOKUP(A2267,'[1]תקציב 2026'!$A$1:$M$65536,9,0)</f>
        <v>0</v>
      </c>
      <c r="K2267" s="49">
        <f>VLOOKUP(A2267,[3]גיליון1!$A$1:$C$7693,3,0)*0.9</f>
        <v>22500</v>
      </c>
      <c r="L2267" s="50">
        <f>VLOOKUP(A2267,[2]data1761205830331!$A$1:$J$65536,10,0)</f>
        <v>0</v>
      </c>
    </row>
    <row r="2268" spans="1:12" ht="16.2" thickBot="1">
      <c r="A2268" s="11" t="e">
        <v>#VALUE!</v>
      </c>
      <c r="B2268" s="157" t="s">
        <v>1339</v>
      </c>
      <c r="C2268" s="223"/>
      <c r="D2268" s="55"/>
      <c r="E2268" s="56"/>
      <c r="F2268" s="236" t="s">
        <v>287</v>
      </c>
      <c r="G2268" s="58"/>
      <c r="H2268" s="166">
        <f>J2268/K2268-1</f>
        <v>1.5396654228974516E-2</v>
      </c>
      <c r="I2268" s="72"/>
      <c r="J2268" s="74">
        <f>SUBTOTAL(9,J2253:J2267)</f>
        <v>5320120</v>
      </c>
      <c r="K2268" s="92">
        <f>SUBTOTAL(9,K2253:K2267)</f>
        <v>5239450</v>
      </c>
      <c r="L2268" s="75">
        <f>SUBTOTAL(9,L2253:L2267)</f>
        <v>4642652.6400000006</v>
      </c>
    </row>
    <row r="2269" spans="1:12" ht="15.6" outlineLevel="1">
      <c r="A2269" s="11">
        <v>18113060</v>
      </c>
      <c r="B2269" s="40">
        <v>0</v>
      </c>
      <c r="C2269" s="109">
        <v>811306</v>
      </c>
      <c r="D2269" s="42">
        <v>1</v>
      </c>
      <c r="E2269" s="43"/>
      <c r="F2269" s="154" t="s">
        <v>1340</v>
      </c>
      <c r="G2269" s="45" t="s">
        <v>15</v>
      </c>
      <c r="H2269" s="51"/>
      <c r="I2269" s="47"/>
      <c r="J2269" s="48"/>
      <c r="K2269" s="49"/>
      <c r="L2269" s="50"/>
    </row>
    <row r="2270" spans="1:12" ht="16.2" outlineLevel="1" thickBot="1">
      <c r="A2270" s="11">
        <v>1811306780</v>
      </c>
      <c r="B2270" s="40">
        <v>780</v>
      </c>
      <c r="C2270" s="109">
        <v>811306</v>
      </c>
      <c r="D2270" s="42">
        <v>1</v>
      </c>
      <c r="E2270" s="43"/>
      <c r="F2270" s="44" t="s">
        <v>1314</v>
      </c>
      <c r="G2270" s="45" t="s">
        <v>37</v>
      </c>
      <c r="H2270" s="51">
        <f t="shared" si="35"/>
        <v>0.17247039512252305</v>
      </c>
      <c r="I2270" s="47"/>
      <c r="J2270" s="48">
        <f>VLOOKUP(A2270,'[1]תקציב 2026'!$A$1:$M$65536,9,0)</f>
        <v>300000</v>
      </c>
      <c r="K2270" s="49">
        <f>VLOOKUP(A2270,[3]גיליון1!$A$1:$C$7693,3,0)*0.9</f>
        <v>255870</v>
      </c>
      <c r="L2270" s="50">
        <f>VLOOKUP(A2270,[2]data1761205830331!$A$1:$J$65536,10,0)</f>
        <v>241508.03</v>
      </c>
    </row>
    <row r="2271" spans="1:12" ht="16.2" thickBot="1">
      <c r="A2271" s="11" t="e">
        <v>#VALUE!</v>
      </c>
      <c r="B2271" s="157" t="s">
        <v>1341</v>
      </c>
      <c r="C2271" s="223"/>
      <c r="D2271" s="55"/>
      <c r="E2271" s="56"/>
      <c r="F2271" s="236" t="s">
        <v>1340</v>
      </c>
      <c r="G2271" s="58"/>
      <c r="H2271" s="166">
        <f>J2271/K2271-1</f>
        <v>0.17247039512252305</v>
      </c>
      <c r="I2271" s="72"/>
      <c r="J2271" s="74">
        <f>SUBTOTAL(9,J2270:J2270)</f>
        <v>300000</v>
      </c>
      <c r="K2271" s="92">
        <f>SUBTOTAL(9,K2270:K2270)</f>
        <v>255870</v>
      </c>
      <c r="L2271" s="75">
        <f>SUBTOTAL(9,L2270:L2270)</f>
        <v>241508.03</v>
      </c>
    </row>
    <row r="2272" spans="1:12" ht="15.6" outlineLevel="1">
      <c r="A2272" s="11">
        <v>18113090</v>
      </c>
      <c r="B2272" s="40">
        <v>0</v>
      </c>
      <c r="C2272" s="109">
        <v>811309</v>
      </c>
      <c r="D2272" s="42">
        <v>1</v>
      </c>
      <c r="E2272" s="43"/>
      <c r="F2272" s="154" t="s">
        <v>1342</v>
      </c>
      <c r="G2272" s="45" t="s">
        <v>15</v>
      </c>
      <c r="H2272" s="51"/>
      <c r="I2272" s="47"/>
      <c r="J2272" s="48"/>
      <c r="K2272" s="49"/>
      <c r="L2272" s="50"/>
    </row>
    <row r="2273" spans="1:12" ht="15.6" outlineLevel="1">
      <c r="A2273" s="11">
        <v>1811309210</v>
      </c>
      <c r="B2273" s="40">
        <v>210</v>
      </c>
      <c r="C2273" s="109">
        <v>811309</v>
      </c>
      <c r="D2273" s="42">
        <v>1</v>
      </c>
      <c r="E2273" s="43"/>
      <c r="F2273" s="44" t="s">
        <v>1330</v>
      </c>
      <c r="G2273" s="45" t="s">
        <v>22</v>
      </c>
      <c r="H2273" s="51">
        <v>0</v>
      </c>
      <c r="I2273" s="47"/>
      <c r="J2273" s="48">
        <f>VLOOKUP(A2273,'[1]תקציב 2026'!$A$1:$M$65536,9,0)</f>
        <v>0</v>
      </c>
      <c r="K2273" s="49">
        <f>VLOOKUP(A2273,[3]גיליון1!$A$1:$C$7693,3,0)</f>
        <v>0</v>
      </c>
      <c r="L2273" s="50">
        <f>VLOOKUP(A2273,[2]data1761205830331!$A$1:$J$65536,10,0)</f>
        <v>27682.95</v>
      </c>
    </row>
    <row r="2274" spans="1:12" ht="16.2" outlineLevel="1" thickBot="1">
      <c r="A2274" s="11">
        <v>1811309780</v>
      </c>
      <c r="B2274" s="40">
        <v>780</v>
      </c>
      <c r="C2274" s="109">
        <v>811309</v>
      </c>
      <c r="D2274" s="42">
        <v>1</v>
      </c>
      <c r="E2274" s="43"/>
      <c r="F2274" s="44" t="s">
        <v>1314</v>
      </c>
      <c r="G2274" s="45" t="s">
        <v>37</v>
      </c>
      <c r="H2274" s="51">
        <f t="shared" si="35"/>
        <v>0</v>
      </c>
      <c r="I2274" s="47"/>
      <c r="J2274" s="48">
        <f>VLOOKUP(A2274,'[1]תקציב 2026'!$A$1:$M$65536,9,0)</f>
        <v>122490</v>
      </c>
      <c r="K2274" s="49">
        <f>VLOOKUP(A2274,[3]גיליון1!$A$1:$C$7693,3,0)*0.9</f>
        <v>122490</v>
      </c>
      <c r="L2274" s="50">
        <f>VLOOKUP(A2274,[2]data1761205830331!$A$1:$J$65536,10,0)</f>
        <v>95130.21</v>
      </c>
    </row>
    <row r="2275" spans="1:12" ht="16.2" thickBot="1">
      <c r="A2275" s="11" t="e">
        <v>#VALUE!</v>
      </c>
      <c r="B2275" s="157" t="s">
        <v>1343</v>
      </c>
      <c r="C2275" s="223"/>
      <c r="D2275" s="55"/>
      <c r="E2275" s="56"/>
      <c r="F2275" s="236" t="s">
        <v>1342</v>
      </c>
      <c r="G2275" s="58"/>
      <c r="H2275" s="166">
        <v>0</v>
      </c>
      <c r="I2275" s="72"/>
      <c r="J2275" s="74">
        <f>SUBTOTAL(9,J2273:J2274)</f>
        <v>122490</v>
      </c>
      <c r="K2275" s="92">
        <f>SUBTOTAL(9,K2273:K2274)</f>
        <v>122490</v>
      </c>
      <c r="L2275" s="75">
        <f>SUBTOTAL(9,L2273:L2274)</f>
        <v>122813.16</v>
      </c>
    </row>
    <row r="2276" spans="1:12" ht="15.6" outlineLevel="1">
      <c r="A2276" s="11">
        <v>18114000</v>
      </c>
      <c r="B2276" s="40">
        <v>0</v>
      </c>
      <c r="C2276" s="109">
        <v>811400</v>
      </c>
      <c r="D2276" s="42">
        <v>1</v>
      </c>
      <c r="E2276" s="43"/>
      <c r="F2276" s="44" t="s">
        <v>290</v>
      </c>
      <c r="G2276" s="45" t="s">
        <v>15</v>
      </c>
      <c r="H2276" s="51"/>
      <c r="I2276" s="47"/>
      <c r="J2276" s="48"/>
      <c r="K2276" s="49"/>
      <c r="L2276" s="50"/>
    </row>
    <row r="2277" spans="1:12" ht="15.6" outlineLevel="1">
      <c r="A2277" s="11">
        <v>1811400110</v>
      </c>
      <c r="B2277" s="40">
        <v>110</v>
      </c>
      <c r="C2277" s="109">
        <v>811400</v>
      </c>
      <c r="D2277" s="42">
        <v>1</v>
      </c>
      <c r="E2277" s="43"/>
      <c r="F2277" s="44" t="s">
        <v>21</v>
      </c>
      <c r="G2277" s="45" t="s">
        <v>22</v>
      </c>
      <c r="H2277" s="51">
        <f t="shared" si="35"/>
        <v>-1</v>
      </c>
      <c r="I2277" s="47"/>
      <c r="J2277" s="48">
        <f>VLOOKUP(A2277,'[1]תקציב 2026'!$A$1:$M$65536,9,0)</f>
        <v>0</v>
      </c>
      <c r="K2277" s="49">
        <v>259100</v>
      </c>
      <c r="L2277" s="50">
        <f>VLOOKUP(A2277,[2]data1761205830331!$A$1:$J$65536,10,0)</f>
        <v>185320.32000000001</v>
      </c>
    </row>
    <row r="2278" spans="1:12" ht="15.6" outlineLevel="1">
      <c r="A2278" s="11">
        <v>1811400119</v>
      </c>
      <c r="B2278" s="40">
        <v>119</v>
      </c>
      <c r="C2278" s="109">
        <v>811400</v>
      </c>
      <c r="D2278" s="42">
        <v>1</v>
      </c>
      <c r="E2278" s="43"/>
      <c r="F2278" s="154" t="s">
        <v>1105</v>
      </c>
      <c r="G2278" s="45" t="s">
        <v>22</v>
      </c>
      <c r="H2278" s="51">
        <f t="shared" si="35"/>
        <v>-1</v>
      </c>
      <c r="I2278" s="47"/>
      <c r="J2278" s="48">
        <f>VLOOKUP(A2278,'[1]תקציב 2026'!$A$1:$M$65536,9,0)</f>
        <v>0</v>
      </c>
      <c r="K2278" s="49">
        <v>518700</v>
      </c>
      <c r="L2278" s="50">
        <f>VLOOKUP(A2278,[2]data1761205830331!$A$1:$J$65536,10,0)</f>
        <v>426776.94</v>
      </c>
    </row>
    <row r="2279" spans="1:12" ht="15.6" outlineLevel="1">
      <c r="A2279" s="11">
        <v>1811400122</v>
      </c>
      <c r="B2279" s="40">
        <v>122</v>
      </c>
      <c r="C2279" s="109">
        <v>811400</v>
      </c>
      <c r="D2279" s="42">
        <v>1</v>
      </c>
      <c r="E2279" s="43"/>
      <c r="F2279" s="44" t="s">
        <v>24</v>
      </c>
      <c r="G2279" s="45" t="s">
        <v>22</v>
      </c>
      <c r="H2279" s="51">
        <f t="shared" si="35"/>
        <v>-1</v>
      </c>
      <c r="I2279" s="47"/>
      <c r="J2279" s="48">
        <f>VLOOKUP(A2279,'[1]תקציב 2026'!$A$1:$M$65536,9,0)</f>
        <v>0</v>
      </c>
      <c r="K2279" s="49">
        <f>VLOOKUP(A2279,[3]גיליון1!$A$1:$C$7693,3,0)</f>
        <v>6300</v>
      </c>
      <c r="L2279" s="50">
        <f>VLOOKUP(A2279,[2]data1761205830331!$A$1:$J$65536,10,0)</f>
        <v>8014.47</v>
      </c>
    </row>
    <row r="2280" spans="1:12" ht="15.6" outlineLevel="1">
      <c r="A2280" s="11">
        <v>1811400126</v>
      </c>
      <c r="B2280" s="40">
        <v>126</v>
      </c>
      <c r="C2280" s="109">
        <v>811400</v>
      </c>
      <c r="D2280" s="42">
        <v>1</v>
      </c>
      <c r="E2280" s="43"/>
      <c r="F2280" s="44" t="s">
        <v>25</v>
      </c>
      <c r="G2280" s="45" t="s">
        <v>22</v>
      </c>
      <c r="H2280" s="51">
        <f t="shared" si="35"/>
        <v>-1</v>
      </c>
      <c r="I2280" s="47"/>
      <c r="J2280" s="48">
        <f>VLOOKUP(A2280,'[1]תקציב 2026'!$A$1:$M$65536,9,0)</f>
        <v>0</v>
      </c>
      <c r="K2280" s="49">
        <f>VLOOKUP(A2280,[3]גיליון1!$A$1:$C$7693,3,0)</f>
        <v>15000</v>
      </c>
      <c r="L2280" s="50">
        <f>VLOOKUP(A2280,[2]data1761205830331!$A$1:$J$65536,10,0)</f>
        <v>18213.150000000001</v>
      </c>
    </row>
    <row r="2281" spans="1:12" ht="15.6" outlineLevel="1">
      <c r="A2281" s="11">
        <v>1811400130</v>
      </c>
      <c r="B2281" s="40">
        <v>130</v>
      </c>
      <c r="C2281" s="109">
        <v>811400</v>
      </c>
      <c r="D2281" s="42">
        <v>1</v>
      </c>
      <c r="E2281" s="43"/>
      <c r="F2281" s="44" t="s">
        <v>26</v>
      </c>
      <c r="G2281" s="45" t="s">
        <v>22</v>
      </c>
      <c r="H2281" s="51">
        <f t="shared" si="35"/>
        <v>-1</v>
      </c>
      <c r="I2281" s="47"/>
      <c r="J2281" s="48">
        <f>VLOOKUP(A2281,'[1]תקציב 2026'!$A$1:$M$65536,9,0)</f>
        <v>0</v>
      </c>
      <c r="K2281" s="49">
        <f>VLOOKUP(A2281,[3]גיליון1!$A$1:$C$7693,3,0)*0.86</f>
        <v>17200</v>
      </c>
      <c r="L2281" s="50">
        <f>VLOOKUP(A2281,[2]data1761205830331!$A$1:$J$65536,10,0)</f>
        <v>16976.580000000002</v>
      </c>
    </row>
    <row r="2282" spans="1:12" ht="15.6" outlineLevel="1">
      <c r="A2282" s="11">
        <v>1811400140</v>
      </c>
      <c r="B2282" s="40">
        <v>140</v>
      </c>
      <c r="C2282" s="109">
        <v>811400</v>
      </c>
      <c r="D2282" s="42">
        <v>1</v>
      </c>
      <c r="E2282" s="43"/>
      <c r="F2282" s="44" t="s">
        <v>27</v>
      </c>
      <c r="G2282" s="45" t="s">
        <v>22</v>
      </c>
      <c r="H2282" s="51">
        <f t="shared" si="35"/>
        <v>-1</v>
      </c>
      <c r="I2282" s="47"/>
      <c r="J2282" s="48">
        <f>VLOOKUP(A2282,'[1]תקציב 2026'!$A$1:$M$65536,9,0)</f>
        <v>0</v>
      </c>
      <c r="K2282" s="49">
        <f>VLOOKUP(A2282,[3]גיליון1!$A$1:$C$7693,3,0)</f>
        <v>84300</v>
      </c>
      <c r="L2282" s="50">
        <f>VLOOKUP(A2282,[2]data1761205830331!$A$1:$J$65536,10,0)</f>
        <v>62439.41</v>
      </c>
    </row>
    <row r="2283" spans="1:12" ht="15.6" outlineLevel="1">
      <c r="A2283" s="11">
        <v>1811400780</v>
      </c>
      <c r="B2283" s="40">
        <v>780</v>
      </c>
      <c r="C2283" s="109">
        <v>811400</v>
      </c>
      <c r="D2283" s="42">
        <v>1</v>
      </c>
      <c r="E2283" s="43"/>
      <c r="F2283" s="44" t="s">
        <v>1314</v>
      </c>
      <c r="G2283" s="45" t="s">
        <v>37</v>
      </c>
      <c r="H2283" s="51">
        <f t="shared" si="35"/>
        <v>-1</v>
      </c>
      <c r="I2283" s="47"/>
      <c r="J2283" s="48">
        <f>VLOOKUP(A2283,'[1]תקציב 2026'!$A$1:$M$65536,9,0)</f>
        <v>0</v>
      </c>
      <c r="K2283" s="49">
        <f>VLOOKUP(A2283,[3]גיליון1!$A$1:$C$7693,3,0)*0.9</f>
        <v>535500</v>
      </c>
      <c r="L2283" s="50">
        <f>VLOOKUP(A2283,[2]data1761205830331!$A$1:$J$65536,10,0)</f>
        <v>69736.95</v>
      </c>
    </row>
    <row r="2284" spans="1:12" ht="16.2" outlineLevel="1" thickBot="1">
      <c r="A2284" s="11">
        <v>1811400781</v>
      </c>
      <c r="B2284" s="40">
        <v>781</v>
      </c>
      <c r="C2284" s="109">
        <v>811400</v>
      </c>
      <c r="D2284" s="42">
        <v>1</v>
      </c>
      <c r="E2284" s="43"/>
      <c r="F2284" s="44" t="s">
        <v>1344</v>
      </c>
      <c r="G2284" s="45" t="s">
        <v>37</v>
      </c>
      <c r="H2284" s="51">
        <f t="shared" si="35"/>
        <v>-1</v>
      </c>
      <c r="I2284" s="47"/>
      <c r="J2284" s="48">
        <f>VLOOKUP(A2284,'[1]תקציב 2026'!$A$1:$M$65536,9,0)</f>
        <v>0</v>
      </c>
      <c r="K2284" s="49">
        <f>VLOOKUP(A2284,[3]גיליון1!$A$1:$C$7693,3,0)*0.9</f>
        <v>1340370</v>
      </c>
      <c r="L2284" s="50">
        <f>VLOOKUP(A2284,[2]data1761205830331!$A$1:$J$65536,10,0)</f>
        <v>1515685.05</v>
      </c>
    </row>
    <row r="2285" spans="1:12" ht="16.2" thickBot="1">
      <c r="A2285" s="11" t="e">
        <v>#VALUE!</v>
      </c>
      <c r="B2285" s="157" t="s">
        <v>1345</v>
      </c>
      <c r="C2285" s="223"/>
      <c r="D2285" s="55"/>
      <c r="E2285" s="56"/>
      <c r="F2285" s="236" t="s">
        <v>290</v>
      </c>
      <c r="G2285" s="58"/>
      <c r="H2285" s="166">
        <f>J2285/K2285-1</f>
        <v>-1</v>
      </c>
      <c r="I2285" s="72"/>
      <c r="J2285" s="74">
        <f>SUBTOTAL(9,J2277:J2284)</f>
        <v>0</v>
      </c>
      <c r="K2285" s="92">
        <f>SUBTOTAL(9,K2277:K2284)</f>
        <v>2776470</v>
      </c>
      <c r="L2285" s="75">
        <f>SUBTOTAL(9,L2277:L2284)</f>
        <v>2303162.87</v>
      </c>
    </row>
    <row r="2286" spans="1:12" ht="15.6" outlineLevel="1">
      <c r="A2286" s="11">
        <v>18120000</v>
      </c>
      <c r="B2286" s="64">
        <v>0</v>
      </c>
      <c r="C2286" s="131">
        <v>812000</v>
      </c>
      <c r="D2286" s="66">
        <v>1</v>
      </c>
      <c r="E2286" s="67"/>
      <c r="F2286" s="68" t="s">
        <v>295</v>
      </c>
      <c r="G2286" s="69" t="s">
        <v>15</v>
      </c>
      <c r="H2286" s="51"/>
      <c r="I2286" s="47"/>
      <c r="J2286" s="48"/>
      <c r="K2286" s="49"/>
      <c r="L2286" s="50"/>
    </row>
    <row r="2287" spans="1:12" ht="15.6" outlineLevel="1">
      <c r="A2287" s="11">
        <v>1812200110</v>
      </c>
      <c r="B2287" s="40">
        <v>110</v>
      </c>
      <c r="C2287" s="109">
        <v>812200</v>
      </c>
      <c r="D2287" s="42">
        <v>1</v>
      </c>
      <c r="E2287" s="43"/>
      <c r="F2287" s="44" t="s">
        <v>21</v>
      </c>
      <c r="G2287" s="45" t="s">
        <v>22</v>
      </c>
      <c r="H2287" s="51">
        <f t="shared" si="35"/>
        <v>2.5025380710659739E-2</v>
      </c>
      <c r="I2287" s="47"/>
      <c r="J2287" s="48">
        <f>VLOOKUP(A2287,'[1]תקציב 2026'!$A$1:$M$65536,9,0)</f>
        <v>201929.99999999997</v>
      </c>
      <c r="K2287" s="49">
        <v>197000</v>
      </c>
      <c r="L2287" s="50">
        <f>VLOOKUP(A2287,[2]data1761205830331!$A$1:$J$65536,10,0)</f>
        <v>175680.61</v>
      </c>
    </row>
    <row r="2288" spans="1:12" ht="15.6" outlineLevel="1">
      <c r="A2288" s="11">
        <v>1812200119</v>
      </c>
      <c r="B2288" s="40">
        <v>119</v>
      </c>
      <c r="C2288" s="109">
        <v>812200</v>
      </c>
      <c r="D2288" s="42">
        <v>1</v>
      </c>
      <c r="E2288" s="43"/>
      <c r="F2288" s="44" t="s">
        <v>23</v>
      </c>
      <c r="G2288" s="45" t="s">
        <v>22</v>
      </c>
      <c r="H2288" s="51">
        <f t="shared" si="35"/>
        <v>2.5011286681715594E-2</v>
      </c>
      <c r="I2288" s="47"/>
      <c r="J2288" s="48">
        <v>227040</v>
      </c>
      <c r="K2288" s="49">
        <v>221500</v>
      </c>
      <c r="L2288" s="50">
        <f>VLOOKUP(A2288,[2]data1761205830331!$A$1:$J$65536,10,0)</f>
        <v>182109.43</v>
      </c>
    </row>
    <row r="2289" spans="1:12" ht="15.6" outlineLevel="1">
      <c r="A2289" s="11">
        <v>1812200122</v>
      </c>
      <c r="B2289" s="40">
        <v>122</v>
      </c>
      <c r="C2289" s="109">
        <v>812200</v>
      </c>
      <c r="D2289" s="42">
        <v>1</v>
      </c>
      <c r="E2289" s="43"/>
      <c r="F2289" s="44" t="s">
        <v>24</v>
      </c>
      <c r="G2289" s="45" t="s">
        <v>22</v>
      </c>
      <c r="H2289" s="51">
        <f t="shared" si="35"/>
        <v>0</v>
      </c>
      <c r="I2289" s="47"/>
      <c r="J2289" s="48">
        <f>VLOOKUP(A2289,'[1]תקציב 2026'!$A$1:$M$65536,9,0)</f>
        <v>2000</v>
      </c>
      <c r="K2289" s="49">
        <f>VLOOKUP(A2289,[3]גיליון1!$A$1:$C$7693,3,0)</f>
        <v>2000</v>
      </c>
      <c r="L2289" s="50">
        <f>VLOOKUP(A2289,[2]data1761205830331!$A$1:$J$65536,10,0)</f>
        <v>1601.25</v>
      </c>
    </row>
    <row r="2290" spans="1:12" ht="15.6" outlineLevel="1">
      <c r="A2290" s="11">
        <v>1812200126</v>
      </c>
      <c r="B2290" s="40">
        <v>126</v>
      </c>
      <c r="C2290" s="109">
        <v>812200</v>
      </c>
      <c r="D2290" s="42">
        <v>1</v>
      </c>
      <c r="E2290" s="43"/>
      <c r="F2290" s="44" t="s">
        <v>25</v>
      </c>
      <c r="G2290" s="45" t="s">
        <v>22</v>
      </c>
      <c r="H2290" s="51">
        <f t="shared" si="35"/>
        <v>0</v>
      </c>
      <c r="I2290" s="47"/>
      <c r="J2290" s="48">
        <f>VLOOKUP(A2290,'[1]תקציב 2026'!$A$1:$M$65536,9,0)</f>
        <v>13500</v>
      </c>
      <c r="K2290" s="49">
        <f>VLOOKUP(A2290,[3]גיליון1!$A$1:$C$7693,3,0)</f>
        <v>13500</v>
      </c>
      <c r="L2290" s="50">
        <f>VLOOKUP(A2290,[2]data1761205830331!$A$1:$J$65536,10,0)</f>
        <v>12256.4</v>
      </c>
    </row>
    <row r="2291" spans="1:12" ht="15.6" outlineLevel="1">
      <c r="A2291" s="11">
        <v>1812200130</v>
      </c>
      <c r="B2291" s="40">
        <v>130</v>
      </c>
      <c r="C2291" s="109">
        <v>812200</v>
      </c>
      <c r="D2291" s="42">
        <v>1</v>
      </c>
      <c r="E2291" s="43"/>
      <c r="F2291" s="44" t="s">
        <v>1108</v>
      </c>
      <c r="G2291" s="45" t="s">
        <v>22</v>
      </c>
      <c r="H2291" s="51">
        <v>0</v>
      </c>
      <c r="I2291" s="47"/>
      <c r="J2291" s="48">
        <f>VLOOKUP(A2291,'[1]תקציב 2026'!$A$1:$M$65536,9,0)</f>
        <v>0</v>
      </c>
      <c r="K2291" s="49">
        <v>0</v>
      </c>
      <c r="L2291" s="50">
        <f>VLOOKUP(A2291,[2]data1761205830331!$A$1:$J$65536,10,0)</f>
        <v>800</v>
      </c>
    </row>
    <row r="2292" spans="1:12" ht="15.6" outlineLevel="1">
      <c r="A2292" s="11">
        <v>1812200420</v>
      </c>
      <c r="B2292" s="40">
        <v>420</v>
      </c>
      <c r="C2292" s="109">
        <v>812200</v>
      </c>
      <c r="D2292" s="42">
        <v>1</v>
      </c>
      <c r="E2292" s="43"/>
      <c r="F2292" s="44" t="s">
        <v>30</v>
      </c>
      <c r="G2292" s="45" t="s">
        <v>29</v>
      </c>
      <c r="H2292" s="51">
        <f t="shared" si="35"/>
        <v>0.11111111111111116</v>
      </c>
      <c r="I2292" s="47"/>
      <c r="J2292" s="48">
        <f>VLOOKUP(A2292,'[1]תקציב 2026'!$A$1:$M$65536,9,0)</f>
        <v>85000</v>
      </c>
      <c r="K2292" s="49">
        <f>VLOOKUP(A2292,[3]גיליון1!$A$1:$C$7693,3,0)*0.9</f>
        <v>76500</v>
      </c>
      <c r="L2292" s="50">
        <f>VLOOKUP(A2292,[2]data1761205830331!$A$1:$J$65536,10,0)</f>
        <v>80596.38</v>
      </c>
    </row>
    <row r="2293" spans="1:12" ht="15.6" outlineLevel="1">
      <c r="A2293" s="11">
        <v>1812200431</v>
      </c>
      <c r="B2293" s="40">
        <v>431</v>
      </c>
      <c r="C2293" s="109">
        <v>812200</v>
      </c>
      <c r="D2293" s="42">
        <v>1</v>
      </c>
      <c r="E2293" s="43"/>
      <c r="F2293" s="44" t="s">
        <v>32</v>
      </c>
      <c r="G2293" s="45" t="s">
        <v>29</v>
      </c>
      <c r="H2293" s="51">
        <f t="shared" si="35"/>
        <v>1.1112345816211011E-4</v>
      </c>
      <c r="I2293" s="47"/>
      <c r="J2293" s="48">
        <f>VLOOKUP(A2293,'[1]תקציב 2026'!$A$1:$M$65536,9,0)</f>
        <v>1800000</v>
      </c>
      <c r="K2293" s="49">
        <v>1799800</v>
      </c>
      <c r="L2293" s="50">
        <f>VLOOKUP(A2293,[2]data1761205830331!$A$1:$J$65536,10,0)</f>
        <v>1687176.84</v>
      </c>
    </row>
    <row r="2294" spans="1:12" ht="15.6" outlineLevel="1">
      <c r="A2294" s="11">
        <v>1812200432</v>
      </c>
      <c r="B2294" s="40">
        <v>432</v>
      </c>
      <c r="C2294" s="109">
        <v>812200</v>
      </c>
      <c r="D2294" s="42">
        <v>1</v>
      </c>
      <c r="E2294" s="43"/>
      <c r="F2294" s="44" t="s">
        <v>33</v>
      </c>
      <c r="G2294" s="45" t="s">
        <v>29</v>
      </c>
      <c r="H2294" s="51">
        <f t="shared" si="35"/>
        <v>-9.9999999999999978E-2</v>
      </c>
      <c r="I2294" s="47"/>
      <c r="J2294" s="48">
        <f>VLOOKUP(A2294,'[1]תקציב 2026'!$A$1:$M$65536,9,0)</f>
        <v>900000</v>
      </c>
      <c r="K2294" s="49">
        <f>VLOOKUP(A2294,[3]גיליון1!$A$1:$C$7693,3,0)</f>
        <v>1000000</v>
      </c>
      <c r="L2294" s="50">
        <f>VLOOKUP(A2294,[2]data1761205830331!$A$1:$J$65536,10,0)</f>
        <v>764999.63</v>
      </c>
    </row>
    <row r="2295" spans="1:12" ht="15.6" outlineLevel="1">
      <c r="A2295" s="11">
        <v>1812200433</v>
      </c>
      <c r="B2295" s="40">
        <v>433</v>
      </c>
      <c r="C2295" s="109">
        <v>812200</v>
      </c>
      <c r="D2295" s="42">
        <v>1</v>
      </c>
      <c r="E2295" s="43"/>
      <c r="F2295" s="44" t="s">
        <v>34</v>
      </c>
      <c r="G2295" s="45" t="s">
        <v>37</v>
      </c>
      <c r="H2295" s="51">
        <f t="shared" ref="H2295:H2354" si="36">J2295/K2295-1</f>
        <v>-1</v>
      </c>
      <c r="I2295" s="47"/>
      <c r="J2295" s="48">
        <f>VLOOKUP(A2295,'[1]תקציב 2026'!$A$1:$M$65536,9,0)</f>
        <v>0</v>
      </c>
      <c r="K2295" s="49">
        <f>VLOOKUP(A2295,[3]גיליון1!$A$1:$C$7693,3,0)*0.9</f>
        <v>156330</v>
      </c>
      <c r="L2295" s="50">
        <f>VLOOKUP(A2295,[2]data1761205830331!$A$1:$J$65536,10,0)</f>
        <v>173250</v>
      </c>
    </row>
    <row r="2296" spans="1:12" ht="15.6" outlineLevel="1">
      <c r="A2296" s="11">
        <v>1812200434</v>
      </c>
      <c r="B2296" s="40">
        <v>434</v>
      </c>
      <c r="C2296" s="109">
        <v>812200</v>
      </c>
      <c r="D2296" s="42">
        <v>1</v>
      </c>
      <c r="E2296" s="43"/>
      <c r="F2296" s="44" t="s">
        <v>35</v>
      </c>
      <c r="G2296" s="45" t="s">
        <v>37</v>
      </c>
      <c r="H2296" s="51">
        <f t="shared" si="36"/>
        <v>0.1934156378600822</v>
      </c>
      <c r="I2296" s="47"/>
      <c r="J2296" s="48">
        <f>VLOOKUP(A2296,'[1]תקציב 2026'!$A$1:$M$65536,9,0)</f>
        <v>29000</v>
      </c>
      <c r="K2296" s="49">
        <f>VLOOKUP(A2296,[3]גיליון1!$A$1:$C$7693,3,0)*0.9</f>
        <v>24300</v>
      </c>
      <c r="L2296" s="50">
        <f>VLOOKUP(A2296,[2]data1761205830331!$A$1:$J$65536,10,0)</f>
        <v>25123.06</v>
      </c>
    </row>
    <row r="2297" spans="1:12" ht="15.6" outlineLevel="1">
      <c r="A2297" s="11">
        <v>1812200437</v>
      </c>
      <c r="B2297" s="40">
        <v>437</v>
      </c>
      <c r="C2297" s="109">
        <v>812200</v>
      </c>
      <c r="D2297" s="42">
        <v>1</v>
      </c>
      <c r="E2297" s="43"/>
      <c r="F2297" s="44" t="s">
        <v>38</v>
      </c>
      <c r="G2297" s="45" t="s">
        <v>29</v>
      </c>
      <c r="H2297" s="51">
        <f t="shared" si="36"/>
        <v>0</v>
      </c>
      <c r="I2297" s="47"/>
      <c r="J2297" s="48">
        <f>VLOOKUP(A2297,'[1]תקציב 2026'!$A$1:$M$65536,9,0)</f>
        <v>22000</v>
      </c>
      <c r="K2297" s="49">
        <f>VLOOKUP(A2297,[3]גיליון1!$A$1:$C$7693,3,0)</f>
        <v>22000</v>
      </c>
      <c r="L2297" s="50">
        <f>VLOOKUP(A2297,[2]data1761205830331!$A$1:$J$65536,10,0)</f>
        <v>5496.66</v>
      </c>
    </row>
    <row r="2298" spans="1:12" ht="15.6" outlineLevel="1">
      <c r="A2298" s="11">
        <v>1812200471</v>
      </c>
      <c r="B2298" s="40">
        <v>471</v>
      </c>
      <c r="C2298" s="109">
        <v>812200</v>
      </c>
      <c r="D2298" s="42">
        <v>1</v>
      </c>
      <c r="E2298" s="43"/>
      <c r="F2298" s="44" t="s">
        <v>1346</v>
      </c>
      <c r="G2298" s="45" t="s">
        <v>37</v>
      </c>
      <c r="H2298" s="51">
        <f t="shared" si="36"/>
        <v>0</v>
      </c>
      <c r="I2298" s="47"/>
      <c r="J2298" s="48">
        <f>VLOOKUP(A2298,'[1]תקציב 2026'!$A$1:$M$65536,9,0)</f>
        <v>4590</v>
      </c>
      <c r="K2298" s="49">
        <f>VLOOKUP(A2298,[3]גיליון1!$A$1:$C$7693,3,0)*0.9</f>
        <v>4590</v>
      </c>
      <c r="L2298" s="50">
        <f>VLOOKUP(A2298,[2]data1761205830331!$A$1:$J$65536,10,0)</f>
        <v>3741.32</v>
      </c>
    </row>
    <row r="2299" spans="1:12" ht="15.6" outlineLevel="1">
      <c r="A2299" s="11">
        <v>1812200540</v>
      </c>
      <c r="B2299" s="40">
        <v>540</v>
      </c>
      <c r="C2299" s="109">
        <v>812200</v>
      </c>
      <c r="D2299" s="42">
        <v>1</v>
      </c>
      <c r="E2299" s="43"/>
      <c r="F2299" s="44" t="s">
        <v>47</v>
      </c>
      <c r="G2299" s="45" t="s">
        <v>29</v>
      </c>
      <c r="H2299" s="51">
        <f t="shared" si="36"/>
        <v>0</v>
      </c>
      <c r="I2299" s="47"/>
      <c r="J2299" s="48">
        <f>VLOOKUP(A2299,'[1]תקציב 2026'!$A$1:$M$65536,9,0)</f>
        <v>132000</v>
      </c>
      <c r="K2299" s="49">
        <f>VLOOKUP(A2299,[3]גיליון1!$A$1:$C$7693,3,0)</f>
        <v>132000</v>
      </c>
      <c r="L2299" s="50">
        <f>VLOOKUP(A2299,[2]data1761205830331!$A$1:$J$65536,10,0)</f>
        <v>131050</v>
      </c>
    </row>
    <row r="2300" spans="1:12" ht="15.6" outlineLevel="1">
      <c r="A2300" s="11">
        <v>1812200544</v>
      </c>
      <c r="B2300" s="40">
        <v>544</v>
      </c>
      <c r="C2300" s="109">
        <v>812200</v>
      </c>
      <c r="D2300" s="42">
        <v>1</v>
      </c>
      <c r="E2300" s="43"/>
      <c r="F2300" s="44" t="s">
        <v>743</v>
      </c>
      <c r="G2300" s="45" t="s">
        <v>29</v>
      </c>
      <c r="H2300" s="51">
        <f t="shared" si="36"/>
        <v>0</v>
      </c>
      <c r="I2300" s="47"/>
      <c r="J2300" s="48">
        <f>VLOOKUP(A2300,'[1]תקציב 2026'!$A$1:$M$65536,9,0)</f>
        <v>4500</v>
      </c>
      <c r="K2300" s="49">
        <f>VLOOKUP(A2300,[3]גיליון1!$A$1:$C$7693,3,0)</f>
        <v>4500</v>
      </c>
      <c r="L2300" s="50">
        <f>VLOOKUP(A2300,[2]data1761205830331!$A$1:$J$65536,10,0)</f>
        <v>0</v>
      </c>
    </row>
    <row r="2301" spans="1:12" ht="15.6" outlineLevel="1">
      <c r="A2301" s="11">
        <v>1812200562</v>
      </c>
      <c r="B2301" s="40">
        <v>562</v>
      </c>
      <c r="C2301" s="109">
        <v>812200</v>
      </c>
      <c r="D2301" s="42">
        <v>1</v>
      </c>
      <c r="E2301" s="43"/>
      <c r="F2301" s="44" t="s">
        <v>1347</v>
      </c>
      <c r="G2301" s="45" t="s">
        <v>37</v>
      </c>
      <c r="H2301" s="51">
        <f t="shared" si="36"/>
        <v>-0.13363656053714534</v>
      </c>
      <c r="I2301" s="47"/>
      <c r="J2301" s="48">
        <f>VLOOKUP(A2301,'[1]תקציב 2026'!$A$1:$M$65536,9,0)</f>
        <v>40000</v>
      </c>
      <c r="K2301" s="49">
        <f>VLOOKUP(A2301,[3]גיליון1!$A$1:$C$7693,3,0)*0.9</f>
        <v>46170</v>
      </c>
      <c r="L2301" s="50">
        <f>VLOOKUP(A2301,[2]data1761205830331!$A$1:$J$65536,10,0)</f>
        <v>180.5</v>
      </c>
    </row>
    <row r="2302" spans="1:12" ht="15.6" outlineLevel="1">
      <c r="A2302" s="11">
        <v>1812200563</v>
      </c>
      <c r="B2302" s="40">
        <v>563</v>
      </c>
      <c r="C2302" s="109">
        <v>812200</v>
      </c>
      <c r="D2302" s="42">
        <v>1</v>
      </c>
      <c r="E2302" s="43"/>
      <c r="F2302" s="44" t="s">
        <v>1348</v>
      </c>
      <c r="G2302" s="45" t="s">
        <v>37</v>
      </c>
      <c r="H2302" s="51">
        <f t="shared" si="36"/>
        <v>0</v>
      </c>
      <c r="I2302" s="47"/>
      <c r="J2302" s="48">
        <f>VLOOKUP(A2302,'[1]תקציב 2026'!$A$1:$M$65536,9,0)</f>
        <v>333500</v>
      </c>
      <c r="K2302" s="49">
        <f>VLOOKUP(A2302,[3]גיליון1!$A$1:$C$7693,3,0)</f>
        <v>333500</v>
      </c>
      <c r="L2302" s="50">
        <f>VLOOKUP(A2302,[2]data1761205830331!$A$1:$J$65536,10,0)</f>
        <v>293300.05</v>
      </c>
    </row>
    <row r="2303" spans="1:12" ht="15.6" outlineLevel="1">
      <c r="A2303" s="11">
        <v>1812200571</v>
      </c>
      <c r="B2303" s="40">
        <v>571</v>
      </c>
      <c r="C2303" s="109">
        <v>812200</v>
      </c>
      <c r="D2303" s="42">
        <v>1</v>
      </c>
      <c r="E2303" s="43"/>
      <c r="F2303" s="44" t="s">
        <v>75</v>
      </c>
      <c r="G2303" s="45" t="s">
        <v>29</v>
      </c>
      <c r="H2303" s="51">
        <f t="shared" si="36"/>
        <v>0.81749049429657794</v>
      </c>
      <c r="I2303" s="47"/>
      <c r="J2303" s="48">
        <f>VLOOKUP(A2303,'[1]תקציב 2026'!$A$1:$M$65536,9,0)</f>
        <v>191200</v>
      </c>
      <c r="K2303" s="49">
        <v>105200</v>
      </c>
      <c r="L2303" s="50">
        <f>VLOOKUP(A2303,[2]data1761205830331!$A$1:$J$65536,10,0)</f>
        <v>97200</v>
      </c>
    </row>
    <row r="2304" spans="1:12" ht="15.6" outlineLevel="1">
      <c r="A2304" s="11">
        <v>1812200710</v>
      </c>
      <c r="B2304" s="40">
        <v>710</v>
      </c>
      <c r="C2304" s="109">
        <v>812200</v>
      </c>
      <c r="D2304" s="42">
        <v>1</v>
      </c>
      <c r="E2304" s="43"/>
      <c r="F2304" s="44" t="s">
        <v>1349</v>
      </c>
      <c r="G2304" s="45" t="s">
        <v>37</v>
      </c>
      <c r="H2304" s="51">
        <f t="shared" si="36"/>
        <v>0</v>
      </c>
      <c r="I2304" s="47"/>
      <c r="J2304" s="48">
        <f>VLOOKUP(A2304,'[1]תקציב 2026'!$A$1:$M$65536,9,0)</f>
        <v>51300</v>
      </c>
      <c r="K2304" s="49">
        <f>VLOOKUP(A2304,[3]גיליון1!$A$1:$C$7693,3,0)*0.9</f>
        <v>51300</v>
      </c>
      <c r="L2304" s="50">
        <f>VLOOKUP(A2304,[2]data1761205830331!$A$1:$J$65536,10,0)</f>
        <v>51300</v>
      </c>
    </row>
    <row r="2305" spans="1:12" ht="15.6" outlineLevel="1">
      <c r="A2305" s="11">
        <v>1812200723</v>
      </c>
      <c r="B2305" s="40">
        <v>723</v>
      </c>
      <c r="C2305" s="109">
        <v>812200</v>
      </c>
      <c r="D2305" s="42">
        <v>1</v>
      </c>
      <c r="E2305" s="43"/>
      <c r="F2305" s="44" t="s">
        <v>1350</v>
      </c>
      <c r="G2305" s="45" t="s">
        <v>37</v>
      </c>
      <c r="H2305" s="51">
        <f t="shared" si="36"/>
        <v>1.5173611111111112</v>
      </c>
      <c r="I2305" s="47"/>
      <c r="J2305" s="48">
        <f>VLOOKUP(A2305,'[1]תקציב 2026'!$A$1:$M$65536,9,0)</f>
        <v>1160000</v>
      </c>
      <c r="K2305" s="49">
        <f>VLOOKUP(A2305,[3]גיליון1!$A$1:$C$7693,3,0)*0.9</f>
        <v>460800</v>
      </c>
      <c r="L2305" s="50">
        <f>VLOOKUP(A2305,[2]data1761205830331!$A$1:$J$65536,10,0)</f>
        <v>457800</v>
      </c>
    </row>
    <row r="2306" spans="1:12" ht="15.6" outlineLevel="1">
      <c r="A2306" s="11">
        <v>1812200750</v>
      </c>
      <c r="B2306" s="40">
        <v>750</v>
      </c>
      <c r="C2306" s="109">
        <v>812200</v>
      </c>
      <c r="D2306" s="42">
        <v>1</v>
      </c>
      <c r="E2306" s="43"/>
      <c r="F2306" s="44" t="s">
        <v>1351</v>
      </c>
      <c r="G2306" s="45" t="s">
        <v>29</v>
      </c>
      <c r="H2306" s="51">
        <f t="shared" si="36"/>
        <v>5.9282958501929439E-3</v>
      </c>
      <c r="I2306" s="47"/>
      <c r="J2306" s="48">
        <f>VLOOKUP(A2306,'[1]תקציב 2026'!$A$1:$M$65536,9,0)</f>
        <v>5345000</v>
      </c>
      <c r="K2306" s="49">
        <v>5313500</v>
      </c>
      <c r="L2306" s="50">
        <f>VLOOKUP(A2306,[2]data1761205830331!$A$1:$J$65536,10,0)</f>
        <v>4784619</v>
      </c>
    </row>
    <row r="2307" spans="1:12" ht="15.6" outlineLevel="1">
      <c r="A2307" s="11">
        <v>1812200752</v>
      </c>
      <c r="B2307" s="40">
        <v>752</v>
      </c>
      <c r="C2307" s="109">
        <v>812200</v>
      </c>
      <c r="D2307" s="42">
        <v>1</v>
      </c>
      <c r="E2307" s="43"/>
      <c r="F2307" s="44" t="s">
        <v>54</v>
      </c>
      <c r="G2307" s="45" t="s">
        <v>29</v>
      </c>
      <c r="H2307" s="51">
        <f t="shared" si="36"/>
        <v>0.56007751937984507</v>
      </c>
      <c r="I2307" s="47"/>
      <c r="J2307" s="48">
        <f>VLOOKUP(A2307,'[1]תקציב 2026'!$A$1:$M$65536,9,0)</f>
        <v>80500</v>
      </c>
      <c r="K2307" s="49">
        <f>VLOOKUP(A2307,[3]גיליון1!$A$1:$C$7693,3,0)</f>
        <v>51600</v>
      </c>
      <c r="L2307" s="50">
        <f>VLOOKUP(A2307,[2]data1761205830331!$A$1:$J$65536,10,0)</f>
        <v>50555.35</v>
      </c>
    </row>
    <row r="2308" spans="1:12" ht="15.6" outlineLevel="1">
      <c r="A2308" s="11">
        <v>1812200754</v>
      </c>
      <c r="B2308" s="40">
        <v>754</v>
      </c>
      <c r="C2308" s="109">
        <v>812200</v>
      </c>
      <c r="D2308" s="42">
        <v>1</v>
      </c>
      <c r="E2308" s="43"/>
      <c r="F2308" s="44" t="s">
        <v>1352</v>
      </c>
      <c r="G2308" s="45" t="s">
        <v>37</v>
      </c>
      <c r="H2308" s="51">
        <f t="shared" si="36"/>
        <v>0.11111111111111116</v>
      </c>
      <c r="I2308" s="47"/>
      <c r="J2308" s="48">
        <f>VLOOKUP(A2308,'[1]תקציב 2026'!$A$1:$M$65536,9,0)</f>
        <v>150000</v>
      </c>
      <c r="K2308" s="49">
        <f>150000*0.9</f>
        <v>135000</v>
      </c>
      <c r="L2308" s="50">
        <f>VLOOKUP(A2308,[2]data1761205830331!$A$1:$J$65536,10,0)</f>
        <v>0</v>
      </c>
    </row>
    <row r="2309" spans="1:12" ht="15.6" outlineLevel="1">
      <c r="A2309" s="11">
        <v>1812200756</v>
      </c>
      <c r="B2309" s="40">
        <v>756</v>
      </c>
      <c r="C2309" s="109">
        <v>812200</v>
      </c>
      <c r="D2309" s="42">
        <v>1</v>
      </c>
      <c r="E2309" s="43"/>
      <c r="F2309" s="44" t="s">
        <v>1353</v>
      </c>
      <c r="G2309" s="45" t="s">
        <v>29</v>
      </c>
      <c r="H2309" s="51">
        <f t="shared" si="36"/>
        <v>-1</v>
      </c>
      <c r="I2309" s="47"/>
      <c r="J2309" s="48">
        <f>VLOOKUP(A2309,'[1]תקציב 2026'!$A$1:$M$65536,9,0)</f>
        <v>0</v>
      </c>
      <c r="K2309" s="49">
        <f>VLOOKUP(A2309,[3]גיליון1!$A$1:$C$7693,3,0)</f>
        <v>50000</v>
      </c>
      <c r="L2309" s="50">
        <f>VLOOKUP(A2309,[2]data1761205830331!$A$1:$J$65536,10,0)</f>
        <v>0</v>
      </c>
    </row>
    <row r="2310" spans="1:12" ht="15.6" outlineLevel="1">
      <c r="A2310" s="11">
        <v>1812200757</v>
      </c>
      <c r="B2310" s="40">
        <v>757</v>
      </c>
      <c r="C2310" s="109">
        <v>812200</v>
      </c>
      <c r="D2310" s="42">
        <v>1</v>
      </c>
      <c r="E2310" s="43"/>
      <c r="F2310" s="44" t="s">
        <v>1354</v>
      </c>
      <c r="G2310" s="45" t="s">
        <v>37</v>
      </c>
      <c r="H2310" s="51">
        <f t="shared" si="36"/>
        <v>4.3958209505525758E-3</v>
      </c>
      <c r="I2310" s="47"/>
      <c r="J2310" s="48">
        <f>VLOOKUP(A2310,'[1]תקציב 2026'!$A$1:$M$65536,9,0)</f>
        <v>63200000</v>
      </c>
      <c r="K2310" s="49">
        <v>62923400</v>
      </c>
      <c r="L2310" s="50">
        <f>VLOOKUP(A2310,[2]data1761205830331!$A$1:$J$65536,10,0)</f>
        <v>57779369.590000004</v>
      </c>
    </row>
    <row r="2311" spans="1:12" ht="15.6" outlineLevel="1">
      <c r="A2311" s="11">
        <v>1812200758</v>
      </c>
      <c r="B2311" s="40">
        <v>758</v>
      </c>
      <c r="C2311" s="109">
        <v>812200</v>
      </c>
      <c r="D2311" s="42">
        <v>1</v>
      </c>
      <c r="E2311" s="43"/>
      <c r="F2311" s="155" t="s">
        <v>1355</v>
      </c>
      <c r="G2311" s="45" t="s">
        <v>29</v>
      </c>
      <c r="H2311" s="51">
        <f t="shared" si="36"/>
        <v>1.3333333333333419E-2</v>
      </c>
      <c r="I2311" s="47"/>
      <c r="J2311" s="48">
        <f>VLOOKUP(A2311,'[1]תקציב 2026'!$A$1:$M$65536,9,0)</f>
        <v>760000</v>
      </c>
      <c r="K2311" s="49">
        <v>750000</v>
      </c>
      <c r="L2311" s="50">
        <f>VLOOKUP(A2311,[2]data1761205830331!$A$1:$J$65536,10,0)</f>
        <v>0</v>
      </c>
    </row>
    <row r="2312" spans="1:12" ht="15.6" outlineLevel="1">
      <c r="A2312" s="11">
        <v>1812200759</v>
      </c>
      <c r="B2312" s="40">
        <v>759</v>
      </c>
      <c r="C2312" s="109">
        <v>812200</v>
      </c>
      <c r="D2312" s="42">
        <v>1</v>
      </c>
      <c r="E2312" s="43"/>
      <c r="F2312" s="44" t="s">
        <v>1332</v>
      </c>
      <c r="G2312" s="45" t="s">
        <v>22</v>
      </c>
      <c r="H2312" s="51">
        <f t="shared" si="36"/>
        <v>4.7194875209277454E-2</v>
      </c>
      <c r="I2312" s="47"/>
      <c r="J2312" s="48">
        <f>VLOOKUP(A2312,'[1]תקציב 2026'!$A$1:$M$65536,9,0)</f>
        <v>32400000</v>
      </c>
      <c r="K2312" s="49">
        <v>30939800</v>
      </c>
      <c r="L2312" s="50">
        <f>VLOOKUP(A2312,[2]data1761205830331!$A$1:$J$65536,10,0)</f>
        <v>31711082.23</v>
      </c>
    </row>
    <row r="2313" spans="1:12" ht="15.6" outlineLevel="1">
      <c r="A2313" s="11">
        <v>1812200760</v>
      </c>
      <c r="B2313" s="40">
        <v>760</v>
      </c>
      <c r="C2313" s="109">
        <v>812200</v>
      </c>
      <c r="D2313" s="42">
        <v>1</v>
      </c>
      <c r="E2313" s="43"/>
      <c r="F2313" s="44" t="s">
        <v>1356</v>
      </c>
      <c r="G2313" s="45" t="s">
        <v>37</v>
      </c>
      <c r="H2313" s="51">
        <v>1</v>
      </c>
      <c r="I2313" s="47" t="s">
        <v>86</v>
      </c>
      <c r="J2313" s="48">
        <f>VLOOKUP(A2313,'[1]תקציב 2026'!$A$1:$M$65536,9,0)</f>
        <v>700000</v>
      </c>
      <c r="K2313" s="49">
        <v>0</v>
      </c>
      <c r="L2313" s="50">
        <v>0</v>
      </c>
    </row>
    <row r="2314" spans="1:12" ht="15.6" outlineLevel="1">
      <c r="A2314" s="11">
        <v>1812200761</v>
      </c>
      <c r="B2314" s="40">
        <v>761</v>
      </c>
      <c r="C2314" s="109">
        <v>812200</v>
      </c>
      <c r="D2314" s="42">
        <v>1</v>
      </c>
      <c r="E2314" s="43"/>
      <c r="F2314" s="44" t="s">
        <v>1357</v>
      </c>
      <c r="G2314" s="45" t="s">
        <v>22</v>
      </c>
      <c r="H2314" s="51">
        <f t="shared" si="36"/>
        <v>4.6984028531555255E-2</v>
      </c>
      <c r="I2314" s="47"/>
      <c r="J2314" s="48">
        <f>VLOOKUP(A2314,'[1]תקציב 2026'!$A$1:$M$65536,9,0)</f>
        <v>47264000</v>
      </c>
      <c r="K2314" s="49">
        <f>VLOOKUP(A2314,[3]גיליון1!$A$1:$C$7693,3,0)</f>
        <v>45143000</v>
      </c>
      <c r="L2314" s="50">
        <f>VLOOKUP(A2314,[2]data1761205830331!$A$1:$J$65536,10,0)</f>
        <v>44628192.390000001</v>
      </c>
    </row>
    <row r="2315" spans="1:12" ht="15.6" outlineLevel="1">
      <c r="A2315" s="11">
        <v>1812200781</v>
      </c>
      <c r="B2315" s="40">
        <v>781</v>
      </c>
      <c r="C2315" s="109">
        <v>812200</v>
      </c>
      <c r="D2315" s="42">
        <v>1</v>
      </c>
      <c r="E2315" s="43"/>
      <c r="F2315" s="44" t="s">
        <v>1156</v>
      </c>
      <c r="G2315" s="45" t="s">
        <v>29</v>
      </c>
      <c r="H2315" s="51">
        <f t="shared" si="36"/>
        <v>0</v>
      </c>
      <c r="I2315" s="47"/>
      <c r="J2315" s="48">
        <f>VLOOKUP(A2315,'[1]תקציב 2026'!$A$1:$M$65536,9,0)</f>
        <v>505400</v>
      </c>
      <c r="K2315" s="49">
        <f>VLOOKUP(A2315,[3]גיליון1!$A$1:$C$7693,3,0)</f>
        <v>505400</v>
      </c>
      <c r="L2315" s="50">
        <f>VLOOKUP(A2315,[2]data1761205830331!$A$1:$J$65536,10,0)</f>
        <v>372652.58</v>
      </c>
    </row>
    <row r="2316" spans="1:12" ht="15.6" outlineLevel="1">
      <c r="A2316" s="11">
        <v>1812200784</v>
      </c>
      <c r="B2316" s="40">
        <v>784</v>
      </c>
      <c r="C2316" s="109">
        <v>812200</v>
      </c>
      <c r="D2316" s="42">
        <v>1</v>
      </c>
      <c r="E2316" s="43"/>
      <c r="F2316" s="44" t="s">
        <v>1358</v>
      </c>
      <c r="G2316" s="45" t="s">
        <v>37</v>
      </c>
      <c r="H2316" s="51">
        <f t="shared" si="36"/>
        <v>0</v>
      </c>
      <c r="I2316" s="47"/>
      <c r="J2316" s="48">
        <f>VLOOKUP(A2316,'[1]תקציב 2026'!$A$1:$M$65536,9,0)</f>
        <v>359100</v>
      </c>
      <c r="K2316" s="49">
        <f>VLOOKUP(A2316,[3]גיליון1!$A$1:$C$7693,3,0)*0.9</f>
        <v>359100</v>
      </c>
      <c r="L2316" s="50">
        <f>VLOOKUP(A2316,[2]data1761205830331!$A$1:$J$65536,10,0)</f>
        <v>355080</v>
      </c>
    </row>
    <row r="2317" spans="1:12" ht="15.6" outlineLevel="1">
      <c r="A2317" s="11">
        <v>1812200786</v>
      </c>
      <c r="B2317" s="40">
        <v>786</v>
      </c>
      <c r="C2317" s="109">
        <v>812200</v>
      </c>
      <c r="D2317" s="42">
        <v>1</v>
      </c>
      <c r="E2317" s="43"/>
      <c r="F2317" s="44" t="s">
        <v>1359</v>
      </c>
      <c r="G2317" s="45" t="s">
        <v>37</v>
      </c>
      <c r="H2317" s="51">
        <v>1</v>
      </c>
      <c r="I2317" s="47" t="s">
        <v>86</v>
      </c>
      <c r="J2317" s="48">
        <f>VLOOKUP(A2317,'[1]תקציב 2026'!$A$1:$M$65536,9,0)</f>
        <v>170000</v>
      </c>
      <c r="K2317" s="49">
        <v>0</v>
      </c>
      <c r="L2317" s="50">
        <v>0</v>
      </c>
    </row>
    <row r="2318" spans="1:12" ht="15.6" outlineLevel="1">
      <c r="A2318" s="11">
        <v>1812200794</v>
      </c>
      <c r="B2318" s="40">
        <v>794</v>
      </c>
      <c r="C2318" s="109">
        <v>812200</v>
      </c>
      <c r="D2318" s="42">
        <v>1</v>
      </c>
      <c r="E2318" s="43"/>
      <c r="F2318" s="44" t="s">
        <v>58</v>
      </c>
      <c r="G2318" s="45" t="s">
        <v>29</v>
      </c>
      <c r="H2318" s="51">
        <f t="shared" si="36"/>
        <v>0</v>
      </c>
      <c r="I2318" s="47"/>
      <c r="J2318" s="48">
        <f>VLOOKUP(A2318,'[1]תקציב 2026'!$A$1:$M$65536,9,0)</f>
        <v>168100</v>
      </c>
      <c r="K2318" s="49">
        <v>168100</v>
      </c>
      <c r="L2318" s="50">
        <f>VLOOKUP(A2318,[2]data1761205830331!$A$1:$J$65536,10,0)</f>
        <v>180815</v>
      </c>
    </row>
    <row r="2319" spans="1:12" ht="15.6" outlineLevel="1">
      <c r="A2319" s="11">
        <v>1812200931</v>
      </c>
      <c r="B2319" s="40">
        <v>931</v>
      </c>
      <c r="C2319" s="109">
        <v>812200</v>
      </c>
      <c r="D2319" s="42">
        <v>1</v>
      </c>
      <c r="E2319" s="43"/>
      <c r="F2319" s="44" t="s">
        <v>1360</v>
      </c>
      <c r="G2319" s="45" t="s">
        <v>29</v>
      </c>
      <c r="H2319" s="51">
        <f t="shared" si="36"/>
        <v>-1</v>
      </c>
      <c r="I2319" s="47"/>
      <c r="J2319" s="48">
        <f>VLOOKUP(A2319,'[1]תקציב 2026'!$A$1:$M$65536,9,0)</f>
        <v>0</v>
      </c>
      <c r="K2319" s="49">
        <f>VLOOKUP(A2319,[3]גיליון1!$A$1:$C$7693,3,0)</f>
        <v>25000</v>
      </c>
      <c r="L2319" s="50">
        <f>VLOOKUP(A2319,[2]data1761205830331!$A$1:$J$65536,10,0)</f>
        <v>0</v>
      </c>
    </row>
    <row r="2320" spans="1:12" ht="15.6" outlineLevel="1">
      <c r="A2320" s="11">
        <v>1812200932</v>
      </c>
      <c r="B2320" s="40">
        <v>932</v>
      </c>
      <c r="C2320" s="109">
        <v>812200</v>
      </c>
      <c r="D2320" s="42">
        <v>1</v>
      </c>
      <c r="E2320" s="43"/>
      <c r="F2320" s="44" t="s">
        <v>1361</v>
      </c>
      <c r="G2320" s="45" t="s">
        <v>29</v>
      </c>
      <c r="H2320" s="51">
        <f t="shared" si="36"/>
        <v>0</v>
      </c>
      <c r="I2320" s="47"/>
      <c r="J2320" s="48">
        <f>VLOOKUP(A2320,'[1]תקציב 2026'!$A$1:$M$65536,9,0)</f>
        <v>133000</v>
      </c>
      <c r="K2320" s="49">
        <f>VLOOKUP(A2320,[3]גיליון1!$A$1:$C$7693,3,0)</f>
        <v>133000</v>
      </c>
      <c r="L2320" s="50">
        <f>VLOOKUP(A2320,[2]data1761205830331!$A$1:$J$65536,10,0)</f>
        <v>226.1</v>
      </c>
    </row>
    <row r="2321" spans="1:12" ht="16.2" outlineLevel="1" thickBot="1">
      <c r="A2321" s="11">
        <v>1812200944</v>
      </c>
      <c r="B2321" s="40">
        <v>944</v>
      </c>
      <c r="C2321" s="109">
        <v>812200</v>
      </c>
      <c r="D2321" s="42">
        <v>1</v>
      </c>
      <c r="E2321" s="43"/>
      <c r="F2321" s="44" t="s">
        <v>1362</v>
      </c>
      <c r="G2321" s="45" t="s">
        <v>29</v>
      </c>
      <c r="H2321" s="51">
        <f t="shared" si="36"/>
        <v>2.7190332326284095E-2</v>
      </c>
      <c r="I2321" s="47"/>
      <c r="J2321" s="48">
        <f>VLOOKUP(A2321,'[1]תקציב 2026'!$A$1:$M$65536,9,0)</f>
        <v>1598000</v>
      </c>
      <c r="K2321" s="49">
        <v>1555700</v>
      </c>
      <c r="L2321" s="50">
        <f>VLOOKUP(A2321,[2]data1761205830331!$A$1:$J$65536,10,0)</f>
        <v>0</v>
      </c>
    </row>
    <row r="2322" spans="1:12" ht="16.2" thickBot="1">
      <c r="A2322" s="11" t="e">
        <v>#VALUE!</v>
      </c>
      <c r="B2322" s="53" t="s">
        <v>1363</v>
      </c>
      <c r="C2322" s="223"/>
      <c r="D2322" s="55"/>
      <c r="E2322" s="56"/>
      <c r="F2322" s="116" t="s">
        <v>308</v>
      </c>
      <c r="G2322" s="58"/>
      <c r="H2322" s="166">
        <f>J2322/K2322-1</f>
        <v>3.4885034464481102E-2</v>
      </c>
      <c r="I2322" s="72"/>
      <c r="J2322" s="74">
        <f>SUBTOTAL(9,J2287:J2321)</f>
        <v>158030660</v>
      </c>
      <c r="K2322" s="92">
        <f>SUBTOTAL(9,K2287:K2321)</f>
        <v>152703590</v>
      </c>
      <c r="L2322" s="75">
        <f>SUBTOTAL(9,L2287:L2321)</f>
        <v>144006254.37</v>
      </c>
    </row>
    <row r="2323" spans="1:12" ht="15.6" outlineLevel="1">
      <c r="A2323" s="11">
        <v>18122100</v>
      </c>
      <c r="B2323" s="64">
        <v>0</v>
      </c>
      <c r="C2323" s="131">
        <v>812210</v>
      </c>
      <c r="D2323" s="66">
        <v>1</v>
      </c>
      <c r="E2323" s="67"/>
      <c r="F2323" s="68" t="s">
        <v>302</v>
      </c>
      <c r="G2323" s="69" t="s">
        <v>15</v>
      </c>
      <c r="H2323" s="51"/>
      <c r="I2323" s="47"/>
      <c r="J2323" s="48"/>
      <c r="K2323" s="49"/>
      <c r="L2323" s="50"/>
    </row>
    <row r="2324" spans="1:12" ht="15.6" outlineLevel="1">
      <c r="A2324" s="11">
        <v>1812210110</v>
      </c>
      <c r="B2324" s="64">
        <v>110</v>
      </c>
      <c r="C2324" s="131">
        <v>812210</v>
      </c>
      <c r="D2324" s="66">
        <v>1</v>
      </c>
      <c r="E2324" s="67"/>
      <c r="F2324" s="44" t="s">
        <v>21</v>
      </c>
      <c r="G2324" s="69" t="s">
        <v>22</v>
      </c>
      <c r="H2324" s="51">
        <v>1</v>
      </c>
      <c r="I2324" s="47"/>
      <c r="J2324" s="48">
        <v>16500</v>
      </c>
      <c r="K2324" s="49">
        <v>0</v>
      </c>
      <c r="L2324" s="50">
        <f>VLOOKUP(A2324,[2]data1761205830331!$A$1:$J$65536,10,0)</f>
        <v>0</v>
      </c>
    </row>
    <row r="2325" spans="1:12" ht="15.6" outlineLevel="1">
      <c r="A2325" s="11">
        <v>1812210119</v>
      </c>
      <c r="B2325" s="64">
        <v>119</v>
      </c>
      <c r="C2325" s="131">
        <v>812210</v>
      </c>
      <c r="D2325" s="66">
        <v>1</v>
      </c>
      <c r="E2325" s="67"/>
      <c r="F2325" s="44" t="s">
        <v>23</v>
      </c>
      <c r="G2325" s="69" t="s">
        <v>22</v>
      </c>
      <c r="H2325" s="51">
        <v>1</v>
      </c>
      <c r="I2325" s="47"/>
      <c r="J2325" s="48">
        <f>VLOOKUP(A2325,'[1]תקציב 2026'!$A$1:$M$65536,9,0)</f>
        <v>51249.999999999993</v>
      </c>
      <c r="K2325" s="49">
        <v>0</v>
      </c>
      <c r="L2325" s="50">
        <f>VLOOKUP(A2325,[2]data1761205830331!$A$1:$J$65536,10,0)</f>
        <v>0</v>
      </c>
    </row>
    <row r="2326" spans="1:12" ht="15.6" outlineLevel="1">
      <c r="A2326" s="11">
        <v>1812210122</v>
      </c>
      <c r="B2326" s="40">
        <v>122</v>
      </c>
      <c r="C2326" s="109">
        <v>812210</v>
      </c>
      <c r="D2326" s="42">
        <v>1</v>
      </c>
      <c r="E2326" s="43"/>
      <c r="F2326" s="44" t="s">
        <v>24</v>
      </c>
      <c r="G2326" s="45" t="s">
        <v>22</v>
      </c>
      <c r="H2326" s="51">
        <v>1</v>
      </c>
      <c r="I2326" s="47"/>
      <c r="J2326" s="48">
        <f>VLOOKUP(A2326,'[1]תקציב 2026'!$A$1:$M$65536,9,0)</f>
        <v>3000</v>
      </c>
      <c r="K2326" s="49">
        <f>VLOOKUP(A2326,[3]גיליון1!$A$1:$C$7693,3,0)</f>
        <v>0</v>
      </c>
      <c r="L2326" s="50">
        <f>VLOOKUP(A2326,[2]data1761205830331!$A$1:$J$65536,10,0)</f>
        <v>0</v>
      </c>
    </row>
    <row r="2327" spans="1:12" ht="15.6" outlineLevel="1">
      <c r="A2327" s="11">
        <v>1812210420</v>
      </c>
      <c r="B2327" s="40">
        <v>420</v>
      </c>
      <c r="C2327" s="109">
        <v>812210</v>
      </c>
      <c r="D2327" s="42">
        <v>1</v>
      </c>
      <c r="E2327" s="43"/>
      <c r="F2327" s="44" t="s">
        <v>30</v>
      </c>
      <c r="G2327" s="45" t="s">
        <v>29</v>
      </c>
      <c r="H2327" s="51">
        <f t="shared" si="36"/>
        <v>0</v>
      </c>
      <c r="I2327" s="47"/>
      <c r="J2327" s="48">
        <f>VLOOKUP(A2327,'[1]תקציב 2026'!$A$1:$M$65536,9,0)</f>
        <v>2700</v>
      </c>
      <c r="K2327" s="49">
        <f>VLOOKUP(A2327,[3]גיליון1!$A$1:$C$7693,3,0)*0.9</f>
        <v>2700</v>
      </c>
      <c r="L2327" s="50">
        <f>VLOOKUP(A2327,[2]data1761205830331!$A$1:$J$65536,10,0)</f>
        <v>554.72</v>
      </c>
    </row>
    <row r="2328" spans="1:12" ht="15.6" outlineLevel="1">
      <c r="A2328" s="11">
        <v>1812210433</v>
      </c>
      <c r="B2328" s="40">
        <v>433</v>
      </c>
      <c r="C2328" s="109">
        <v>812210</v>
      </c>
      <c r="D2328" s="42">
        <v>1</v>
      </c>
      <c r="E2328" s="43"/>
      <c r="F2328" s="44" t="s">
        <v>1364</v>
      </c>
      <c r="G2328" s="45" t="s">
        <v>37</v>
      </c>
      <c r="H2328" s="51">
        <f t="shared" si="36"/>
        <v>-1</v>
      </c>
      <c r="I2328" s="47"/>
      <c r="J2328" s="48">
        <f>VLOOKUP(A2328,'[1]תקציב 2026'!$A$1:$M$65536,9,0)</f>
        <v>0</v>
      </c>
      <c r="K2328" s="49">
        <f>VLOOKUP(A2328,[3]גיליון1!$A$1:$C$7693,3,0)*0.9</f>
        <v>22500</v>
      </c>
      <c r="L2328" s="50">
        <f>VLOOKUP(A2328,[2]data1761205830331!$A$1:$J$65536,10,0)</f>
        <v>22500</v>
      </c>
    </row>
    <row r="2329" spans="1:12" ht="15.6" outlineLevel="1">
      <c r="A2329" s="11">
        <v>1812210434</v>
      </c>
      <c r="B2329" s="40">
        <v>434</v>
      </c>
      <c r="C2329" s="109">
        <v>812210</v>
      </c>
      <c r="D2329" s="42">
        <v>1</v>
      </c>
      <c r="E2329" s="43"/>
      <c r="F2329" s="44" t="s">
        <v>35</v>
      </c>
      <c r="G2329" s="45" t="s">
        <v>37</v>
      </c>
      <c r="H2329" s="51">
        <f t="shared" si="36"/>
        <v>0.11111111111111116</v>
      </c>
      <c r="I2329" s="47"/>
      <c r="J2329" s="48">
        <f>VLOOKUP(A2329,'[1]תקציב 2026'!$A$1:$M$65536,9,0)</f>
        <v>1800</v>
      </c>
      <c r="K2329" s="49">
        <f>1800*0.9</f>
        <v>1620</v>
      </c>
      <c r="L2329" s="50">
        <f>VLOOKUP(A2329,[2]data1761205830331!$A$1:$J$65536,10,0)</f>
        <v>1708.8</v>
      </c>
    </row>
    <row r="2330" spans="1:12" ht="15.6" outlineLevel="1">
      <c r="A2330" s="11">
        <v>1812210540</v>
      </c>
      <c r="B2330" s="40">
        <v>540</v>
      </c>
      <c r="C2330" s="109">
        <v>812210</v>
      </c>
      <c r="D2330" s="42">
        <v>1</v>
      </c>
      <c r="E2330" s="43"/>
      <c r="F2330" s="44" t="s">
        <v>47</v>
      </c>
      <c r="G2330" s="45" t="s">
        <v>29</v>
      </c>
      <c r="H2330" s="51">
        <f t="shared" si="36"/>
        <v>0</v>
      </c>
      <c r="I2330" s="47"/>
      <c r="J2330" s="48">
        <f>VLOOKUP(A2330,'[1]תקציב 2026'!$A$1:$M$65536,9,0)</f>
        <v>20000</v>
      </c>
      <c r="K2330" s="49">
        <f>VLOOKUP(A2330,[3]גיליון1!$A$1:$C$7693,3,0)</f>
        <v>20000</v>
      </c>
      <c r="L2330" s="50">
        <f>VLOOKUP(A2330,[2]data1761205830331!$A$1:$J$65536,10,0)</f>
        <v>19900</v>
      </c>
    </row>
    <row r="2331" spans="1:12" ht="15.6" outlineLevel="1">
      <c r="A2331" s="11">
        <v>1812210723</v>
      </c>
      <c r="B2331" s="40">
        <v>723</v>
      </c>
      <c r="C2331" s="109">
        <v>812210</v>
      </c>
      <c r="D2331" s="42">
        <v>1</v>
      </c>
      <c r="E2331" s="43"/>
      <c r="F2331" s="44" t="s">
        <v>1350</v>
      </c>
      <c r="G2331" s="45" t="s">
        <v>37</v>
      </c>
      <c r="H2331" s="51">
        <f t="shared" si="36"/>
        <v>2.2129629629629628</v>
      </c>
      <c r="I2331" s="47"/>
      <c r="J2331" s="48">
        <f>VLOOKUP(A2331,'[1]תקציב 2026'!$A$1:$M$65536,9,0)</f>
        <v>347000</v>
      </c>
      <c r="K2331" s="49">
        <f>VLOOKUP(A2331,[3]גיליון1!$A$1:$C$7693,3,0)*0.9</f>
        <v>108000</v>
      </c>
      <c r="L2331" s="50">
        <f>VLOOKUP(A2331,[2]data1761205830331!$A$1:$J$65536,10,0)</f>
        <v>103300</v>
      </c>
    </row>
    <row r="2332" spans="1:12" ht="15.6" outlineLevel="1">
      <c r="A2332" s="11">
        <v>1812210750</v>
      </c>
      <c r="B2332" s="40">
        <v>750</v>
      </c>
      <c r="C2332" s="109">
        <v>812210</v>
      </c>
      <c r="D2332" s="42">
        <v>1</v>
      </c>
      <c r="E2332" s="43"/>
      <c r="F2332" s="44" t="s">
        <v>1351</v>
      </c>
      <c r="G2332" s="45" t="s">
        <v>29</v>
      </c>
      <c r="H2332" s="51">
        <f t="shared" si="36"/>
        <v>9.1375440846426237E-3</v>
      </c>
      <c r="I2332" s="47"/>
      <c r="J2332" s="48">
        <f>VLOOKUP(A2332,'[1]תקציב 2026'!$A$1:$M$65536,9,0)</f>
        <v>1259000</v>
      </c>
      <c r="K2332" s="49">
        <v>1247600</v>
      </c>
      <c r="L2332" s="50">
        <f>VLOOKUP(A2332,[2]data1761205830331!$A$1:$J$65536,10,0)</f>
        <v>0</v>
      </c>
    </row>
    <row r="2333" spans="1:12" ht="15.6" outlineLevel="1">
      <c r="A2333" s="11">
        <v>1812210757</v>
      </c>
      <c r="B2333" s="40">
        <v>757</v>
      </c>
      <c r="C2333" s="109">
        <v>812210</v>
      </c>
      <c r="D2333" s="42">
        <v>1</v>
      </c>
      <c r="E2333" s="43"/>
      <c r="F2333" s="44" t="s">
        <v>1354</v>
      </c>
      <c r="G2333" s="45" t="s">
        <v>37</v>
      </c>
      <c r="H2333" s="51">
        <f t="shared" si="36"/>
        <v>0</v>
      </c>
      <c r="I2333" s="47"/>
      <c r="J2333" s="48">
        <f>VLOOKUP(A2333,'[1]תקציב 2026'!$A$1:$M$65536,9,0)</f>
        <v>9211500</v>
      </c>
      <c r="K2333" s="49">
        <v>9211500</v>
      </c>
      <c r="L2333" s="50">
        <f>VLOOKUP(A2333,[2]data1761205830331!$A$1:$J$65536,10,0)</f>
        <v>8309893.9199999999</v>
      </c>
    </row>
    <row r="2334" spans="1:12" ht="15.6" outlineLevel="1">
      <c r="A2334" s="11">
        <v>1812210759</v>
      </c>
      <c r="B2334" s="40">
        <v>759</v>
      </c>
      <c r="C2334" s="109">
        <v>812210</v>
      </c>
      <c r="D2334" s="42">
        <v>1</v>
      </c>
      <c r="E2334" s="43"/>
      <c r="F2334" s="44" t="s">
        <v>1332</v>
      </c>
      <c r="G2334" s="45" t="s">
        <v>22</v>
      </c>
      <c r="H2334" s="51">
        <f t="shared" si="36"/>
        <v>7.2795374969464977E-2</v>
      </c>
      <c r="I2334" s="47"/>
      <c r="J2334" s="48">
        <f>VLOOKUP(A2334,'[1]תקציב 2026'!$A$1:$M$65536,9,0)</f>
        <v>7905000</v>
      </c>
      <c r="K2334" s="49">
        <v>7368600</v>
      </c>
      <c r="L2334" s="50">
        <f>VLOOKUP(A2334,[2]data1761205830331!$A$1:$J$65536,10,0)</f>
        <v>8216749.5499999998</v>
      </c>
    </row>
    <row r="2335" spans="1:12" ht="15.6" outlineLevel="1">
      <c r="A2335" s="11">
        <v>1812210760</v>
      </c>
      <c r="B2335" s="40">
        <v>760</v>
      </c>
      <c r="C2335" s="109">
        <v>812210</v>
      </c>
      <c r="D2335" s="42">
        <v>1</v>
      </c>
      <c r="E2335" s="43"/>
      <c r="F2335" s="44" t="s">
        <v>1365</v>
      </c>
      <c r="G2335" s="45" t="s">
        <v>37</v>
      </c>
      <c r="H2335" s="51">
        <v>1</v>
      </c>
      <c r="I2335" s="47" t="s">
        <v>86</v>
      </c>
      <c r="J2335" s="48">
        <f>VLOOKUP(A2335,'[1]תקציב 2026'!$A$1:$M$65536,9,0)</f>
        <v>200000</v>
      </c>
      <c r="K2335" s="49">
        <v>0</v>
      </c>
      <c r="L2335" s="50">
        <v>0</v>
      </c>
    </row>
    <row r="2336" spans="1:12" ht="15.6" outlineLevel="1">
      <c r="A2336" s="11">
        <v>1812210782</v>
      </c>
      <c r="B2336" s="40">
        <v>782</v>
      </c>
      <c r="C2336" s="109">
        <v>812210</v>
      </c>
      <c r="D2336" s="42">
        <v>1</v>
      </c>
      <c r="E2336" s="43"/>
      <c r="F2336" s="44" t="s">
        <v>304</v>
      </c>
      <c r="G2336" s="45" t="s">
        <v>29</v>
      </c>
      <c r="H2336" s="51">
        <f t="shared" si="36"/>
        <v>0.26991150442477885</v>
      </c>
      <c r="I2336" s="47"/>
      <c r="J2336" s="48">
        <f>VLOOKUP(A2336,'[1]תקציב 2026'!$A$1:$M$65536,9,0)</f>
        <v>1148000</v>
      </c>
      <c r="K2336" s="49">
        <f>VLOOKUP(A2336,[3]גיליון1!$A$1:$C$7693,3,0)</f>
        <v>904000</v>
      </c>
      <c r="L2336" s="50">
        <f>VLOOKUP(A2336,[2]data1761205830331!$A$1:$J$65536,10,0)</f>
        <v>978381.88</v>
      </c>
    </row>
    <row r="2337" spans="1:12" ht="15.6" outlineLevel="1">
      <c r="A2337" s="11">
        <v>1812210931</v>
      </c>
      <c r="B2337" s="40">
        <v>931</v>
      </c>
      <c r="C2337" s="109">
        <v>812210</v>
      </c>
      <c r="D2337" s="42">
        <v>1</v>
      </c>
      <c r="E2337" s="43"/>
      <c r="F2337" s="44" t="s">
        <v>1360</v>
      </c>
      <c r="G2337" s="45" t="s">
        <v>29</v>
      </c>
      <c r="H2337" s="51">
        <f t="shared" si="36"/>
        <v>0.33333333333333326</v>
      </c>
      <c r="I2337" s="47"/>
      <c r="J2337" s="48">
        <f>VLOOKUP(A2337,'[1]תקציב 2026'!$A$1:$M$65536,9,0)</f>
        <v>40000</v>
      </c>
      <c r="K2337" s="49">
        <f>VLOOKUP(A2337,[3]גיליון1!$A$1:$C$7693,3,0)</f>
        <v>30000</v>
      </c>
      <c r="L2337" s="50">
        <f>VLOOKUP(A2337,[2]data1761205830331!$A$1:$J$65536,10,0)</f>
        <v>37717</v>
      </c>
    </row>
    <row r="2338" spans="1:12" ht="16.2" outlineLevel="1" thickBot="1">
      <c r="A2338" s="11">
        <v>1812210934</v>
      </c>
      <c r="B2338" s="40">
        <v>934</v>
      </c>
      <c r="C2338" s="109">
        <v>812210</v>
      </c>
      <c r="D2338" s="42">
        <v>1</v>
      </c>
      <c r="E2338" s="43"/>
      <c r="F2338" s="44" t="s">
        <v>1366</v>
      </c>
      <c r="G2338" s="45" t="s">
        <v>29</v>
      </c>
      <c r="H2338" s="51">
        <f t="shared" si="36"/>
        <v>0.19232685600398614</v>
      </c>
      <c r="I2338" s="47"/>
      <c r="J2338" s="48">
        <f>VLOOKUP(A2338,'[1]תקציב 2026'!$A$1:$M$65536,9,0)</f>
        <v>239300</v>
      </c>
      <c r="K2338" s="49">
        <f>VLOOKUP(A2338,[3]גיליון1!$A$1:$C$7693,3,0)</f>
        <v>200700</v>
      </c>
      <c r="L2338" s="50">
        <f>VLOOKUP(A2338,[2]data1761205830331!$A$1:$J$65536,10,0)</f>
        <v>219261</v>
      </c>
    </row>
    <row r="2339" spans="1:12" ht="16.2" thickBot="1">
      <c r="A2339" s="11" t="e">
        <v>#VALUE!</v>
      </c>
      <c r="B2339" s="53" t="s">
        <v>1367</v>
      </c>
      <c r="C2339" s="223"/>
      <c r="D2339" s="55"/>
      <c r="E2339" s="56"/>
      <c r="F2339" s="116" t="s">
        <v>302</v>
      </c>
      <c r="G2339" s="58"/>
      <c r="H2339" s="166">
        <f>J2339/K2339-1</f>
        <v>6.9457274645581268E-2</v>
      </c>
      <c r="I2339" s="72"/>
      <c r="J2339" s="74">
        <f>SUBTOTAL(9,J2324:J2338)</f>
        <v>20445050</v>
      </c>
      <c r="K2339" s="92">
        <f>SUBTOTAL(9,K2324:K2338)</f>
        <v>19117220</v>
      </c>
      <c r="L2339" s="75">
        <f>SUBTOTAL(9,L2324:L2338)</f>
        <v>17909966.869999997</v>
      </c>
    </row>
    <row r="2340" spans="1:12" ht="15.6" outlineLevel="1">
      <c r="A2340" s="11">
        <v>18123000</v>
      </c>
      <c r="B2340" s="40">
        <v>0</v>
      </c>
      <c r="C2340" s="109">
        <v>812300</v>
      </c>
      <c r="D2340" s="42">
        <v>1</v>
      </c>
      <c r="E2340" s="43"/>
      <c r="F2340" s="44" t="s">
        <v>1368</v>
      </c>
      <c r="G2340" s="45" t="s">
        <v>15</v>
      </c>
      <c r="H2340" s="51"/>
      <c r="I2340" s="47"/>
      <c r="J2340" s="48"/>
      <c r="K2340" s="49"/>
      <c r="L2340" s="50"/>
    </row>
    <row r="2341" spans="1:12" ht="16.2" outlineLevel="1" thickBot="1">
      <c r="A2341" s="11">
        <v>1812300784</v>
      </c>
      <c r="B2341" s="40">
        <v>784</v>
      </c>
      <c r="C2341" s="109">
        <v>812300</v>
      </c>
      <c r="D2341" s="42">
        <v>1</v>
      </c>
      <c r="E2341" s="43"/>
      <c r="F2341" s="44" t="str">
        <f>[4]גיליון1!$F$4131</f>
        <v>מעטפ"ת</v>
      </c>
      <c r="G2341" s="45" t="s">
        <v>29</v>
      </c>
      <c r="H2341" s="51">
        <f t="shared" si="36"/>
        <v>5.7350702080866123E-2</v>
      </c>
      <c r="I2341" s="47"/>
      <c r="J2341" s="48">
        <f>VLOOKUP(A2341,'[1]תקציב 2026'!$A$1:$M$65536,9,0)</f>
        <v>1250000</v>
      </c>
      <c r="K2341" s="49">
        <f>VLOOKUP(A2341,[3]גיליון1!$A$1:$C$7693,3,0)</f>
        <v>1182200</v>
      </c>
      <c r="L2341" s="50">
        <f>VLOOKUP(A2341,[2]data1761205830331!$A$1:$J$65536,10,0)</f>
        <v>1167698</v>
      </c>
    </row>
    <row r="2342" spans="1:12" ht="16.2" thickBot="1">
      <c r="A2342" s="11" t="e">
        <v>#VALUE!</v>
      </c>
      <c r="B2342" s="53" t="s">
        <v>1369</v>
      </c>
      <c r="C2342" s="223"/>
      <c r="D2342" s="55"/>
      <c r="E2342" s="56"/>
      <c r="F2342" s="116" t="s">
        <v>1368</v>
      </c>
      <c r="G2342" s="58"/>
      <c r="H2342" s="166">
        <f>J2342/K2342-1</f>
        <v>5.7350702080866123E-2</v>
      </c>
      <c r="I2342" s="72"/>
      <c r="J2342" s="74">
        <f>SUBTOTAL(9,J2341:J2341)</f>
        <v>1250000</v>
      </c>
      <c r="K2342" s="92">
        <f>SUBTOTAL(9,K2341:K2341)</f>
        <v>1182200</v>
      </c>
      <c r="L2342" s="75">
        <f>SUBTOTAL(9,L2341:L2341)</f>
        <v>1167698</v>
      </c>
    </row>
    <row r="2343" spans="1:12" ht="15.6" outlineLevel="1">
      <c r="A2343" s="11">
        <v>18123100</v>
      </c>
      <c r="B2343" s="40">
        <v>0</v>
      </c>
      <c r="C2343" s="109">
        <v>812310</v>
      </c>
      <c r="D2343" s="42">
        <v>1</v>
      </c>
      <c r="E2343" s="43"/>
      <c r="F2343" s="44" t="s">
        <v>1370</v>
      </c>
      <c r="G2343" s="45" t="s">
        <v>15</v>
      </c>
      <c r="H2343" s="51"/>
      <c r="I2343" s="47"/>
      <c r="J2343" s="48"/>
      <c r="K2343" s="49"/>
      <c r="L2343" s="50"/>
    </row>
    <row r="2344" spans="1:12" ht="15.6" outlineLevel="1">
      <c r="A2344" s="11">
        <v>1812310110</v>
      </c>
      <c r="B2344" s="40">
        <v>110</v>
      </c>
      <c r="C2344" s="109">
        <v>812310</v>
      </c>
      <c r="D2344" s="42">
        <v>1</v>
      </c>
      <c r="E2344" s="43"/>
      <c r="F2344" s="44" t="s">
        <v>21</v>
      </c>
      <c r="G2344" s="45" t="s">
        <v>22</v>
      </c>
      <c r="H2344" s="51">
        <f t="shared" si="36"/>
        <v>2.5053763440860077E-2</v>
      </c>
      <c r="I2344" s="47"/>
      <c r="J2344" s="48">
        <f>VLOOKUP(A2344,'[1]תקציב 2026'!$A$1:$M$65536,9,0)</f>
        <v>95329.999999999985</v>
      </c>
      <c r="K2344" s="49">
        <f>VLOOKUP(A2344,[3]גיליון1!$A$1:$C$7693,3,0)</f>
        <v>93000</v>
      </c>
      <c r="L2344" s="50">
        <f>VLOOKUP(A2344,[2]data1761205830331!$A$1:$J$65536,10,0)</f>
        <v>85544.89</v>
      </c>
    </row>
    <row r="2345" spans="1:12" ht="15.6" outlineLevel="1">
      <c r="A2345" s="11">
        <v>1812310119</v>
      </c>
      <c r="B2345" s="40">
        <v>119</v>
      </c>
      <c r="C2345" s="109">
        <v>812310</v>
      </c>
      <c r="D2345" s="42">
        <v>1</v>
      </c>
      <c r="E2345" s="43"/>
      <c r="F2345" s="44" t="s">
        <v>23</v>
      </c>
      <c r="G2345" s="45" t="s">
        <v>22</v>
      </c>
      <c r="H2345" s="51">
        <f t="shared" si="36"/>
        <v>2.5026968716289177E-2</v>
      </c>
      <c r="I2345" s="47"/>
      <c r="J2345" s="48">
        <v>95020</v>
      </c>
      <c r="K2345" s="49">
        <v>92700</v>
      </c>
      <c r="L2345" s="50">
        <f>VLOOKUP(A2345,[2]data1761205830331!$A$1:$J$65536,10,0)</f>
        <v>87425.13</v>
      </c>
    </row>
    <row r="2346" spans="1:12" ht="15.6" outlineLevel="1">
      <c r="A2346" s="11">
        <v>1812310122</v>
      </c>
      <c r="B2346" s="40">
        <v>122</v>
      </c>
      <c r="C2346" s="109">
        <v>812310</v>
      </c>
      <c r="D2346" s="42">
        <v>1</v>
      </c>
      <c r="E2346" s="43"/>
      <c r="F2346" s="44" t="s">
        <v>24</v>
      </c>
      <c r="G2346" s="45" t="s">
        <v>22</v>
      </c>
      <c r="H2346" s="51">
        <f t="shared" si="36"/>
        <v>0</v>
      </c>
      <c r="I2346" s="47"/>
      <c r="J2346" s="48">
        <f>VLOOKUP(A2346,'[1]תקציב 2026'!$A$1:$M$65536,9,0)</f>
        <v>2500</v>
      </c>
      <c r="K2346" s="49">
        <f>VLOOKUP(A2346,[3]גיליון1!$A$1:$C$7693,3,0)</f>
        <v>2500</v>
      </c>
      <c r="L2346" s="50">
        <f>VLOOKUP(A2346,[2]data1761205830331!$A$1:$J$65536,10,0)</f>
        <v>2390.8200000000002</v>
      </c>
    </row>
    <row r="2347" spans="1:12" ht="15.6" outlineLevel="1">
      <c r="A2347" s="11">
        <v>1812310126</v>
      </c>
      <c r="B2347" s="40">
        <v>126</v>
      </c>
      <c r="C2347" s="109">
        <v>812310</v>
      </c>
      <c r="D2347" s="42">
        <v>1</v>
      </c>
      <c r="E2347" s="43"/>
      <c r="F2347" s="44" t="s">
        <v>25</v>
      </c>
      <c r="G2347" s="45" t="s">
        <v>22</v>
      </c>
      <c r="H2347" s="51">
        <f t="shared" si="36"/>
        <v>0</v>
      </c>
      <c r="I2347" s="47"/>
      <c r="J2347" s="48">
        <f>VLOOKUP(A2347,'[1]תקציב 2026'!$A$1:$M$65536,9,0)</f>
        <v>7200</v>
      </c>
      <c r="K2347" s="49">
        <f>VLOOKUP(A2347,[3]גיליון1!$A$1:$C$7693,3,0)</f>
        <v>7200</v>
      </c>
      <c r="L2347" s="50">
        <f>VLOOKUP(A2347,[2]data1761205830331!$A$1:$J$65536,10,0)</f>
        <v>6850.38</v>
      </c>
    </row>
    <row r="2348" spans="1:12" ht="16.2" outlineLevel="1" thickBot="1">
      <c r="A2348" s="11">
        <v>1812310781</v>
      </c>
      <c r="B2348" s="40">
        <v>781</v>
      </c>
      <c r="C2348" s="109">
        <v>812310</v>
      </c>
      <c r="D2348" s="42">
        <v>1</v>
      </c>
      <c r="E2348" s="43"/>
      <c r="F2348" s="44" t="s">
        <v>1371</v>
      </c>
      <c r="G2348" s="45" t="s">
        <v>29</v>
      </c>
      <c r="H2348" s="51">
        <f t="shared" si="36"/>
        <v>0</v>
      </c>
      <c r="I2348" s="47"/>
      <c r="J2348" s="48">
        <f>VLOOKUP(A2348,'[1]תקציב 2026'!$A$1:$M$65536,9,0)</f>
        <v>34200</v>
      </c>
      <c r="K2348" s="49">
        <f>VLOOKUP(A2348,[3]גיליון1!$A$1:$C$7693,3,0)</f>
        <v>34200</v>
      </c>
      <c r="L2348" s="50">
        <f>VLOOKUP(A2348,[2]data1761205830331!$A$1:$J$65536,10,0)</f>
        <v>34200</v>
      </c>
    </row>
    <row r="2349" spans="1:12" ht="16.2" thickBot="1">
      <c r="A2349" s="11" t="e">
        <v>#VALUE!</v>
      </c>
      <c r="B2349" s="53" t="s">
        <v>1372</v>
      </c>
      <c r="C2349" s="223"/>
      <c r="D2349" s="55"/>
      <c r="E2349" s="56"/>
      <c r="F2349" s="116" t="s">
        <v>1370</v>
      </c>
      <c r="G2349" s="58"/>
      <c r="H2349" s="166">
        <f>J2349/K2349-1</f>
        <v>2.025261324041816E-2</v>
      </c>
      <c r="I2349" s="72"/>
      <c r="J2349" s="74">
        <f>SUBTOTAL(9,J2344:J2348)</f>
        <v>234250</v>
      </c>
      <c r="K2349" s="92">
        <f>SUBTOTAL(9,K2344:K2348)</f>
        <v>229600</v>
      </c>
      <c r="L2349" s="75">
        <f>SUBTOTAL(9,L2344:L2348)</f>
        <v>216411.22000000003</v>
      </c>
    </row>
    <row r="2350" spans="1:12" ht="15.6" outlineLevel="1">
      <c r="A2350" s="11">
        <v>18123300</v>
      </c>
      <c r="B2350" s="40">
        <v>0</v>
      </c>
      <c r="C2350" s="109">
        <v>812330</v>
      </c>
      <c r="D2350" s="42">
        <v>1</v>
      </c>
      <c r="E2350" s="43"/>
      <c r="F2350" s="44" t="s">
        <v>1373</v>
      </c>
      <c r="G2350" s="45" t="s">
        <v>15</v>
      </c>
      <c r="H2350" s="51"/>
      <c r="I2350" s="47"/>
      <c r="J2350" s="48"/>
      <c r="K2350" s="49"/>
      <c r="L2350" s="50"/>
    </row>
    <row r="2351" spans="1:12" ht="16.2" outlineLevel="1" thickBot="1">
      <c r="A2351" s="11">
        <v>1812330872</v>
      </c>
      <c r="B2351" s="40">
        <v>872</v>
      </c>
      <c r="C2351" s="109">
        <v>812330</v>
      </c>
      <c r="D2351" s="42">
        <v>1</v>
      </c>
      <c r="E2351" s="241"/>
      <c r="F2351" s="155" t="s">
        <v>1374</v>
      </c>
      <c r="G2351" s="45" t="s">
        <v>29</v>
      </c>
      <c r="H2351" s="51">
        <f t="shared" si="36"/>
        <v>-0.4</v>
      </c>
      <c r="I2351" s="47"/>
      <c r="J2351" s="48">
        <f>VLOOKUP(A2351,'[1]תקציב 2026'!$A$1:$M$65536,9,0)</f>
        <v>150000</v>
      </c>
      <c r="K2351" s="49">
        <f>VLOOKUP(A2351,[3]גיליון1!$A$1:$C$7693,3,0)</f>
        <v>250000</v>
      </c>
      <c r="L2351" s="50">
        <f>VLOOKUP(A2351,[2]data1761205830331!$A$1:$J$65536,10,0)</f>
        <v>109763.17</v>
      </c>
    </row>
    <row r="2352" spans="1:12" ht="16.2" thickBot="1">
      <c r="A2352" s="11" t="e">
        <v>#VALUE!</v>
      </c>
      <c r="B2352" s="53" t="s">
        <v>1375</v>
      </c>
      <c r="C2352" s="223"/>
      <c r="D2352" s="55"/>
      <c r="E2352" s="56"/>
      <c r="F2352" s="116" t="s">
        <v>1373</v>
      </c>
      <c r="G2352" s="58"/>
      <c r="H2352" s="166">
        <f>J2352/K2352-1</f>
        <v>-0.4</v>
      </c>
      <c r="I2352" s="72"/>
      <c r="J2352" s="74">
        <f>SUBTOTAL(9,J2351:J2351)</f>
        <v>150000</v>
      </c>
      <c r="K2352" s="92">
        <f>SUBTOTAL(9,K2351:K2351)</f>
        <v>250000</v>
      </c>
      <c r="L2352" s="75">
        <f>SUBTOTAL(9,L2351:L2351)</f>
        <v>109763.17</v>
      </c>
    </row>
    <row r="2353" spans="1:12" ht="15.6" outlineLevel="1">
      <c r="A2353" s="11">
        <v>18123600</v>
      </c>
      <c r="B2353" s="40">
        <v>0</v>
      </c>
      <c r="C2353" s="109">
        <v>812360</v>
      </c>
      <c r="D2353" s="42">
        <v>1</v>
      </c>
      <c r="E2353" s="43"/>
      <c r="F2353" s="44" t="s">
        <v>316</v>
      </c>
      <c r="G2353" s="45" t="s">
        <v>15</v>
      </c>
      <c r="H2353" s="51"/>
      <c r="I2353" s="47"/>
      <c r="J2353" s="48"/>
      <c r="K2353" s="49"/>
      <c r="L2353" s="50"/>
    </row>
    <row r="2354" spans="1:12" ht="16.2" outlineLevel="1" thickBot="1">
      <c r="A2354" s="11">
        <v>1812360872</v>
      </c>
      <c r="B2354" s="40">
        <v>872</v>
      </c>
      <c r="C2354" s="109">
        <v>812360</v>
      </c>
      <c r="D2354" s="42">
        <v>1</v>
      </c>
      <c r="E2354" s="241"/>
      <c r="F2354" s="155" t="s">
        <v>1376</v>
      </c>
      <c r="G2354" s="45" t="s">
        <v>29</v>
      </c>
      <c r="H2354" s="51">
        <f t="shared" si="36"/>
        <v>0.17142857142857149</v>
      </c>
      <c r="I2354" s="47"/>
      <c r="J2354" s="48">
        <f>VLOOKUP(A2354,'[1]תקציב 2026'!$A$1:$M$65536,9,0)</f>
        <v>4100000</v>
      </c>
      <c r="K2354" s="49">
        <f>VLOOKUP(A2354,[3]גיליון1!$A$1:$C$7693,3,0)</f>
        <v>3500000</v>
      </c>
      <c r="L2354" s="50">
        <f>VLOOKUP(A2354,[2]data1761205830331!$A$1:$J$65536,10,0)</f>
        <v>4129665.1</v>
      </c>
    </row>
    <row r="2355" spans="1:12" ht="16.2" thickBot="1">
      <c r="A2355" s="11" t="e">
        <v>#VALUE!</v>
      </c>
      <c r="B2355" s="53" t="s">
        <v>1377</v>
      </c>
      <c r="C2355" s="223"/>
      <c r="D2355" s="55"/>
      <c r="E2355" s="56"/>
      <c r="F2355" s="116" t="s">
        <v>316</v>
      </c>
      <c r="G2355" s="58"/>
      <c r="H2355" s="166">
        <f>J2355/K2355-1</f>
        <v>0.17142857142857149</v>
      </c>
      <c r="I2355" s="72"/>
      <c r="J2355" s="74">
        <f>SUBTOTAL(9,J2354:J2354)</f>
        <v>4100000</v>
      </c>
      <c r="K2355" s="92">
        <f>SUBTOTAL(9,K2354:K2354)</f>
        <v>3500000</v>
      </c>
      <c r="L2355" s="75">
        <f>SUBTOTAL(9,L2354:L2354)</f>
        <v>4129665.1</v>
      </c>
    </row>
    <row r="2356" spans="1:12" ht="15.6" outlineLevel="1">
      <c r="A2356" s="11">
        <v>18123700</v>
      </c>
      <c r="B2356" s="40">
        <v>0</v>
      </c>
      <c r="C2356" s="109">
        <v>812370</v>
      </c>
      <c r="D2356" s="42">
        <v>1</v>
      </c>
      <c r="E2356" s="43"/>
      <c r="F2356" s="44" t="s">
        <v>318</v>
      </c>
      <c r="G2356" s="45" t="s">
        <v>15</v>
      </c>
      <c r="H2356" s="51"/>
      <c r="I2356" s="47"/>
      <c r="J2356" s="48"/>
      <c r="K2356" s="49"/>
      <c r="L2356" s="50"/>
    </row>
    <row r="2357" spans="1:12" ht="15.6" outlineLevel="1">
      <c r="A2357" s="11">
        <v>1812370870</v>
      </c>
      <c r="B2357" s="40">
        <v>870</v>
      </c>
      <c r="C2357" s="109">
        <v>812370</v>
      </c>
      <c r="D2357" s="42">
        <v>1</v>
      </c>
      <c r="E2357" s="43"/>
      <c r="F2357" s="44" t="s">
        <v>318</v>
      </c>
      <c r="G2357" s="45" t="s">
        <v>37</v>
      </c>
      <c r="H2357" s="51">
        <v>0</v>
      </c>
      <c r="I2357" s="47"/>
      <c r="J2357" s="48">
        <f>VLOOKUP(A2357,'[1]תקציב 2026'!$A$1:$M$65536,9,0)</f>
        <v>0</v>
      </c>
      <c r="K2357" s="49">
        <v>0</v>
      </c>
      <c r="L2357" s="50">
        <f>VLOOKUP(A2357,[2]data1761205830331!$A$1:$J$65536,10,0)</f>
        <v>174001.32</v>
      </c>
    </row>
    <row r="2358" spans="1:12" ht="16.2" outlineLevel="1" thickBot="1">
      <c r="A2358" s="11">
        <v>1812370872</v>
      </c>
      <c r="B2358" s="40">
        <v>872</v>
      </c>
      <c r="C2358" s="109">
        <v>812370</v>
      </c>
      <c r="D2358" s="42">
        <v>1</v>
      </c>
      <c r="E2358" s="241"/>
      <c r="F2358" s="155" t="s">
        <v>1378</v>
      </c>
      <c r="G2358" s="45" t="s">
        <v>29</v>
      </c>
      <c r="H2358" s="51">
        <v>1</v>
      </c>
      <c r="I2358" s="47"/>
      <c r="J2358" s="48">
        <f>VLOOKUP(A2358,'[1]תקציב 2026'!$A$1:$M$65536,9,0)</f>
        <v>220000</v>
      </c>
      <c r="K2358" s="49">
        <v>0</v>
      </c>
      <c r="L2358" s="50">
        <f>VLOOKUP(A2358,[2]data1761205830331!$A$1:$J$65536,10,0)</f>
        <v>212161.52</v>
      </c>
    </row>
    <row r="2359" spans="1:12" ht="16.2" thickBot="1">
      <c r="A2359" s="11" t="e">
        <v>#VALUE!</v>
      </c>
      <c r="B2359" s="53" t="s">
        <v>1379</v>
      </c>
      <c r="C2359" s="223"/>
      <c r="D2359" s="55"/>
      <c r="E2359" s="56"/>
      <c r="F2359" s="116" t="s">
        <v>318</v>
      </c>
      <c r="G2359" s="58"/>
      <c r="H2359" s="166">
        <v>1</v>
      </c>
      <c r="I2359" s="72"/>
      <c r="J2359" s="74">
        <f>SUBTOTAL(9,J2357:J2358)</f>
        <v>220000</v>
      </c>
      <c r="K2359" s="92">
        <f>SUBTOTAL(9,K2357:K2358)</f>
        <v>0</v>
      </c>
      <c r="L2359" s="75">
        <f>SUBTOTAL(9,L2357:L2358)</f>
        <v>386162.83999999997</v>
      </c>
    </row>
    <row r="2360" spans="1:12" ht="15.6" outlineLevel="1">
      <c r="A2360" s="11">
        <v>18130000</v>
      </c>
      <c r="B2360" s="192">
        <v>0</v>
      </c>
      <c r="C2360" s="131">
        <v>813000</v>
      </c>
      <c r="D2360" s="193">
        <v>1</v>
      </c>
      <c r="E2360" s="152"/>
      <c r="F2360" s="68" t="s">
        <v>322</v>
      </c>
      <c r="G2360" s="69" t="s">
        <v>15</v>
      </c>
      <c r="H2360" s="51"/>
      <c r="I2360" s="47"/>
      <c r="J2360" s="48"/>
      <c r="K2360" s="49"/>
      <c r="L2360" s="50"/>
    </row>
    <row r="2361" spans="1:12" ht="15.6" outlineLevel="1">
      <c r="A2361" s="11">
        <v>1813200110</v>
      </c>
      <c r="B2361" s="40">
        <v>110</v>
      </c>
      <c r="C2361" s="109">
        <v>813200</v>
      </c>
      <c r="D2361" s="42">
        <v>1</v>
      </c>
      <c r="E2361" s="43"/>
      <c r="F2361" s="44" t="s">
        <v>21</v>
      </c>
      <c r="G2361" s="45" t="s">
        <v>22</v>
      </c>
      <c r="H2361" s="51">
        <f t="shared" ref="H2361:H2424" si="37">J2361/K2361-1</f>
        <v>2.4999999999999911E-2</v>
      </c>
      <c r="I2361" s="47"/>
      <c r="J2361" s="48">
        <f>VLOOKUP(A2361,'[1]תקציב 2026'!$A$1:$M$65536,9,0)</f>
        <v>878219.99999999988</v>
      </c>
      <c r="K2361" s="49">
        <v>856800</v>
      </c>
      <c r="L2361" s="50">
        <f>VLOOKUP(A2361,[2]data1761205830331!$A$1:$J$65536,10,0)</f>
        <v>901909.25</v>
      </c>
    </row>
    <row r="2362" spans="1:12" ht="15.6" outlineLevel="1">
      <c r="A2362" s="11">
        <v>1813200119</v>
      </c>
      <c r="B2362" s="40">
        <v>119</v>
      </c>
      <c r="C2362" s="109">
        <v>813200</v>
      </c>
      <c r="D2362" s="42">
        <v>1</v>
      </c>
      <c r="E2362" s="43"/>
      <c r="F2362" s="44" t="s">
        <v>23</v>
      </c>
      <c r="G2362" s="45" t="s">
        <v>22</v>
      </c>
      <c r="H2362" s="51">
        <f t="shared" si="37"/>
        <v>3.7889669672992898E-2</v>
      </c>
      <c r="I2362" s="47"/>
      <c r="J2362" s="48">
        <v>9378890</v>
      </c>
      <c r="K2362" s="49">
        <f>8948500+88000</f>
        <v>9036500</v>
      </c>
      <c r="L2362" s="50">
        <f>VLOOKUP(A2362,[2]data1761205830331!$A$1:$J$65536,10,0)</f>
        <v>7396931.04</v>
      </c>
    </row>
    <row r="2363" spans="1:12" ht="15.6" outlineLevel="1">
      <c r="A2363" s="11">
        <v>1813200122</v>
      </c>
      <c r="B2363" s="40">
        <v>122</v>
      </c>
      <c r="C2363" s="109">
        <v>813200</v>
      </c>
      <c r="D2363" s="42">
        <v>1</v>
      </c>
      <c r="E2363" s="43"/>
      <c r="F2363" s="44" t="s">
        <v>24</v>
      </c>
      <c r="G2363" s="45" t="s">
        <v>22</v>
      </c>
      <c r="H2363" s="51">
        <f t="shared" si="37"/>
        <v>2.7312775330396555E-2</v>
      </c>
      <c r="I2363" s="47"/>
      <c r="J2363" s="48">
        <v>116600</v>
      </c>
      <c r="K2363" s="49">
        <f>VLOOKUP(A2363,[3]גיליון1!$A$1:$C$7693,3,0)</f>
        <v>113500</v>
      </c>
      <c r="L2363" s="50">
        <f>VLOOKUP(A2363,[2]data1761205830331!$A$1:$J$65536,10,0)</f>
        <v>114271.79</v>
      </c>
    </row>
    <row r="2364" spans="1:12" ht="15.6" outlineLevel="1">
      <c r="A2364" s="11">
        <v>1813200126</v>
      </c>
      <c r="B2364" s="40">
        <v>126</v>
      </c>
      <c r="C2364" s="109">
        <v>813200</v>
      </c>
      <c r="D2364" s="42">
        <v>1</v>
      </c>
      <c r="E2364" s="43"/>
      <c r="F2364" s="44" t="s">
        <v>25</v>
      </c>
      <c r="G2364" s="45" t="s">
        <v>22</v>
      </c>
      <c r="H2364" s="51">
        <f t="shared" si="37"/>
        <v>2.7295373665480405E-2</v>
      </c>
      <c r="I2364" s="47"/>
      <c r="J2364" s="48">
        <v>288670</v>
      </c>
      <c r="K2364" s="49">
        <f>VLOOKUP(A2364,[3]גיליון1!$A$1:$C$7693,3,0)</f>
        <v>281000</v>
      </c>
      <c r="L2364" s="50">
        <f>VLOOKUP(A2364,[2]data1761205830331!$A$1:$J$65536,10,0)</f>
        <v>282710.28000000003</v>
      </c>
    </row>
    <row r="2365" spans="1:12" ht="15.6" outlineLevel="1">
      <c r="A2365" s="11">
        <v>1813200130</v>
      </c>
      <c r="B2365" s="40">
        <v>130</v>
      </c>
      <c r="C2365" s="109">
        <v>813200</v>
      </c>
      <c r="D2365" s="42">
        <v>1</v>
      </c>
      <c r="E2365" s="43"/>
      <c r="F2365" s="44" t="s">
        <v>26</v>
      </c>
      <c r="G2365" s="45" t="s">
        <v>22</v>
      </c>
      <c r="H2365" s="51">
        <f t="shared" si="37"/>
        <v>0</v>
      </c>
      <c r="I2365" s="47"/>
      <c r="J2365" s="48">
        <f>VLOOKUP(A2365,'[1]תקציב 2026'!$A$1:$M$65536,9,0)</f>
        <v>154110</v>
      </c>
      <c r="K2365" s="49">
        <f>VLOOKUP(A2365,[3]גיליון1!$A$1:$C$7693,3,0)*0.86-2</f>
        <v>154110</v>
      </c>
      <c r="L2365" s="50">
        <f>VLOOKUP(A2365,[2]data1761205830331!$A$1:$J$65536,10,0)</f>
        <v>127030.85</v>
      </c>
    </row>
    <row r="2366" spans="1:12" ht="15.6" outlineLevel="1">
      <c r="A2366" s="11">
        <v>1813200140</v>
      </c>
      <c r="B2366" s="40">
        <v>140</v>
      </c>
      <c r="C2366" s="109">
        <v>813200</v>
      </c>
      <c r="D2366" s="42">
        <v>1</v>
      </c>
      <c r="E2366" s="43"/>
      <c r="F2366" s="44" t="s">
        <v>27</v>
      </c>
      <c r="G2366" s="45" t="s">
        <v>22</v>
      </c>
      <c r="H2366" s="51">
        <f t="shared" si="37"/>
        <v>0</v>
      </c>
      <c r="I2366" s="47"/>
      <c r="J2366" s="48">
        <f>VLOOKUP(A2366,'[1]תקציב 2026'!$A$1:$M$65536,9,0)</f>
        <v>42600</v>
      </c>
      <c r="K2366" s="49">
        <f>VLOOKUP(A2366,[3]גיליון1!$A$1:$C$7693,3,0)</f>
        <v>42600</v>
      </c>
      <c r="L2366" s="50">
        <f>VLOOKUP(A2366,[2]data1761205830331!$A$1:$J$65536,10,0)</f>
        <v>38150.239999999998</v>
      </c>
    </row>
    <row r="2367" spans="1:12" ht="15.6" outlineLevel="1">
      <c r="A2367" s="11">
        <v>1813200213</v>
      </c>
      <c r="B2367" s="40">
        <v>213</v>
      </c>
      <c r="C2367" s="109">
        <v>813200</v>
      </c>
      <c r="D2367" s="42">
        <v>1</v>
      </c>
      <c r="E2367" s="43"/>
      <c r="F2367" s="44" t="s">
        <v>1380</v>
      </c>
      <c r="G2367" s="45" t="s">
        <v>22</v>
      </c>
      <c r="H2367" s="51">
        <f t="shared" si="37"/>
        <v>-0.33333333333333337</v>
      </c>
      <c r="I2367" s="47"/>
      <c r="J2367" s="48">
        <f>VLOOKUP(A2367,'[1]תקציב 2026'!$A$1:$M$65536,9,0)</f>
        <v>40000</v>
      </c>
      <c r="K2367" s="49">
        <f>VLOOKUP(A2367,[3]גיליון1!$A$1:$C$7693,3,0)</f>
        <v>60000</v>
      </c>
      <c r="L2367" s="50">
        <f>VLOOKUP(A2367,[2]data1761205830331!$A$1:$J$65536,10,0)</f>
        <v>30802.32</v>
      </c>
    </row>
    <row r="2368" spans="1:12" ht="15.6" outlineLevel="1">
      <c r="A2368" s="11">
        <v>1813200255</v>
      </c>
      <c r="B2368" s="40">
        <v>255</v>
      </c>
      <c r="C2368" s="109">
        <v>813200</v>
      </c>
      <c r="D2368" s="42">
        <v>1</v>
      </c>
      <c r="E2368" s="43"/>
      <c r="F2368" s="44" t="s">
        <v>1381</v>
      </c>
      <c r="G2368" s="45" t="s">
        <v>22</v>
      </c>
      <c r="H2368" s="51">
        <f t="shared" si="37"/>
        <v>0</v>
      </c>
      <c r="I2368" s="47"/>
      <c r="J2368" s="48">
        <f>VLOOKUP(A2368,'[1]תקציב 2026'!$A$1:$M$65536,9,0)</f>
        <v>150000</v>
      </c>
      <c r="K2368" s="49">
        <f>VLOOKUP(A2368,[3]גיליון1!$A$1:$C$7693,3,0)</f>
        <v>150000</v>
      </c>
      <c r="L2368" s="50">
        <f>VLOOKUP(A2368,[2]data1761205830331!$A$1:$J$65536,10,0)</f>
        <v>90000</v>
      </c>
    </row>
    <row r="2369" spans="1:12" ht="15.6" outlineLevel="1">
      <c r="A2369" s="11">
        <v>1813200263</v>
      </c>
      <c r="B2369" s="40">
        <v>263</v>
      </c>
      <c r="C2369" s="109">
        <v>813200</v>
      </c>
      <c r="D2369" s="42">
        <v>1</v>
      </c>
      <c r="E2369" s="43"/>
      <c r="F2369" s="44" t="s">
        <v>1382</v>
      </c>
      <c r="G2369" s="45" t="s">
        <v>22</v>
      </c>
      <c r="H2369" s="51">
        <f t="shared" si="37"/>
        <v>-0.19999999999999996</v>
      </c>
      <c r="I2369" s="47"/>
      <c r="J2369" s="48">
        <f>VLOOKUP(A2369,'[1]תקציב 2026'!$A$1:$M$65536,9,0)</f>
        <v>200000</v>
      </c>
      <c r="K2369" s="49">
        <f>VLOOKUP(A2369,[3]גיליון1!$A$1:$C$7693,3,0)</f>
        <v>250000</v>
      </c>
      <c r="L2369" s="50">
        <f>VLOOKUP(A2369,[2]data1761205830331!$A$1:$J$65536,10,0)</f>
        <v>118999.26</v>
      </c>
    </row>
    <row r="2370" spans="1:12" ht="15.6" outlineLevel="1">
      <c r="A2370" s="11">
        <v>1813200413</v>
      </c>
      <c r="B2370" s="40">
        <v>413</v>
      </c>
      <c r="C2370" s="109">
        <v>813200</v>
      </c>
      <c r="D2370" s="42">
        <v>1</v>
      </c>
      <c r="E2370" s="43"/>
      <c r="F2370" s="44" t="s">
        <v>1383</v>
      </c>
      <c r="G2370" s="45" t="s">
        <v>29</v>
      </c>
      <c r="H2370" s="51">
        <f t="shared" si="37"/>
        <v>0</v>
      </c>
      <c r="I2370" s="47"/>
      <c r="J2370" s="48">
        <f>VLOOKUP(A2370,'[1]תקציב 2026'!$A$1:$M$65536,9,0)</f>
        <v>125000</v>
      </c>
      <c r="K2370" s="49">
        <f>VLOOKUP(A2370,[3]גיליון1!$A$1:$C$7693,3,0)</f>
        <v>125000</v>
      </c>
      <c r="L2370" s="50">
        <f>VLOOKUP(A2370,[2]data1761205830331!$A$1:$J$65536,10,0)</f>
        <v>125000</v>
      </c>
    </row>
    <row r="2371" spans="1:12" ht="15.6" outlineLevel="1">
      <c r="A2371" s="11">
        <v>1813200420</v>
      </c>
      <c r="B2371" s="40">
        <v>420</v>
      </c>
      <c r="C2371" s="109">
        <v>813200</v>
      </c>
      <c r="D2371" s="42">
        <v>1</v>
      </c>
      <c r="E2371" s="43"/>
      <c r="F2371" s="44" t="s">
        <v>30</v>
      </c>
      <c r="G2371" s="45" t="s">
        <v>29</v>
      </c>
      <c r="H2371" s="51">
        <f t="shared" si="37"/>
        <v>0</v>
      </c>
      <c r="I2371" s="47"/>
      <c r="J2371" s="48">
        <f>VLOOKUP(A2371,'[1]תקציב 2026'!$A$1:$M$65536,9,0)</f>
        <v>99000</v>
      </c>
      <c r="K2371" s="49">
        <f>VLOOKUP(A2371,[3]גיליון1!$A$1:$C$7693,3,0)*0.9</f>
        <v>99000</v>
      </c>
      <c r="L2371" s="50">
        <f>VLOOKUP(A2371,[2]data1761205830331!$A$1:$J$65536,10,0)</f>
        <v>87798.91</v>
      </c>
    </row>
    <row r="2372" spans="1:12" ht="15.6" outlineLevel="1">
      <c r="A2372" s="11">
        <v>1813200423</v>
      </c>
      <c r="B2372" s="40">
        <v>423</v>
      </c>
      <c r="C2372" s="109">
        <v>813200</v>
      </c>
      <c r="D2372" s="42">
        <v>1</v>
      </c>
      <c r="E2372" s="43"/>
      <c r="F2372" s="44" t="s">
        <v>31</v>
      </c>
      <c r="G2372" s="45" t="s">
        <v>29</v>
      </c>
      <c r="H2372" s="51">
        <f t="shared" si="37"/>
        <v>2.8278173439463705E-2</v>
      </c>
      <c r="I2372" s="47"/>
      <c r="J2372" s="48">
        <f>VLOOKUP(A2372,'[1]תקציב 2026'!$A$1:$M$65536,9,0)</f>
        <v>736350</v>
      </c>
      <c r="K2372" s="49">
        <f>699000+11000-31000-37000+37500+36600</f>
        <v>716100</v>
      </c>
      <c r="L2372" s="50">
        <f>VLOOKUP(A2372,[2]data1761205830331!$A$1:$J$65536,10,0)</f>
        <v>616400</v>
      </c>
    </row>
    <row r="2373" spans="1:12" ht="15.6" outlineLevel="1">
      <c r="A2373" s="11">
        <v>1813200431</v>
      </c>
      <c r="B2373" s="40">
        <v>431</v>
      </c>
      <c r="C2373" s="109">
        <v>813200</v>
      </c>
      <c r="D2373" s="42">
        <v>1</v>
      </c>
      <c r="E2373" s="43"/>
      <c r="F2373" s="44" t="s">
        <v>32</v>
      </c>
      <c r="G2373" s="45" t="s">
        <v>29</v>
      </c>
      <c r="H2373" s="51">
        <f t="shared" si="37"/>
        <v>-8.5462780958889262E-5</v>
      </c>
      <c r="I2373" s="47"/>
      <c r="J2373" s="48">
        <f>VLOOKUP(A2373,'[1]תקציב 2026'!$A$1:$M$65536,9,0)</f>
        <v>2340000</v>
      </c>
      <c r="K2373" s="49">
        <v>2340200</v>
      </c>
      <c r="L2373" s="50">
        <f>VLOOKUP(A2373,[2]data1761205830331!$A$1:$J$65536,10,0)</f>
        <v>2317400</v>
      </c>
    </row>
    <row r="2374" spans="1:12" ht="15.6" outlineLevel="1">
      <c r="A2374" s="11">
        <v>1813200432</v>
      </c>
      <c r="B2374" s="40">
        <v>432</v>
      </c>
      <c r="C2374" s="109">
        <v>813200</v>
      </c>
      <c r="D2374" s="42">
        <v>1</v>
      </c>
      <c r="E2374" s="43"/>
      <c r="F2374" s="44" t="s">
        <v>33</v>
      </c>
      <c r="G2374" s="45" t="s">
        <v>29</v>
      </c>
      <c r="H2374" s="51">
        <f t="shared" si="37"/>
        <v>-2.8948214860083921E-3</v>
      </c>
      <c r="I2374" s="47"/>
      <c r="J2374" s="48">
        <f>VLOOKUP(A2374,'[1]תקציב 2026'!$A$1:$M$65536,9,0)</f>
        <v>930000</v>
      </c>
      <c r="K2374" s="49">
        <f>VLOOKUP(A2374,[3]גיליון1!$A$1:$C$7693,3,0)</f>
        <v>932700</v>
      </c>
      <c r="L2374" s="50">
        <f>VLOOKUP(A2374,[2]data1761205830331!$A$1:$J$65536,10,0)</f>
        <v>932509.85</v>
      </c>
    </row>
    <row r="2375" spans="1:12" ht="15.6" outlineLevel="1">
      <c r="A2375" s="11">
        <v>1813200437</v>
      </c>
      <c r="B2375" s="40">
        <v>437</v>
      </c>
      <c r="C2375" s="109">
        <v>813200</v>
      </c>
      <c r="D2375" s="42">
        <v>1</v>
      </c>
      <c r="E2375" s="43"/>
      <c r="F2375" s="44" t="s">
        <v>38</v>
      </c>
      <c r="G2375" s="45" t="s">
        <v>29</v>
      </c>
      <c r="H2375" s="51">
        <f t="shared" si="37"/>
        <v>0</v>
      </c>
      <c r="I2375" s="47"/>
      <c r="J2375" s="48">
        <f>VLOOKUP(A2375,'[1]תקציב 2026'!$A$1:$M$65536,9,0)</f>
        <v>60000</v>
      </c>
      <c r="K2375" s="49">
        <f>VLOOKUP(A2375,[3]גיליון1!$A$1:$C$7693,3,0)</f>
        <v>60000</v>
      </c>
      <c r="L2375" s="50">
        <f>VLOOKUP(A2375,[2]data1761205830331!$A$1:$J$65536,10,0)</f>
        <v>52053.25</v>
      </c>
    </row>
    <row r="2376" spans="1:12" ht="15.6" outlineLevel="1">
      <c r="A2376" s="11">
        <v>1813200451</v>
      </c>
      <c r="B2376" s="40">
        <v>451</v>
      </c>
      <c r="C2376" s="109">
        <v>813200</v>
      </c>
      <c r="D2376" s="42">
        <v>1</v>
      </c>
      <c r="E2376" s="43"/>
      <c r="F2376" s="44" t="s">
        <v>1384</v>
      </c>
      <c r="G2376" s="45" t="s">
        <v>29</v>
      </c>
      <c r="H2376" s="51">
        <f t="shared" si="37"/>
        <v>0</v>
      </c>
      <c r="I2376" s="47"/>
      <c r="J2376" s="48">
        <f>VLOOKUP(A2376,'[1]תקציב 2026'!$A$1:$M$65536,9,0)</f>
        <v>1500000</v>
      </c>
      <c r="K2376" s="49">
        <f>VLOOKUP(A2376,[3]גיליון1!$A$1:$C$7693,3,0)</f>
        <v>1500000</v>
      </c>
      <c r="L2376" s="50">
        <f>VLOOKUP(A2376,[2]data1761205830331!$A$1:$J$65536,10,0)</f>
        <v>449821.03</v>
      </c>
    </row>
    <row r="2377" spans="1:12" ht="15.6" outlineLevel="1">
      <c r="A2377" s="11">
        <v>1813200511</v>
      </c>
      <c r="B2377" s="40">
        <v>511</v>
      </c>
      <c r="C2377" s="109">
        <v>813200</v>
      </c>
      <c r="D2377" s="42">
        <v>1</v>
      </c>
      <c r="E2377" s="43"/>
      <c r="F2377" s="44" t="s">
        <v>72</v>
      </c>
      <c r="G2377" s="45" t="s">
        <v>37</v>
      </c>
      <c r="H2377" s="51">
        <f t="shared" si="37"/>
        <v>1.706726214643389</v>
      </c>
      <c r="I2377" s="47"/>
      <c r="J2377" s="48">
        <f>VLOOKUP(A2377,'[1]תקציב 2026'!$A$1:$M$65536,9,0)</f>
        <v>200000</v>
      </c>
      <c r="K2377" s="49">
        <f>82100*0.9</f>
        <v>73890</v>
      </c>
      <c r="L2377" s="50">
        <f>VLOOKUP(A2377,[2]data1761205830331!$A$1:$J$65536,10,0)</f>
        <v>154962</v>
      </c>
    </row>
    <row r="2378" spans="1:12" ht="15.6" outlineLevel="1">
      <c r="A2378" s="11">
        <v>1813200551</v>
      </c>
      <c r="B2378" s="40">
        <v>551</v>
      </c>
      <c r="C2378" s="109">
        <v>813200</v>
      </c>
      <c r="D2378" s="42">
        <v>1</v>
      </c>
      <c r="E2378" s="43"/>
      <c r="F2378" s="44" t="s">
        <v>73</v>
      </c>
      <c r="G2378" s="45" t="s">
        <v>37</v>
      </c>
      <c r="H2378" s="51">
        <f t="shared" si="37"/>
        <v>-1.2345679012345734E-2</v>
      </c>
      <c r="I2378" s="47"/>
      <c r="J2378" s="48">
        <f>VLOOKUP(A2378,'[1]תקציב 2026'!$A$1:$M$65536,9,0)</f>
        <v>4000</v>
      </c>
      <c r="K2378" s="49">
        <f>VLOOKUP(A2378,[3]גיליון1!$A$1:$C$7693,3,0)*0.9</f>
        <v>4050</v>
      </c>
      <c r="L2378" s="50">
        <f>VLOOKUP(A2378,[2]data1761205830331!$A$1:$J$65536,10,0)</f>
        <v>837.23</v>
      </c>
    </row>
    <row r="2379" spans="1:12" ht="15.6" outlineLevel="1">
      <c r="A2379" s="11">
        <v>1813200562</v>
      </c>
      <c r="B2379" s="40">
        <v>562</v>
      </c>
      <c r="C2379" s="109">
        <v>813200</v>
      </c>
      <c r="D2379" s="42">
        <v>1</v>
      </c>
      <c r="E2379" s="43"/>
      <c r="F2379" s="44" t="s">
        <v>748</v>
      </c>
      <c r="G2379" s="45" t="s">
        <v>37</v>
      </c>
      <c r="H2379" s="51">
        <f t="shared" si="37"/>
        <v>-0.60784313725490202</v>
      </c>
      <c r="I2379" s="47"/>
      <c r="J2379" s="48">
        <f>VLOOKUP(A2379,'[1]תקציב 2026'!$A$1:$M$65536,9,0)</f>
        <v>6000</v>
      </c>
      <c r="K2379" s="49">
        <f>VLOOKUP(A2379,[3]גיליון1!$A$1:$C$7693,3,0)*0.9</f>
        <v>15300</v>
      </c>
      <c r="L2379" s="50">
        <f>VLOOKUP(A2379,[2]data1761205830331!$A$1:$J$65536,10,0)</f>
        <v>4329</v>
      </c>
    </row>
    <row r="2380" spans="1:12" ht="15.6" outlineLevel="1">
      <c r="A2380" s="11">
        <v>1813200570</v>
      </c>
      <c r="B2380" s="40">
        <v>570</v>
      </c>
      <c r="C2380" s="109">
        <v>813200</v>
      </c>
      <c r="D2380" s="42">
        <v>1</v>
      </c>
      <c r="E2380" s="43"/>
      <c r="F2380" s="44" t="s">
        <v>1385</v>
      </c>
      <c r="G2380" s="45" t="s">
        <v>29</v>
      </c>
      <c r="H2380" s="51">
        <f t="shared" si="37"/>
        <v>-0.19999999999999996</v>
      </c>
      <c r="I2380" s="47"/>
      <c r="J2380" s="48">
        <f>VLOOKUP(A2380,'[1]תקציב 2026'!$A$1:$M$65536,9,0)</f>
        <v>120000</v>
      </c>
      <c r="K2380" s="49">
        <f>VLOOKUP(A2380,[3]גיליון1!$A$1:$C$7693,3,0)</f>
        <v>150000</v>
      </c>
      <c r="L2380" s="50">
        <f>VLOOKUP(A2380,[2]data1761205830331!$A$1:$J$65536,10,0)</f>
        <v>94723</v>
      </c>
    </row>
    <row r="2381" spans="1:12" ht="15.6" outlineLevel="1">
      <c r="A2381" s="11">
        <v>1813200571</v>
      </c>
      <c r="B2381" s="40">
        <v>571</v>
      </c>
      <c r="C2381" s="109">
        <v>813200</v>
      </c>
      <c r="D2381" s="42">
        <v>1</v>
      </c>
      <c r="E2381" s="43"/>
      <c r="F2381" s="44" t="s">
        <v>75</v>
      </c>
      <c r="G2381" s="45" t="s">
        <v>29</v>
      </c>
      <c r="H2381" s="51">
        <f t="shared" si="37"/>
        <v>0.61262798634812277</v>
      </c>
      <c r="I2381" s="47"/>
      <c r="J2381" s="48">
        <f>VLOOKUP(A2381,'[1]תקציב 2026'!$A$1:$M$65536,9,0)</f>
        <v>189000</v>
      </c>
      <c r="K2381" s="49">
        <v>117200</v>
      </c>
      <c r="L2381" s="50">
        <f>VLOOKUP(A2381,[2]data1761205830331!$A$1:$J$65536,10,0)</f>
        <v>105200</v>
      </c>
    </row>
    <row r="2382" spans="1:12" ht="15.6" outlineLevel="1">
      <c r="A2382" s="11">
        <v>1813200580</v>
      </c>
      <c r="B2382" s="40">
        <v>580</v>
      </c>
      <c r="C2382" s="109">
        <v>813200</v>
      </c>
      <c r="D2382" s="42">
        <v>1</v>
      </c>
      <c r="E2382" s="43"/>
      <c r="F2382" s="44" t="s">
        <v>1386</v>
      </c>
      <c r="G2382" s="45" t="s">
        <v>37</v>
      </c>
      <c r="H2382" s="51">
        <f t="shared" si="37"/>
        <v>-0.13580246913580252</v>
      </c>
      <c r="I2382" s="47"/>
      <c r="J2382" s="48">
        <f>VLOOKUP(A2382,'[1]תקציב 2026'!$A$1:$M$65536,9,0)</f>
        <v>140000</v>
      </c>
      <c r="K2382" s="49">
        <f>VLOOKUP(A2382,[3]גיליון1!$A$1:$C$7693,3,0)*0.9</f>
        <v>162000</v>
      </c>
      <c r="L2382" s="50">
        <f>VLOOKUP(A2382,[2]data1761205830331!$A$1:$J$65536,10,0)</f>
        <v>113850.36</v>
      </c>
    </row>
    <row r="2383" spans="1:12" ht="15.6" outlineLevel="1">
      <c r="A2383" s="11">
        <v>1813200710</v>
      </c>
      <c r="B2383" s="40">
        <v>710</v>
      </c>
      <c r="C2383" s="109">
        <v>813200</v>
      </c>
      <c r="D2383" s="42">
        <v>1</v>
      </c>
      <c r="E2383" s="43"/>
      <c r="F2383" s="44" t="s">
        <v>49</v>
      </c>
      <c r="G2383" s="45" t="s">
        <v>37</v>
      </c>
      <c r="H2383" s="51">
        <f t="shared" si="37"/>
        <v>6.1728395061728447E-2</v>
      </c>
      <c r="I2383" s="47"/>
      <c r="J2383" s="48">
        <f>VLOOKUP(A2383,'[1]תקציב 2026'!$A$1:$M$65536,9,0)</f>
        <v>43000</v>
      </c>
      <c r="K2383" s="49">
        <f>45000*0.9</f>
        <v>40500</v>
      </c>
      <c r="L2383" s="50">
        <f>VLOOKUP(A2383,[2]data1761205830331!$A$1:$J$65536,10,0)</f>
        <v>41761</v>
      </c>
    </row>
    <row r="2384" spans="1:12" ht="15.6" outlineLevel="1">
      <c r="A2384" s="11">
        <v>1813200721</v>
      </c>
      <c r="B2384" s="40">
        <v>721</v>
      </c>
      <c r="C2384" s="109">
        <v>813200</v>
      </c>
      <c r="D2384" s="42">
        <v>1</v>
      </c>
      <c r="E2384" s="43"/>
      <c r="F2384" s="44" t="s">
        <v>50</v>
      </c>
      <c r="G2384" s="45" t="s">
        <v>37</v>
      </c>
      <c r="H2384" s="51">
        <v>1</v>
      </c>
      <c r="I2384" s="47"/>
      <c r="J2384" s="48">
        <f>VLOOKUP(A2384,'[1]תקציב 2026'!$A$1:$M$65536,9,0)</f>
        <v>50000</v>
      </c>
      <c r="K2384" s="49">
        <v>0</v>
      </c>
      <c r="L2384" s="50">
        <f>VLOOKUP(A2384,[2]data1761205830331!$A$1:$J$65536,10,0)</f>
        <v>45963.97</v>
      </c>
    </row>
    <row r="2385" spans="1:12" ht="15.6" outlineLevel="1">
      <c r="A2385" s="11">
        <v>1813200725</v>
      </c>
      <c r="B2385" s="40">
        <v>725</v>
      </c>
      <c r="C2385" s="109">
        <v>813200</v>
      </c>
      <c r="D2385" s="42">
        <v>1</v>
      </c>
      <c r="E2385" s="43"/>
      <c r="F2385" s="44" t="str">
        <f>[4]גיליון1!$F$4242</f>
        <v>קבוצות טיפוליות-מניעת נשירה</v>
      </c>
      <c r="G2385" s="45" t="s">
        <v>37</v>
      </c>
      <c r="H2385" s="51">
        <f t="shared" si="37"/>
        <v>0.77777777777777768</v>
      </c>
      <c r="I2385" s="47"/>
      <c r="J2385" s="48">
        <f>VLOOKUP(A2385,'[1]תקציב 2026'!$A$1:$M$65536,9,0)</f>
        <v>40000</v>
      </c>
      <c r="K2385" s="49">
        <f>VLOOKUP(A2385,[3]גיליון1!$A$1:$C$7693,3,0)*0.9</f>
        <v>22500</v>
      </c>
      <c r="L2385" s="50">
        <f>VLOOKUP(A2385,[2]data1761205830331!$A$1:$J$65536,10,0)</f>
        <v>46721</v>
      </c>
    </row>
    <row r="2386" spans="1:12" ht="15.6" outlineLevel="1">
      <c r="A2386" s="11">
        <v>1813200750</v>
      </c>
      <c r="B2386" s="40">
        <v>750</v>
      </c>
      <c r="C2386" s="109">
        <v>813200</v>
      </c>
      <c r="D2386" s="42">
        <v>1</v>
      </c>
      <c r="E2386" s="43"/>
      <c r="F2386" s="44" t="s">
        <v>1351</v>
      </c>
      <c r="G2386" s="45" t="s">
        <v>29</v>
      </c>
      <c r="H2386" s="51">
        <f t="shared" si="37"/>
        <v>2.4028098537336451E-2</v>
      </c>
      <c r="I2386" s="47"/>
      <c r="J2386" s="48">
        <f>VLOOKUP(A2386,'[1]תקציב 2026'!$A$1:$M$65536,9,0)</f>
        <v>10641700</v>
      </c>
      <c r="K2386" s="49">
        <v>10392000</v>
      </c>
      <c r="L2386" s="50">
        <f>VLOOKUP(A2386,[2]data1761205830331!$A$1:$J$65536,10,0)</f>
        <v>8207421</v>
      </c>
    </row>
    <row r="2387" spans="1:12" ht="15.6" outlineLevel="1">
      <c r="A2387" s="11">
        <v>1813200752</v>
      </c>
      <c r="B2387" s="40">
        <v>752</v>
      </c>
      <c r="C2387" s="109">
        <v>813200</v>
      </c>
      <c r="D2387" s="42">
        <v>1</v>
      </c>
      <c r="E2387" s="43"/>
      <c r="F2387" s="44" t="s">
        <v>54</v>
      </c>
      <c r="G2387" s="45" t="s">
        <v>29</v>
      </c>
      <c r="H2387" s="51">
        <f t="shared" si="37"/>
        <v>0.17886178861788626</v>
      </c>
      <c r="I2387" s="47"/>
      <c r="J2387" s="48">
        <f>VLOOKUP(A2387,'[1]תקציב 2026'!$A$1:$M$65536,9,0)</f>
        <v>14500000</v>
      </c>
      <c r="K2387" s="49">
        <v>12300000</v>
      </c>
      <c r="L2387" s="50">
        <f>VLOOKUP(A2387,[2]data1761205830331!$A$1:$J$65536,10,0)</f>
        <v>10354275.68</v>
      </c>
    </row>
    <row r="2388" spans="1:12" ht="15.6" outlineLevel="1">
      <c r="A2388" s="11">
        <v>1813200753</v>
      </c>
      <c r="B2388" s="40">
        <v>753</v>
      </c>
      <c r="C2388" s="109">
        <v>813200</v>
      </c>
      <c r="D2388" s="42">
        <v>1</v>
      </c>
      <c r="E2388" s="43"/>
      <c r="F2388" s="44" t="s">
        <v>1387</v>
      </c>
      <c r="G2388" s="45" t="s">
        <v>29</v>
      </c>
      <c r="H2388" s="51">
        <f t="shared" si="37"/>
        <v>2.9507042253521076E-2</v>
      </c>
      <c r="I2388" s="47"/>
      <c r="J2388" s="48">
        <f>VLOOKUP(A2388,'[1]תקציב 2026'!$A$1:$M$65536,9,0)</f>
        <v>1461900</v>
      </c>
      <c r="K2388" s="49">
        <v>1420000</v>
      </c>
      <c r="L2388" s="50">
        <f>VLOOKUP(A2388,[2]data1761205830331!$A$1:$J$65536,10,0)</f>
        <v>1319747.79</v>
      </c>
    </row>
    <row r="2389" spans="1:12" ht="15.6" outlineLevel="1">
      <c r="A2389" s="11">
        <v>1813200755</v>
      </c>
      <c r="B2389" s="40">
        <v>755</v>
      </c>
      <c r="C2389" s="109">
        <v>813200</v>
      </c>
      <c r="D2389" s="42">
        <v>1</v>
      </c>
      <c r="E2389" s="43"/>
      <c r="F2389" s="44" t="s">
        <v>1381</v>
      </c>
      <c r="G2389" s="45" t="s">
        <v>29</v>
      </c>
      <c r="H2389" s="51">
        <f t="shared" si="37"/>
        <v>0</v>
      </c>
      <c r="I2389" s="47"/>
      <c r="J2389" s="48">
        <f>VLOOKUP(A2389,'[1]תקציב 2026'!$A$1:$M$65536,9,0)</f>
        <v>90000</v>
      </c>
      <c r="K2389" s="49">
        <f>VLOOKUP(A2389,[3]גיליון1!$A$1:$C$7693,3,0)</f>
        <v>90000</v>
      </c>
      <c r="L2389" s="50">
        <f>VLOOKUP(A2389,[2]data1761205830331!$A$1:$J$65536,10,0)</f>
        <v>68499.22</v>
      </c>
    </row>
    <row r="2390" spans="1:12" ht="15.6" outlineLevel="1">
      <c r="A2390" s="11">
        <v>1813200759</v>
      </c>
      <c r="B2390" s="40">
        <v>759</v>
      </c>
      <c r="C2390" s="109">
        <v>813200</v>
      </c>
      <c r="D2390" s="42">
        <v>1</v>
      </c>
      <c r="E2390" s="43"/>
      <c r="F2390" s="44" t="s">
        <v>1332</v>
      </c>
      <c r="G2390" s="45" t="s">
        <v>22</v>
      </c>
      <c r="H2390" s="51">
        <f t="shared" si="37"/>
        <v>7.2798576644714563E-2</v>
      </c>
      <c r="I2390" s="47"/>
      <c r="J2390" s="48">
        <f>VLOOKUP(A2390,'[1]תקציב 2026'!$A$1:$M$65536,9,0)</f>
        <v>77360900</v>
      </c>
      <c r="K2390" s="49">
        <v>72111300</v>
      </c>
      <c r="L2390" s="50">
        <f>VLOOKUP(A2390,[2]data1761205830331!$A$1:$J$65536,10,0)</f>
        <v>56826727.200000003</v>
      </c>
    </row>
    <row r="2391" spans="1:12" ht="15.6" outlineLevel="1">
      <c r="A2391" s="11">
        <v>1813200788</v>
      </c>
      <c r="B2391" s="40">
        <v>788</v>
      </c>
      <c r="C2391" s="109">
        <v>813200</v>
      </c>
      <c r="D2391" s="42">
        <v>1</v>
      </c>
      <c r="E2391" s="43"/>
      <c r="F2391" s="44" t="s">
        <v>1388</v>
      </c>
      <c r="G2391" s="45" t="s">
        <v>29</v>
      </c>
      <c r="H2391" s="51">
        <f t="shared" si="37"/>
        <v>1.4285714285714235E-2</v>
      </c>
      <c r="I2391" s="47"/>
      <c r="J2391" s="48">
        <f>VLOOKUP(A2391,'[1]תקציב 2026'!$A$1:$M$65536,9,0)</f>
        <v>142000</v>
      </c>
      <c r="K2391" s="49">
        <f>VLOOKUP(A2391,[3]גיליון1!$A$1:$C$7693,3,0)</f>
        <v>140000</v>
      </c>
      <c r="L2391" s="50">
        <f>VLOOKUP(A2391,[2]data1761205830331!$A$1:$J$65536,10,0)</f>
        <v>136012</v>
      </c>
    </row>
    <row r="2392" spans="1:12" ht="15.6" outlineLevel="1">
      <c r="A2392" s="11">
        <v>1813200794</v>
      </c>
      <c r="B2392" s="40">
        <v>794</v>
      </c>
      <c r="C2392" s="109">
        <v>813200</v>
      </c>
      <c r="D2392" s="42">
        <v>1</v>
      </c>
      <c r="E2392" s="43"/>
      <c r="F2392" s="44" t="s">
        <v>58</v>
      </c>
      <c r="G2392" s="45" t="s">
        <v>29</v>
      </c>
      <c r="H2392" s="51">
        <f t="shared" si="37"/>
        <v>0</v>
      </c>
      <c r="I2392" s="47"/>
      <c r="J2392" s="48">
        <f>VLOOKUP(A2392,'[1]תקציב 2026'!$A$1:$M$65536,9,0)</f>
        <v>511400</v>
      </c>
      <c r="K2392" s="49">
        <f>519300-7900</f>
        <v>511400</v>
      </c>
      <c r="L2392" s="50">
        <f>VLOOKUP(A2392,[2]data1761205830331!$A$1:$J$65536,10,0)</f>
        <v>581317.39</v>
      </c>
    </row>
    <row r="2393" spans="1:12" ht="15.6" outlineLevel="1">
      <c r="A2393" s="11">
        <v>1813200810</v>
      </c>
      <c r="B2393" s="40">
        <v>810</v>
      </c>
      <c r="C2393" s="109">
        <v>813200</v>
      </c>
      <c r="D2393" s="42">
        <v>1</v>
      </c>
      <c r="E2393" s="43"/>
      <c r="F2393" s="44" t="s">
        <v>1389</v>
      </c>
      <c r="G2393" s="45" t="s">
        <v>37</v>
      </c>
      <c r="H2393" s="51">
        <f t="shared" si="37"/>
        <v>-1</v>
      </c>
      <c r="I2393" s="47"/>
      <c r="J2393" s="48">
        <f>VLOOKUP(A2393,'[1]תקציב 2026'!$A$1:$M$65536,9,0)</f>
        <v>0</v>
      </c>
      <c r="K2393" s="49">
        <f>600000*0.9</f>
        <v>540000</v>
      </c>
      <c r="L2393" s="50">
        <f>VLOOKUP(A2393,[2]data1761205830331!$A$1:$J$65536,10,0)</f>
        <v>0</v>
      </c>
    </row>
    <row r="2394" spans="1:12" ht="15.6" outlineLevel="1">
      <c r="A2394" s="11">
        <v>1813200811</v>
      </c>
      <c r="B2394" s="40">
        <v>811</v>
      </c>
      <c r="C2394" s="109">
        <v>813200</v>
      </c>
      <c r="D2394" s="42">
        <v>1</v>
      </c>
      <c r="E2394" s="43"/>
      <c r="F2394" s="44" t="s">
        <v>1390</v>
      </c>
      <c r="G2394" s="45" t="s">
        <v>37</v>
      </c>
      <c r="H2394" s="51">
        <f t="shared" si="37"/>
        <v>0.4814814814814814</v>
      </c>
      <c r="I2394" s="47"/>
      <c r="J2394" s="48">
        <f>VLOOKUP(A2394,'[1]תקציב 2026'!$A$1:$M$65536,9,0)</f>
        <v>160000</v>
      </c>
      <c r="K2394" s="49">
        <f>VLOOKUP(A2394,[3]גיליון1!$A$1:$C$7693,3,0)*0.9</f>
        <v>108000</v>
      </c>
      <c r="L2394" s="50">
        <f>VLOOKUP(A2394,[2]data1761205830331!$A$1:$J$65536,10,0)</f>
        <v>159612</v>
      </c>
    </row>
    <row r="2395" spans="1:12" ht="15.6" outlineLevel="1">
      <c r="A2395" s="11">
        <v>1813200812</v>
      </c>
      <c r="B2395" s="40">
        <v>812</v>
      </c>
      <c r="C2395" s="109">
        <v>813200</v>
      </c>
      <c r="D2395" s="42">
        <v>1</v>
      </c>
      <c r="E2395" s="43"/>
      <c r="F2395" s="235" t="s">
        <v>296</v>
      </c>
      <c r="G2395" s="45" t="s">
        <v>29</v>
      </c>
      <c r="H2395" s="51">
        <f t="shared" si="37"/>
        <v>0.16666666666666674</v>
      </c>
      <c r="I2395" s="47"/>
      <c r="J2395" s="48">
        <f>VLOOKUP(A2395,'[1]תקציב 2026'!$A$1:$M$65536,9,0)</f>
        <v>350000</v>
      </c>
      <c r="K2395" s="49">
        <f>VLOOKUP(A2395,[3]גיליון1!$A$1:$C$7693,3,0)</f>
        <v>300000</v>
      </c>
      <c r="L2395" s="50">
        <f>VLOOKUP(A2395,[2]data1761205830331!$A$1:$J$65536,10,0)</f>
        <v>310002</v>
      </c>
    </row>
    <row r="2396" spans="1:12" ht="15.6" outlineLevel="1">
      <c r="A2396" s="11">
        <v>1813200872</v>
      </c>
      <c r="B2396" s="40">
        <v>872</v>
      </c>
      <c r="C2396" s="109">
        <v>813200</v>
      </c>
      <c r="D2396" s="42">
        <v>1</v>
      </c>
      <c r="E2396" s="43"/>
      <c r="F2396" s="44" t="s">
        <v>1391</v>
      </c>
      <c r="G2396" s="45" t="s">
        <v>37</v>
      </c>
      <c r="H2396" s="51">
        <f t="shared" si="37"/>
        <v>-0.19753086419753085</v>
      </c>
      <c r="I2396" s="47"/>
      <c r="J2396" s="48">
        <f>VLOOKUP(A2396,'[1]תקציב 2026'!$A$1:$M$65536,9,0)</f>
        <v>130000</v>
      </c>
      <c r="K2396" s="49">
        <f>VLOOKUP(A2396,[3]גיליון1!$A$1:$C$7693,3,0)*0.9</f>
        <v>162000</v>
      </c>
      <c r="L2396" s="50">
        <f>VLOOKUP(A2396,[2]data1761205830331!$A$1:$J$65536,10,0)</f>
        <v>147173.5</v>
      </c>
    </row>
    <row r="2397" spans="1:12" ht="15.6" outlineLevel="1">
      <c r="A2397" s="11">
        <v>1813200873</v>
      </c>
      <c r="B2397" s="40">
        <v>873</v>
      </c>
      <c r="C2397" s="109">
        <v>813200</v>
      </c>
      <c r="D2397" s="42">
        <v>1</v>
      </c>
      <c r="E2397" s="43"/>
      <c r="F2397" s="44" t="s">
        <v>1392</v>
      </c>
      <c r="G2397" s="45" t="s">
        <v>37</v>
      </c>
      <c r="H2397" s="51">
        <f t="shared" si="37"/>
        <v>0.40018066847335132</v>
      </c>
      <c r="I2397" s="47"/>
      <c r="J2397" s="48">
        <f>VLOOKUP(A2397,'[1]תקציב 2026'!$A$1:$M$65536,9,0)</f>
        <v>465000</v>
      </c>
      <c r="K2397" s="49">
        <f>369000*0.9</f>
        <v>332100</v>
      </c>
      <c r="L2397" s="50">
        <f>VLOOKUP(A2397,[2]data1761205830331!$A$1:$J$65536,10,0)</f>
        <v>324061.76</v>
      </c>
    </row>
    <row r="2398" spans="1:12" ht="15.6" outlineLevel="1">
      <c r="A2398" s="11">
        <v>1813200874</v>
      </c>
      <c r="B2398" s="40">
        <v>874</v>
      </c>
      <c r="C2398" s="109">
        <v>813200</v>
      </c>
      <c r="D2398" s="42">
        <v>1</v>
      </c>
      <c r="E2398" s="43"/>
      <c r="F2398" s="44" t="s">
        <v>1393</v>
      </c>
      <c r="G2398" s="45" t="s">
        <v>37</v>
      </c>
      <c r="H2398" s="51">
        <f t="shared" si="37"/>
        <v>-0.18918918918918914</v>
      </c>
      <c r="I2398" s="47"/>
      <c r="J2398" s="48">
        <f>VLOOKUP(A2398,'[1]תקציב 2026'!$A$1:$M$65536,9,0)</f>
        <v>27000</v>
      </c>
      <c r="K2398" s="49">
        <f>VLOOKUP(A2398,[3]גיליון1!$A$1:$C$7693,3,0)*0.9</f>
        <v>33300</v>
      </c>
      <c r="L2398" s="50">
        <f>VLOOKUP(A2398,[2]data1761205830331!$A$1:$J$65536,10,0)</f>
        <v>17908.34</v>
      </c>
    </row>
    <row r="2399" spans="1:12" ht="15.6" outlineLevel="1">
      <c r="A2399" s="11">
        <v>1813200875</v>
      </c>
      <c r="B2399" s="40">
        <v>875</v>
      </c>
      <c r="C2399" s="109">
        <v>813200</v>
      </c>
      <c r="D2399" s="42">
        <v>1</v>
      </c>
      <c r="E2399" s="43"/>
      <c r="F2399" s="44" t="s">
        <v>1394</v>
      </c>
      <c r="G2399" s="45" t="s">
        <v>37</v>
      </c>
      <c r="H2399" s="51">
        <f t="shared" si="37"/>
        <v>0.3657407407407407</v>
      </c>
      <c r="I2399" s="47"/>
      <c r="J2399" s="48">
        <f>VLOOKUP(A2399,'[1]תקציב 2026'!$A$1:$M$65536,9,0)</f>
        <v>590000</v>
      </c>
      <c r="K2399" s="49">
        <f>VLOOKUP(A2399,[3]גיליון1!$A$1:$C$7693,3,0)*0.9</f>
        <v>432000</v>
      </c>
      <c r="L2399" s="50">
        <f>VLOOKUP(A2399,[2]data1761205830331!$A$1:$J$65536,10,0)</f>
        <v>467693.08</v>
      </c>
    </row>
    <row r="2400" spans="1:12" ht="15.6" outlineLevel="1">
      <c r="A2400" s="11">
        <v>1813200876</v>
      </c>
      <c r="B2400" s="40">
        <v>876</v>
      </c>
      <c r="C2400" s="109">
        <v>813200</v>
      </c>
      <c r="D2400" s="42">
        <v>1</v>
      </c>
      <c r="E2400" s="43"/>
      <c r="F2400" s="44" t="s">
        <v>1395</v>
      </c>
      <c r="G2400" s="45" t="s">
        <v>37</v>
      </c>
      <c r="H2400" s="51">
        <f t="shared" si="37"/>
        <v>0.48792270531400961</v>
      </c>
      <c r="I2400" s="47"/>
      <c r="J2400" s="48">
        <f>VLOOKUP(A2400,'[1]תקציב 2026'!$A$1:$M$65536,9,0)</f>
        <v>154000</v>
      </c>
      <c r="K2400" s="49">
        <f>VLOOKUP(A2400,[3]גיליון1!$A$1:$C$7693,3,0)*0.9</f>
        <v>103500</v>
      </c>
      <c r="L2400" s="50">
        <f>VLOOKUP(A2400,[2]data1761205830331!$A$1:$J$65536,10,0)</f>
        <v>103769.67</v>
      </c>
    </row>
    <row r="2401" spans="1:12" ht="15.6" outlineLevel="1">
      <c r="A2401" s="11">
        <v>1813200877</v>
      </c>
      <c r="B2401" s="40">
        <v>877</v>
      </c>
      <c r="C2401" s="109">
        <v>813200</v>
      </c>
      <c r="D2401" s="42">
        <v>1</v>
      </c>
      <c r="E2401" s="43"/>
      <c r="F2401" s="44" t="s">
        <v>1396</v>
      </c>
      <c r="G2401" s="45" t="s">
        <v>37</v>
      </c>
      <c r="H2401" s="51">
        <f t="shared" si="37"/>
        <v>0.42222222222222228</v>
      </c>
      <c r="I2401" s="47"/>
      <c r="J2401" s="48">
        <f>VLOOKUP(A2401,'[1]תקציב 2026'!$A$1:$M$65536,9,0)</f>
        <v>128000</v>
      </c>
      <c r="K2401" s="49">
        <f>VLOOKUP(A2401,[3]גיליון1!$A$1:$C$7693,3,0)*0.9</f>
        <v>90000</v>
      </c>
      <c r="L2401" s="50">
        <f>VLOOKUP(A2401,[2]data1761205830331!$A$1:$J$65536,10,0)</f>
        <v>97690.83</v>
      </c>
    </row>
    <row r="2402" spans="1:12" ht="15.6" outlineLevel="1">
      <c r="A2402" s="11">
        <v>1813200878</v>
      </c>
      <c r="B2402" s="40">
        <v>878</v>
      </c>
      <c r="C2402" s="109">
        <v>813200</v>
      </c>
      <c r="D2402" s="42">
        <v>1</v>
      </c>
      <c r="E2402" s="43"/>
      <c r="F2402" s="44" t="str">
        <f>[4]גיליון1!$F$4282</f>
        <v>תלמוד תורה רבי</v>
      </c>
      <c r="G2402" s="45" t="s">
        <v>37</v>
      </c>
      <c r="H2402" s="51">
        <f t="shared" si="37"/>
        <v>1.4691358024691357</v>
      </c>
      <c r="I2402" s="47"/>
      <c r="J2402" s="48">
        <f>VLOOKUP(A2402,'[1]תקציב 2026'!$A$1:$M$65536,9,0)</f>
        <v>200000</v>
      </c>
      <c r="K2402" s="49">
        <f>VLOOKUP(A2402,[3]גיליון1!$A$1:$C$7693,3,0)*0.9</f>
        <v>81000</v>
      </c>
      <c r="L2402" s="50">
        <f>VLOOKUP(A2402,[2]data1761205830331!$A$1:$J$65536,10,0)</f>
        <v>68365.33</v>
      </c>
    </row>
    <row r="2403" spans="1:12" ht="15.6" outlineLevel="1">
      <c r="A2403" s="11">
        <v>1813200879</v>
      </c>
      <c r="B2403" s="40">
        <v>879</v>
      </c>
      <c r="C2403" s="109">
        <v>813200</v>
      </c>
      <c r="D2403" s="42">
        <v>1</v>
      </c>
      <c r="E2403" s="43"/>
      <c r="F2403" s="44" t="s">
        <v>1397</v>
      </c>
      <c r="G2403" s="45" t="s">
        <v>37</v>
      </c>
      <c r="H2403" s="51">
        <v>1</v>
      </c>
      <c r="I2403" s="47" t="s">
        <v>86</v>
      </c>
      <c r="J2403" s="48">
        <f>VLOOKUP(A2403,'[1]תקציב 2026'!$A$1:$M$65536,9,0)</f>
        <v>27000</v>
      </c>
      <c r="K2403" s="49">
        <v>0</v>
      </c>
      <c r="L2403" s="50">
        <v>0</v>
      </c>
    </row>
    <row r="2404" spans="1:12" ht="15.6" outlineLevel="1">
      <c r="A2404" s="11">
        <v>1813200931</v>
      </c>
      <c r="B2404" s="40">
        <v>931</v>
      </c>
      <c r="C2404" s="109">
        <v>813200</v>
      </c>
      <c r="D2404" s="42">
        <v>1</v>
      </c>
      <c r="E2404" s="43"/>
      <c r="F2404" s="44" t="s">
        <v>1398</v>
      </c>
      <c r="G2404" s="45" t="s">
        <v>37</v>
      </c>
      <c r="H2404" s="51">
        <f t="shared" si="37"/>
        <v>-3.978052126200271E-2</v>
      </c>
      <c r="I2404" s="47"/>
      <c r="J2404" s="48">
        <f>VLOOKUP(A2404,'[1]תקציב 2026'!$A$1:$M$65536,9,0)</f>
        <v>7000</v>
      </c>
      <c r="K2404" s="49">
        <f>VLOOKUP(A2404,[3]גיליון1!$A$1:$C$7693,3,0)*0.9</f>
        <v>7290</v>
      </c>
      <c r="L2404" s="50">
        <f>VLOOKUP(A2404,[2]data1761205830331!$A$1:$J$65536,10,0)</f>
        <v>1873.2</v>
      </c>
    </row>
    <row r="2405" spans="1:12" ht="15.6" outlineLevel="1">
      <c r="A2405" s="11">
        <v>1813200932</v>
      </c>
      <c r="B2405" s="40">
        <v>932</v>
      </c>
      <c r="C2405" s="109">
        <v>813200</v>
      </c>
      <c r="D2405" s="42">
        <v>1</v>
      </c>
      <c r="E2405" s="43"/>
      <c r="F2405" s="44" t="s">
        <v>1399</v>
      </c>
      <c r="G2405" s="45" t="s">
        <v>29</v>
      </c>
      <c r="H2405" s="51">
        <f t="shared" si="37"/>
        <v>-5.3913945049248291E-2</v>
      </c>
      <c r="I2405" s="47"/>
      <c r="J2405" s="48">
        <f>VLOOKUP(A2405,'[1]תקציב 2026'!$A$1:$M$65536,9,0)</f>
        <v>730000</v>
      </c>
      <c r="K2405" s="49">
        <f>VLOOKUP(A2405,[3]גיליון1!$A$1:$C$7693,3,0)</f>
        <v>771600</v>
      </c>
      <c r="L2405" s="50">
        <f>VLOOKUP(A2405,[2]data1761205830331!$A$1:$J$65536,10,0)</f>
        <v>724201</v>
      </c>
    </row>
    <row r="2406" spans="1:12" ht="15.6" outlineLevel="1">
      <c r="A2406" s="11">
        <v>1813200933</v>
      </c>
      <c r="B2406" s="40">
        <v>933</v>
      </c>
      <c r="C2406" s="109">
        <v>813200</v>
      </c>
      <c r="D2406" s="42">
        <v>1</v>
      </c>
      <c r="E2406" s="43"/>
      <c r="F2406" s="44" t="s">
        <v>1400</v>
      </c>
      <c r="G2406" s="45" t="s">
        <v>29</v>
      </c>
      <c r="H2406" s="51">
        <f t="shared" si="37"/>
        <v>-0.24242424242424243</v>
      </c>
      <c r="I2406" s="47"/>
      <c r="J2406" s="48">
        <f>VLOOKUP(A2406,'[1]תקציב 2026'!$A$1:$M$65536,9,0)</f>
        <v>50000</v>
      </c>
      <c r="K2406" s="49">
        <f>VLOOKUP(A2406,[3]גיליון1!$A$1:$C$7693,3,0)</f>
        <v>66000</v>
      </c>
      <c r="L2406" s="50">
        <f>VLOOKUP(A2406,[2]data1761205830331!$A$1:$J$65536,10,0)</f>
        <v>7576</v>
      </c>
    </row>
    <row r="2407" spans="1:12" ht="15.6" outlineLevel="1">
      <c r="A2407" s="11">
        <v>1813200935</v>
      </c>
      <c r="B2407" s="40">
        <v>935</v>
      </c>
      <c r="C2407" s="109">
        <v>813200</v>
      </c>
      <c r="D2407" s="42">
        <v>1</v>
      </c>
      <c r="E2407" s="43"/>
      <c r="F2407" s="44" t="s">
        <v>1401</v>
      </c>
      <c r="G2407" s="45" t="s">
        <v>29</v>
      </c>
      <c r="H2407" s="51">
        <f t="shared" si="37"/>
        <v>-1</v>
      </c>
      <c r="I2407" s="47"/>
      <c r="J2407" s="48">
        <f>VLOOKUP(A2407,'[1]תקציב 2026'!$A$1:$M$65536,9,0)</f>
        <v>0</v>
      </c>
      <c r="K2407" s="49">
        <f>VLOOKUP(A2407,[3]גיליון1!$A$1:$C$7693,3,0)</f>
        <v>27000</v>
      </c>
      <c r="L2407" s="50">
        <f>VLOOKUP(A2407,[2]data1761205830331!$A$1:$J$65536,10,0)</f>
        <v>0</v>
      </c>
    </row>
    <row r="2408" spans="1:12" ht="15.6" outlineLevel="1">
      <c r="A2408" s="11">
        <v>1813200953</v>
      </c>
      <c r="B2408" s="40">
        <v>953</v>
      </c>
      <c r="C2408" s="109">
        <v>813200</v>
      </c>
      <c r="D2408" s="42">
        <v>1</v>
      </c>
      <c r="E2408" s="43"/>
      <c r="F2408" s="44" t="s">
        <v>277</v>
      </c>
      <c r="G2408" s="45" t="s">
        <v>29</v>
      </c>
      <c r="H2408" s="51">
        <f t="shared" si="37"/>
        <v>0</v>
      </c>
      <c r="I2408" s="47"/>
      <c r="J2408" s="48">
        <f>VLOOKUP(A2408,'[1]תקציב 2026'!$A$1:$M$65536,9,0)</f>
        <v>4200000</v>
      </c>
      <c r="K2408" s="49">
        <f>VLOOKUP(A2408,[3]גיליון1!$A$1:$C$7693,3,0)</f>
        <v>4200000</v>
      </c>
      <c r="L2408" s="50">
        <f>VLOOKUP(A2408,[2]data1761205830331!$A$1:$J$65536,10,0)</f>
        <v>4346626.3099999996</v>
      </c>
    </row>
    <row r="2409" spans="1:12" ht="15.6" outlineLevel="1">
      <c r="A2409" s="11">
        <v>1813200954</v>
      </c>
      <c r="B2409" s="40">
        <v>954</v>
      </c>
      <c r="C2409" s="109">
        <v>813200</v>
      </c>
      <c r="D2409" s="42">
        <v>1</v>
      </c>
      <c r="E2409" s="43"/>
      <c r="F2409" s="44" t="s">
        <v>332</v>
      </c>
      <c r="G2409" s="45" t="s">
        <v>29</v>
      </c>
      <c r="H2409" s="51">
        <f t="shared" si="37"/>
        <v>0.14500000000000002</v>
      </c>
      <c r="I2409" s="47"/>
      <c r="J2409" s="48">
        <f>VLOOKUP(A2409,'[1]תקציב 2026'!$A$1:$M$65536,9,0)</f>
        <v>22900000</v>
      </c>
      <c r="K2409" s="49">
        <f>VLOOKUP(A2409,[3]גיליון1!$A$1:$C$7693,3,0)</f>
        <v>20000000</v>
      </c>
      <c r="L2409" s="50">
        <f>VLOOKUP(A2409,[2]data1761205830331!$A$1:$J$65536,10,0)</f>
        <v>16465579.869999999</v>
      </c>
    </row>
    <row r="2410" spans="1:12" ht="16.2" outlineLevel="1" thickBot="1">
      <c r="A2410" s="11">
        <v>1813200961</v>
      </c>
      <c r="B2410" s="40">
        <v>961</v>
      </c>
      <c r="C2410" s="109">
        <v>813200</v>
      </c>
      <c r="D2410" s="42">
        <v>1</v>
      </c>
      <c r="E2410" s="43"/>
      <c r="F2410" s="44" t="s">
        <v>873</v>
      </c>
      <c r="G2410" s="45" t="s">
        <v>37</v>
      </c>
      <c r="H2410" s="51">
        <f t="shared" si="37"/>
        <v>0</v>
      </c>
      <c r="I2410" s="47"/>
      <c r="J2410" s="48">
        <f>VLOOKUP(A2410,'[1]תקציב 2026'!$A$1:$M$65536,9,0)</f>
        <v>51300</v>
      </c>
      <c r="K2410" s="49">
        <f>VLOOKUP(A2410,[3]גיליון1!$A$1:$C$7693,3,0)*0.9</f>
        <v>51300</v>
      </c>
      <c r="L2410" s="50">
        <f>VLOOKUP(A2410,[2]data1761205830331!$A$1:$J$65536,10,0)</f>
        <v>46949.1</v>
      </c>
    </row>
    <row r="2411" spans="1:12" ht="16.2" thickBot="1">
      <c r="A2411" s="11" t="e">
        <v>#VALUE!</v>
      </c>
      <c r="B2411" s="53" t="s">
        <v>1402</v>
      </c>
      <c r="C2411" s="223"/>
      <c r="D2411" s="55"/>
      <c r="E2411" s="56"/>
      <c r="F2411" s="116" t="s">
        <v>334</v>
      </c>
      <c r="G2411" s="58"/>
      <c r="H2411" s="166">
        <f>J2411/K2411-1</f>
        <v>7.8658504455024314E-2</v>
      </c>
      <c r="I2411" s="72"/>
      <c r="J2411" s="74">
        <f>SUBTOTAL(9,J2361:J2410)</f>
        <v>152708640</v>
      </c>
      <c r="K2411" s="92">
        <f>SUBTOTAL(9,K2361:K2410)</f>
        <v>141572740</v>
      </c>
      <c r="L2411" s="75">
        <f>SUBTOTAL(9,L2361:L2410)</f>
        <v>115073217.90000002</v>
      </c>
    </row>
    <row r="2412" spans="1:12" ht="15.6" outlineLevel="1">
      <c r="A2412" s="11">
        <v>18132010</v>
      </c>
      <c r="B2412" s="40">
        <v>0</v>
      </c>
      <c r="C2412" s="109">
        <v>813201</v>
      </c>
      <c r="D2412" s="42">
        <v>1</v>
      </c>
      <c r="E2412" s="43"/>
      <c r="F2412" s="156" t="s">
        <v>335</v>
      </c>
      <c r="G2412" s="45" t="s">
        <v>15</v>
      </c>
      <c r="H2412" s="51"/>
      <c r="I2412" s="47"/>
      <c r="J2412" s="48"/>
      <c r="K2412" s="49"/>
      <c r="L2412" s="50"/>
    </row>
    <row r="2413" spans="1:12" ht="15.6" outlineLevel="1">
      <c r="A2413" s="11">
        <v>1813201423</v>
      </c>
      <c r="B2413" s="40">
        <v>423</v>
      </c>
      <c r="C2413" s="109">
        <v>813201</v>
      </c>
      <c r="D2413" s="42">
        <v>1</v>
      </c>
      <c r="E2413" s="43"/>
      <c r="F2413" s="156" t="s">
        <v>1403</v>
      </c>
      <c r="G2413" s="45" t="s">
        <v>29</v>
      </c>
      <c r="H2413" s="51">
        <v>1</v>
      </c>
      <c r="I2413" s="47" t="s">
        <v>86</v>
      </c>
      <c r="J2413" s="48">
        <f>VLOOKUP(A2413,'[1]תקציב 2026'!$A$1:$M$65536,9,0)</f>
        <v>1164500</v>
      </c>
      <c r="K2413" s="49">
        <v>0</v>
      </c>
      <c r="L2413" s="50">
        <v>0</v>
      </c>
    </row>
    <row r="2414" spans="1:12" ht="15.6" outlineLevel="1">
      <c r="A2414" s="11">
        <v>1813201761</v>
      </c>
      <c r="B2414" s="40">
        <v>761</v>
      </c>
      <c r="C2414" s="109">
        <v>813201</v>
      </c>
      <c r="D2414" s="42">
        <v>1</v>
      </c>
      <c r="E2414" s="43"/>
      <c r="F2414" s="44" t="s">
        <v>1404</v>
      </c>
      <c r="G2414" s="45" t="s">
        <v>29</v>
      </c>
      <c r="H2414" s="51">
        <f t="shared" si="37"/>
        <v>-1</v>
      </c>
      <c r="I2414" s="51"/>
      <c r="J2414" s="48">
        <f>VLOOKUP(A2414,'[1]תקציב 2026'!$A$1:$M$65536,9,0)</f>
        <v>0</v>
      </c>
      <c r="K2414" s="49">
        <f>VLOOKUP(A2414,[3]גיליון1!$A$1:$C$7693,3,0)</f>
        <v>13000000</v>
      </c>
      <c r="L2414" s="50">
        <f>VLOOKUP(A2414,[2]data1761205830331!$A$1:$J$65536,10,0)</f>
        <v>8155542</v>
      </c>
    </row>
    <row r="2415" spans="1:12" ht="15.6" outlineLevel="1">
      <c r="A2415" s="11">
        <v>1813201780</v>
      </c>
      <c r="B2415" s="40">
        <v>780</v>
      </c>
      <c r="C2415" s="109">
        <v>813201</v>
      </c>
      <c r="D2415" s="42">
        <v>1</v>
      </c>
      <c r="E2415" s="43"/>
      <c r="F2415" s="44" t="s">
        <v>1405</v>
      </c>
      <c r="G2415" s="45" t="s">
        <v>37</v>
      </c>
      <c r="H2415" s="51">
        <f t="shared" si="37"/>
        <v>-2.525252525252486E-3</v>
      </c>
      <c r="I2415" s="47"/>
      <c r="J2415" s="48">
        <f>VLOOKUP(A2415,'[1]תקציב 2026'!$A$1:$M$65536,9,0)</f>
        <v>790000</v>
      </c>
      <c r="K2415" s="49">
        <f>VLOOKUP(A2415,[3]גיליון1!$A$1:$C$7693,3,0)*0.9</f>
        <v>792000</v>
      </c>
      <c r="L2415" s="50">
        <f>VLOOKUP(A2415,[2]data1761205830331!$A$1:$J$65536,10,0)</f>
        <v>599858.93999999994</v>
      </c>
    </row>
    <row r="2416" spans="1:12" ht="15.6" outlineLevel="1">
      <c r="A2416" s="11">
        <v>1813201810</v>
      </c>
      <c r="B2416" s="40">
        <v>810</v>
      </c>
      <c r="C2416" s="109">
        <v>813201</v>
      </c>
      <c r="D2416" s="42">
        <v>1</v>
      </c>
      <c r="E2416" s="43"/>
      <c r="F2416" s="44" t="s">
        <v>1406</v>
      </c>
      <c r="G2416" s="45" t="s">
        <v>29</v>
      </c>
      <c r="H2416" s="51">
        <f t="shared" si="37"/>
        <v>0.22093023255813948</v>
      </c>
      <c r="I2416" s="47"/>
      <c r="J2416" s="48">
        <f>VLOOKUP(A2416,'[1]תקציב 2026'!$A$1:$M$65536,9,0)</f>
        <v>10500000</v>
      </c>
      <c r="K2416" s="49">
        <f>VLOOKUP(A2416,[3]גיליון1!$A$1:$C$7693,3,0)</f>
        <v>8600000</v>
      </c>
      <c r="L2416" s="50">
        <f>VLOOKUP(A2416,[2]data1761205830331!$A$1:$J$65536,10,0)</f>
        <v>10490643.65</v>
      </c>
    </row>
    <row r="2417" spans="1:12" ht="15.6" outlineLevel="1">
      <c r="A2417" s="11">
        <v>1813201840</v>
      </c>
      <c r="B2417" s="206">
        <v>840</v>
      </c>
      <c r="C2417" s="207">
        <v>813201</v>
      </c>
      <c r="D2417" s="208">
        <v>1</v>
      </c>
      <c r="E2417" s="229"/>
      <c r="F2417" s="210" t="s">
        <v>1407</v>
      </c>
      <c r="G2417" s="45" t="s">
        <v>37</v>
      </c>
      <c r="H2417" s="51">
        <f t="shared" si="37"/>
        <v>0</v>
      </c>
      <c r="I2417" s="47"/>
      <c r="J2417" s="48">
        <f>VLOOKUP(A2417,'[1]תקציב 2026'!$A$1:$M$65536,9,0)</f>
        <v>1620000</v>
      </c>
      <c r="K2417" s="49">
        <f>1800000*0.9</f>
        <v>1620000</v>
      </c>
      <c r="L2417" s="50">
        <f>VLOOKUP(A2417,[2]data1761205830331!$A$1:$J$65536,10,0)</f>
        <v>6019999.2000000002</v>
      </c>
    </row>
    <row r="2418" spans="1:12" ht="15.6" outlineLevel="1">
      <c r="A2418" s="11">
        <v>1813201841</v>
      </c>
      <c r="B2418" s="40">
        <v>841</v>
      </c>
      <c r="C2418" s="109">
        <v>813201</v>
      </c>
      <c r="D2418" s="42">
        <v>1</v>
      </c>
      <c r="E2418" s="43"/>
      <c r="F2418" s="44" t="s">
        <v>1408</v>
      </c>
      <c r="G2418" s="45" t="s">
        <v>29</v>
      </c>
      <c r="H2418" s="51">
        <f t="shared" si="37"/>
        <v>0.12751127511275118</v>
      </c>
      <c r="I2418" s="47"/>
      <c r="J2418" s="48">
        <f>VLOOKUP(A2418,'[1]תקציב 2026'!$A$1:$M$65536,9,0)</f>
        <v>5500000</v>
      </c>
      <c r="K2418" s="49">
        <f>VLOOKUP(A2418,[3]גיליון1!$A$1:$C$7693,3,0)</f>
        <v>4878000</v>
      </c>
      <c r="L2418" s="50">
        <f>VLOOKUP(A2418,[2]data1761205830331!$A$1:$J$65536,10,0)</f>
        <v>6972187.9100000001</v>
      </c>
    </row>
    <row r="2419" spans="1:12" ht="15.6" outlineLevel="1">
      <c r="A2419" s="11">
        <v>1813201842</v>
      </c>
      <c r="B2419" s="40">
        <v>842</v>
      </c>
      <c r="C2419" s="109">
        <v>813201</v>
      </c>
      <c r="D2419" s="42">
        <v>1</v>
      </c>
      <c r="E2419" s="43"/>
      <c r="F2419" s="44" t="s">
        <v>1409</v>
      </c>
      <c r="G2419" s="45" t="s">
        <v>29</v>
      </c>
      <c r="H2419" s="51">
        <f t="shared" si="37"/>
        <v>-1</v>
      </c>
      <c r="I2419" s="47"/>
      <c r="J2419" s="48">
        <f>VLOOKUP(A2419,'[1]תקציב 2026'!$A$1:$M$65536,9,0)</f>
        <v>0</v>
      </c>
      <c r="K2419" s="49">
        <f>VLOOKUP(A2419,[3]גיליון1!$A$1:$C$7693,3,0)</f>
        <v>150000</v>
      </c>
      <c r="L2419" s="50">
        <f>VLOOKUP(A2419,[2]data1761205830331!$A$1:$J$65536,10,0)</f>
        <v>0</v>
      </c>
    </row>
    <row r="2420" spans="1:12" ht="15.6" outlineLevel="1">
      <c r="A2420" s="11">
        <v>1813201843</v>
      </c>
      <c r="B2420" s="40">
        <v>843</v>
      </c>
      <c r="C2420" s="109">
        <v>813201</v>
      </c>
      <c r="D2420" s="42">
        <v>1</v>
      </c>
      <c r="E2420" s="43"/>
      <c r="F2420" s="44" t="s">
        <v>1410</v>
      </c>
      <c r="G2420" s="45" t="s">
        <v>37</v>
      </c>
      <c r="H2420" s="51">
        <f t="shared" si="37"/>
        <v>0.95555555555555549</v>
      </c>
      <c r="I2420" s="47"/>
      <c r="J2420" s="48">
        <f>VLOOKUP(A2420,'[1]תקציב 2026'!$A$1:$M$65536,9,0)</f>
        <v>528000</v>
      </c>
      <c r="K2420" s="49">
        <f>300000*0.9</f>
        <v>270000</v>
      </c>
      <c r="L2420" s="50">
        <f>VLOOKUP(A2420,[2]data1761205830331!$A$1:$J$65536,10,0)</f>
        <v>159340.20000000001</v>
      </c>
    </row>
    <row r="2421" spans="1:12" ht="16.2" outlineLevel="1" thickBot="1">
      <c r="A2421" s="11">
        <v>1813201844</v>
      </c>
      <c r="B2421" s="119">
        <v>844</v>
      </c>
      <c r="C2421" s="120">
        <v>813201</v>
      </c>
      <c r="D2421" s="121">
        <v>1</v>
      </c>
      <c r="E2421" s="201"/>
      <c r="F2421" s="155" t="s">
        <v>1411</v>
      </c>
      <c r="G2421" s="153" t="s">
        <v>37</v>
      </c>
      <c r="H2421" s="124">
        <v>1</v>
      </c>
      <c r="I2421" s="160" t="s">
        <v>86</v>
      </c>
      <c r="J2421" s="48">
        <f>VLOOKUP(A2421,'[1]תקציב 2026'!$A$1:$M$65536,9,0)</f>
        <v>50000</v>
      </c>
      <c r="K2421" s="162">
        <v>0</v>
      </c>
      <c r="L2421" s="50">
        <v>0</v>
      </c>
    </row>
    <row r="2422" spans="1:12" ht="16.2" thickBot="1">
      <c r="A2422" s="11" t="e">
        <v>#VALUE!</v>
      </c>
      <c r="B2422" s="53" t="s">
        <v>1412</v>
      </c>
      <c r="C2422" s="223"/>
      <c r="D2422" s="55"/>
      <c r="E2422" s="56"/>
      <c r="F2422" s="116" t="s">
        <v>1413</v>
      </c>
      <c r="G2422" s="58"/>
      <c r="H2422" s="166">
        <f>J2422/K2422-1</f>
        <v>-0.31243602865916065</v>
      </c>
      <c r="I2422" s="72"/>
      <c r="J2422" s="74">
        <f>SUBTOTAL(9,J2413:J2421)</f>
        <v>20152500</v>
      </c>
      <c r="K2422" s="92">
        <f>SUBTOTAL(9,K2413:K2421)</f>
        <v>29310000</v>
      </c>
      <c r="L2422" s="75">
        <f>SUBTOTAL(9,L2413:L2421)</f>
        <v>32397571.899999999</v>
      </c>
    </row>
    <row r="2423" spans="1:12" ht="15.6" outlineLevel="1">
      <c r="A2423" s="11">
        <v>18133000</v>
      </c>
      <c r="B2423" s="40">
        <v>0</v>
      </c>
      <c r="C2423" s="109">
        <v>813300</v>
      </c>
      <c r="D2423" s="42">
        <v>1</v>
      </c>
      <c r="E2423" s="43"/>
      <c r="F2423" s="44" t="s">
        <v>344</v>
      </c>
      <c r="G2423" s="45" t="s">
        <v>15</v>
      </c>
      <c r="H2423" s="51"/>
      <c r="I2423" s="47"/>
      <c r="J2423" s="48"/>
      <c r="K2423" s="49"/>
      <c r="L2423" s="50"/>
    </row>
    <row r="2424" spans="1:12" ht="15.6" outlineLevel="1">
      <c r="A2424" s="11">
        <v>1813300110</v>
      </c>
      <c r="B2424" s="40">
        <v>110</v>
      </c>
      <c r="C2424" s="109">
        <v>813300</v>
      </c>
      <c r="D2424" s="42">
        <v>1</v>
      </c>
      <c r="E2424" s="43"/>
      <c r="F2424" s="44" t="s">
        <v>21</v>
      </c>
      <c r="G2424" s="45" t="s">
        <v>22</v>
      </c>
      <c r="H2424" s="51">
        <f t="shared" si="37"/>
        <v>2.4999999999999911E-2</v>
      </c>
      <c r="I2424" s="47"/>
      <c r="J2424" s="48">
        <f>VLOOKUP(A2424,'[1]תקציב 2026'!$A$1:$M$65536,9,0)</f>
        <v>315700</v>
      </c>
      <c r="K2424" s="49">
        <f>VLOOKUP(A2424,[3]גיליון1!$A$1:$C$7693,3,0)</f>
        <v>308000</v>
      </c>
      <c r="L2424" s="50">
        <f>VLOOKUP(A2424,[2]data1761205830331!$A$1:$J$65536,10,0)</f>
        <v>305844.47999999998</v>
      </c>
    </row>
    <row r="2425" spans="1:12" ht="15.6" outlineLevel="1">
      <c r="A2425" s="11">
        <v>1813300119</v>
      </c>
      <c r="B2425" s="40">
        <v>119</v>
      </c>
      <c r="C2425" s="109">
        <v>813300</v>
      </c>
      <c r="D2425" s="42">
        <v>1</v>
      </c>
      <c r="E2425" s="43"/>
      <c r="F2425" s="44" t="s">
        <v>23</v>
      </c>
      <c r="G2425" s="45" t="s">
        <v>22</v>
      </c>
      <c r="H2425" s="51">
        <f t="shared" ref="H2425:H2482" si="38">J2425/K2425-1</f>
        <v>0.23262163826729609</v>
      </c>
      <c r="I2425" s="47"/>
      <c r="J2425" s="48">
        <f>VLOOKUP(A2425,'[1]תקציב 2026'!$A$1:$M$65536,9,0)</f>
        <v>1801229.9999999998</v>
      </c>
      <c r="K2425" s="49">
        <v>1461300</v>
      </c>
      <c r="L2425" s="50">
        <f>VLOOKUP(A2425,[2]data1761205830331!$A$1:$J$65536,10,0)</f>
        <v>1223376.6000000001</v>
      </c>
    </row>
    <row r="2426" spans="1:12" ht="15.6" outlineLevel="1">
      <c r="A2426" s="11">
        <v>1813300122</v>
      </c>
      <c r="B2426" s="40">
        <v>122</v>
      </c>
      <c r="C2426" s="109">
        <v>813300</v>
      </c>
      <c r="D2426" s="42">
        <v>1</v>
      </c>
      <c r="E2426" s="43"/>
      <c r="F2426" s="44" t="s">
        <v>24</v>
      </c>
      <c r="G2426" s="45" t="s">
        <v>22</v>
      </c>
      <c r="H2426" s="51">
        <f t="shared" si="38"/>
        <v>0.29859813084112141</v>
      </c>
      <c r="I2426" s="47"/>
      <c r="J2426" s="48">
        <v>27790</v>
      </c>
      <c r="K2426" s="49">
        <f>VLOOKUP(A2426,[3]גיליון1!$A$1:$C$7693,3,0)</f>
        <v>21400</v>
      </c>
      <c r="L2426" s="50">
        <f>VLOOKUP(A2426,[2]data1761205830331!$A$1:$J$65536,10,0)</f>
        <v>21703.68</v>
      </c>
    </row>
    <row r="2427" spans="1:12" ht="15.6" outlineLevel="1">
      <c r="A2427" s="11">
        <v>1813300126</v>
      </c>
      <c r="B2427" s="40">
        <v>126</v>
      </c>
      <c r="C2427" s="109">
        <v>813300</v>
      </c>
      <c r="D2427" s="42">
        <v>1</v>
      </c>
      <c r="E2427" s="43"/>
      <c r="F2427" s="44" t="s">
        <v>25</v>
      </c>
      <c r="G2427" s="45" t="s">
        <v>22</v>
      </c>
      <c r="H2427" s="51">
        <f t="shared" si="38"/>
        <v>1.8163265306122556E-2</v>
      </c>
      <c r="I2427" s="47"/>
      <c r="J2427" s="48">
        <v>49890</v>
      </c>
      <c r="K2427" s="49">
        <f>VLOOKUP(A2427,[3]גיליון1!$A$1:$C$7693,3,0)</f>
        <v>49000</v>
      </c>
      <c r="L2427" s="50">
        <f>VLOOKUP(A2427,[2]data1761205830331!$A$1:$J$65536,10,0)</f>
        <v>62786.239999999998</v>
      </c>
    </row>
    <row r="2428" spans="1:12" ht="15.6" outlineLevel="1">
      <c r="A2428" s="11">
        <v>1813300130</v>
      </c>
      <c r="B2428" s="40">
        <v>130</v>
      </c>
      <c r="C2428" s="109">
        <v>813300</v>
      </c>
      <c r="D2428" s="42">
        <v>1</v>
      </c>
      <c r="E2428" s="43"/>
      <c r="F2428" s="44" t="s">
        <v>26</v>
      </c>
      <c r="G2428" s="45" t="s">
        <v>22</v>
      </c>
      <c r="H2428" s="51">
        <f t="shared" si="38"/>
        <v>0</v>
      </c>
      <c r="I2428" s="47"/>
      <c r="J2428" s="48">
        <f>VLOOKUP(A2428,'[1]תקציב 2026'!$A$1:$M$65536,9,0)</f>
        <v>4300</v>
      </c>
      <c r="K2428" s="49">
        <f>VLOOKUP(A2428,[3]גיליון1!$A$1:$C$7693,3,0)*0.86</f>
        <v>4300</v>
      </c>
      <c r="L2428" s="50">
        <f>VLOOKUP(A2428,[2]data1761205830331!$A$1:$J$65536,10,0)</f>
        <v>4063.7</v>
      </c>
    </row>
    <row r="2429" spans="1:12" ht="15.6" outlineLevel="1">
      <c r="A2429" s="11">
        <v>1813300140</v>
      </c>
      <c r="B2429" s="40">
        <v>140</v>
      </c>
      <c r="C2429" s="109">
        <v>813300</v>
      </c>
      <c r="D2429" s="42">
        <v>1</v>
      </c>
      <c r="E2429" s="43"/>
      <c r="F2429" s="44" t="s">
        <v>27</v>
      </c>
      <c r="G2429" s="45" t="s">
        <v>22</v>
      </c>
      <c r="H2429" s="51">
        <f t="shared" si="38"/>
        <v>0</v>
      </c>
      <c r="I2429" s="47"/>
      <c r="J2429" s="48">
        <f>VLOOKUP(A2429,'[1]תקציב 2026'!$A$1:$M$65536,9,0)</f>
        <v>126100</v>
      </c>
      <c r="K2429" s="49">
        <f>VLOOKUP(A2429,[3]גיליון1!$A$1:$C$7693,3,0)</f>
        <v>126100</v>
      </c>
      <c r="L2429" s="50">
        <f>VLOOKUP(A2429,[2]data1761205830331!$A$1:$J$65536,10,0)</f>
        <v>117642.6</v>
      </c>
    </row>
    <row r="2430" spans="1:12" ht="15.6" outlineLevel="1">
      <c r="A2430" s="11">
        <v>1813300210</v>
      </c>
      <c r="B2430" s="40">
        <v>210</v>
      </c>
      <c r="C2430" s="109">
        <v>813300</v>
      </c>
      <c r="D2430" s="42">
        <v>1</v>
      </c>
      <c r="E2430" s="43"/>
      <c r="F2430" s="44" t="s">
        <v>1276</v>
      </c>
      <c r="G2430" s="45" t="s">
        <v>22</v>
      </c>
      <c r="H2430" s="51">
        <f t="shared" si="38"/>
        <v>0.33333333333333326</v>
      </c>
      <c r="I2430" s="47"/>
      <c r="J2430" s="48">
        <f>VLOOKUP(A2430,'[1]תקציב 2026'!$A$1:$M$65536,9,0)</f>
        <v>80000</v>
      </c>
      <c r="K2430" s="49">
        <v>60000</v>
      </c>
      <c r="L2430" s="50">
        <f>VLOOKUP(A2430,[2]data1761205830331!$A$1:$J$65536,10,0)</f>
        <v>41303.71</v>
      </c>
    </row>
    <row r="2431" spans="1:12" ht="15.6" outlineLevel="1">
      <c r="A2431" s="11">
        <v>1813300263</v>
      </c>
      <c r="B2431" s="40">
        <v>263</v>
      </c>
      <c r="C2431" s="109">
        <v>813300</v>
      </c>
      <c r="D2431" s="42">
        <v>1</v>
      </c>
      <c r="E2431" s="43"/>
      <c r="F2431" s="44" t="s">
        <v>1414</v>
      </c>
      <c r="G2431" s="45" t="s">
        <v>22</v>
      </c>
      <c r="H2431" s="51">
        <f t="shared" si="38"/>
        <v>0</v>
      </c>
      <c r="I2431" s="47"/>
      <c r="J2431" s="48">
        <f>VLOOKUP(A2431,'[1]תקציב 2026'!$A$1:$M$65536,9,0)</f>
        <v>30000</v>
      </c>
      <c r="K2431" s="49">
        <f>VLOOKUP(A2431,[3]גיליון1!$A$1:$C$7693,3,0)</f>
        <v>30000</v>
      </c>
      <c r="L2431" s="50">
        <f>VLOOKUP(A2431,[2]data1761205830331!$A$1:$J$65536,10,0)</f>
        <v>30892.75</v>
      </c>
    </row>
    <row r="2432" spans="1:12" ht="15.6" outlineLevel="1">
      <c r="A2432" s="11">
        <v>1813300420</v>
      </c>
      <c r="B2432" s="40">
        <v>420</v>
      </c>
      <c r="C2432" s="109">
        <v>813300</v>
      </c>
      <c r="D2432" s="42">
        <v>1</v>
      </c>
      <c r="E2432" s="43"/>
      <c r="F2432" s="44" t="s">
        <v>30</v>
      </c>
      <c r="G2432" s="45" t="s">
        <v>29</v>
      </c>
      <c r="H2432" s="51">
        <f t="shared" si="38"/>
        <v>0.11111111111111116</v>
      </c>
      <c r="I2432" s="47"/>
      <c r="J2432" s="48">
        <f>VLOOKUP(A2432,'[1]תקציב 2026'!$A$1:$M$65536,9,0)</f>
        <v>16000</v>
      </c>
      <c r="K2432" s="49">
        <f>VLOOKUP(A2432,[3]גיליון1!$A$1:$C$7693,3,0)*0.9</f>
        <v>14400</v>
      </c>
      <c r="L2432" s="50">
        <f>VLOOKUP(A2432,[2]data1761205830331!$A$1:$J$65536,10,0)</f>
        <v>14201.12</v>
      </c>
    </row>
    <row r="2433" spans="1:12" ht="15.6" outlineLevel="1">
      <c r="A2433" s="11">
        <v>1813300423</v>
      </c>
      <c r="B2433" s="40">
        <v>423</v>
      </c>
      <c r="C2433" s="109">
        <v>813300</v>
      </c>
      <c r="D2433" s="42">
        <v>1</v>
      </c>
      <c r="E2433" s="43"/>
      <c r="F2433" s="44" t="s">
        <v>31</v>
      </c>
      <c r="G2433" s="45" t="s">
        <v>29</v>
      </c>
      <c r="H2433" s="51">
        <f t="shared" si="38"/>
        <v>8.6235489220563899E-2</v>
      </c>
      <c r="I2433" s="47"/>
      <c r="J2433" s="48">
        <f>VLOOKUP(A2433,'[1]תקציב 2026'!$A$1:$M$65536,9,0)</f>
        <v>131000</v>
      </c>
      <c r="K2433" s="49">
        <v>120600</v>
      </c>
      <c r="L2433" s="50">
        <f>VLOOKUP(A2433,[2]data1761205830331!$A$1:$J$65536,10,0)</f>
        <v>120000</v>
      </c>
    </row>
    <row r="2434" spans="1:12" ht="15.6" outlineLevel="1">
      <c r="A2434" s="11">
        <v>1813300431</v>
      </c>
      <c r="B2434" s="40">
        <v>431</v>
      </c>
      <c r="C2434" s="109">
        <v>813300</v>
      </c>
      <c r="D2434" s="42">
        <v>1</v>
      </c>
      <c r="E2434" s="43"/>
      <c r="F2434" s="44" t="s">
        <v>32</v>
      </c>
      <c r="G2434" s="45" t="s">
        <v>29</v>
      </c>
      <c r="H2434" s="51">
        <f t="shared" si="38"/>
        <v>-9.9909990999099918E-2</v>
      </c>
      <c r="I2434" s="47"/>
      <c r="J2434" s="48">
        <f>VLOOKUP(A2434,'[1]תקציב 2026'!$A$1:$M$65536,9,0)</f>
        <v>200000</v>
      </c>
      <c r="K2434" s="49">
        <v>222200</v>
      </c>
      <c r="L2434" s="50">
        <f>VLOOKUP(A2434,[2]data1761205830331!$A$1:$J$65536,10,0)</f>
        <v>137114.19</v>
      </c>
    </row>
    <row r="2435" spans="1:12" ht="15.6" outlineLevel="1">
      <c r="A2435" s="11">
        <v>1813300432</v>
      </c>
      <c r="B2435" s="40">
        <v>432</v>
      </c>
      <c r="C2435" s="109">
        <v>813300</v>
      </c>
      <c r="D2435" s="42">
        <v>1</v>
      </c>
      <c r="E2435" s="43"/>
      <c r="F2435" s="44" t="s">
        <v>33</v>
      </c>
      <c r="G2435" s="45" t="s">
        <v>29</v>
      </c>
      <c r="H2435" s="51">
        <f t="shared" si="38"/>
        <v>4.9019607843137081E-3</v>
      </c>
      <c r="I2435" s="47"/>
      <c r="J2435" s="48">
        <f>VLOOKUP(A2435,'[1]תקציב 2026'!$A$1:$M$65536,9,0)</f>
        <v>123000</v>
      </c>
      <c r="K2435" s="49">
        <f>VLOOKUP(A2435,[3]גיליון1!$A$1:$C$7693,3,0)</f>
        <v>122400</v>
      </c>
      <c r="L2435" s="50">
        <f>VLOOKUP(A2435,[2]data1761205830331!$A$1:$J$65536,10,0)</f>
        <v>122399.23</v>
      </c>
    </row>
    <row r="2436" spans="1:12" ht="15.6" outlineLevel="1">
      <c r="A2436" s="11">
        <v>1813300434</v>
      </c>
      <c r="B2436" s="40">
        <v>434</v>
      </c>
      <c r="C2436" s="109">
        <v>813300</v>
      </c>
      <c r="D2436" s="42">
        <v>1</v>
      </c>
      <c r="E2436" s="43"/>
      <c r="F2436" s="44" t="s">
        <v>35</v>
      </c>
      <c r="G2436" s="45" t="s">
        <v>37</v>
      </c>
      <c r="H2436" s="51">
        <f t="shared" si="38"/>
        <v>-1</v>
      </c>
      <c r="I2436" s="47"/>
      <c r="J2436" s="48">
        <f>VLOOKUP(A2436,'[1]תקציב 2026'!$A$1:$M$65536,9,0)</f>
        <v>0</v>
      </c>
      <c r="K2436" s="49">
        <f>500*0.9</f>
        <v>450</v>
      </c>
      <c r="L2436" s="50">
        <f>VLOOKUP(A2436,[2]data1761205830331!$A$1:$J$65536,10,0)</f>
        <v>0</v>
      </c>
    </row>
    <row r="2437" spans="1:12" ht="15.6" outlineLevel="1">
      <c r="A2437" s="11">
        <v>1813300437</v>
      </c>
      <c r="B2437" s="40">
        <v>437</v>
      </c>
      <c r="C2437" s="109">
        <v>813300</v>
      </c>
      <c r="D2437" s="42">
        <v>1</v>
      </c>
      <c r="E2437" s="43"/>
      <c r="F2437" s="44" t="s">
        <v>38</v>
      </c>
      <c r="G2437" s="45" t="s">
        <v>29</v>
      </c>
      <c r="H2437" s="51">
        <f t="shared" si="38"/>
        <v>0</v>
      </c>
      <c r="I2437" s="47"/>
      <c r="J2437" s="48">
        <f>VLOOKUP(A2437,'[1]תקציב 2026'!$A$1:$M$65536,9,0)</f>
        <v>8400</v>
      </c>
      <c r="K2437" s="49">
        <f>VLOOKUP(A2437,[3]גיליון1!$A$1:$C$7693,3,0)</f>
        <v>8400</v>
      </c>
      <c r="L2437" s="50">
        <f>VLOOKUP(A2437,[2]data1761205830331!$A$1:$J$65536,10,0)</f>
        <v>6107.4</v>
      </c>
    </row>
    <row r="2438" spans="1:12" ht="15.6" outlineLevel="1">
      <c r="A2438" s="11">
        <v>1813300450</v>
      </c>
      <c r="B2438" s="40">
        <v>450</v>
      </c>
      <c r="C2438" s="109">
        <v>813300</v>
      </c>
      <c r="D2438" s="42">
        <v>1</v>
      </c>
      <c r="E2438" s="43"/>
      <c r="F2438" s="11" t="s">
        <v>41</v>
      </c>
      <c r="G2438" s="45" t="s">
        <v>29</v>
      </c>
      <c r="H2438" s="51">
        <f t="shared" si="38"/>
        <v>0</v>
      </c>
      <c r="I2438" s="47"/>
      <c r="J2438" s="48">
        <f>VLOOKUP(A2438,'[1]תקציב 2026'!$A$1:$M$65536,9,0)</f>
        <v>1200</v>
      </c>
      <c r="K2438" s="49">
        <f>VLOOKUP(A2438,[3]גיליון1!$A$1:$C$7693,3,0)</f>
        <v>1200</v>
      </c>
      <c r="L2438" s="50">
        <f>VLOOKUP(A2438,[2]data1761205830331!$A$1:$J$65536,10,0)</f>
        <v>0</v>
      </c>
    </row>
    <row r="2439" spans="1:12" ht="15.6" outlineLevel="1">
      <c r="A2439" s="11">
        <v>1813300511</v>
      </c>
      <c r="B2439" s="40">
        <v>511</v>
      </c>
      <c r="C2439" s="109">
        <v>813300</v>
      </c>
      <c r="D2439" s="42">
        <v>1</v>
      </c>
      <c r="E2439" s="43"/>
      <c r="F2439" s="44" t="s">
        <v>72</v>
      </c>
      <c r="G2439" s="45" t="s">
        <v>37</v>
      </c>
      <c r="H2439" s="51">
        <f t="shared" si="38"/>
        <v>0.35680234690135681</v>
      </c>
      <c r="I2439" s="47"/>
      <c r="J2439" s="48">
        <f>VLOOKUP(A2439,'[1]תקציב 2026'!$A$1:$M$65536,9,0)</f>
        <v>37000</v>
      </c>
      <c r="K2439" s="49">
        <f>30300*0.9</f>
        <v>27270</v>
      </c>
      <c r="L2439" s="50">
        <f>VLOOKUP(A2439,[2]data1761205830331!$A$1:$J$65536,10,0)</f>
        <v>36381.31</v>
      </c>
    </row>
    <row r="2440" spans="1:12" ht="15.6" outlineLevel="1">
      <c r="A2440" s="11">
        <v>1813300580</v>
      </c>
      <c r="B2440" s="40">
        <v>580</v>
      </c>
      <c r="C2440" s="109">
        <v>813300</v>
      </c>
      <c r="D2440" s="42">
        <v>1</v>
      </c>
      <c r="E2440" s="43"/>
      <c r="F2440" s="44" t="s">
        <v>1415</v>
      </c>
      <c r="G2440" s="45" t="s">
        <v>29</v>
      </c>
      <c r="H2440" s="51">
        <f t="shared" si="38"/>
        <v>0</v>
      </c>
      <c r="I2440" s="47"/>
      <c r="J2440" s="48">
        <f>VLOOKUP(A2440,'[1]תקציב 2026'!$A$1:$M$65536,9,0)</f>
        <v>100000</v>
      </c>
      <c r="K2440" s="49">
        <f>VLOOKUP(A2440,[3]גיליון1!$A$1:$C$7693,3,0)</f>
        <v>100000</v>
      </c>
      <c r="L2440" s="50">
        <f>VLOOKUP(A2440,[2]data1761205830331!$A$1:$J$65536,10,0)</f>
        <v>96593.81</v>
      </c>
    </row>
    <row r="2441" spans="1:12" ht="15.6" outlineLevel="1">
      <c r="A2441" s="11">
        <v>1813300724</v>
      </c>
      <c r="B2441" s="40">
        <v>724</v>
      </c>
      <c r="C2441" s="109">
        <v>813300</v>
      </c>
      <c r="D2441" s="42">
        <v>1</v>
      </c>
      <c r="E2441" s="43"/>
      <c r="F2441" s="44" t="s">
        <v>1416</v>
      </c>
      <c r="G2441" s="45" t="s">
        <v>37</v>
      </c>
      <c r="H2441" s="51">
        <f t="shared" si="38"/>
        <v>0.11111111111111116</v>
      </c>
      <c r="I2441" s="47"/>
      <c r="J2441" s="48">
        <f>VLOOKUP(A2441,'[1]תקציב 2026'!$A$1:$M$65536,9,0)</f>
        <v>110000</v>
      </c>
      <c r="K2441" s="49">
        <f>VLOOKUP(A2441,[3]גיליון1!$A$1:$C$7693,3,0)*0.9</f>
        <v>99000</v>
      </c>
      <c r="L2441" s="50">
        <f>VLOOKUP(A2441,[2]data1761205830331!$A$1:$J$65536,10,0)</f>
        <v>110000</v>
      </c>
    </row>
    <row r="2442" spans="1:12" ht="15.6" outlineLevel="1">
      <c r="A2442" s="11">
        <v>1813300728</v>
      </c>
      <c r="B2442" s="40">
        <v>728</v>
      </c>
      <c r="C2442" s="109">
        <v>813300</v>
      </c>
      <c r="D2442" s="42">
        <v>1</v>
      </c>
      <c r="E2442" s="43"/>
      <c r="F2442" s="44" t="s">
        <v>1417</v>
      </c>
      <c r="G2442" s="45" t="s">
        <v>37</v>
      </c>
      <c r="H2442" s="51">
        <f t="shared" si="38"/>
        <v>-1</v>
      </c>
      <c r="I2442" s="47"/>
      <c r="J2442" s="48">
        <f>VLOOKUP(A2442,'[1]תקציב 2026'!$A$1:$M$65536,9,0)</f>
        <v>0</v>
      </c>
      <c r="K2442" s="49">
        <f>VLOOKUP(A2442,[3]גיליון1!$A$1:$C$7693,3,0)*0.9</f>
        <v>13500</v>
      </c>
      <c r="L2442" s="50">
        <f>VLOOKUP(A2442,[2]data1761205830331!$A$1:$J$65536,10,0)</f>
        <v>0</v>
      </c>
    </row>
    <row r="2443" spans="1:12" ht="15.6" outlineLevel="1">
      <c r="A2443" s="11">
        <v>1813300741</v>
      </c>
      <c r="B2443" s="40">
        <v>741</v>
      </c>
      <c r="C2443" s="109">
        <v>813300</v>
      </c>
      <c r="D2443" s="42">
        <v>1</v>
      </c>
      <c r="E2443" s="43"/>
      <c r="F2443" s="44" t="s">
        <v>1418</v>
      </c>
      <c r="G2443" s="45" t="s">
        <v>37</v>
      </c>
      <c r="H2443" s="51">
        <f t="shared" si="38"/>
        <v>-1</v>
      </c>
      <c r="I2443" s="47"/>
      <c r="J2443" s="48">
        <f>VLOOKUP(A2443,'[1]תקציב 2026'!$A$1:$M$65536,9,0)</f>
        <v>0</v>
      </c>
      <c r="K2443" s="49">
        <f>VLOOKUP(A2443,[3]גיליון1!$A$1:$C$7693,3,0)*0.9</f>
        <v>4320</v>
      </c>
      <c r="L2443" s="50">
        <f>VLOOKUP(A2443,[2]data1761205830331!$A$1:$J$65536,10,0)</f>
        <v>0</v>
      </c>
    </row>
    <row r="2444" spans="1:12" ht="15.6" outlineLevel="1">
      <c r="A2444" s="11">
        <v>1813300742</v>
      </c>
      <c r="B2444" s="40">
        <v>742</v>
      </c>
      <c r="C2444" s="109">
        <v>813300</v>
      </c>
      <c r="D2444" s="42">
        <v>1</v>
      </c>
      <c r="E2444" s="43"/>
      <c r="F2444" s="44" t="s">
        <v>52</v>
      </c>
      <c r="G2444" s="45" t="s">
        <v>37</v>
      </c>
      <c r="H2444" s="51">
        <f t="shared" si="38"/>
        <v>0.11111111111111116</v>
      </c>
      <c r="I2444" s="47"/>
      <c r="J2444" s="48">
        <f>VLOOKUP(A2444,'[1]תקציב 2026'!$A$1:$M$65536,9,0)</f>
        <v>40000</v>
      </c>
      <c r="K2444" s="49">
        <f>VLOOKUP(A2444,[3]גיליון1!$A$1:$C$7693,3,0)*0.9</f>
        <v>36000</v>
      </c>
      <c r="L2444" s="50">
        <f>VLOOKUP(A2444,[2]data1761205830331!$A$1:$J$65536,10,0)</f>
        <v>39255.07</v>
      </c>
    </row>
    <row r="2445" spans="1:12" ht="15.6" outlineLevel="1">
      <c r="A2445" s="11">
        <v>1813300750</v>
      </c>
      <c r="B2445" s="40">
        <v>750</v>
      </c>
      <c r="C2445" s="109">
        <v>813300</v>
      </c>
      <c r="D2445" s="42">
        <v>1</v>
      </c>
      <c r="E2445" s="43"/>
      <c r="F2445" s="44" t="s">
        <v>1351</v>
      </c>
      <c r="G2445" s="45" t="s">
        <v>29</v>
      </c>
      <c r="H2445" s="51">
        <f t="shared" si="38"/>
        <v>-2.0896742833780291E-3</v>
      </c>
      <c r="I2445" s="47"/>
      <c r="J2445" s="48">
        <f>VLOOKUP(A2445,'[1]תקציב 2026'!$A$1:$M$65536,9,0)</f>
        <v>2196700</v>
      </c>
      <c r="K2445" s="49">
        <v>2201300</v>
      </c>
      <c r="L2445" s="50">
        <f>VLOOKUP(A2445,[2]data1761205830331!$A$1:$J$65536,10,0)</f>
        <v>1583769</v>
      </c>
    </row>
    <row r="2446" spans="1:12" ht="15.6" outlineLevel="1">
      <c r="A2446" s="11">
        <v>1813300751</v>
      </c>
      <c r="B2446" s="40">
        <v>751</v>
      </c>
      <c r="C2446" s="109">
        <v>813300</v>
      </c>
      <c r="D2446" s="42">
        <v>1</v>
      </c>
      <c r="E2446" s="43"/>
      <c r="F2446" s="44" t="s">
        <v>53</v>
      </c>
      <c r="G2446" s="45" t="s">
        <v>37</v>
      </c>
      <c r="H2446" s="51">
        <v>0</v>
      </c>
      <c r="I2446" s="47"/>
      <c r="J2446" s="48">
        <f>VLOOKUP(A2446,'[1]תקציב 2026'!$A$1:$M$65536,9,0)</f>
        <v>0</v>
      </c>
      <c r="K2446" s="49">
        <v>0</v>
      </c>
      <c r="L2446" s="50">
        <f>VLOOKUP(A2446,[2]data1761205830331!$A$1:$J$65536,10,0)</f>
        <v>23318</v>
      </c>
    </row>
    <row r="2447" spans="1:12" ht="15.6" outlineLevel="1">
      <c r="A2447" s="11">
        <v>1813300752</v>
      </c>
      <c r="B2447" s="40">
        <v>752</v>
      </c>
      <c r="C2447" s="109">
        <v>813300</v>
      </c>
      <c r="D2447" s="42">
        <v>1</v>
      </c>
      <c r="E2447" s="43"/>
      <c r="F2447" s="44" t="s">
        <v>54</v>
      </c>
      <c r="G2447" s="45" t="s">
        <v>29</v>
      </c>
      <c r="H2447" s="51">
        <f t="shared" si="38"/>
        <v>4.4386422976501416E-2</v>
      </c>
      <c r="I2447" s="47"/>
      <c r="J2447" s="48">
        <f>VLOOKUP(A2447,'[1]תקציב 2026'!$A$1:$M$65536,9,0)</f>
        <v>1800000</v>
      </c>
      <c r="K2447" s="49">
        <f>VLOOKUP(A2447,[3]גיליון1!$A$1:$C$7693,3,0)</f>
        <v>1723500</v>
      </c>
      <c r="L2447" s="50">
        <f>VLOOKUP(A2447,[2]data1761205830331!$A$1:$J$65536,10,0)</f>
        <v>1423299.07</v>
      </c>
    </row>
    <row r="2448" spans="1:12" ht="15.6" outlineLevel="1">
      <c r="A2448" s="11">
        <v>1813300759</v>
      </c>
      <c r="B2448" s="40">
        <v>759</v>
      </c>
      <c r="C2448" s="109">
        <v>813300</v>
      </c>
      <c r="D2448" s="42">
        <v>1</v>
      </c>
      <c r="E2448" s="43"/>
      <c r="F2448" s="44" t="s">
        <v>1332</v>
      </c>
      <c r="G2448" s="45" t="s">
        <v>37</v>
      </c>
      <c r="H2448" s="51">
        <f t="shared" si="38"/>
        <v>3.8705205202361315E-2</v>
      </c>
      <c r="I2448" s="47"/>
      <c r="J2448" s="48">
        <f>VLOOKUP(A2448,'[1]תקציב 2026'!$A$1:$M$65536,9,0)</f>
        <v>18280900</v>
      </c>
      <c r="K2448" s="49">
        <v>17599700</v>
      </c>
      <c r="L2448" s="50">
        <f>VLOOKUP(A2448,[2]data1761205830331!$A$1:$J$65536,10,0)</f>
        <v>17165226.77</v>
      </c>
    </row>
    <row r="2449" spans="1:12" ht="15.6" outlineLevel="1">
      <c r="A2449" s="11">
        <v>1813300760</v>
      </c>
      <c r="B2449" s="40">
        <v>760</v>
      </c>
      <c r="C2449" s="109">
        <v>813300</v>
      </c>
      <c r="D2449" s="42">
        <v>1</v>
      </c>
      <c r="E2449" s="43"/>
      <c r="F2449" s="44" t="s">
        <v>1365</v>
      </c>
      <c r="G2449" s="45" t="s">
        <v>37</v>
      </c>
      <c r="H2449" s="51">
        <v>1</v>
      </c>
      <c r="I2449" s="47" t="s">
        <v>86</v>
      </c>
      <c r="J2449" s="48">
        <f>VLOOKUP(A2449,'[1]תקציב 2026'!$A$1:$M$65536,9,0)</f>
        <v>600000</v>
      </c>
      <c r="K2449" s="49">
        <v>0</v>
      </c>
      <c r="L2449" s="50">
        <v>0</v>
      </c>
    </row>
    <row r="2450" spans="1:12" ht="15.6" outlineLevel="1">
      <c r="A2450" s="11">
        <v>1813300780</v>
      </c>
      <c r="B2450" s="40">
        <v>780</v>
      </c>
      <c r="C2450" s="109">
        <v>813300</v>
      </c>
      <c r="D2450" s="42">
        <v>1</v>
      </c>
      <c r="E2450" s="43"/>
      <c r="F2450" s="44" t="s">
        <v>1419</v>
      </c>
      <c r="G2450" s="45" t="s">
        <v>37</v>
      </c>
      <c r="H2450" s="51">
        <v>1</v>
      </c>
      <c r="I2450" s="47" t="s">
        <v>137</v>
      </c>
      <c r="J2450" s="48">
        <f>VLOOKUP(A2450,'[1]תקציב 2026'!$A$1:$M$65536,9,0)</f>
        <v>270000</v>
      </c>
      <c r="K2450" s="49">
        <v>0</v>
      </c>
      <c r="L2450" s="50">
        <f>VLOOKUP(A2450,[2]data1761205830331!$A$1:$J$65536,10,0)</f>
        <v>0</v>
      </c>
    </row>
    <row r="2451" spans="1:12" ht="15.6" outlineLevel="1">
      <c r="A2451" s="11">
        <v>1813300781</v>
      </c>
      <c r="B2451" s="40">
        <v>781</v>
      </c>
      <c r="C2451" s="109">
        <v>813300</v>
      </c>
      <c r="D2451" s="42">
        <v>1</v>
      </c>
      <c r="E2451" s="43"/>
      <c r="F2451" s="44" t="s">
        <v>348</v>
      </c>
      <c r="G2451" s="45" t="s">
        <v>29</v>
      </c>
      <c r="H2451" s="51">
        <f t="shared" si="38"/>
        <v>0.11007042253521138</v>
      </c>
      <c r="I2451" s="47"/>
      <c r="J2451" s="48">
        <f>VLOOKUP(A2451,'[1]תקציב 2026'!$A$1:$M$65536,9,0)</f>
        <v>3152600</v>
      </c>
      <c r="K2451" s="49">
        <f>VLOOKUP(A2451,[3]גיליון1!$A$1:$C$7693,3,0)</f>
        <v>2840000</v>
      </c>
      <c r="L2451" s="50">
        <f>VLOOKUP(A2451,[2]data1761205830331!$A$1:$J$65536,10,0)</f>
        <v>3035227.63</v>
      </c>
    </row>
    <row r="2452" spans="1:12" ht="15.6" outlineLevel="1">
      <c r="A2452" s="11">
        <v>1813300782</v>
      </c>
      <c r="B2452" s="40">
        <v>782</v>
      </c>
      <c r="C2452" s="109">
        <v>813300</v>
      </c>
      <c r="D2452" s="42">
        <v>1</v>
      </c>
      <c r="E2452" s="43"/>
      <c r="F2452" s="44" t="s">
        <v>1420</v>
      </c>
      <c r="G2452" s="45" t="s">
        <v>29</v>
      </c>
      <c r="H2452" s="51">
        <f t="shared" si="38"/>
        <v>0</v>
      </c>
      <c r="I2452" s="47"/>
      <c r="J2452" s="48">
        <f>VLOOKUP(A2452,'[1]תקציב 2026'!$A$1:$M$65536,9,0)</f>
        <v>75000</v>
      </c>
      <c r="K2452" s="49">
        <f>VLOOKUP(A2452,[3]גיליון1!$A$1:$C$7693,3,0)</f>
        <v>75000</v>
      </c>
      <c r="L2452" s="50">
        <f>VLOOKUP(A2452,[2]data1761205830331!$A$1:$J$65536,10,0)</f>
        <v>75000</v>
      </c>
    </row>
    <row r="2453" spans="1:12" ht="15.6" outlineLevel="1">
      <c r="A2453" s="11">
        <v>1813300794</v>
      </c>
      <c r="B2453" s="40">
        <v>794</v>
      </c>
      <c r="C2453" s="109">
        <v>813300</v>
      </c>
      <c r="D2453" s="42">
        <v>1</v>
      </c>
      <c r="E2453" s="43"/>
      <c r="F2453" s="44" t="s">
        <v>58</v>
      </c>
      <c r="G2453" s="45" t="s">
        <v>29</v>
      </c>
      <c r="H2453" s="51">
        <f t="shared" si="38"/>
        <v>8.5470085470085388E-2</v>
      </c>
      <c r="I2453" s="47"/>
      <c r="J2453" s="48">
        <f>VLOOKUP(A2453,'[1]תקציב 2026'!$A$1:$M$65536,9,0)</f>
        <v>38100</v>
      </c>
      <c r="K2453" s="49">
        <v>35100</v>
      </c>
      <c r="L2453" s="50">
        <f>VLOOKUP(A2453,[2]data1761205830331!$A$1:$J$65536,10,0)</f>
        <v>42938</v>
      </c>
    </row>
    <row r="2454" spans="1:12" ht="15.6" outlineLevel="1">
      <c r="A2454" s="11">
        <v>1813300810</v>
      </c>
      <c r="B2454" s="40">
        <v>810</v>
      </c>
      <c r="C2454" s="109">
        <v>813300</v>
      </c>
      <c r="D2454" s="42">
        <v>1</v>
      </c>
      <c r="E2454" s="43"/>
      <c r="F2454" s="44" t="s">
        <v>1421</v>
      </c>
      <c r="G2454" s="45" t="s">
        <v>37</v>
      </c>
      <c r="H2454" s="51">
        <f t="shared" si="38"/>
        <v>0.11111111111111116</v>
      </c>
      <c r="I2454" s="47"/>
      <c r="J2454" s="48">
        <f>VLOOKUP(A2454,'[1]תקציב 2026'!$A$1:$M$65536,9,0)</f>
        <v>300000</v>
      </c>
      <c r="K2454" s="49">
        <f>VLOOKUP(A2454,[3]גיליון1!$A$1:$C$7693,3,0)*0.9</f>
        <v>270000</v>
      </c>
      <c r="L2454" s="50">
        <f>VLOOKUP(A2454,[2]data1761205830331!$A$1:$J$65536,10,0)</f>
        <v>300000</v>
      </c>
    </row>
    <row r="2455" spans="1:12" ht="15.6" outlineLevel="1">
      <c r="A2455" s="11">
        <v>1813300812</v>
      </c>
      <c r="B2455" s="40">
        <v>812</v>
      </c>
      <c r="C2455" s="109">
        <v>813300</v>
      </c>
      <c r="D2455" s="42">
        <v>1</v>
      </c>
      <c r="E2455" s="43"/>
      <c r="F2455" s="44" t="s">
        <v>296</v>
      </c>
      <c r="G2455" s="45" t="s">
        <v>29</v>
      </c>
      <c r="H2455" s="51">
        <f t="shared" si="38"/>
        <v>0.16402116402116396</v>
      </c>
      <c r="I2455" s="47"/>
      <c r="J2455" s="48">
        <f>VLOOKUP(A2455,'[1]תקציב 2026'!$A$1:$M$65536,9,0)</f>
        <v>11000</v>
      </c>
      <c r="K2455" s="49">
        <f>VLOOKUP(A2455,[3]גיליון1!$A$1:$C$7693,3,0)*0.9</f>
        <v>9450</v>
      </c>
      <c r="L2455" s="50">
        <f>VLOOKUP(A2455,[2]data1761205830331!$A$1:$J$65536,10,0)</f>
        <v>10934</v>
      </c>
    </row>
    <row r="2456" spans="1:12" ht="15.6" outlineLevel="1">
      <c r="A2456" s="11">
        <v>1813300933</v>
      </c>
      <c r="B2456" s="40">
        <v>933</v>
      </c>
      <c r="C2456" s="109">
        <v>813300</v>
      </c>
      <c r="D2456" s="42">
        <v>1</v>
      </c>
      <c r="E2456" s="43"/>
      <c r="F2456" s="44" t="s">
        <v>1422</v>
      </c>
      <c r="G2456" s="45" t="s">
        <v>29</v>
      </c>
      <c r="H2456" s="51">
        <f t="shared" si="38"/>
        <v>0</v>
      </c>
      <c r="I2456" s="47"/>
      <c r="J2456" s="48">
        <f>VLOOKUP(A2456,'[1]תקציב 2026'!$A$1:$M$65536,9,0)</f>
        <v>200000</v>
      </c>
      <c r="K2456" s="49">
        <f>VLOOKUP(A2456,[3]גיליון1!$A$1:$C$7693,3,0)</f>
        <v>200000</v>
      </c>
      <c r="L2456" s="50">
        <f>VLOOKUP(A2456,[2]data1761205830331!$A$1:$J$65536,10,0)</f>
        <v>135212.95000000001</v>
      </c>
    </row>
    <row r="2457" spans="1:12" ht="15.6" outlineLevel="1">
      <c r="A2457" s="11">
        <v>1813300934</v>
      </c>
      <c r="B2457" s="40">
        <v>934</v>
      </c>
      <c r="C2457" s="109">
        <v>813300</v>
      </c>
      <c r="D2457" s="42">
        <v>1</v>
      </c>
      <c r="E2457" s="43"/>
      <c r="F2457" s="44" t="s">
        <v>1366</v>
      </c>
      <c r="G2457" s="45" t="s">
        <v>29</v>
      </c>
      <c r="H2457" s="51">
        <f t="shared" si="38"/>
        <v>0.26223091976516644</v>
      </c>
      <c r="I2457" s="47"/>
      <c r="J2457" s="48">
        <f>VLOOKUP(A2457,'[1]תקציב 2026'!$A$1:$M$65536,9,0)</f>
        <v>645000</v>
      </c>
      <c r="K2457" s="49">
        <f>VLOOKUP(A2457,[3]גיליון1!$A$1:$C$7693,3,0)</f>
        <v>511000</v>
      </c>
      <c r="L2457" s="50">
        <f>VLOOKUP(A2457,[2]data1761205830331!$A$1:$J$65536,10,0)</f>
        <v>561409.04</v>
      </c>
    </row>
    <row r="2458" spans="1:12" ht="16.2" outlineLevel="1" thickBot="1">
      <c r="A2458" s="11">
        <v>1813300954</v>
      </c>
      <c r="B2458" s="40">
        <v>954</v>
      </c>
      <c r="C2458" s="109">
        <v>813300</v>
      </c>
      <c r="D2458" s="42">
        <v>1</v>
      </c>
      <c r="E2458" s="43"/>
      <c r="F2458" s="44" t="s">
        <v>1384</v>
      </c>
      <c r="G2458" s="45" t="s">
        <v>29</v>
      </c>
      <c r="H2458" s="51">
        <f t="shared" si="38"/>
        <v>-5.0632911392405111E-2</v>
      </c>
      <c r="I2458" s="47"/>
      <c r="J2458" s="48">
        <f>VLOOKUP(A2458,'[1]תקציב 2026'!$A$1:$M$65536,9,0)</f>
        <v>750000</v>
      </c>
      <c r="K2458" s="49">
        <v>790000</v>
      </c>
      <c r="L2458" s="50">
        <f>VLOOKUP(A2458,[2]data1761205830331!$A$1:$J$65536,10,0)</f>
        <v>0</v>
      </c>
    </row>
    <row r="2459" spans="1:12" ht="16.2" thickBot="1">
      <c r="A2459" s="11" t="e">
        <v>#VALUE!</v>
      </c>
      <c r="B2459" s="53" t="s">
        <v>1423</v>
      </c>
      <c r="C2459" s="223"/>
      <c r="D2459" s="55"/>
      <c r="E2459" s="56"/>
      <c r="F2459" s="116" t="s">
        <v>344</v>
      </c>
      <c r="G2459" s="58"/>
      <c r="H2459" s="166">
        <f>J2459/K2459-1</f>
        <v>8.3755517039947547E-2</v>
      </c>
      <c r="I2459" s="72"/>
      <c r="J2459" s="74">
        <f>SUBTOTAL(9,J2424:J2458)</f>
        <v>31520910</v>
      </c>
      <c r="K2459" s="92">
        <f>SUBTOTAL(9,K2424:K2458)</f>
        <v>29084890</v>
      </c>
      <c r="L2459" s="75">
        <f>SUBTOTAL(9,L2424:L2458)</f>
        <v>26846000.349999998</v>
      </c>
    </row>
    <row r="2460" spans="1:12" ht="15.6" outlineLevel="1">
      <c r="A2460" s="11">
        <v>18133100</v>
      </c>
      <c r="B2460" s="64">
        <v>0</v>
      </c>
      <c r="C2460" s="131">
        <v>813310</v>
      </c>
      <c r="D2460" s="66">
        <v>1</v>
      </c>
      <c r="E2460" s="67"/>
      <c r="F2460" s="68" t="s">
        <v>353</v>
      </c>
      <c r="G2460" s="69" t="s">
        <v>15</v>
      </c>
      <c r="H2460" s="51"/>
      <c r="I2460" s="47"/>
      <c r="J2460" s="48"/>
      <c r="K2460" s="49"/>
      <c r="L2460" s="50"/>
    </row>
    <row r="2461" spans="1:12" ht="15.6" outlineLevel="1">
      <c r="A2461" s="11">
        <v>1813310110</v>
      </c>
      <c r="B2461" s="40">
        <v>110</v>
      </c>
      <c r="C2461" s="109">
        <v>813310</v>
      </c>
      <c r="D2461" s="42">
        <v>1</v>
      </c>
      <c r="E2461" s="43"/>
      <c r="F2461" s="44" t="s">
        <v>21</v>
      </c>
      <c r="G2461" s="45" t="s">
        <v>22</v>
      </c>
      <c r="H2461" s="51">
        <f t="shared" si="38"/>
        <v>2.5025641025640866E-2</v>
      </c>
      <c r="I2461" s="47"/>
      <c r="J2461" s="48">
        <f>VLOOKUP(A2461,'[1]תקציב 2026'!$A$1:$M$65536,9,0)</f>
        <v>199879.99999999997</v>
      </c>
      <c r="K2461" s="49">
        <f>VLOOKUP(A2461,[3]גיליון1!$A$1:$C$7693,3,0)</f>
        <v>195000</v>
      </c>
      <c r="L2461" s="50">
        <f>VLOOKUP(A2461,[2]data1761205830331!$A$1:$J$65536,10,0)</f>
        <v>197996.02</v>
      </c>
    </row>
    <row r="2462" spans="1:12" ht="15.6" outlineLevel="1">
      <c r="A2462" s="11">
        <v>1813310119</v>
      </c>
      <c r="B2462" s="40">
        <v>119</v>
      </c>
      <c r="C2462" s="109">
        <v>813310</v>
      </c>
      <c r="D2462" s="42">
        <v>1</v>
      </c>
      <c r="E2462" s="43"/>
      <c r="F2462" s="44" t="s">
        <v>23</v>
      </c>
      <c r="G2462" s="45" t="s">
        <v>22</v>
      </c>
      <c r="H2462" s="51">
        <f t="shared" si="38"/>
        <v>2.5010166734444672E-2</v>
      </c>
      <c r="I2462" s="47"/>
      <c r="J2462" s="48">
        <f>VLOOKUP(A2462,'[1]תקציב 2026'!$A$1:$M$65536,9,0)</f>
        <v>504099.99999999994</v>
      </c>
      <c r="K2462" s="49">
        <v>491800</v>
      </c>
      <c r="L2462" s="50">
        <f>VLOOKUP(A2462,[2]data1761205830331!$A$1:$J$65536,10,0)</f>
        <v>125121.44</v>
      </c>
    </row>
    <row r="2463" spans="1:12" ht="15.6" outlineLevel="1">
      <c r="A2463" s="11">
        <v>1813310122</v>
      </c>
      <c r="B2463" s="40">
        <v>122</v>
      </c>
      <c r="C2463" s="109">
        <v>813310</v>
      </c>
      <c r="D2463" s="42">
        <v>1</v>
      </c>
      <c r="E2463" s="43"/>
      <c r="F2463" s="44" t="s">
        <v>24</v>
      </c>
      <c r="G2463" s="45" t="s">
        <v>22</v>
      </c>
      <c r="H2463" s="51">
        <f t="shared" si="38"/>
        <v>0</v>
      </c>
      <c r="I2463" s="47"/>
      <c r="J2463" s="48">
        <f>VLOOKUP(A2463,'[1]תקציב 2026'!$A$1:$M$65536,9,0)</f>
        <v>2100</v>
      </c>
      <c r="K2463" s="49">
        <f>VLOOKUP(A2463,[3]גיליון1!$A$1:$C$7693,3,0)</f>
        <v>2100</v>
      </c>
      <c r="L2463" s="50">
        <f>VLOOKUP(A2463,[2]data1761205830331!$A$1:$J$65536,10,0)</f>
        <v>1961.39</v>
      </c>
    </row>
    <row r="2464" spans="1:12" ht="15.6" outlineLevel="1">
      <c r="A2464" s="11">
        <v>1813310126</v>
      </c>
      <c r="B2464" s="40">
        <v>126</v>
      </c>
      <c r="C2464" s="109">
        <v>813310</v>
      </c>
      <c r="D2464" s="42">
        <v>1</v>
      </c>
      <c r="E2464" s="43"/>
      <c r="F2464" s="44" t="s">
        <v>25</v>
      </c>
      <c r="G2464" s="45" t="s">
        <v>22</v>
      </c>
      <c r="H2464" s="51">
        <f t="shared" si="38"/>
        <v>0</v>
      </c>
      <c r="I2464" s="47"/>
      <c r="J2464" s="48">
        <f>VLOOKUP(A2464,'[1]תקציב 2026'!$A$1:$M$65536,9,0)</f>
        <v>9000</v>
      </c>
      <c r="K2464" s="49">
        <f>VLOOKUP(A2464,[3]גיליון1!$A$1:$C$7693,3,0)</f>
        <v>9000</v>
      </c>
      <c r="L2464" s="50">
        <f>VLOOKUP(A2464,[2]data1761205830331!$A$1:$J$65536,10,0)</f>
        <v>8925.6</v>
      </c>
    </row>
    <row r="2465" spans="1:12" ht="15.6" outlineLevel="1">
      <c r="A2465" s="11">
        <v>1813310140</v>
      </c>
      <c r="B2465" s="40">
        <v>140</v>
      </c>
      <c r="C2465" s="109">
        <v>813310</v>
      </c>
      <c r="D2465" s="42">
        <v>1</v>
      </c>
      <c r="E2465" s="43"/>
      <c r="F2465" s="44" t="s">
        <v>27</v>
      </c>
      <c r="G2465" s="45" t="s">
        <v>22</v>
      </c>
      <c r="H2465" s="51">
        <f t="shared" si="38"/>
        <v>0</v>
      </c>
      <c r="I2465" s="47"/>
      <c r="J2465" s="48">
        <f>VLOOKUP(A2465,'[1]תקציב 2026'!$A$1:$M$65536,9,0)</f>
        <v>8000</v>
      </c>
      <c r="K2465" s="49">
        <f>VLOOKUP(A2465,[3]גיליון1!$A$1:$C$7693,3,0)</f>
        <v>8000</v>
      </c>
      <c r="L2465" s="50">
        <f>VLOOKUP(A2465,[2]data1761205830331!$A$1:$J$65536,10,0)</f>
        <v>0</v>
      </c>
    </row>
    <row r="2466" spans="1:12" ht="15.6" outlineLevel="1">
      <c r="A2466" s="11">
        <v>1813310420</v>
      </c>
      <c r="B2466" s="40">
        <v>420</v>
      </c>
      <c r="C2466" s="109">
        <v>813310</v>
      </c>
      <c r="D2466" s="42">
        <v>1</v>
      </c>
      <c r="E2466" s="43"/>
      <c r="F2466" s="44" t="s">
        <v>30</v>
      </c>
      <c r="G2466" s="45" t="s">
        <v>29</v>
      </c>
      <c r="H2466" s="51">
        <f t="shared" si="38"/>
        <v>-1</v>
      </c>
      <c r="I2466" s="47"/>
      <c r="J2466" s="48">
        <f>VLOOKUP(A2466,'[1]תקציב 2026'!$A$1:$M$65536,9,0)</f>
        <v>0</v>
      </c>
      <c r="K2466" s="49">
        <f>VLOOKUP(A2466,[3]גיליון1!$A$1:$C$7693,3,0)*0.9</f>
        <v>6300</v>
      </c>
      <c r="L2466" s="50">
        <f>VLOOKUP(A2466,[2]data1761205830331!$A$1:$J$65536,10,0)</f>
        <v>0</v>
      </c>
    </row>
    <row r="2467" spans="1:12" ht="15.6" outlineLevel="1">
      <c r="A2467" s="11">
        <v>1813310431</v>
      </c>
      <c r="B2467" s="40">
        <v>431</v>
      </c>
      <c r="C2467" s="109">
        <v>813310</v>
      </c>
      <c r="D2467" s="42">
        <v>1</v>
      </c>
      <c r="E2467" s="43"/>
      <c r="F2467" s="44" t="s">
        <v>32</v>
      </c>
      <c r="G2467" s="45" t="s">
        <v>29</v>
      </c>
      <c r="H2467" s="51">
        <f t="shared" si="38"/>
        <v>0</v>
      </c>
      <c r="I2467" s="47"/>
      <c r="J2467" s="48">
        <f>VLOOKUP(A2467,'[1]תקציב 2026'!$A$1:$M$65536,9,0)</f>
        <v>144400</v>
      </c>
      <c r="K2467" s="49">
        <v>144400</v>
      </c>
      <c r="L2467" s="50">
        <f>VLOOKUP(A2467,[2]data1761205830331!$A$1:$J$65536,10,0)</f>
        <v>223141.15</v>
      </c>
    </row>
    <row r="2468" spans="1:12" ht="15.6" outlineLevel="1">
      <c r="A2468" s="11">
        <v>1813310432</v>
      </c>
      <c r="B2468" s="40">
        <v>432</v>
      </c>
      <c r="C2468" s="109">
        <v>813310</v>
      </c>
      <c r="D2468" s="42">
        <v>1</v>
      </c>
      <c r="E2468" s="43"/>
      <c r="F2468" s="44" t="s">
        <v>33</v>
      </c>
      <c r="G2468" s="45" t="s">
        <v>29</v>
      </c>
      <c r="H2468" s="51">
        <f t="shared" si="38"/>
        <v>-4.2674253200568613E-3</v>
      </c>
      <c r="I2468" s="47"/>
      <c r="J2468" s="48">
        <f>VLOOKUP(A2468,'[1]תקציב 2026'!$A$1:$M$65536,9,0)</f>
        <v>70000</v>
      </c>
      <c r="K2468" s="49">
        <f>VLOOKUP(A2468,[3]גיליון1!$A$1:$C$7693,3,0)</f>
        <v>70300</v>
      </c>
      <c r="L2468" s="50">
        <f>VLOOKUP(A2468,[2]data1761205830331!$A$1:$J$65536,10,0)</f>
        <v>69973.899999999994</v>
      </c>
    </row>
    <row r="2469" spans="1:12" ht="15.6" outlineLevel="1">
      <c r="A2469" s="11">
        <v>1813310437</v>
      </c>
      <c r="B2469" s="40">
        <v>437</v>
      </c>
      <c r="C2469" s="109">
        <v>813310</v>
      </c>
      <c r="D2469" s="42">
        <v>1</v>
      </c>
      <c r="E2469" s="43"/>
      <c r="F2469" s="44" t="s">
        <v>38</v>
      </c>
      <c r="G2469" s="45" t="s">
        <v>29</v>
      </c>
      <c r="H2469" s="51">
        <f t="shared" si="38"/>
        <v>1</v>
      </c>
      <c r="I2469" s="47"/>
      <c r="J2469" s="48">
        <f>VLOOKUP(A2469,'[1]תקציב 2026'!$A$1:$M$65536,9,0)</f>
        <v>5000</v>
      </c>
      <c r="K2469" s="49">
        <f>VLOOKUP(A2469,[3]גיליון1!$A$1:$C$7693,3,0)</f>
        <v>2500</v>
      </c>
      <c r="L2469" s="50">
        <f>VLOOKUP(A2469,[2]data1761205830331!$A$1:$J$65536,10,0)</f>
        <v>2442.96</v>
      </c>
    </row>
    <row r="2470" spans="1:12" ht="15.6" outlineLevel="1">
      <c r="A2470" s="11">
        <v>1813310511</v>
      </c>
      <c r="B2470" s="40">
        <v>511</v>
      </c>
      <c r="C2470" s="109">
        <v>813310</v>
      </c>
      <c r="D2470" s="42">
        <v>1</v>
      </c>
      <c r="E2470" s="43"/>
      <c r="F2470" s="44" t="s">
        <v>72</v>
      </c>
      <c r="G2470" s="45" t="s">
        <v>37</v>
      </c>
      <c r="H2470" s="51">
        <f t="shared" si="38"/>
        <v>3.3591731266149782E-2</v>
      </c>
      <c r="I2470" s="47"/>
      <c r="J2470" s="48">
        <f>VLOOKUP(A2470,'[1]תקציב 2026'!$A$1:$M$65536,9,0)</f>
        <v>8000</v>
      </c>
      <c r="K2470" s="49">
        <f>8600*0.9</f>
        <v>7740</v>
      </c>
      <c r="L2470" s="50">
        <f>VLOOKUP(A2470,[2]data1761205830331!$A$1:$J$65536,10,0)</f>
        <v>7988.92</v>
      </c>
    </row>
    <row r="2471" spans="1:12" ht="15.6" outlineLevel="1">
      <c r="A2471" s="11">
        <v>1813310723</v>
      </c>
      <c r="B2471" s="40">
        <v>723</v>
      </c>
      <c r="C2471" s="109">
        <v>813310</v>
      </c>
      <c r="D2471" s="42">
        <v>1</v>
      </c>
      <c r="E2471" s="43"/>
      <c r="F2471" s="44" t="s">
        <v>1424</v>
      </c>
      <c r="G2471" s="45" t="s">
        <v>37</v>
      </c>
      <c r="H2471" s="51">
        <f t="shared" si="38"/>
        <v>0.11111111111111116</v>
      </c>
      <c r="I2471" s="47"/>
      <c r="J2471" s="48">
        <f>VLOOKUP(A2471,'[1]תקציב 2026'!$A$1:$M$65536,9,0)</f>
        <v>7000</v>
      </c>
      <c r="K2471" s="49">
        <f>VLOOKUP(A2471,[3]גיליון1!$A$1:$C$7693,3,0)*0.9</f>
        <v>6300</v>
      </c>
      <c r="L2471" s="50">
        <f>VLOOKUP(A2471,[2]data1761205830331!$A$1:$J$65536,10,0)</f>
        <v>7000</v>
      </c>
    </row>
    <row r="2472" spans="1:12" ht="15.6" outlineLevel="1">
      <c r="A2472" s="11">
        <v>1813310742</v>
      </c>
      <c r="B2472" s="40">
        <v>742</v>
      </c>
      <c r="C2472" s="109">
        <v>813310</v>
      </c>
      <c r="D2472" s="42">
        <v>1</v>
      </c>
      <c r="E2472" s="43"/>
      <c r="F2472" s="44" t="s">
        <v>1425</v>
      </c>
      <c r="G2472" s="45" t="s">
        <v>37</v>
      </c>
      <c r="H2472" s="51">
        <f t="shared" si="38"/>
        <v>0.11111111111111116</v>
      </c>
      <c r="I2472" s="47"/>
      <c r="J2472" s="48">
        <f>VLOOKUP(A2472,'[1]תקציב 2026'!$A$1:$M$65536,9,0)</f>
        <v>10000</v>
      </c>
      <c r="K2472" s="49">
        <f>VLOOKUP(A2472,[3]גיליון1!$A$1:$C$7693,3,0)*0.9</f>
        <v>9000</v>
      </c>
      <c r="L2472" s="50">
        <f>VLOOKUP(A2472,[2]data1761205830331!$A$1:$J$65536,10,0)</f>
        <v>10000</v>
      </c>
    </row>
    <row r="2473" spans="1:12" ht="15.6" outlineLevel="1">
      <c r="A2473" s="11">
        <v>1813310750</v>
      </c>
      <c r="B2473" s="40">
        <v>750</v>
      </c>
      <c r="C2473" s="109">
        <v>813310</v>
      </c>
      <c r="D2473" s="42">
        <v>1</v>
      </c>
      <c r="E2473" s="43"/>
      <c r="F2473" s="44" t="s">
        <v>1351</v>
      </c>
      <c r="G2473" s="45" t="s">
        <v>29</v>
      </c>
      <c r="H2473" s="51">
        <f t="shared" si="38"/>
        <v>5.0864962561322002E-2</v>
      </c>
      <c r="I2473" s="47"/>
      <c r="J2473" s="48">
        <f>VLOOKUP(A2473,'[1]תקציב 2026'!$A$1:$M$65536,9,0)</f>
        <v>407000</v>
      </c>
      <c r="K2473" s="49">
        <v>387300</v>
      </c>
      <c r="L2473" s="50">
        <f>VLOOKUP(A2473,[2]data1761205830331!$A$1:$J$65536,10,0)</f>
        <v>299114</v>
      </c>
    </row>
    <row r="2474" spans="1:12" ht="15.6" outlineLevel="1">
      <c r="A2474" s="11">
        <v>1813310752</v>
      </c>
      <c r="B2474" s="40">
        <v>752</v>
      </c>
      <c r="C2474" s="109">
        <v>813310</v>
      </c>
      <c r="D2474" s="42">
        <v>1</v>
      </c>
      <c r="E2474" s="43"/>
      <c r="F2474" s="44" t="s">
        <v>54</v>
      </c>
      <c r="G2474" s="45" t="s">
        <v>29</v>
      </c>
      <c r="H2474" s="51">
        <f t="shared" si="38"/>
        <v>0.1603029346797098</v>
      </c>
      <c r="I2474" s="47"/>
      <c r="J2474" s="48">
        <f>VLOOKUP(A2474,'[1]תקציב 2026'!$A$1:$M$65536,9,0)</f>
        <v>367700</v>
      </c>
      <c r="K2474" s="49">
        <f>VLOOKUP(A2474,[3]גיליון1!$A$1:$C$7693,3,0)</f>
        <v>316900</v>
      </c>
      <c r="L2474" s="50">
        <f>VLOOKUP(A2474,[2]data1761205830331!$A$1:$J$65536,10,0)</f>
        <v>285299.06</v>
      </c>
    </row>
    <row r="2475" spans="1:12" ht="15.6" outlineLevel="1">
      <c r="A2475" s="11">
        <v>1813310759</v>
      </c>
      <c r="B2475" s="40">
        <v>759</v>
      </c>
      <c r="C2475" s="109">
        <v>813310</v>
      </c>
      <c r="D2475" s="42">
        <v>1</v>
      </c>
      <c r="E2475" s="43"/>
      <c r="F2475" s="44" t="s">
        <v>1332</v>
      </c>
      <c r="G2475" s="45" t="s">
        <v>22</v>
      </c>
      <c r="H2475" s="51">
        <f t="shared" si="38"/>
        <v>7.2808089210054217E-2</v>
      </c>
      <c r="I2475" s="47"/>
      <c r="J2475" s="48">
        <f>VLOOKUP(A2475,'[1]תקציב 2026'!$A$1:$M$65536,9,0)</f>
        <v>4127200</v>
      </c>
      <c r="K2475" s="49">
        <v>3847100</v>
      </c>
      <c r="L2475" s="50">
        <f>VLOOKUP(A2475,[2]data1761205830331!$A$1:$J$65536,10,0)</f>
        <v>3583856.48</v>
      </c>
    </row>
    <row r="2476" spans="1:12" ht="15.6" outlineLevel="1">
      <c r="A2476" s="11">
        <v>1813310781</v>
      </c>
      <c r="B2476" s="40">
        <v>781</v>
      </c>
      <c r="C2476" s="109">
        <v>813310</v>
      </c>
      <c r="D2476" s="42">
        <v>1</v>
      </c>
      <c r="E2476" s="43"/>
      <c r="F2476" s="44" t="s">
        <v>348</v>
      </c>
      <c r="G2476" s="45" t="s">
        <v>29</v>
      </c>
      <c r="H2476" s="51">
        <f t="shared" si="38"/>
        <v>-0.18090909090909091</v>
      </c>
      <c r="I2476" s="47"/>
      <c r="J2476" s="48">
        <f>VLOOKUP(A2476,'[1]תקציב 2026'!$A$1:$M$65536,9,0)</f>
        <v>270300</v>
      </c>
      <c r="K2476" s="49">
        <f>VLOOKUP(A2476,[3]גיליון1!$A$1:$C$7693,3,0)</f>
        <v>330000</v>
      </c>
      <c r="L2476" s="50">
        <f>VLOOKUP(A2476,[2]data1761205830331!$A$1:$J$65536,10,0)</f>
        <v>343426.3</v>
      </c>
    </row>
    <row r="2477" spans="1:12" ht="15.6" outlineLevel="1">
      <c r="A2477" s="11">
        <v>1813310794</v>
      </c>
      <c r="B2477" s="40">
        <v>794</v>
      </c>
      <c r="C2477" s="109">
        <v>813310</v>
      </c>
      <c r="D2477" s="42">
        <v>1</v>
      </c>
      <c r="E2477" s="43"/>
      <c r="F2477" s="44" t="s">
        <v>58</v>
      </c>
      <c r="G2477" s="45" t="s">
        <v>29</v>
      </c>
      <c r="H2477" s="51">
        <f t="shared" si="38"/>
        <v>0.21978021978021989</v>
      </c>
      <c r="I2477" s="47"/>
      <c r="J2477" s="48">
        <f>VLOOKUP(A2477,'[1]תקציב 2026'!$A$1:$M$65536,9,0)</f>
        <v>33300</v>
      </c>
      <c r="K2477" s="49">
        <v>27300</v>
      </c>
      <c r="L2477" s="50">
        <f>VLOOKUP(A2477,[2]data1761205830331!$A$1:$J$65536,10,0)</f>
        <v>31965</v>
      </c>
    </row>
    <row r="2478" spans="1:12" ht="15.6" outlineLevel="1">
      <c r="A2478" s="11">
        <v>1813310810</v>
      </c>
      <c r="B2478" s="40">
        <v>810</v>
      </c>
      <c r="C2478" s="109">
        <v>813310</v>
      </c>
      <c r="D2478" s="42">
        <v>1</v>
      </c>
      <c r="E2478" s="43"/>
      <c r="F2478" s="44" t="s">
        <v>1421</v>
      </c>
      <c r="G2478" s="45" t="s">
        <v>37</v>
      </c>
      <c r="H2478" s="51">
        <f t="shared" si="38"/>
        <v>0.11111111111111116</v>
      </c>
      <c r="I2478" s="47"/>
      <c r="J2478" s="48">
        <f>VLOOKUP(A2478,'[1]תקציב 2026'!$A$1:$M$65536,9,0)</f>
        <v>100000</v>
      </c>
      <c r="K2478" s="49">
        <f>VLOOKUP(A2478,[3]גיליון1!$A$1:$C$7693,3,0)*0.9</f>
        <v>90000</v>
      </c>
      <c r="L2478" s="50">
        <f>VLOOKUP(A2478,[2]data1761205830331!$A$1:$J$65536,10,0)</f>
        <v>100000</v>
      </c>
    </row>
    <row r="2479" spans="1:12" ht="15.6" outlineLevel="1">
      <c r="A2479" s="11">
        <v>1813310812</v>
      </c>
      <c r="B2479" s="40">
        <v>812</v>
      </c>
      <c r="C2479" s="109">
        <v>813310</v>
      </c>
      <c r="D2479" s="42">
        <v>1</v>
      </c>
      <c r="E2479" s="43"/>
      <c r="F2479" s="44" t="s">
        <v>296</v>
      </c>
      <c r="G2479" s="45" t="s">
        <v>29</v>
      </c>
      <c r="H2479" s="51">
        <f t="shared" si="38"/>
        <v>0.11111111111111116</v>
      </c>
      <c r="I2479" s="47"/>
      <c r="J2479" s="48">
        <f>VLOOKUP(A2479,'[1]תקציב 2026'!$A$1:$M$65536,9,0)</f>
        <v>2000</v>
      </c>
      <c r="K2479" s="49">
        <f>VLOOKUP(A2479,[3]גיליון1!$A$1:$C$7693,3,0)*0.9</f>
        <v>1800</v>
      </c>
      <c r="L2479" s="50">
        <f>VLOOKUP(A2479,[2]data1761205830331!$A$1:$J$65536,10,0)</f>
        <v>1870</v>
      </c>
    </row>
    <row r="2480" spans="1:12" ht="15.6" outlineLevel="1">
      <c r="A2480" s="11">
        <v>1813310931</v>
      </c>
      <c r="B2480" s="40">
        <v>931</v>
      </c>
      <c r="C2480" s="109">
        <v>813310</v>
      </c>
      <c r="D2480" s="42">
        <v>1</v>
      </c>
      <c r="E2480" s="43"/>
      <c r="F2480" s="44" t="s">
        <v>1426</v>
      </c>
      <c r="G2480" s="45" t="s">
        <v>37</v>
      </c>
      <c r="H2480" s="51">
        <f t="shared" si="38"/>
        <v>0.11111111111111116</v>
      </c>
      <c r="I2480" s="47"/>
      <c r="J2480" s="48">
        <f>VLOOKUP(A2480,'[1]תקציב 2026'!$A$1:$M$65536,9,0)</f>
        <v>24000</v>
      </c>
      <c r="K2480" s="49">
        <f>VLOOKUP(A2480,[3]גיליון1!$A$1:$C$7693,3,0)*0.9</f>
        <v>21600</v>
      </c>
      <c r="L2480" s="50">
        <f>VLOOKUP(A2480,[2]data1761205830331!$A$1:$J$65536,10,0)</f>
        <v>24000</v>
      </c>
    </row>
    <row r="2481" spans="1:12" ht="15.6" outlineLevel="1">
      <c r="A2481" s="11">
        <v>1813310934</v>
      </c>
      <c r="B2481" s="40">
        <v>934</v>
      </c>
      <c r="C2481" s="109">
        <v>813310</v>
      </c>
      <c r="D2481" s="42">
        <v>1</v>
      </c>
      <c r="E2481" s="43"/>
      <c r="F2481" s="44" t="s">
        <v>1366</v>
      </c>
      <c r="G2481" s="45" t="s">
        <v>29</v>
      </c>
      <c r="H2481" s="51">
        <f t="shared" si="38"/>
        <v>1.5254237288135686E-2</v>
      </c>
      <c r="I2481" s="47"/>
      <c r="J2481" s="48">
        <f>VLOOKUP(A2481,'[1]תקציב 2026'!$A$1:$M$65536,9,0)</f>
        <v>59900</v>
      </c>
      <c r="K2481" s="49">
        <f>VLOOKUP(A2481,[3]גיליון1!$A$1:$C$7693,3,0)</f>
        <v>59000</v>
      </c>
      <c r="L2481" s="50">
        <f>VLOOKUP(A2481,[2]data1761205830331!$A$1:$J$65536,10,0)</f>
        <v>55193.8</v>
      </c>
    </row>
    <row r="2482" spans="1:12" ht="16.2" outlineLevel="1" thickBot="1">
      <c r="A2482" s="11">
        <v>1813310954</v>
      </c>
      <c r="B2482" s="40">
        <v>954</v>
      </c>
      <c r="C2482" s="109">
        <v>813310</v>
      </c>
      <c r="D2482" s="42">
        <v>1</v>
      </c>
      <c r="E2482" s="43"/>
      <c r="F2482" s="44" t="s">
        <v>1384</v>
      </c>
      <c r="G2482" s="45" t="s">
        <v>29</v>
      </c>
      <c r="H2482" s="51">
        <f t="shared" si="38"/>
        <v>-2.4390243902439046E-2</v>
      </c>
      <c r="I2482" s="47"/>
      <c r="J2482" s="48">
        <f>VLOOKUP(A2482,'[1]תקציב 2026'!$A$1:$M$65536,9,0)</f>
        <v>120000</v>
      </c>
      <c r="K2482" s="49">
        <v>123000</v>
      </c>
      <c r="L2482" s="50">
        <f>VLOOKUP(A2482,[2]data1761205830331!$A$1:$J$65536,10,0)</f>
        <v>0</v>
      </c>
    </row>
    <row r="2483" spans="1:12" ht="16.2" thickBot="1">
      <c r="A2483" s="11" t="e">
        <v>#VALUE!</v>
      </c>
      <c r="B2483" s="53" t="s">
        <v>1427</v>
      </c>
      <c r="C2483" s="223"/>
      <c r="D2483" s="55"/>
      <c r="E2483" s="56"/>
      <c r="F2483" s="116" t="s">
        <v>353</v>
      </c>
      <c r="G2483" s="58"/>
      <c r="H2483" s="166">
        <f>J2483/K2483-1</f>
        <v>5.237442418020799E-2</v>
      </c>
      <c r="I2483" s="72"/>
      <c r="J2483" s="74">
        <f>SUBTOTAL(9,J2461:J2482)</f>
        <v>6478880</v>
      </c>
      <c r="K2483" s="92">
        <f>SUBTOTAL(9,K2461:K2482)</f>
        <v>6156440</v>
      </c>
      <c r="L2483" s="75">
        <f>SUBTOTAL(9,L2461:L2482)</f>
        <v>5379276.0199999996</v>
      </c>
    </row>
    <row r="2484" spans="1:12" ht="15.6" outlineLevel="1">
      <c r="A2484" s="11">
        <v>18137000</v>
      </c>
      <c r="B2484" s="40">
        <v>0</v>
      </c>
      <c r="C2484" s="109">
        <v>813700</v>
      </c>
      <c r="D2484" s="42">
        <v>1</v>
      </c>
      <c r="E2484" s="43"/>
      <c r="F2484" s="44" t="s">
        <v>1428</v>
      </c>
      <c r="G2484" s="45" t="s">
        <v>15</v>
      </c>
      <c r="H2484" s="51"/>
      <c r="I2484" s="47"/>
      <c r="J2484" s="48"/>
      <c r="K2484" s="49"/>
      <c r="L2484" s="50"/>
    </row>
    <row r="2485" spans="1:12" ht="15.6" outlineLevel="1">
      <c r="A2485" s="11">
        <v>1813700119</v>
      </c>
      <c r="B2485" s="40">
        <v>119</v>
      </c>
      <c r="C2485" s="109">
        <v>813700</v>
      </c>
      <c r="D2485" s="42">
        <v>1</v>
      </c>
      <c r="E2485" s="43"/>
      <c r="F2485" s="44" t="s">
        <v>23</v>
      </c>
      <c r="G2485" s="45" t="s">
        <v>22</v>
      </c>
      <c r="H2485" s="51">
        <f t="shared" ref="H2485:H2547" si="39">J2485/K2485-1</f>
        <v>2.5010438413361147E-2</v>
      </c>
      <c r="I2485" s="47"/>
      <c r="J2485" s="48">
        <v>245490</v>
      </c>
      <c r="K2485" s="49">
        <v>239500</v>
      </c>
      <c r="L2485" s="50">
        <f>VLOOKUP(A2485,[2]data1761205830331!$A$1:$J$65536,10,0)</f>
        <v>125030.04</v>
      </c>
    </row>
    <row r="2486" spans="1:12" ht="15.6" outlineLevel="1">
      <c r="A2486" s="11">
        <v>1813700122</v>
      </c>
      <c r="B2486" s="40">
        <v>122</v>
      </c>
      <c r="C2486" s="109">
        <v>813700</v>
      </c>
      <c r="D2486" s="42">
        <v>1</v>
      </c>
      <c r="E2486" s="43"/>
      <c r="F2486" s="44" t="s">
        <v>24</v>
      </c>
      <c r="G2486" s="45" t="s">
        <v>22</v>
      </c>
      <c r="H2486" s="51">
        <f t="shared" si="39"/>
        <v>0</v>
      </c>
      <c r="I2486" s="47"/>
      <c r="J2486" s="48">
        <f>VLOOKUP(A2486,'[1]תקציב 2026'!$A$1:$M$65536,9,0)</f>
        <v>2000</v>
      </c>
      <c r="K2486" s="49">
        <f>VLOOKUP(A2486,[3]גיליון1!$A$1:$C$7693,3,0)</f>
        <v>2000</v>
      </c>
      <c r="L2486" s="50">
        <f>VLOOKUP(A2486,[2]data1761205830331!$A$1:$J$65536,10,0)</f>
        <v>1806.3</v>
      </c>
    </row>
    <row r="2487" spans="1:12" ht="15.6" outlineLevel="1">
      <c r="A2487" s="11">
        <v>1813700126</v>
      </c>
      <c r="B2487" s="40">
        <v>126</v>
      </c>
      <c r="C2487" s="109">
        <v>813700</v>
      </c>
      <c r="D2487" s="42">
        <v>1</v>
      </c>
      <c r="E2487" s="43"/>
      <c r="F2487" s="44" t="s">
        <v>25</v>
      </c>
      <c r="G2487" s="45" t="s">
        <v>22</v>
      </c>
      <c r="H2487" s="51">
        <f t="shared" si="39"/>
        <v>0</v>
      </c>
      <c r="I2487" s="47"/>
      <c r="J2487" s="48">
        <f>VLOOKUP(A2487,'[1]תקציב 2026'!$A$1:$M$65536,9,0)</f>
        <v>5000</v>
      </c>
      <c r="K2487" s="49">
        <f>VLOOKUP(A2487,[3]גיליון1!$A$1:$C$7693,3,0)</f>
        <v>5000</v>
      </c>
      <c r="L2487" s="50">
        <f>VLOOKUP(A2487,[2]data1761205830331!$A$1:$J$65536,10,0)</f>
        <v>4307.43</v>
      </c>
    </row>
    <row r="2488" spans="1:12" ht="15.6" outlineLevel="1">
      <c r="A2488" s="11">
        <v>1813700130</v>
      </c>
      <c r="B2488" s="40">
        <v>130</v>
      </c>
      <c r="C2488" s="109">
        <v>813700</v>
      </c>
      <c r="D2488" s="42">
        <v>1</v>
      </c>
      <c r="E2488" s="43"/>
      <c r="F2488" s="44" t="s">
        <v>26</v>
      </c>
      <c r="G2488" s="45" t="s">
        <v>22</v>
      </c>
      <c r="H2488" s="51">
        <f t="shared" si="39"/>
        <v>0</v>
      </c>
      <c r="I2488" s="47"/>
      <c r="J2488" s="48">
        <f>VLOOKUP(A2488,'[1]תקציב 2026'!$A$1:$M$65536,9,0)</f>
        <v>4300</v>
      </c>
      <c r="K2488" s="49">
        <f>VLOOKUP(A2488,[3]גיליון1!$A$1:$C$7693,3,0)*0.86</f>
        <v>4300</v>
      </c>
      <c r="L2488" s="50">
        <f>VLOOKUP(A2488,[2]data1761205830331!$A$1:$J$65536,10,0)</f>
        <v>5609.19</v>
      </c>
    </row>
    <row r="2489" spans="1:12" ht="15.6" outlineLevel="1">
      <c r="A2489" s="11">
        <v>1813700140</v>
      </c>
      <c r="B2489" s="40">
        <v>140</v>
      </c>
      <c r="C2489" s="109">
        <v>813700</v>
      </c>
      <c r="D2489" s="42">
        <v>1</v>
      </c>
      <c r="E2489" s="43"/>
      <c r="F2489" s="44" t="s">
        <v>27</v>
      </c>
      <c r="G2489" s="45" t="s">
        <v>22</v>
      </c>
      <c r="H2489" s="51">
        <f t="shared" si="39"/>
        <v>0</v>
      </c>
      <c r="I2489" s="47"/>
      <c r="J2489" s="48">
        <f>VLOOKUP(A2489,'[1]תקציב 2026'!$A$1:$M$65536,9,0)</f>
        <v>3500</v>
      </c>
      <c r="K2489" s="49">
        <f>VLOOKUP(A2489,[3]גיליון1!$A$1:$C$7693,3,0)</f>
        <v>3500</v>
      </c>
      <c r="L2489" s="50">
        <f>VLOOKUP(A2489,[2]data1761205830331!$A$1:$J$65536,10,0)</f>
        <v>640.84</v>
      </c>
    </row>
    <row r="2490" spans="1:12" ht="15.6" outlineLevel="1">
      <c r="A2490" s="11">
        <v>1813700420</v>
      </c>
      <c r="B2490" s="40">
        <v>420</v>
      </c>
      <c r="C2490" s="109">
        <v>813700</v>
      </c>
      <c r="D2490" s="42">
        <v>1</v>
      </c>
      <c r="E2490" s="43"/>
      <c r="F2490" s="44" t="s">
        <v>30</v>
      </c>
      <c r="G2490" s="45" t="s">
        <v>29</v>
      </c>
      <c r="H2490" s="51">
        <f t="shared" si="39"/>
        <v>0</v>
      </c>
      <c r="I2490" s="47"/>
      <c r="J2490" s="48">
        <f>VLOOKUP(A2490,'[1]תקציב 2026'!$A$1:$M$65536,9,0)</f>
        <v>1800</v>
      </c>
      <c r="K2490" s="49">
        <f>VLOOKUP(A2490,[3]גיליון1!$A$1:$C$7693,3,0)*0.9</f>
        <v>1800</v>
      </c>
      <c r="L2490" s="50">
        <f>VLOOKUP(A2490,[2]data1761205830331!$A$1:$J$65536,10,0)</f>
        <v>1192.3900000000001</v>
      </c>
    </row>
    <row r="2491" spans="1:12" ht="15.6" outlineLevel="1">
      <c r="A2491" s="11">
        <v>1813700423</v>
      </c>
      <c r="B2491" s="40">
        <v>423</v>
      </c>
      <c r="C2491" s="109">
        <v>813700</v>
      </c>
      <c r="D2491" s="42">
        <v>1</v>
      </c>
      <c r="E2491" s="43"/>
      <c r="F2491" s="44" t="s">
        <v>31</v>
      </c>
      <c r="G2491" s="45" t="s">
        <v>29</v>
      </c>
      <c r="H2491" s="51">
        <f t="shared" si="39"/>
        <v>0.93023255813953498</v>
      </c>
      <c r="I2491" s="47"/>
      <c r="J2491" s="48">
        <f>VLOOKUP(A2491,'[1]תקציב 2026'!$A$1:$M$65536,9,0)</f>
        <v>8300</v>
      </c>
      <c r="K2491" s="49">
        <v>4300</v>
      </c>
      <c r="L2491" s="50">
        <f>VLOOKUP(A2491,[2]data1761205830331!$A$1:$J$65536,10,0)</f>
        <v>4300</v>
      </c>
    </row>
    <row r="2492" spans="1:12" ht="15.6" outlineLevel="1">
      <c r="A2492" s="11">
        <v>1813700431</v>
      </c>
      <c r="B2492" s="40">
        <v>431</v>
      </c>
      <c r="C2492" s="109">
        <v>813700</v>
      </c>
      <c r="D2492" s="42">
        <v>1</v>
      </c>
      <c r="E2492" s="43"/>
      <c r="F2492" s="44" t="s">
        <v>32</v>
      </c>
      <c r="G2492" s="45" t="s">
        <v>29</v>
      </c>
      <c r="H2492" s="51">
        <f t="shared" si="39"/>
        <v>0</v>
      </c>
      <c r="I2492" s="47"/>
      <c r="J2492" s="48">
        <f>VLOOKUP(A2492,'[1]תקציב 2026'!$A$1:$M$65536,9,0)</f>
        <v>16700</v>
      </c>
      <c r="K2492" s="49">
        <v>16700</v>
      </c>
      <c r="L2492" s="50">
        <f>VLOOKUP(A2492,[2]data1761205830331!$A$1:$J$65536,10,0)</f>
        <v>0</v>
      </c>
    </row>
    <row r="2493" spans="1:12" ht="15.6" outlineLevel="1">
      <c r="A2493" s="11">
        <v>1813700434</v>
      </c>
      <c r="B2493" s="40">
        <v>434</v>
      </c>
      <c r="C2493" s="109">
        <v>813700</v>
      </c>
      <c r="D2493" s="42">
        <v>1</v>
      </c>
      <c r="E2493" s="43"/>
      <c r="F2493" s="44" t="s">
        <v>35</v>
      </c>
      <c r="G2493" s="45" t="s">
        <v>37</v>
      </c>
      <c r="H2493" s="51">
        <f t="shared" si="39"/>
        <v>-1</v>
      </c>
      <c r="I2493" s="47"/>
      <c r="J2493" s="48">
        <f>VLOOKUP(A2493,'[1]תקציב 2026'!$A$1:$M$65536,9,0)</f>
        <v>0</v>
      </c>
      <c r="K2493" s="49">
        <f>VLOOKUP(A2493,[3]גיליון1!$A$1:$C$7693,3,0)*0.9</f>
        <v>630</v>
      </c>
      <c r="L2493" s="50">
        <f>VLOOKUP(A2493,[2]data1761205830331!$A$1:$J$65536,10,0)</f>
        <v>0</v>
      </c>
    </row>
    <row r="2494" spans="1:12" ht="15.6" outlineLevel="1">
      <c r="A2494" s="11">
        <v>1813700437</v>
      </c>
      <c r="B2494" s="40">
        <v>437</v>
      </c>
      <c r="C2494" s="109">
        <v>813700</v>
      </c>
      <c r="D2494" s="42">
        <v>1</v>
      </c>
      <c r="E2494" s="43"/>
      <c r="F2494" s="44" t="s">
        <v>38</v>
      </c>
      <c r="G2494" s="45" t="s">
        <v>29</v>
      </c>
      <c r="H2494" s="51">
        <f t="shared" si="39"/>
        <v>0</v>
      </c>
      <c r="I2494" s="47"/>
      <c r="J2494" s="48">
        <f>VLOOKUP(A2494,'[1]תקציב 2026'!$A$1:$M$65536,9,0)</f>
        <v>1300</v>
      </c>
      <c r="K2494" s="49">
        <f>VLOOKUP(A2494,[3]גיליון1!$A$1:$C$7693,3,0)</f>
        <v>1300</v>
      </c>
      <c r="L2494" s="50">
        <f>VLOOKUP(A2494,[2]data1761205830331!$A$1:$J$65536,10,0)</f>
        <v>1221.48</v>
      </c>
    </row>
    <row r="2495" spans="1:12" ht="15.6" outlineLevel="1">
      <c r="A2495" s="11">
        <v>1813700511</v>
      </c>
      <c r="B2495" s="40">
        <v>511</v>
      </c>
      <c r="C2495" s="109">
        <v>813700</v>
      </c>
      <c r="D2495" s="42">
        <v>1</v>
      </c>
      <c r="E2495" s="43"/>
      <c r="F2495" s="44" t="s">
        <v>72</v>
      </c>
      <c r="G2495" s="45" t="s">
        <v>37</v>
      </c>
      <c r="H2495" s="51">
        <f t="shared" si="39"/>
        <v>0</v>
      </c>
      <c r="I2495" s="47"/>
      <c r="J2495" s="48">
        <f>VLOOKUP(A2495,'[1]תקציב 2026'!$A$1:$M$65536,9,0)</f>
        <v>720</v>
      </c>
      <c r="K2495" s="49">
        <f>800*0.9</f>
        <v>720</v>
      </c>
      <c r="L2495" s="50">
        <f>VLOOKUP(A2495,[2]data1761205830331!$A$1:$J$65536,10,0)</f>
        <v>176</v>
      </c>
    </row>
    <row r="2496" spans="1:12" ht="15.6" outlineLevel="1">
      <c r="A2496" s="11">
        <v>1813700596</v>
      </c>
      <c r="B2496" s="40">
        <v>596</v>
      </c>
      <c r="C2496" s="109">
        <v>813700</v>
      </c>
      <c r="D2496" s="42">
        <v>1</v>
      </c>
      <c r="E2496" s="43"/>
      <c r="F2496" s="44" t="s">
        <v>76</v>
      </c>
      <c r="G2496" s="45" t="s">
        <v>29</v>
      </c>
      <c r="H2496" s="51">
        <f t="shared" si="39"/>
        <v>3.3541666666666581E-2</v>
      </c>
      <c r="I2496" s="47"/>
      <c r="J2496" s="48">
        <f>VLOOKUP(A2496,'[1]תקציב 2026'!$A$1:$M$65536,9,0)</f>
        <v>99220</v>
      </c>
      <c r="K2496" s="49">
        <v>96000</v>
      </c>
      <c r="L2496" s="50">
        <f>VLOOKUP(A2496,[2]data1761205830331!$A$1:$J$65536,10,0)</f>
        <v>87581</v>
      </c>
    </row>
    <row r="2497" spans="1:12" ht="15.6" outlineLevel="1">
      <c r="A2497" s="11">
        <v>1813700710</v>
      </c>
      <c r="B2497" s="40">
        <v>710</v>
      </c>
      <c r="C2497" s="109">
        <v>813700</v>
      </c>
      <c r="D2497" s="42">
        <v>1</v>
      </c>
      <c r="E2497" s="43"/>
      <c r="F2497" s="44" t="s">
        <v>1429</v>
      </c>
      <c r="G2497" s="45" t="s">
        <v>29</v>
      </c>
      <c r="H2497" s="51">
        <f t="shared" si="39"/>
        <v>1</v>
      </c>
      <c r="I2497" s="47"/>
      <c r="J2497" s="48">
        <f>VLOOKUP(A2497,'[1]תקציב 2026'!$A$1:$M$65536,9,0)</f>
        <v>1600000</v>
      </c>
      <c r="K2497" s="49">
        <f>VLOOKUP(A2497,[3]גיליון1!$A$1:$C$7693,3,0)</f>
        <v>800000</v>
      </c>
      <c r="L2497" s="50">
        <f>VLOOKUP(A2497,[2]data1761205830331!$A$1:$J$65536,10,0)</f>
        <v>587497</v>
      </c>
    </row>
    <row r="2498" spans="1:12" ht="15.6" outlineLevel="1">
      <c r="A2498" s="11">
        <v>1813700742</v>
      </c>
      <c r="B2498" s="40">
        <v>742</v>
      </c>
      <c r="C2498" s="109">
        <v>813700</v>
      </c>
      <c r="D2498" s="42">
        <v>1</v>
      </c>
      <c r="E2498" s="43"/>
      <c r="F2498" s="44" t="s">
        <v>52</v>
      </c>
      <c r="G2498" s="45" t="s">
        <v>37</v>
      </c>
      <c r="H2498" s="51">
        <f t="shared" si="39"/>
        <v>-1</v>
      </c>
      <c r="I2498" s="47"/>
      <c r="J2498" s="48">
        <f>VLOOKUP(A2498,'[1]תקציב 2026'!$A$1:$M$65536,9,0)</f>
        <v>0</v>
      </c>
      <c r="K2498" s="49">
        <f>VLOOKUP(A2498,[3]גיליון1!$A$1:$C$7693,3,0)*0.9</f>
        <v>810</v>
      </c>
      <c r="L2498" s="50">
        <f>VLOOKUP(A2498,[2]data1761205830331!$A$1:$J$65536,10,0)</f>
        <v>0</v>
      </c>
    </row>
    <row r="2499" spans="1:12" ht="15.6" outlineLevel="1">
      <c r="A2499" s="11">
        <v>1813700750</v>
      </c>
      <c r="B2499" s="40">
        <v>750</v>
      </c>
      <c r="C2499" s="109">
        <v>813700</v>
      </c>
      <c r="D2499" s="42">
        <v>1</v>
      </c>
      <c r="E2499" s="43"/>
      <c r="F2499" s="44" t="s">
        <v>1351</v>
      </c>
      <c r="G2499" s="45" t="s">
        <v>29</v>
      </c>
      <c r="H2499" s="51">
        <f t="shared" si="39"/>
        <v>8.2692307692307621E-2</v>
      </c>
      <c r="I2499" s="47"/>
      <c r="J2499" s="48">
        <f>VLOOKUP(A2499,'[1]תקציב 2026'!$A$1:$M$65536,9,0)</f>
        <v>337800</v>
      </c>
      <c r="K2499" s="49">
        <v>312000</v>
      </c>
      <c r="L2499" s="50">
        <f>VLOOKUP(A2499,[2]data1761205830331!$A$1:$J$65536,10,0)</f>
        <v>230647</v>
      </c>
    </row>
    <row r="2500" spans="1:12" ht="15.6" outlineLevel="1">
      <c r="A2500" s="11">
        <v>1813700752</v>
      </c>
      <c r="B2500" s="40">
        <v>752</v>
      </c>
      <c r="C2500" s="109">
        <v>813700</v>
      </c>
      <c r="D2500" s="42">
        <v>1</v>
      </c>
      <c r="E2500" s="43"/>
      <c r="F2500" s="44" t="s">
        <v>54</v>
      </c>
      <c r="G2500" s="45" t="s">
        <v>29</v>
      </c>
      <c r="H2500" s="51">
        <f t="shared" si="39"/>
        <v>0.3657407407407407</v>
      </c>
      <c r="I2500" s="47"/>
      <c r="J2500" s="48">
        <f>VLOOKUP(A2500,'[1]תקציב 2026'!$A$1:$M$65536,9,0)</f>
        <v>59000</v>
      </c>
      <c r="K2500" s="49">
        <f>VLOOKUP(A2500,[3]גיליון1!$A$1:$C$7693,3,0)</f>
        <v>43200</v>
      </c>
      <c r="L2500" s="50">
        <f>VLOOKUP(A2500,[2]data1761205830331!$A$1:$J$65536,10,0)</f>
        <v>37799.61</v>
      </c>
    </row>
    <row r="2501" spans="1:12" ht="15.6" outlineLevel="1">
      <c r="A2501" s="11">
        <v>1813700794</v>
      </c>
      <c r="B2501" s="40">
        <v>794</v>
      </c>
      <c r="C2501" s="109">
        <v>813700</v>
      </c>
      <c r="D2501" s="42">
        <v>1</v>
      </c>
      <c r="E2501" s="43"/>
      <c r="F2501" s="44" t="s">
        <v>58</v>
      </c>
      <c r="G2501" s="45" t="s">
        <v>29</v>
      </c>
      <c r="H2501" s="51">
        <f t="shared" si="39"/>
        <v>0</v>
      </c>
      <c r="I2501" s="47"/>
      <c r="J2501" s="48">
        <f>VLOOKUP(A2501,'[1]תקציב 2026'!$A$1:$M$65536,9,0)</f>
        <v>13300</v>
      </c>
      <c r="K2501" s="49">
        <v>13300</v>
      </c>
      <c r="L2501" s="50">
        <f>VLOOKUP(A2501,[2]data1761205830331!$A$1:$J$65536,10,0)</f>
        <v>14670</v>
      </c>
    </row>
    <row r="2502" spans="1:12" ht="15.6" outlineLevel="1">
      <c r="A2502" s="11">
        <v>1813700810</v>
      </c>
      <c r="B2502" s="40">
        <v>810</v>
      </c>
      <c r="C2502" s="109">
        <v>813700</v>
      </c>
      <c r="D2502" s="42">
        <v>1</v>
      </c>
      <c r="E2502" s="43"/>
      <c r="F2502" s="44" t="s">
        <v>1430</v>
      </c>
      <c r="G2502" s="45" t="s">
        <v>29</v>
      </c>
      <c r="H2502" s="51">
        <f t="shared" si="39"/>
        <v>0</v>
      </c>
      <c r="I2502" s="47"/>
      <c r="J2502" s="48">
        <f>VLOOKUP(A2502,'[1]תקציב 2026'!$A$1:$M$65536,9,0)</f>
        <v>57000</v>
      </c>
      <c r="K2502" s="49">
        <f>VLOOKUP(A2502,[3]גיליון1!$A$1:$C$7693,3,0)</f>
        <v>57000</v>
      </c>
      <c r="L2502" s="50">
        <f>VLOOKUP(A2502,[2]data1761205830331!$A$1:$J$65536,10,0)</f>
        <v>51300</v>
      </c>
    </row>
    <row r="2503" spans="1:12" ht="16.2" outlineLevel="1" thickBot="1">
      <c r="A2503" s="11">
        <v>1813700931</v>
      </c>
      <c r="B2503" s="40">
        <v>931</v>
      </c>
      <c r="C2503" s="109">
        <v>813700</v>
      </c>
      <c r="D2503" s="42">
        <v>1</v>
      </c>
      <c r="E2503" s="43"/>
      <c r="F2503" s="44" t="s">
        <v>1431</v>
      </c>
      <c r="G2503" s="45" t="s">
        <v>29</v>
      </c>
      <c r="H2503" s="51">
        <f t="shared" si="39"/>
        <v>0</v>
      </c>
      <c r="I2503" s="47"/>
      <c r="J2503" s="48">
        <f>VLOOKUP(A2503,'[1]תקציב 2026'!$A$1:$M$65536,9,0)</f>
        <v>100000</v>
      </c>
      <c r="K2503" s="49">
        <f>VLOOKUP(A2503,[3]גיליון1!$A$1:$C$7693,3,0)</f>
        <v>100000</v>
      </c>
      <c r="L2503" s="50">
        <f>VLOOKUP(A2503,[2]data1761205830331!$A$1:$J$65536,10,0)</f>
        <v>70453</v>
      </c>
    </row>
    <row r="2504" spans="1:12" ht="16.2" thickBot="1">
      <c r="A2504" s="11" t="e">
        <v>#VALUE!</v>
      </c>
      <c r="B2504" s="53" t="s">
        <v>1432</v>
      </c>
      <c r="C2504" s="223"/>
      <c r="D2504" s="55"/>
      <c r="E2504" s="56"/>
      <c r="F2504" s="116" t="s">
        <v>1428</v>
      </c>
      <c r="G2504" s="58"/>
      <c r="H2504" s="166">
        <f>J2504/K2504-1</f>
        <v>0.50137480464848472</v>
      </c>
      <c r="I2504" s="72"/>
      <c r="J2504" s="74">
        <f>SUBTOTAL(9,J2485:J2503)</f>
        <v>2555430</v>
      </c>
      <c r="K2504" s="92">
        <f>SUBTOTAL(9,K2485:K2503)</f>
        <v>1702060</v>
      </c>
      <c r="L2504" s="75">
        <f>SUBTOTAL(9,L2485:L2503)</f>
        <v>1224231.28</v>
      </c>
    </row>
    <row r="2505" spans="1:12" ht="15.6" outlineLevel="1">
      <c r="A2505" s="11">
        <v>18139000</v>
      </c>
      <c r="B2505" s="64">
        <v>0</v>
      </c>
      <c r="C2505" s="131">
        <v>813900</v>
      </c>
      <c r="D2505" s="66">
        <v>1</v>
      </c>
      <c r="E2505" s="67"/>
      <c r="F2505" s="68" t="s">
        <v>1433</v>
      </c>
      <c r="G2505" s="69" t="s">
        <v>15</v>
      </c>
      <c r="H2505" s="51"/>
      <c r="I2505" s="47"/>
      <c r="J2505" s="48"/>
      <c r="K2505" s="49"/>
      <c r="L2505" s="50"/>
    </row>
    <row r="2506" spans="1:12" ht="15.6" outlineLevel="1">
      <c r="A2506" s="11">
        <v>1813900810</v>
      </c>
      <c r="B2506" s="40">
        <v>810</v>
      </c>
      <c r="C2506" s="109">
        <v>813900</v>
      </c>
      <c r="D2506" s="42">
        <v>1</v>
      </c>
      <c r="E2506" s="43"/>
      <c r="F2506" s="44" t="s">
        <v>1434</v>
      </c>
      <c r="G2506" s="45" t="s">
        <v>29</v>
      </c>
      <c r="H2506" s="51">
        <f t="shared" si="39"/>
        <v>0.23636363636363633</v>
      </c>
      <c r="I2506" s="47"/>
      <c r="J2506" s="48">
        <f>VLOOKUP(A2506,'[1]תקציב 2026'!$A$1:$M$65536,9,0)</f>
        <v>680000</v>
      </c>
      <c r="K2506" s="49">
        <f>VLOOKUP(A2506,[3]גיליון1!$A$1:$C$7693,3,0)</f>
        <v>550000</v>
      </c>
      <c r="L2506" s="50">
        <f>VLOOKUP(A2506,[2]data1761205830331!$A$1:$J$65536,10,0)</f>
        <v>674511</v>
      </c>
    </row>
    <row r="2507" spans="1:12" ht="16.2" outlineLevel="1" thickBot="1">
      <c r="A2507" s="11">
        <v>1813900811</v>
      </c>
      <c r="B2507" s="40">
        <v>811</v>
      </c>
      <c r="C2507" s="109">
        <v>813900</v>
      </c>
      <c r="D2507" s="42">
        <v>1</v>
      </c>
      <c r="E2507" s="43"/>
      <c r="F2507" s="44" t="s">
        <v>1435</v>
      </c>
      <c r="G2507" s="45" t="s">
        <v>29</v>
      </c>
      <c r="H2507" s="51">
        <f t="shared" si="39"/>
        <v>5.4545454545454453E-2</v>
      </c>
      <c r="I2507" s="47"/>
      <c r="J2507" s="48">
        <f>VLOOKUP(A2507,'[1]תקציב 2026'!$A$1:$M$65536,9,0)</f>
        <v>5800000</v>
      </c>
      <c r="K2507" s="49">
        <f>VLOOKUP(A2507,[3]גיליון1!$A$1:$C$7693,3,0)</f>
        <v>5500000</v>
      </c>
      <c r="L2507" s="50">
        <f>VLOOKUP(A2507,[2]data1761205830331!$A$1:$J$65536,10,0)</f>
        <v>5706725.0099999998</v>
      </c>
    </row>
    <row r="2508" spans="1:12" ht="16.2" thickBot="1">
      <c r="A2508" s="11" t="e">
        <v>#VALUE!</v>
      </c>
      <c r="B2508" s="53" t="s">
        <v>1436</v>
      </c>
      <c r="C2508" s="223"/>
      <c r="D2508" s="55"/>
      <c r="E2508" s="56"/>
      <c r="F2508" s="116" t="s">
        <v>1433</v>
      </c>
      <c r="G2508" s="58"/>
      <c r="H2508" s="166">
        <f>J2508/K2508-1</f>
        <v>7.107438016528933E-2</v>
      </c>
      <c r="I2508" s="72"/>
      <c r="J2508" s="74">
        <f>SUBTOTAL(9,J2506:J2507)</f>
        <v>6480000</v>
      </c>
      <c r="K2508" s="92">
        <f>SUBTOTAL(9,K2506:K2507)</f>
        <v>6050000</v>
      </c>
      <c r="L2508" s="75">
        <f>SUBTOTAL(9,L2506:L2507)</f>
        <v>6381236.0099999998</v>
      </c>
    </row>
    <row r="2509" spans="1:12" ht="15.6" outlineLevel="1">
      <c r="A2509" s="11">
        <v>18141000</v>
      </c>
      <c r="B2509" s="40">
        <v>0</v>
      </c>
      <c r="C2509" s="109">
        <v>814100</v>
      </c>
      <c r="D2509" s="42">
        <v>1</v>
      </c>
      <c r="E2509" s="43"/>
      <c r="F2509" s="44" t="s">
        <v>1437</v>
      </c>
      <c r="G2509" s="45" t="s">
        <v>15</v>
      </c>
      <c r="H2509" s="51"/>
      <c r="I2509" s="47"/>
      <c r="J2509" s="48"/>
      <c r="K2509" s="49"/>
      <c r="L2509" s="50"/>
    </row>
    <row r="2510" spans="1:12" ht="16.2" outlineLevel="1" thickBot="1">
      <c r="A2510" s="11">
        <v>1814100780</v>
      </c>
      <c r="B2510" s="40">
        <v>780</v>
      </c>
      <c r="C2510" s="109">
        <v>814100</v>
      </c>
      <c r="D2510" s="42">
        <v>1</v>
      </c>
      <c r="E2510" s="43"/>
      <c r="F2510" s="44" t="s">
        <v>1438</v>
      </c>
      <c r="G2510" s="45" t="s">
        <v>37</v>
      </c>
      <c r="H2510" s="51">
        <f t="shared" si="39"/>
        <v>0</v>
      </c>
      <c r="I2510" s="47"/>
      <c r="J2510" s="48">
        <f>VLOOKUP(A2510,'[1]תקציב 2026'!$A$1:$M$65536,9,0)</f>
        <v>954000</v>
      </c>
      <c r="K2510" s="49">
        <f>VLOOKUP(A2510,[3]גיליון1!$A$1:$C$7693,3,0)*0.9</f>
        <v>954000</v>
      </c>
      <c r="L2510" s="50">
        <f>VLOOKUP(A2510,[2]data1761205830331!$A$1:$J$65536,10,0)</f>
        <v>904073</v>
      </c>
    </row>
    <row r="2511" spans="1:12" ht="16.2" thickBot="1">
      <c r="A2511" s="11" t="e">
        <v>#VALUE!</v>
      </c>
      <c r="B2511" s="53" t="s">
        <v>1439</v>
      </c>
      <c r="C2511" s="223"/>
      <c r="D2511" s="55"/>
      <c r="E2511" s="56"/>
      <c r="F2511" s="116" t="s">
        <v>1437</v>
      </c>
      <c r="G2511" s="58"/>
      <c r="H2511" s="166">
        <f>J2511/K2511-1</f>
        <v>0</v>
      </c>
      <c r="I2511" s="72"/>
      <c r="J2511" s="74">
        <f>SUBTOTAL(9,J2510:J2510)</f>
        <v>954000</v>
      </c>
      <c r="K2511" s="92">
        <f>SUBTOTAL(9,K2510:K2510)</f>
        <v>954000</v>
      </c>
      <c r="L2511" s="75">
        <f>SUBTOTAL(9,L2510:L2510)</f>
        <v>904073</v>
      </c>
    </row>
    <row r="2512" spans="1:12" ht="15.6" outlineLevel="1">
      <c r="A2512" s="11">
        <v>18150000</v>
      </c>
      <c r="B2512" s="40">
        <v>0</v>
      </c>
      <c r="C2512" s="109">
        <v>815000</v>
      </c>
      <c r="D2512" s="42">
        <v>1</v>
      </c>
      <c r="E2512" s="43"/>
      <c r="F2512" s="44" t="s">
        <v>361</v>
      </c>
      <c r="G2512" s="45" t="s">
        <v>15</v>
      </c>
      <c r="H2512" s="51"/>
      <c r="I2512" s="47"/>
      <c r="J2512" s="48"/>
      <c r="K2512" s="49"/>
      <c r="L2512" s="50"/>
    </row>
    <row r="2513" spans="1:12" ht="15.6" outlineLevel="1">
      <c r="A2513" s="11">
        <v>1815100111</v>
      </c>
      <c r="B2513" s="40">
        <v>111</v>
      </c>
      <c r="C2513" s="109">
        <v>815100</v>
      </c>
      <c r="D2513" s="42">
        <v>1</v>
      </c>
      <c r="E2513" s="43"/>
      <c r="F2513" s="44" t="s">
        <v>1440</v>
      </c>
      <c r="G2513" s="45" t="s">
        <v>22</v>
      </c>
      <c r="H2513" s="51">
        <v>0</v>
      </c>
      <c r="I2513" s="47"/>
      <c r="J2513" s="48">
        <f>VLOOKUP(A2513,'[1]תקציב 2026'!$A$1:$M$65536,9,0)</f>
        <v>0</v>
      </c>
      <c r="K2513" s="49">
        <f>VLOOKUP(A2513,[3]גיליון1!$A$1:$C$7693,3,0)</f>
        <v>0</v>
      </c>
      <c r="L2513" s="50">
        <f>VLOOKUP(A2513,[2]data1761205830331!$A$1:$J$65536,10,0)</f>
        <v>60785.87</v>
      </c>
    </row>
    <row r="2514" spans="1:12" ht="15.6" outlineLevel="1">
      <c r="A2514" s="11">
        <v>1815100112</v>
      </c>
      <c r="B2514" s="40">
        <v>112</v>
      </c>
      <c r="C2514" s="109">
        <v>815100</v>
      </c>
      <c r="D2514" s="42">
        <v>1</v>
      </c>
      <c r="E2514" s="43"/>
      <c r="F2514" s="44" t="s">
        <v>1441</v>
      </c>
      <c r="G2514" s="45" t="s">
        <v>22</v>
      </c>
      <c r="H2514" s="51">
        <v>0</v>
      </c>
      <c r="I2514" s="47"/>
      <c r="J2514" s="48">
        <f>VLOOKUP(A2514,'[1]תקציב 2026'!$A$1:$M$65536,9,0)</f>
        <v>0</v>
      </c>
      <c r="K2514" s="49">
        <f>VLOOKUP(A2514,[3]גיליון1!$A$1:$C$7693,3,0)</f>
        <v>0</v>
      </c>
      <c r="L2514" s="50">
        <f>VLOOKUP(A2514,[2]data1761205830331!$A$1:$J$65536,10,0)</f>
        <v>105577.36</v>
      </c>
    </row>
    <row r="2515" spans="1:12" ht="15.6" outlineLevel="1">
      <c r="A2515" s="11">
        <v>1815100113</v>
      </c>
      <c r="B2515" s="40">
        <v>113</v>
      </c>
      <c r="C2515" s="109">
        <v>815100</v>
      </c>
      <c r="D2515" s="42">
        <v>1</v>
      </c>
      <c r="E2515" s="43"/>
      <c r="F2515" s="44" t="s">
        <v>1442</v>
      </c>
      <c r="G2515" s="45" t="s">
        <v>22</v>
      </c>
      <c r="H2515" s="51">
        <v>0</v>
      </c>
      <c r="I2515" s="47"/>
      <c r="J2515" s="48">
        <f>VLOOKUP(A2515,'[1]תקציב 2026'!$A$1:$M$65536,9,0)</f>
        <v>0</v>
      </c>
      <c r="K2515" s="49">
        <f>VLOOKUP(A2515,[3]גיליון1!$A$1:$C$7693,3,0)</f>
        <v>0</v>
      </c>
      <c r="L2515" s="50">
        <f>VLOOKUP(A2515,[2]data1761205830331!$A$1:$J$65536,10,0)</f>
        <v>82699.44</v>
      </c>
    </row>
    <row r="2516" spans="1:12" ht="15.6" outlineLevel="1">
      <c r="A2516" s="11">
        <v>1815100114</v>
      </c>
      <c r="B2516" s="40">
        <v>114</v>
      </c>
      <c r="C2516" s="109">
        <v>815100</v>
      </c>
      <c r="D2516" s="42">
        <v>1</v>
      </c>
      <c r="E2516" s="43"/>
      <c r="F2516" s="44" t="s">
        <v>1443</v>
      </c>
      <c r="G2516" s="45" t="s">
        <v>22</v>
      </c>
      <c r="H2516" s="51">
        <v>0</v>
      </c>
      <c r="I2516" s="47"/>
      <c r="J2516" s="48">
        <f>VLOOKUP(A2516,'[1]תקציב 2026'!$A$1:$M$65536,9,0)</f>
        <v>0</v>
      </c>
      <c r="K2516" s="49">
        <f>VLOOKUP(A2516,[3]גיליון1!$A$1:$C$7693,3,0)</f>
        <v>0</v>
      </c>
      <c r="L2516" s="50">
        <f>VLOOKUP(A2516,[2]data1761205830331!$A$1:$J$65536,10,0)</f>
        <v>200004.79</v>
      </c>
    </row>
    <row r="2517" spans="1:12" ht="15.6" outlineLevel="1">
      <c r="A2517" s="11">
        <v>1815100115</v>
      </c>
      <c r="B2517" s="40">
        <v>115</v>
      </c>
      <c r="C2517" s="109">
        <v>815100</v>
      </c>
      <c r="D2517" s="42">
        <v>1</v>
      </c>
      <c r="E2517" s="43"/>
      <c r="F2517" s="44" t="s">
        <v>1444</v>
      </c>
      <c r="G2517" s="45" t="s">
        <v>22</v>
      </c>
      <c r="H2517" s="51">
        <v>0</v>
      </c>
      <c r="I2517" s="47"/>
      <c r="J2517" s="48">
        <f>VLOOKUP(A2517,'[1]תקציב 2026'!$A$1:$M$65536,9,0)</f>
        <v>0</v>
      </c>
      <c r="K2517" s="49">
        <f>VLOOKUP(A2517,[3]גיליון1!$A$1:$C$7693,3,0)</f>
        <v>0</v>
      </c>
      <c r="L2517" s="50">
        <f>VLOOKUP(A2517,[2]data1761205830331!$A$1:$J$65536,10,0)</f>
        <v>131507.6</v>
      </c>
    </row>
    <row r="2518" spans="1:12" ht="15.6" outlineLevel="1">
      <c r="A2518" s="11">
        <v>1815100116</v>
      </c>
      <c r="B2518" s="40">
        <v>116</v>
      </c>
      <c r="C2518" s="109">
        <v>815100</v>
      </c>
      <c r="D2518" s="42">
        <v>1</v>
      </c>
      <c r="E2518" s="43"/>
      <c r="F2518" s="44" t="s">
        <v>1445</v>
      </c>
      <c r="G2518" s="45" t="s">
        <v>22</v>
      </c>
      <c r="H2518" s="51">
        <v>0</v>
      </c>
      <c r="I2518" s="47"/>
      <c r="J2518" s="48">
        <f>VLOOKUP(A2518,'[1]תקציב 2026'!$A$1:$M$65536,9,0)</f>
        <v>0</v>
      </c>
      <c r="K2518" s="49">
        <f>VLOOKUP(A2518,[3]גיליון1!$A$1:$C$7693,3,0)</f>
        <v>0</v>
      </c>
      <c r="L2518" s="50">
        <f>VLOOKUP(A2518,[2]data1761205830331!$A$1:$J$65536,10,0)</f>
        <v>14829.29</v>
      </c>
    </row>
    <row r="2519" spans="1:12" ht="15.6" outlineLevel="1">
      <c r="A2519" s="11">
        <v>1815100117</v>
      </c>
      <c r="B2519" s="40">
        <v>117</v>
      </c>
      <c r="C2519" s="109">
        <v>815100</v>
      </c>
      <c r="D2519" s="42">
        <v>1</v>
      </c>
      <c r="E2519" s="43"/>
      <c r="F2519" s="44" t="s">
        <v>1446</v>
      </c>
      <c r="G2519" s="45" t="s">
        <v>22</v>
      </c>
      <c r="H2519" s="51">
        <v>0</v>
      </c>
      <c r="I2519" s="47"/>
      <c r="J2519" s="48">
        <f>VLOOKUP(A2519,'[1]תקציב 2026'!$A$1:$M$65536,9,0)</f>
        <v>0</v>
      </c>
      <c r="K2519" s="49">
        <f>VLOOKUP(A2519,[3]גיליון1!$A$1:$C$7693,3,0)</f>
        <v>0</v>
      </c>
      <c r="L2519" s="50">
        <f>VLOOKUP(A2519,[2]data1761205830331!$A$1:$J$65536,10,0)</f>
        <v>28077.71</v>
      </c>
    </row>
    <row r="2520" spans="1:12" ht="15.6" outlineLevel="1">
      <c r="A2520" s="11">
        <v>1815100118</v>
      </c>
      <c r="B2520" s="40">
        <v>118</v>
      </c>
      <c r="C2520" s="109">
        <v>815100</v>
      </c>
      <c r="D2520" s="42">
        <v>1</v>
      </c>
      <c r="E2520" s="43"/>
      <c r="F2520" s="44" t="s">
        <v>1447</v>
      </c>
      <c r="G2520" s="45" t="s">
        <v>22</v>
      </c>
      <c r="H2520" s="51">
        <v>0</v>
      </c>
      <c r="I2520" s="47"/>
      <c r="J2520" s="48">
        <f>VLOOKUP(A2520,'[1]תקציב 2026'!$A$1:$M$65536,9,0)</f>
        <v>0</v>
      </c>
      <c r="K2520" s="49">
        <f>VLOOKUP(A2520,[3]גיליון1!$A$1:$C$7693,3,0)</f>
        <v>0</v>
      </c>
      <c r="L2520" s="50">
        <f>VLOOKUP(A2520,[2]data1761205830331!$A$1:$J$65536,10,0)</f>
        <v>46488.99</v>
      </c>
    </row>
    <row r="2521" spans="1:12" ht="15.6" outlineLevel="1">
      <c r="A2521" s="11">
        <v>1815100119</v>
      </c>
      <c r="B2521" s="40">
        <v>119</v>
      </c>
      <c r="C2521" s="109">
        <v>815100</v>
      </c>
      <c r="D2521" s="42">
        <v>1</v>
      </c>
      <c r="E2521" s="43"/>
      <c r="F2521" s="44" t="s">
        <v>1448</v>
      </c>
      <c r="G2521" s="45" t="s">
        <v>22</v>
      </c>
      <c r="H2521" s="51">
        <v>0</v>
      </c>
      <c r="I2521" s="47"/>
      <c r="J2521" s="48">
        <f>VLOOKUP(A2521,'[1]תקציב 2026'!$A$1:$M$65536,9,0)</f>
        <v>0</v>
      </c>
      <c r="K2521" s="49">
        <f>VLOOKUP(A2521,[3]גיליון1!$A$1:$C$7693,3,0)</f>
        <v>0</v>
      </c>
      <c r="L2521" s="50">
        <f>VLOOKUP(A2521,[2]data1761205830331!$A$1:$J$65536,10,0)</f>
        <v>69129.16</v>
      </c>
    </row>
    <row r="2522" spans="1:12" ht="15.6" outlineLevel="1">
      <c r="A2522" s="11">
        <v>1815100120</v>
      </c>
      <c r="B2522" s="40">
        <v>120</v>
      </c>
      <c r="C2522" s="109">
        <v>815100</v>
      </c>
      <c r="D2522" s="42">
        <v>1</v>
      </c>
      <c r="E2522" s="43"/>
      <c r="F2522" s="44" t="s">
        <v>1449</v>
      </c>
      <c r="G2522" s="45" t="s">
        <v>22</v>
      </c>
      <c r="H2522" s="51">
        <v>0</v>
      </c>
      <c r="I2522" s="47"/>
      <c r="J2522" s="48">
        <f>VLOOKUP(A2522,'[1]תקציב 2026'!$A$1:$M$65536,9,0)</f>
        <v>0</v>
      </c>
      <c r="K2522" s="49">
        <f>VLOOKUP(A2522,[3]גיליון1!$A$1:$C$7693,3,0)</f>
        <v>0</v>
      </c>
      <c r="L2522" s="50">
        <f>VLOOKUP(A2522,[2]data1761205830331!$A$1:$J$65536,10,0)</f>
        <v>20365.55</v>
      </c>
    </row>
    <row r="2523" spans="1:12" ht="15.6" outlineLevel="1">
      <c r="A2523" s="11">
        <v>1815100210</v>
      </c>
      <c r="B2523" s="40">
        <v>210</v>
      </c>
      <c r="C2523" s="109">
        <v>815100</v>
      </c>
      <c r="D2523" s="42">
        <v>1</v>
      </c>
      <c r="E2523" s="43"/>
      <c r="F2523" s="44" t="s">
        <v>1450</v>
      </c>
      <c r="G2523" s="45" t="s">
        <v>22</v>
      </c>
      <c r="H2523" s="51">
        <f t="shared" si="39"/>
        <v>0.14999999999999991</v>
      </c>
      <c r="I2523" s="47"/>
      <c r="J2523" s="48">
        <f>VLOOKUP(A2523,'[1]תקציב 2026'!$A$1:$M$65536,9,0)</f>
        <v>1092500</v>
      </c>
      <c r="K2523" s="49">
        <f>VLOOKUP(A2523,[3]גיליון1!$A$1:$C$7693,3,0)</f>
        <v>950000</v>
      </c>
      <c r="L2523" s="50">
        <f>VLOOKUP(A2523,[2]data1761205830331!$A$1:$J$65536,10,0)</f>
        <v>6456.76</v>
      </c>
    </row>
    <row r="2524" spans="1:12" ht="15.6" outlineLevel="1">
      <c r="A2524" s="11">
        <v>1815100211</v>
      </c>
      <c r="B2524" s="40">
        <v>211</v>
      </c>
      <c r="C2524" s="109">
        <v>815100</v>
      </c>
      <c r="D2524" s="42">
        <v>1</v>
      </c>
      <c r="E2524" s="43"/>
      <c r="F2524" s="44" t="s">
        <v>1451</v>
      </c>
      <c r="G2524" s="45" t="s">
        <v>22</v>
      </c>
      <c r="H2524" s="51">
        <v>0</v>
      </c>
      <c r="I2524" s="47"/>
      <c r="J2524" s="48">
        <f>VLOOKUP(A2524,'[1]תקציב 2026'!$A$1:$M$65536,9,0)</f>
        <v>0</v>
      </c>
      <c r="K2524" s="49">
        <f>VLOOKUP(A2524,[3]גיליון1!$A$1:$C$7693,3,0)</f>
        <v>0</v>
      </c>
      <c r="L2524" s="50">
        <f>VLOOKUP(A2524,[2]data1761205830331!$A$1:$J$65536,10,0)</f>
        <v>4857.1099999999997</v>
      </c>
    </row>
    <row r="2525" spans="1:12" ht="15.6" outlineLevel="1">
      <c r="A2525" s="11">
        <v>1815100213</v>
      </c>
      <c r="B2525" s="40">
        <v>213</v>
      </c>
      <c r="C2525" s="109">
        <v>815100</v>
      </c>
      <c r="D2525" s="42">
        <v>1</v>
      </c>
      <c r="E2525" s="43"/>
      <c r="F2525" s="44" t="s">
        <v>363</v>
      </c>
      <c r="G2525" s="45" t="s">
        <v>22</v>
      </c>
      <c r="H2525" s="51">
        <f t="shared" si="39"/>
        <v>1.0416666666666665</v>
      </c>
      <c r="I2525" s="47"/>
      <c r="J2525" s="48">
        <f>VLOOKUP(A2525,'[1]תקציב 2026'!$A$1:$M$65536,9,0)</f>
        <v>122500</v>
      </c>
      <c r="K2525" s="49">
        <f>VLOOKUP(A2525,[3]גיליון1!$A$1:$C$7693,3,0)</f>
        <v>60000</v>
      </c>
      <c r="L2525" s="50">
        <f>VLOOKUP(A2525,[2]data1761205830331!$A$1:$J$65536,10,0)</f>
        <v>36824.26</v>
      </c>
    </row>
    <row r="2526" spans="1:12" ht="15.6" outlineLevel="1">
      <c r="A2526" s="11">
        <v>1815100253</v>
      </c>
      <c r="B2526" s="40">
        <v>253</v>
      </c>
      <c r="C2526" s="109">
        <v>815100</v>
      </c>
      <c r="D2526" s="42">
        <v>1</v>
      </c>
      <c r="E2526" s="43"/>
      <c r="F2526" s="44" t="s">
        <v>1452</v>
      </c>
      <c r="G2526" s="45" t="s">
        <v>22</v>
      </c>
      <c r="H2526" s="51">
        <f t="shared" si="39"/>
        <v>0</v>
      </c>
      <c r="I2526" s="47"/>
      <c r="J2526" s="48">
        <f>VLOOKUP(A2526,'[1]תקציב 2026'!$A$1:$M$65536,9,0)</f>
        <v>120000</v>
      </c>
      <c r="K2526" s="49">
        <f>VLOOKUP(A2526,[3]גיליון1!$A$1:$C$7693,3,0)</f>
        <v>120000</v>
      </c>
      <c r="L2526" s="50">
        <f>VLOOKUP(A2526,[2]data1761205830331!$A$1:$J$65536,10,0)</f>
        <v>119367.41</v>
      </c>
    </row>
    <row r="2527" spans="1:12" ht="15.6" outlineLevel="1">
      <c r="A2527" s="11">
        <v>1815100263</v>
      </c>
      <c r="B2527" s="40">
        <v>263</v>
      </c>
      <c r="C2527" s="109">
        <v>815100</v>
      </c>
      <c r="D2527" s="42">
        <v>1</v>
      </c>
      <c r="E2527" s="43"/>
      <c r="F2527" s="44" t="s">
        <v>1453</v>
      </c>
      <c r="G2527" s="45" t="s">
        <v>22</v>
      </c>
      <c r="H2527" s="51">
        <f t="shared" si="39"/>
        <v>-1</v>
      </c>
      <c r="I2527" s="47"/>
      <c r="J2527" s="48">
        <f>VLOOKUP(A2527,'[1]תקציב 2026'!$A$1:$M$65536,9,0)</f>
        <v>0</v>
      </c>
      <c r="K2527" s="49">
        <v>500000</v>
      </c>
      <c r="L2527" s="50">
        <f>VLOOKUP(A2527,[2]data1761205830331!$A$1:$J$65536,10,0)</f>
        <v>0</v>
      </c>
    </row>
    <row r="2528" spans="1:12" ht="15.6" outlineLevel="1">
      <c r="A2528" s="11">
        <v>1815100410</v>
      </c>
      <c r="B2528" s="40">
        <v>410</v>
      </c>
      <c r="C2528" s="109">
        <v>815100</v>
      </c>
      <c r="D2528" s="42">
        <v>1</v>
      </c>
      <c r="E2528" s="43"/>
      <c r="F2528" s="44" t="s">
        <v>1454</v>
      </c>
      <c r="G2528" s="45" t="s">
        <v>29</v>
      </c>
      <c r="H2528" s="51">
        <f t="shared" si="39"/>
        <v>-1</v>
      </c>
      <c r="I2528" s="47"/>
      <c r="J2528" s="48">
        <f>VLOOKUP(A2528,'[1]תקציב 2026'!$A$1:$M$65536,9,0)</f>
        <v>0</v>
      </c>
      <c r="K2528" s="49">
        <f>VLOOKUP(A2528,[3]גיליון1!$A$1:$C$7693,3,0)</f>
        <v>4300</v>
      </c>
      <c r="L2528" s="50">
        <f>VLOOKUP(A2528,[2]data1761205830331!$A$1:$J$65536,10,0)</f>
        <v>0</v>
      </c>
    </row>
    <row r="2529" spans="1:12" ht="15.6" outlineLevel="1">
      <c r="A2529" s="11">
        <v>1815100420</v>
      </c>
      <c r="B2529" s="40">
        <v>420</v>
      </c>
      <c r="C2529" s="109">
        <v>815100</v>
      </c>
      <c r="D2529" s="42">
        <v>1</v>
      </c>
      <c r="E2529" s="43"/>
      <c r="F2529" s="44" t="s">
        <v>30</v>
      </c>
      <c r="G2529" s="45" t="s">
        <v>29</v>
      </c>
      <c r="H2529" s="51">
        <f t="shared" si="39"/>
        <v>0</v>
      </c>
      <c r="I2529" s="47"/>
      <c r="J2529" s="48">
        <f>VLOOKUP(A2529,'[1]תקציב 2026'!$A$1:$M$65536,9,0)</f>
        <v>4500</v>
      </c>
      <c r="K2529" s="49">
        <f>VLOOKUP(A2529,[3]גיליון1!$A$1:$C$7693,3,0)*0.9</f>
        <v>4500</v>
      </c>
      <c r="L2529" s="50">
        <f>VLOOKUP(A2529,[2]data1761205830331!$A$1:$J$65536,10,0)</f>
        <v>0</v>
      </c>
    </row>
    <row r="2530" spans="1:12" ht="15.6" outlineLevel="1">
      <c r="A2530" s="11">
        <v>1815100431</v>
      </c>
      <c r="B2530" s="40">
        <v>431</v>
      </c>
      <c r="C2530" s="109">
        <v>815100</v>
      </c>
      <c r="D2530" s="42">
        <v>1</v>
      </c>
      <c r="E2530" s="43"/>
      <c r="F2530" s="44" t="s">
        <v>1455</v>
      </c>
      <c r="G2530" s="45" t="s">
        <v>29</v>
      </c>
      <c r="H2530" s="51">
        <f t="shared" si="39"/>
        <v>0</v>
      </c>
      <c r="I2530" s="47"/>
      <c r="J2530" s="48">
        <f>VLOOKUP(A2530,'[1]תקציב 2026'!$A$1:$M$65536,9,0)</f>
        <v>101000</v>
      </c>
      <c r="K2530" s="49">
        <v>101000</v>
      </c>
      <c r="L2530" s="50">
        <f>VLOOKUP(A2530,[2]data1761205830331!$A$1:$J$65536,10,0)</f>
        <v>99999.39</v>
      </c>
    </row>
    <row r="2531" spans="1:12" ht="15.6" outlineLevel="1">
      <c r="A2531" s="11">
        <v>1815100432</v>
      </c>
      <c r="B2531" s="40">
        <v>432</v>
      </c>
      <c r="C2531" s="109">
        <v>815100</v>
      </c>
      <c r="D2531" s="42">
        <v>1</v>
      </c>
      <c r="E2531" s="43"/>
      <c r="F2531" s="44" t="s">
        <v>1456</v>
      </c>
      <c r="G2531" s="45" t="s">
        <v>29</v>
      </c>
      <c r="H2531" s="51">
        <f t="shared" si="39"/>
        <v>0</v>
      </c>
      <c r="I2531" s="47"/>
      <c r="J2531" s="48">
        <f>VLOOKUP(A2531,'[1]תקציב 2026'!$A$1:$M$65536,9,0)</f>
        <v>100000</v>
      </c>
      <c r="K2531" s="49">
        <f>VLOOKUP(A2531,[3]גיליון1!$A$1:$C$7693,3,0)</f>
        <v>100000</v>
      </c>
      <c r="L2531" s="50">
        <f>VLOOKUP(A2531,[2]data1761205830331!$A$1:$J$65536,10,0)</f>
        <v>56203.69</v>
      </c>
    </row>
    <row r="2532" spans="1:12" ht="15.6" outlineLevel="1">
      <c r="A2532" s="11">
        <v>1815100521</v>
      </c>
      <c r="B2532" s="40">
        <v>521</v>
      </c>
      <c r="C2532" s="109">
        <v>815100</v>
      </c>
      <c r="D2532" s="42">
        <v>1</v>
      </c>
      <c r="E2532" s="43"/>
      <c r="F2532" s="44" t="s">
        <v>1457</v>
      </c>
      <c r="G2532" s="45" t="s">
        <v>37</v>
      </c>
      <c r="H2532" s="51">
        <f t="shared" si="39"/>
        <v>-1</v>
      </c>
      <c r="I2532" s="47"/>
      <c r="J2532" s="48">
        <f>VLOOKUP(A2532,'[1]תקציב 2026'!$A$1:$M$65536,9,0)</f>
        <v>0</v>
      </c>
      <c r="K2532" s="49">
        <f>VLOOKUP(A2532,[3]גיליון1!$A$1:$C$7693,3,0)*0.9</f>
        <v>7290</v>
      </c>
      <c r="L2532" s="50">
        <f>VLOOKUP(A2532,[2]data1761205830331!$A$1:$J$65536,10,0)</f>
        <v>0</v>
      </c>
    </row>
    <row r="2533" spans="1:12" ht="15.6" outlineLevel="1">
      <c r="A2533" s="11">
        <v>1815100550</v>
      </c>
      <c r="B2533" s="40">
        <v>550</v>
      </c>
      <c r="C2533" s="109">
        <v>815100</v>
      </c>
      <c r="D2533" s="42">
        <v>1</v>
      </c>
      <c r="E2533" s="43"/>
      <c r="F2533" s="44" t="s">
        <v>1458</v>
      </c>
      <c r="G2533" s="45" t="s">
        <v>37</v>
      </c>
      <c r="H2533" s="51">
        <f t="shared" si="39"/>
        <v>-2.5341130604288553E-2</v>
      </c>
      <c r="I2533" s="47"/>
      <c r="J2533" s="48">
        <f>VLOOKUP(A2533,'[1]תקציב 2026'!$A$1:$M$65536,9,0)</f>
        <v>15000</v>
      </c>
      <c r="K2533" s="49">
        <f>VLOOKUP(A2533,[3]גיליון1!$A$1:$C$7693,3,0)*0.9</f>
        <v>15390</v>
      </c>
      <c r="L2533" s="50">
        <f>VLOOKUP(A2533,[2]data1761205830331!$A$1:$J$65536,10,0)</f>
        <v>15818.5</v>
      </c>
    </row>
    <row r="2534" spans="1:12" ht="15.6" outlineLevel="1">
      <c r="A2534" s="11">
        <v>1815100562</v>
      </c>
      <c r="B2534" s="40">
        <v>562</v>
      </c>
      <c r="C2534" s="109">
        <v>815100</v>
      </c>
      <c r="D2534" s="42">
        <v>1</v>
      </c>
      <c r="E2534" s="43"/>
      <c r="F2534" s="44" t="s">
        <v>748</v>
      </c>
      <c r="G2534" s="45" t="s">
        <v>37</v>
      </c>
      <c r="H2534" s="51">
        <f t="shared" si="39"/>
        <v>-0.11734164070612674</v>
      </c>
      <c r="I2534" s="47"/>
      <c r="J2534" s="48">
        <f>VLOOKUP(A2534,'[1]תקציב 2026'!$A$1:$M$65536,9,0)</f>
        <v>17000</v>
      </c>
      <c r="K2534" s="49">
        <f>VLOOKUP(A2534,[3]גיליון1!$A$1:$C$7693,3,0)*0.9</f>
        <v>19260</v>
      </c>
      <c r="L2534" s="50">
        <f>VLOOKUP(A2534,[2]data1761205830331!$A$1:$J$65536,10,0)</f>
        <v>13619</v>
      </c>
    </row>
    <row r="2535" spans="1:12" ht="15.6" outlineLevel="1">
      <c r="A2535" s="11">
        <f>[4]גיליון1!$A$4532</f>
        <v>1815100580</v>
      </c>
      <c r="B2535" s="40">
        <f>[4]גיליון1!$B$4532</f>
        <v>580</v>
      </c>
      <c r="C2535" s="109">
        <v>815100</v>
      </c>
      <c r="D2535" s="42">
        <v>1</v>
      </c>
      <c r="E2535" s="43"/>
      <c r="F2535" s="44" t="str">
        <f>[4]גיליון1!$F$4532</f>
        <v>שירותי הכנה לבחינות בגרות</v>
      </c>
      <c r="G2535" s="45" t="str">
        <f>[4]גיליון1!$H$4532</f>
        <v>גמיש</v>
      </c>
      <c r="H2535" s="51">
        <f t="shared" si="39"/>
        <v>5.0000000000000044E-2</v>
      </c>
      <c r="I2535" s="47"/>
      <c r="J2535" s="48">
        <f>VLOOKUP(A2535,'[1]תקציב 2026'!$A$1:$M$65536,9,0)</f>
        <v>5250000</v>
      </c>
      <c r="K2535" s="49">
        <v>5000000</v>
      </c>
      <c r="L2535" s="50">
        <f>VLOOKUP(A2535,[2]data1761205830331!$A$1:$J$65536,10,0)</f>
        <v>1007136</v>
      </c>
    </row>
    <row r="2536" spans="1:12" ht="15.6" outlineLevel="1">
      <c r="A2536" s="11">
        <v>1815100723</v>
      </c>
      <c r="B2536" s="40">
        <v>723</v>
      </c>
      <c r="C2536" s="109">
        <v>815100</v>
      </c>
      <c r="D2536" s="42">
        <v>1</v>
      </c>
      <c r="E2536" s="43"/>
      <c r="F2536" s="44" t="s">
        <v>1459</v>
      </c>
      <c r="G2536" s="45" t="s">
        <v>37</v>
      </c>
      <c r="H2536" s="51">
        <f t="shared" si="39"/>
        <v>-1</v>
      </c>
      <c r="I2536" s="47"/>
      <c r="J2536" s="48">
        <f>VLOOKUP(A2536,'[1]תקציב 2026'!$A$1:$M$65536,9,0)</f>
        <v>0</v>
      </c>
      <c r="K2536" s="49">
        <f>VLOOKUP(A2536,[3]גיליון1!$A$1:$C$7693,3,0)*0.9</f>
        <v>8100</v>
      </c>
      <c r="L2536" s="50">
        <f>VLOOKUP(A2536,[2]data1761205830331!$A$1:$J$65536,10,0)</f>
        <v>0</v>
      </c>
    </row>
    <row r="2537" spans="1:12" ht="15.6" outlineLevel="1">
      <c r="A2537" s="11">
        <v>1815100753</v>
      </c>
      <c r="B2537" s="40">
        <v>753</v>
      </c>
      <c r="C2537" s="109">
        <v>815100</v>
      </c>
      <c r="D2537" s="42">
        <v>1</v>
      </c>
      <c r="E2537" s="43"/>
      <c r="F2537" s="44" t="s">
        <v>1452</v>
      </c>
      <c r="G2537" s="45" t="s">
        <v>37</v>
      </c>
      <c r="H2537" s="51">
        <f t="shared" si="39"/>
        <v>0</v>
      </c>
      <c r="I2537" s="47"/>
      <c r="J2537" s="48">
        <f>VLOOKUP(A2537,'[1]תקציב 2026'!$A$1:$M$65536,9,0)</f>
        <v>150000</v>
      </c>
      <c r="K2537" s="49">
        <f>VLOOKUP(A2537,[3]גיליון1!$A$1:$C$7693,3,0)</f>
        <v>150000</v>
      </c>
      <c r="L2537" s="50">
        <f>VLOOKUP(A2537,[2]data1761205830331!$A$1:$J$65536,10,0)</f>
        <v>98831.53</v>
      </c>
    </row>
    <row r="2538" spans="1:12" ht="15.6" outlineLevel="1">
      <c r="A2538" s="11">
        <v>1815100782</v>
      </c>
      <c r="B2538" s="40">
        <v>782</v>
      </c>
      <c r="C2538" s="109">
        <v>815100</v>
      </c>
      <c r="D2538" s="42">
        <v>1</v>
      </c>
      <c r="E2538" s="43"/>
      <c r="F2538" s="44" t="s">
        <v>1460</v>
      </c>
      <c r="G2538" s="45" t="s">
        <v>29</v>
      </c>
      <c r="H2538" s="51">
        <f t="shared" si="39"/>
        <v>0.32857142857142851</v>
      </c>
      <c r="I2538" s="47"/>
      <c r="J2538" s="48">
        <f>VLOOKUP(A2538,'[1]תקציב 2026'!$A$1:$M$65536,9,0)</f>
        <v>930000</v>
      </c>
      <c r="K2538" s="49">
        <f>VLOOKUP(A2538,[3]גיליון1!$A$1:$C$7693,3,0)</f>
        <v>700000</v>
      </c>
      <c r="L2538" s="50">
        <f>VLOOKUP(A2538,[2]data1761205830331!$A$1:$J$65536,10,0)</f>
        <v>636377.65</v>
      </c>
    </row>
    <row r="2539" spans="1:12" ht="15.6" outlineLevel="1">
      <c r="A2539" s="11">
        <v>1815100786</v>
      </c>
      <c r="B2539" s="40">
        <v>786</v>
      </c>
      <c r="C2539" s="109">
        <v>815100</v>
      </c>
      <c r="D2539" s="42">
        <v>1</v>
      </c>
      <c r="E2539" s="43"/>
      <c r="F2539" s="44" t="s">
        <v>1461</v>
      </c>
      <c r="G2539" s="45" t="s">
        <v>37</v>
      </c>
      <c r="H2539" s="51">
        <f t="shared" si="39"/>
        <v>0</v>
      </c>
      <c r="I2539" s="47"/>
      <c r="J2539" s="48">
        <f>VLOOKUP(A2539,'[1]תקציב 2026'!$A$1:$M$65536,9,0)</f>
        <v>97200</v>
      </c>
      <c r="K2539" s="49">
        <f>VLOOKUP(A2539,[3]גיליון1!$A$1:$C$7693,3,0)*0.9</f>
        <v>97200</v>
      </c>
      <c r="L2539" s="50">
        <f>VLOOKUP(A2539,[2]data1761205830331!$A$1:$J$65536,10,0)</f>
        <v>0</v>
      </c>
    </row>
    <row r="2540" spans="1:12" ht="15.6" outlineLevel="1">
      <c r="A2540" s="11">
        <v>1815100788</v>
      </c>
      <c r="B2540" s="40">
        <v>788</v>
      </c>
      <c r="C2540" s="109">
        <v>815100</v>
      </c>
      <c r="D2540" s="42">
        <v>1</v>
      </c>
      <c r="E2540" s="43"/>
      <c r="F2540" s="44" t="s">
        <v>1462</v>
      </c>
      <c r="G2540" s="45" t="s">
        <v>37</v>
      </c>
      <c r="H2540" s="51">
        <f t="shared" si="39"/>
        <v>0.7561807331628303</v>
      </c>
      <c r="I2540" s="47"/>
      <c r="J2540" s="48">
        <f>VLOOKUP(A2540,'[1]תקציב 2026'!$A$1:$M$65536,9,0)</f>
        <v>927000</v>
      </c>
      <c r="K2540" s="49">
        <f>VLOOKUP(A2540,[3]גיליון1!$A$1:$C$7693,3,0)*0.9</f>
        <v>527850</v>
      </c>
      <c r="L2540" s="50">
        <f>VLOOKUP(A2540,[2]data1761205830331!$A$1:$J$65536,10,0)</f>
        <v>920533.36</v>
      </c>
    </row>
    <row r="2541" spans="1:12" ht="15.6" outlineLevel="1">
      <c r="A2541" s="11">
        <f>[4]גיליון1!$A$4553</f>
        <v>1815100792</v>
      </c>
      <c r="B2541" s="40">
        <f>[4]גיליון1!$B$4553</f>
        <v>792</v>
      </c>
      <c r="C2541" s="109">
        <f>[4]גיליון1!$C$4548</f>
        <v>815100</v>
      </c>
      <c r="D2541" s="42">
        <v>1</v>
      </c>
      <c r="E2541" s="43"/>
      <c r="F2541" s="44" t="str">
        <f>[4]גיליון1!$F$4553</f>
        <v>מעורבות חברתית</v>
      </c>
      <c r="G2541" s="45" t="str">
        <f>[4]גיליון1!$H$4548</f>
        <v>גמיש</v>
      </c>
      <c r="H2541" s="51">
        <f t="shared" si="39"/>
        <v>0</v>
      </c>
      <c r="I2541" s="47"/>
      <c r="J2541" s="48">
        <f>VLOOKUP(A2541,'[1]תקציב 2026'!$A$1:$M$65536,9,0)</f>
        <v>54000</v>
      </c>
      <c r="K2541" s="49">
        <f>VLOOKUP(A2541,[3]גיליון1!$A$1:$C$7693,3,0)*0.9</f>
        <v>54000</v>
      </c>
      <c r="L2541" s="50">
        <f>VLOOKUP(A2541,[2]data1761205830331!$A$1:$J$65536,10,0)</f>
        <v>24906.27</v>
      </c>
    </row>
    <row r="2542" spans="1:12" ht="15.6" outlineLevel="1">
      <c r="A2542" s="11">
        <v>1815100793</v>
      </c>
      <c r="B2542" s="40">
        <v>793</v>
      </c>
      <c r="C2542" s="109">
        <v>815100</v>
      </c>
      <c r="D2542" s="42">
        <v>1</v>
      </c>
      <c r="E2542" s="43"/>
      <c r="F2542" s="44" t="s">
        <v>1463</v>
      </c>
      <c r="G2542" s="45" t="s">
        <v>37</v>
      </c>
      <c r="H2542" s="51">
        <v>1</v>
      </c>
      <c r="I2542" s="47" t="s">
        <v>86</v>
      </c>
      <c r="J2542" s="48">
        <f>VLOOKUP(A2542,'[1]תקציב 2026'!$A$1:$M$65536,9,0)</f>
        <v>70000</v>
      </c>
      <c r="K2542" s="49">
        <v>0</v>
      </c>
      <c r="L2542" s="50">
        <v>0</v>
      </c>
    </row>
    <row r="2543" spans="1:12" ht="15.6" outlineLevel="1">
      <c r="A2543" s="11">
        <v>1815100930</v>
      </c>
      <c r="B2543" s="40">
        <v>930</v>
      </c>
      <c r="C2543" s="109">
        <v>815100</v>
      </c>
      <c r="D2543" s="42">
        <v>1</v>
      </c>
      <c r="E2543" s="43"/>
      <c r="F2543" s="154" t="s">
        <v>1464</v>
      </c>
      <c r="G2543" s="45" t="s">
        <v>37</v>
      </c>
      <c r="H2543" s="51">
        <f t="shared" si="39"/>
        <v>0.11111111111111116</v>
      </c>
      <c r="I2543" s="47"/>
      <c r="J2543" s="48">
        <f>VLOOKUP(A2543,'[1]תקציב 2026'!$A$1:$M$65536,9,0)</f>
        <v>10000</v>
      </c>
      <c r="K2543" s="49">
        <f>VLOOKUP(A2543,[3]גיליון1!$A$1:$C$7693,3,0)*0.9</f>
        <v>9000</v>
      </c>
      <c r="L2543" s="50">
        <f>VLOOKUP(A2543,[2]data1761205830331!$A$1:$J$65536,10,0)</f>
        <v>9961.3799999999992</v>
      </c>
    </row>
    <row r="2544" spans="1:12" ht="15.6" outlineLevel="1">
      <c r="A2544" s="11">
        <v>1815100960</v>
      </c>
      <c r="B2544" s="40">
        <v>960</v>
      </c>
      <c r="C2544" s="109">
        <v>815100</v>
      </c>
      <c r="D2544" s="42">
        <v>1</v>
      </c>
      <c r="E2544" s="43"/>
      <c r="F2544" s="154" t="s">
        <v>364</v>
      </c>
      <c r="G2544" s="45" t="s">
        <v>37</v>
      </c>
      <c r="H2544" s="51">
        <f t="shared" si="39"/>
        <v>0.11111111111111116</v>
      </c>
      <c r="I2544" s="47"/>
      <c r="J2544" s="48">
        <f>VLOOKUP(A2544,'[1]תקציב 2026'!$A$1:$M$65536,9,0)</f>
        <v>270000</v>
      </c>
      <c r="K2544" s="49">
        <f>VLOOKUP(A2544,[3]גיליון1!$A$1:$C$7693,3,0)*0.9</f>
        <v>243000</v>
      </c>
      <c r="L2544" s="50">
        <f>VLOOKUP(A2544,[2]data1761205830331!$A$1:$J$65536,10,0)</f>
        <v>188677</v>
      </c>
    </row>
    <row r="2545" spans="1:12" ht="15.6" outlineLevel="1">
      <c r="A2545" s="11">
        <v>1815100980</v>
      </c>
      <c r="B2545" s="40">
        <v>980</v>
      </c>
      <c r="C2545" s="109">
        <v>815100</v>
      </c>
      <c r="D2545" s="42">
        <v>1</v>
      </c>
      <c r="E2545" s="43"/>
      <c r="F2545" s="44" t="s">
        <v>1465</v>
      </c>
      <c r="G2545" s="45" t="s">
        <v>29</v>
      </c>
      <c r="H2545" s="51">
        <f t="shared" si="39"/>
        <v>0</v>
      </c>
      <c r="I2545" s="47"/>
      <c r="J2545" s="48">
        <f>VLOOKUP(A2545,'[1]תקציב 2026'!$A$1:$M$65536,9,0)</f>
        <v>264100</v>
      </c>
      <c r="K2545" s="49">
        <v>264100</v>
      </c>
      <c r="L2545" s="50">
        <f>VLOOKUP(A2545,[2]data1761205830331!$A$1:$J$65536,10,0)</f>
        <v>264100</v>
      </c>
    </row>
    <row r="2546" spans="1:12" ht="15.6" outlineLevel="1">
      <c r="A2546" s="11">
        <v>1815100981</v>
      </c>
      <c r="B2546" s="40">
        <v>981</v>
      </c>
      <c r="C2546" s="109">
        <v>815100</v>
      </c>
      <c r="D2546" s="42">
        <v>1</v>
      </c>
      <c r="E2546" s="43"/>
      <c r="F2546" s="44" t="s">
        <v>1466</v>
      </c>
      <c r="G2546" s="45" t="s">
        <v>37</v>
      </c>
      <c r="H2546" s="51">
        <f t="shared" si="39"/>
        <v>-1</v>
      </c>
      <c r="I2546" s="47"/>
      <c r="J2546" s="48">
        <f>VLOOKUP(A2546,'[1]תקציב 2026'!$A$1:$M$65536,9,0)</f>
        <v>0</v>
      </c>
      <c r="K2546" s="49">
        <f>VLOOKUP(A2546,[3]גיליון1!$A$1:$C$7693,3,0)*0.9</f>
        <v>73170</v>
      </c>
      <c r="L2546" s="50">
        <f>VLOOKUP(A2546,[2]data1761205830331!$A$1:$J$65536,10,0)</f>
        <v>81066.75</v>
      </c>
    </row>
    <row r="2547" spans="1:12" ht="16.2" outlineLevel="1" thickBot="1">
      <c r="A2547" s="11">
        <v>1815100982</v>
      </c>
      <c r="B2547" s="40">
        <v>982</v>
      </c>
      <c r="C2547" s="109">
        <v>815100</v>
      </c>
      <c r="D2547" s="42">
        <v>1</v>
      </c>
      <c r="E2547" s="43"/>
      <c r="F2547" s="44" t="s">
        <v>1467</v>
      </c>
      <c r="G2547" s="45" t="s">
        <v>37</v>
      </c>
      <c r="H2547" s="51">
        <f t="shared" si="39"/>
        <v>3.6484245439469376E-2</v>
      </c>
      <c r="I2547" s="47"/>
      <c r="J2547" s="48">
        <f>VLOOKUP(A2547,'[1]תקציב 2026'!$A$1:$M$65536,9,0)</f>
        <v>100000</v>
      </c>
      <c r="K2547" s="49">
        <f>VLOOKUP(A2547,[3]גיליון1!$A$1:$C$7693,3,0)*0.9</f>
        <v>96480</v>
      </c>
      <c r="L2547" s="50">
        <f>VLOOKUP(A2547,[2]data1761205830331!$A$1:$J$65536,10,0)</f>
        <v>85000</v>
      </c>
    </row>
    <row r="2548" spans="1:12" ht="16.2" thickBot="1">
      <c r="A2548" s="11" t="e">
        <v>#VALUE!</v>
      </c>
      <c r="B2548" s="53" t="s">
        <v>1468</v>
      </c>
      <c r="C2548" s="223"/>
      <c r="D2548" s="55"/>
      <c r="E2548" s="56"/>
      <c r="F2548" s="116" t="s">
        <v>367</v>
      </c>
      <c r="G2548" s="58"/>
      <c r="H2548" s="166">
        <f>J2548/K2548-1</f>
        <v>6.4819696330662202E-2</v>
      </c>
      <c r="I2548" s="72"/>
      <c r="J2548" s="74">
        <f>SUBTOTAL(9,J2513:J2547)</f>
        <v>9694800</v>
      </c>
      <c r="K2548" s="92">
        <f>SUBTOTAL(9,K2513:K2547)</f>
        <v>9104640</v>
      </c>
      <c r="L2548" s="75">
        <f>SUBTOTAL(9,L2513:L2547)</f>
        <v>4429201.8199999994</v>
      </c>
    </row>
    <row r="2549" spans="1:12" ht="15.6" outlineLevel="1">
      <c r="A2549" s="11">
        <v>18151100</v>
      </c>
      <c r="B2549" s="242">
        <v>0</v>
      </c>
      <c r="C2549" s="243">
        <v>815110</v>
      </c>
      <c r="D2549" s="42">
        <v>1</v>
      </c>
      <c r="E2549" s="43"/>
      <c r="F2549" s="154" t="s">
        <v>368</v>
      </c>
      <c r="G2549" s="45" t="s">
        <v>15</v>
      </c>
      <c r="H2549" s="51"/>
      <c r="I2549" s="47"/>
      <c r="J2549" s="48"/>
      <c r="K2549" s="49"/>
      <c r="L2549" s="50"/>
    </row>
    <row r="2550" spans="1:12" ht="15.6" outlineLevel="1">
      <c r="A2550" s="11">
        <v>1815110213</v>
      </c>
      <c r="B2550" s="242">
        <v>213</v>
      </c>
      <c r="C2550" s="243">
        <v>815110</v>
      </c>
      <c r="D2550" s="42">
        <v>1</v>
      </c>
      <c r="E2550" s="43"/>
      <c r="F2550" s="44" t="s">
        <v>1469</v>
      </c>
      <c r="G2550" s="45" t="s">
        <v>22</v>
      </c>
      <c r="H2550" s="51">
        <f t="shared" ref="H2550:H2613" si="40">J2550/K2550-1</f>
        <v>-1</v>
      </c>
      <c r="I2550" s="47"/>
      <c r="J2550" s="48">
        <f>VLOOKUP(A2550,'[1]תקציב 2026'!$A$1:$M$65536,9,0)</f>
        <v>0</v>
      </c>
      <c r="K2550" s="49">
        <v>80000</v>
      </c>
      <c r="L2550" s="50">
        <f>VLOOKUP(A2550,[2]data1761205830331!$A$1:$J$65536,10,0)</f>
        <v>86827.73</v>
      </c>
    </row>
    <row r="2551" spans="1:12" ht="16.2" outlineLevel="1" thickBot="1">
      <c r="A2551" s="11">
        <v>1815110780</v>
      </c>
      <c r="B2551" s="242">
        <v>780</v>
      </c>
      <c r="C2551" s="243">
        <v>815110</v>
      </c>
      <c r="D2551" s="42">
        <v>1</v>
      </c>
      <c r="E2551" s="43"/>
      <c r="F2551" s="44" t="s">
        <v>1470</v>
      </c>
      <c r="G2551" s="45" t="s">
        <v>29</v>
      </c>
      <c r="H2551" s="51">
        <f t="shared" si="40"/>
        <v>-1</v>
      </c>
      <c r="I2551" s="47"/>
      <c r="J2551" s="48">
        <f>VLOOKUP(A2551,'[1]תקציב 2026'!$A$1:$M$65536,9,0)</f>
        <v>0</v>
      </c>
      <c r="K2551" s="49">
        <f>10000*0.9</f>
        <v>9000</v>
      </c>
      <c r="L2551" s="50">
        <f>VLOOKUP(A2551,[2]data1761205830331!$A$1:$J$65536,10,0)</f>
        <v>0</v>
      </c>
    </row>
    <row r="2552" spans="1:12" ht="16.2" thickBot="1">
      <c r="A2552" s="11" t="e">
        <v>#VALUE!</v>
      </c>
      <c r="B2552" s="157" t="s">
        <v>1471</v>
      </c>
      <c r="C2552" s="223"/>
      <c r="D2552" s="55"/>
      <c r="E2552" s="56"/>
      <c r="F2552" s="116" t="s">
        <v>368</v>
      </c>
      <c r="G2552" s="58"/>
      <c r="H2552" s="166">
        <f>J2552/K2552-1</f>
        <v>-1</v>
      </c>
      <c r="I2552" s="72"/>
      <c r="J2552" s="74">
        <f>SUBTOTAL(9,J2550:J2551)</f>
        <v>0</v>
      </c>
      <c r="K2552" s="92">
        <f>SUBTOTAL(9,K2550:K2551)</f>
        <v>89000</v>
      </c>
      <c r="L2552" s="75">
        <f>SUBTOTAL(9,L2550:L2551)</f>
        <v>86827.73</v>
      </c>
    </row>
    <row r="2553" spans="1:12" ht="15.6" outlineLevel="1">
      <c r="A2553" s="11">
        <v>18151200</v>
      </c>
      <c r="B2553" s="64">
        <v>0</v>
      </c>
      <c r="C2553" s="131">
        <v>815120</v>
      </c>
      <c r="D2553" s="66">
        <v>1</v>
      </c>
      <c r="E2553" s="67"/>
      <c r="F2553" s="240" t="s">
        <v>1472</v>
      </c>
      <c r="G2553" s="69" t="s">
        <v>15</v>
      </c>
      <c r="H2553" s="51"/>
      <c r="I2553" s="47"/>
      <c r="J2553" s="48"/>
      <c r="K2553" s="49"/>
      <c r="L2553" s="50"/>
    </row>
    <row r="2554" spans="1:12" ht="15.6" outlineLevel="1">
      <c r="A2554" s="11">
        <v>1815120211</v>
      </c>
      <c r="B2554" s="40">
        <v>211</v>
      </c>
      <c r="C2554" s="109">
        <v>815120</v>
      </c>
      <c r="D2554" s="42">
        <v>1</v>
      </c>
      <c r="E2554" s="43"/>
      <c r="F2554" s="44" t="s">
        <v>1473</v>
      </c>
      <c r="G2554" s="45" t="s">
        <v>22</v>
      </c>
      <c r="H2554" s="51">
        <v>0</v>
      </c>
      <c r="I2554" s="47"/>
      <c r="J2554" s="48">
        <f>VLOOKUP(A2554,'[1]תקציב 2026'!$A$1:$M$65536,9,0)</f>
        <v>0</v>
      </c>
      <c r="K2554" s="49">
        <f>VLOOKUP(A2554,[3]גיליון1!$A$1:$C$7693,3,0)</f>
        <v>0</v>
      </c>
      <c r="L2554" s="50">
        <f>VLOOKUP(A2554,[2]data1761205830331!$A$1:$J$65536,10,0)</f>
        <v>71858.58</v>
      </c>
    </row>
    <row r="2555" spans="1:12" ht="16.2" outlineLevel="1" thickBot="1">
      <c r="A2555" s="11">
        <v>1815120213</v>
      </c>
      <c r="B2555" s="40">
        <v>213</v>
      </c>
      <c r="C2555" s="109">
        <v>815120</v>
      </c>
      <c r="D2555" s="42">
        <v>1</v>
      </c>
      <c r="E2555" s="43"/>
      <c r="F2555" s="44" t="s">
        <v>1469</v>
      </c>
      <c r="G2555" s="45" t="s">
        <v>22</v>
      </c>
      <c r="H2555" s="51">
        <v>0</v>
      </c>
      <c r="I2555" s="47"/>
      <c r="J2555" s="48">
        <f>VLOOKUP(A2555,'[1]תקציב 2026'!$A$1:$M$65536,9,0)</f>
        <v>0</v>
      </c>
      <c r="K2555" s="49">
        <v>0</v>
      </c>
      <c r="L2555" s="50">
        <f>VLOOKUP(A2555,[2]data1761205830331!$A$1:$J$65536,10,0)</f>
        <v>48231.91</v>
      </c>
    </row>
    <row r="2556" spans="1:12" ht="16.2" thickBot="1">
      <c r="A2556" s="11" t="e">
        <v>#VALUE!</v>
      </c>
      <c r="B2556" s="157" t="s">
        <v>1474</v>
      </c>
      <c r="C2556" s="223"/>
      <c r="D2556" s="55"/>
      <c r="E2556" s="56"/>
      <c r="F2556" s="236" t="s">
        <v>1472</v>
      </c>
      <c r="G2556" s="58"/>
      <c r="H2556" s="166">
        <v>0</v>
      </c>
      <c r="I2556" s="72"/>
      <c r="J2556" s="74">
        <f>SUBTOTAL(9,J2554:J2555)</f>
        <v>0</v>
      </c>
      <c r="K2556" s="92">
        <f>SUBTOTAL(9,K2554:K2555)</f>
        <v>0</v>
      </c>
      <c r="L2556" s="75">
        <f>SUBTOTAL(9,L2554:L2555)</f>
        <v>120090.49</v>
      </c>
    </row>
    <row r="2557" spans="1:12" ht="15.6" outlineLevel="1">
      <c r="A2557" s="11">
        <v>18151300</v>
      </c>
      <c r="B2557" s="40">
        <v>0</v>
      </c>
      <c r="C2557" s="109">
        <v>815130</v>
      </c>
      <c r="D2557" s="42">
        <v>1</v>
      </c>
      <c r="E2557" s="43"/>
      <c r="F2557" s="154" t="s">
        <v>371</v>
      </c>
      <c r="G2557" s="45" t="s">
        <v>15</v>
      </c>
      <c r="H2557" s="51"/>
      <c r="I2557" s="47"/>
      <c r="J2557" s="48"/>
      <c r="K2557" s="49"/>
      <c r="L2557" s="50"/>
    </row>
    <row r="2558" spans="1:12" ht="15.6" outlineLevel="1">
      <c r="A2558" s="11">
        <v>1815130213</v>
      </c>
      <c r="B2558" s="40">
        <v>213</v>
      </c>
      <c r="C2558" s="109">
        <v>815130</v>
      </c>
      <c r="D2558" s="42">
        <v>1</v>
      </c>
      <c r="E2558" s="43"/>
      <c r="F2558" s="44" t="s">
        <v>1469</v>
      </c>
      <c r="G2558" s="45" t="s">
        <v>22</v>
      </c>
      <c r="H2558" s="51">
        <f t="shared" si="40"/>
        <v>-1</v>
      </c>
      <c r="I2558" s="47"/>
      <c r="J2558" s="48">
        <f>VLOOKUP(A2558,'[1]תקציב 2026'!$A$1:$M$65536,9,0)</f>
        <v>0</v>
      </c>
      <c r="K2558" s="49">
        <v>160000</v>
      </c>
      <c r="L2558" s="50">
        <f>VLOOKUP(A2558,[2]data1761205830331!$A$1:$J$65536,10,0)</f>
        <v>259136.19</v>
      </c>
    </row>
    <row r="2559" spans="1:12" ht="16.2" outlineLevel="1" thickBot="1">
      <c r="A2559" s="11">
        <v>1815130780</v>
      </c>
      <c r="B2559" s="40">
        <v>780</v>
      </c>
      <c r="C2559" s="109">
        <v>815130</v>
      </c>
      <c r="D2559" s="42">
        <v>1</v>
      </c>
      <c r="E2559" s="43"/>
      <c r="F2559" s="44" t="s">
        <v>1470</v>
      </c>
      <c r="G2559" s="45" t="s">
        <v>29</v>
      </c>
      <c r="H2559" s="51">
        <f t="shared" si="40"/>
        <v>-1</v>
      </c>
      <c r="I2559" s="47"/>
      <c r="J2559" s="48">
        <f>VLOOKUP(A2559,'[1]תקציב 2026'!$A$1:$M$65536,9,0)</f>
        <v>0</v>
      </c>
      <c r="K2559" s="49">
        <f>VLOOKUP(A2559,[3]גיליון1!$A$1:$C$7693,3,0)*0.9</f>
        <v>18000</v>
      </c>
      <c r="L2559" s="50">
        <f>VLOOKUP(A2559,[2]data1761205830331!$A$1:$J$65536,10,0)</f>
        <v>0</v>
      </c>
    </row>
    <row r="2560" spans="1:12" ht="16.2" thickBot="1">
      <c r="A2560" s="11" t="e">
        <v>#VALUE!</v>
      </c>
      <c r="B2560" s="157" t="s">
        <v>1475</v>
      </c>
      <c r="C2560" s="223"/>
      <c r="D2560" s="55"/>
      <c r="E2560" s="56"/>
      <c r="F2560" s="236" t="s">
        <v>371</v>
      </c>
      <c r="G2560" s="58"/>
      <c r="H2560" s="166">
        <f>J2560/K2560-1</f>
        <v>-1</v>
      </c>
      <c r="I2560" s="72"/>
      <c r="J2560" s="74">
        <f>SUBTOTAL(9,J2558:J2559)</f>
        <v>0</v>
      </c>
      <c r="K2560" s="92">
        <f>SUBTOTAL(9,K2558:K2559)</f>
        <v>178000</v>
      </c>
      <c r="L2560" s="75">
        <f>SUBTOTAL(9,L2558:L2559)</f>
        <v>259136.19</v>
      </c>
    </row>
    <row r="2561" spans="1:12" ht="15.6" outlineLevel="1">
      <c r="A2561" s="11">
        <v>18151400</v>
      </c>
      <c r="B2561" s="40">
        <v>0</v>
      </c>
      <c r="C2561" s="109">
        <v>815140</v>
      </c>
      <c r="D2561" s="42">
        <v>1</v>
      </c>
      <c r="E2561" s="43"/>
      <c r="F2561" s="154" t="s">
        <v>1476</v>
      </c>
      <c r="G2561" s="45" t="s">
        <v>15</v>
      </c>
      <c r="H2561" s="51"/>
      <c r="I2561" s="47"/>
      <c r="J2561" s="48"/>
      <c r="K2561" s="49"/>
      <c r="L2561" s="50"/>
    </row>
    <row r="2562" spans="1:12" ht="16.2" outlineLevel="1" thickBot="1">
      <c r="A2562" s="11">
        <v>1815140213</v>
      </c>
      <c r="B2562" s="40">
        <v>213</v>
      </c>
      <c r="C2562" s="109">
        <v>815140</v>
      </c>
      <c r="D2562" s="42">
        <v>1</v>
      </c>
      <c r="E2562" s="43"/>
      <c r="F2562" s="44" t="s">
        <v>1469</v>
      </c>
      <c r="G2562" s="45" t="s">
        <v>22</v>
      </c>
      <c r="H2562" s="51">
        <v>0</v>
      </c>
      <c r="I2562" s="47"/>
      <c r="J2562" s="48">
        <f>VLOOKUP(A2562,'[1]תקציב 2026'!$A$1:$M$65536,9,0)</f>
        <v>0</v>
      </c>
      <c r="K2562" s="49">
        <v>0</v>
      </c>
      <c r="L2562" s="50">
        <f>VLOOKUP(A2562,[2]data1761205830331!$A$1:$J$65536,10,0)</f>
        <v>46008.9</v>
      </c>
    </row>
    <row r="2563" spans="1:12" ht="16.2" thickBot="1">
      <c r="A2563" s="11" t="e">
        <v>#VALUE!</v>
      </c>
      <c r="B2563" s="157" t="s">
        <v>1477</v>
      </c>
      <c r="C2563" s="223"/>
      <c r="D2563" s="55"/>
      <c r="E2563" s="56"/>
      <c r="F2563" s="236" t="s">
        <v>1476</v>
      </c>
      <c r="G2563" s="58"/>
      <c r="H2563" s="166">
        <v>0</v>
      </c>
      <c r="I2563" s="72"/>
      <c r="J2563" s="74">
        <f>SUBTOTAL(9,J2562:J2562)</f>
        <v>0</v>
      </c>
      <c r="K2563" s="92">
        <f>SUBTOTAL(9,K2562:K2562)</f>
        <v>0</v>
      </c>
      <c r="L2563" s="75">
        <f>SUBTOTAL(9,L2562:L2562)</f>
        <v>46008.9</v>
      </c>
    </row>
    <row r="2564" spans="1:12" ht="15.6" outlineLevel="1">
      <c r="A2564" s="11">
        <v>18151500</v>
      </c>
      <c r="B2564" s="40">
        <v>0</v>
      </c>
      <c r="C2564" s="109">
        <v>815150</v>
      </c>
      <c r="D2564" s="42">
        <v>1</v>
      </c>
      <c r="E2564" s="43"/>
      <c r="F2564" s="154" t="s">
        <v>373</v>
      </c>
      <c r="G2564" s="45" t="s">
        <v>15</v>
      </c>
      <c r="H2564" s="51"/>
      <c r="I2564" s="47"/>
      <c r="J2564" s="48"/>
      <c r="K2564" s="49"/>
      <c r="L2564" s="50"/>
    </row>
    <row r="2565" spans="1:12" ht="16.2" outlineLevel="1" thickBot="1">
      <c r="A2565" s="11">
        <v>1815150213</v>
      </c>
      <c r="B2565" s="40">
        <v>213</v>
      </c>
      <c r="C2565" s="109">
        <v>815150</v>
      </c>
      <c r="D2565" s="42">
        <v>1</v>
      </c>
      <c r="E2565" s="43"/>
      <c r="F2565" s="44" t="s">
        <v>1469</v>
      </c>
      <c r="G2565" s="45" t="s">
        <v>22</v>
      </c>
      <c r="H2565" s="51">
        <v>0</v>
      </c>
      <c r="I2565" s="47"/>
      <c r="J2565" s="48">
        <f>VLOOKUP(A2565,'[1]תקציב 2026'!$A$1:$M$65536,9,0)</f>
        <v>0</v>
      </c>
      <c r="K2565" s="49">
        <v>0</v>
      </c>
      <c r="L2565" s="50">
        <f>VLOOKUP(A2565,[2]data1761205830331!$A$1:$J$65536,10,0)</f>
        <v>181516.56</v>
      </c>
    </row>
    <row r="2566" spans="1:12" ht="16.2" thickBot="1">
      <c r="A2566" s="11" t="e">
        <v>#VALUE!</v>
      </c>
      <c r="B2566" s="157" t="s">
        <v>1478</v>
      </c>
      <c r="C2566" s="223"/>
      <c r="D2566" s="55"/>
      <c r="E2566" s="56"/>
      <c r="F2566" s="236" t="s">
        <v>373</v>
      </c>
      <c r="G2566" s="58"/>
      <c r="H2566" s="166">
        <v>0</v>
      </c>
      <c r="I2566" s="72"/>
      <c r="J2566" s="74">
        <f>SUBTOTAL(9,J2565:J2565)</f>
        <v>0</v>
      </c>
      <c r="K2566" s="92">
        <f>SUBTOTAL(9,K2565:K2565)</f>
        <v>0</v>
      </c>
      <c r="L2566" s="75">
        <f>SUBTOTAL(9,L2565:L2565)</f>
        <v>181516.56</v>
      </c>
    </row>
    <row r="2567" spans="1:12" ht="15.6" outlineLevel="1">
      <c r="A2567" s="11">
        <v>18151600</v>
      </c>
      <c r="B2567" s="40">
        <v>0</v>
      </c>
      <c r="C2567" s="109">
        <v>815160</v>
      </c>
      <c r="D2567" s="42">
        <v>1</v>
      </c>
      <c r="E2567" s="43"/>
      <c r="F2567" s="154" t="s">
        <v>375</v>
      </c>
      <c r="G2567" s="45" t="s">
        <v>15</v>
      </c>
      <c r="H2567" s="51"/>
      <c r="I2567" s="47"/>
      <c r="J2567" s="48"/>
      <c r="K2567" s="49"/>
      <c r="L2567" s="50"/>
    </row>
    <row r="2568" spans="1:12" ht="16.2" outlineLevel="1" thickBot="1">
      <c r="A2568" s="11">
        <v>1815160213</v>
      </c>
      <c r="B2568" s="40">
        <v>213</v>
      </c>
      <c r="C2568" s="109">
        <v>815160</v>
      </c>
      <c r="D2568" s="42">
        <v>1</v>
      </c>
      <c r="E2568" s="43"/>
      <c r="F2568" s="44" t="s">
        <v>1469</v>
      </c>
      <c r="G2568" s="45" t="s">
        <v>22</v>
      </c>
      <c r="H2568" s="51">
        <v>0</v>
      </c>
      <c r="I2568" s="47"/>
      <c r="J2568" s="48">
        <f>VLOOKUP(A2568,'[1]תקציב 2026'!$A$1:$M$65536,9,0)</f>
        <v>0</v>
      </c>
      <c r="K2568" s="49">
        <v>0</v>
      </c>
      <c r="L2568" s="50">
        <f>VLOOKUP(A2568,[2]data1761205830331!$A$1:$J$65536,10,0)</f>
        <v>30984.04</v>
      </c>
    </row>
    <row r="2569" spans="1:12" ht="16.2" thickBot="1">
      <c r="A2569" s="11" t="e">
        <v>#VALUE!</v>
      </c>
      <c r="B2569" s="157" t="s">
        <v>1479</v>
      </c>
      <c r="C2569" s="223"/>
      <c r="D2569" s="55"/>
      <c r="E2569" s="56"/>
      <c r="F2569" s="236" t="s">
        <v>375</v>
      </c>
      <c r="G2569" s="58"/>
      <c r="H2569" s="166">
        <v>0</v>
      </c>
      <c r="I2569" s="72"/>
      <c r="J2569" s="74">
        <f>SUBTOTAL(9,J2568:J2568)</f>
        <v>0</v>
      </c>
      <c r="K2569" s="92">
        <f>SUBTOTAL(9,K2568:K2568)</f>
        <v>0</v>
      </c>
      <c r="L2569" s="75">
        <f>SUBTOTAL(9,L2568:L2568)</f>
        <v>30984.04</v>
      </c>
    </row>
    <row r="2570" spans="1:12" ht="15.6" outlineLevel="1">
      <c r="A2570" s="11">
        <v>18151700</v>
      </c>
      <c r="B2570" s="40">
        <v>0</v>
      </c>
      <c r="C2570" s="109">
        <v>815170</v>
      </c>
      <c r="D2570" s="42">
        <v>1</v>
      </c>
      <c r="E2570" s="43"/>
      <c r="F2570" s="154" t="s">
        <v>1480</v>
      </c>
      <c r="G2570" s="45" t="s">
        <v>15</v>
      </c>
      <c r="H2570" s="51"/>
      <c r="I2570" s="47"/>
      <c r="J2570" s="48"/>
      <c r="K2570" s="49"/>
      <c r="L2570" s="50"/>
    </row>
    <row r="2571" spans="1:12" ht="16.2" outlineLevel="1" thickBot="1">
      <c r="A2571" s="11">
        <v>1815170213</v>
      </c>
      <c r="B2571" s="40">
        <v>213</v>
      </c>
      <c r="C2571" s="109">
        <v>815170</v>
      </c>
      <c r="D2571" s="42">
        <v>1</v>
      </c>
      <c r="E2571" s="43"/>
      <c r="F2571" s="44" t="s">
        <v>1469</v>
      </c>
      <c r="G2571" s="45" t="s">
        <v>22</v>
      </c>
      <c r="H2571" s="51">
        <v>0</v>
      </c>
      <c r="I2571" s="47"/>
      <c r="J2571" s="48">
        <f>VLOOKUP(A2571,'[1]תקציב 2026'!$A$1:$M$65536,9,0)</f>
        <v>0</v>
      </c>
      <c r="K2571" s="49">
        <v>0</v>
      </c>
      <c r="L2571" s="50">
        <f>VLOOKUP(A2571,[2]data1761205830331!$A$1:$J$65536,10,0)</f>
        <v>125020.44</v>
      </c>
    </row>
    <row r="2572" spans="1:12" ht="16.2" thickBot="1">
      <c r="A2572" s="11" t="e">
        <v>#VALUE!</v>
      </c>
      <c r="B2572" s="157" t="s">
        <v>1481</v>
      </c>
      <c r="C2572" s="223"/>
      <c r="D2572" s="55"/>
      <c r="E2572" s="56"/>
      <c r="F2572" s="236" t="s">
        <v>1480</v>
      </c>
      <c r="G2572" s="58"/>
      <c r="H2572" s="166">
        <v>0</v>
      </c>
      <c r="I2572" s="72"/>
      <c r="J2572" s="74">
        <f>SUBTOTAL(9,J2571:J2571)</f>
        <v>0</v>
      </c>
      <c r="K2572" s="92">
        <f>SUBTOTAL(9,K2571:K2571)</f>
        <v>0</v>
      </c>
      <c r="L2572" s="75">
        <f>SUBTOTAL(9,L2571:L2571)</f>
        <v>125020.44</v>
      </c>
    </row>
    <row r="2573" spans="1:12" ht="15.6" outlineLevel="1">
      <c r="A2573" s="11">
        <v>18151900</v>
      </c>
      <c r="B2573" s="40">
        <v>0</v>
      </c>
      <c r="C2573" s="109">
        <v>815190</v>
      </c>
      <c r="D2573" s="42">
        <v>1</v>
      </c>
      <c r="E2573" s="43"/>
      <c r="F2573" s="44" t="s">
        <v>377</v>
      </c>
      <c r="G2573" s="45" t="s">
        <v>15</v>
      </c>
      <c r="H2573" s="51"/>
      <c r="I2573" s="47"/>
      <c r="J2573" s="48"/>
      <c r="K2573" s="49"/>
      <c r="L2573" s="50"/>
    </row>
    <row r="2574" spans="1:12" ht="15.6" outlineLevel="1">
      <c r="A2574" s="11">
        <v>1815190213</v>
      </c>
      <c r="B2574" s="40">
        <v>213</v>
      </c>
      <c r="C2574" s="109">
        <v>815190</v>
      </c>
      <c r="D2574" s="42">
        <v>1</v>
      </c>
      <c r="E2574" s="43"/>
      <c r="F2574" s="44" t="s">
        <v>1469</v>
      </c>
      <c r="G2574" s="45" t="s">
        <v>22</v>
      </c>
      <c r="H2574" s="51">
        <f t="shared" si="40"/>
        <v>-1</v>
      </c>
      <c r="I2574" s="47"/>
      <c r="J2574" s="48">
        <f>VLOOKUP(A2574,'[1]תקציב 2026'!$A$1:$M$65536,9,0)</f>
        <v>0</v>
      </c>
      <c r="K2574" s="49">
        <v>80000</v>
      </c>
      <c r="L2574" s="50">
        <f>VLOOKUP(A2574,[2]data1761205830331!$A$1:$J$65536,10,0)</f>
        <v>197424.06</v>
      </c>
    </row>
    <row r="2575" spans="1:12" ht="16.2" outlineLevel="1" thickBot="1">
      <c r="A2575" s="11">
        <v>1815190780</v>
      </c>
      <c r="B2575" s="40">
        <v>780</v>
      </c>
      <c r="C2575" s="109">
        <v>815190</v>
      </c>
      <c r="D2575" s="42">
        <v>1</v>
      </c>
      <c r="E2575" s="43"/>
      <c r="F2575" s="44" t="s">
        <v>1470</v>
      </c>
      <c r="G2575" s="45" t="s">
        <v>29</v>
      </c>
      <c r="H2575" s="51">
        <f t="shared" si="40"/>
        <v>1.2222222222222223</v>
      </c>
      <c r="I2575" s="47"/>
      <c r="J2575" s="48">
        <f>VLOOKUP(A2575,'[1]תקציב 2026'!$A$1:$M$65536,9,0)</f>
        <v>20000</v>
      </c>
      <c r="K2575" s="49">
        <f>10000*0.9</f>
        <v>9000</v>
      </c>
      <c r="L2575" s="50">
        <f>VLOOKUP(A2575,[2]data1761205830331!$A$1:$J$65536,10,0)</f>
        <v>18531</v>
      </c>
    </row>
    <row r="2576" spans="1:12" ht="16.2" thickBot="1">
      <c r="A2576" s="11" t="e">
        <v>#VALUE!</v>
      </c>
      <c r="B2576" s="157" t="s">
        <v>1482</v>
      </c>
      <c r="C2576" s="223"/>
      <c r="D2576" s="55"/>
      <c r="E2576" s="56"/>
      <c r="F2576" s="116" t="s">
        <v>377</v>
      </c>
      <c r="G2576" s="58"/>
      <c r="H2576" s="166">
        <f>J2576/K2576-1</f>
        <v>-0.7752808988764045</v>
      </c>
      <c r="I2576" s="72"/>
      <c r="J2576" s="74">
        <f>SUBTOTAL(9,J2574:J2575)</f>
        <v>20000</v>
      </c>
      <c r="K2576" s="92">
        <f>SUBTOTAL(9,K2574:K2575)</f>
        <v>89000</v>
      </c>
      <c r="L2576" s="75">
        <f>SUBTOTAL(9,L2574:L2575)</f>
        <v>215955.06</v>
      </c>
    </row>
    <row r="2577" spans="1:12" ht="15" customHeight="1" outlineLevel="1">
      <c r="A2577" s="11">
        <v>18157000</v>
      </c>
      <c r="B2577" s="64">
        <v>0</v>
      </c>
      <c r="C2577" s="131">
        <v>815700</v>
      </c>
      <c r="D2577" s="66">
        <v>1</v>
      </c>
      <c r="E2577" s="67"/>
      <c r="F2577" s="68" t="s">
        <v>379</v>
      </c>
      <c r="G2577" s="69" t="s">
        <v>15</v>
      </c>
      <c r="H2577" s="51"/>
      <c r="I2577" s="47"/>
      <c r="J2577" s="48"/>
      <c r="K2577" s="49"/>
      <c r="L2577" s="50"/>
    </row>
    <row r="2578" spans="1:12" ht="15.6" outlineLevel="1">
      <c r="A2578" s="11">
        <v>1815710118</v>
      </c>
      <c r="B2578" s="40">
        <v>118</v>
      </c>
      <c r="C2578" s="109">
        <v>815710</v>
      </c>
      <c r="D2578" s="42">
        <v>1</v>
      </c>
      <c r="E2578" s="43"/>
      <c r="F2578" s="44" t="s">
        <v>1483</v>
      </c>
      <c r="G2578" s="45" t="s">
        <v>22</v>
      </c>
      <c r="H2578" s="51">
        <f t="shared" si="40"/>
        <v>-8.7174107825782943E-2</v>
      </c>
      <c r="I2578" s="47"/>
      <c r="J2578" s="48">
        <f>VLOOKUP(A2578,'[1]תקציב 2026'!$A$1:$M$65536,9,0)</f>
        <v>12531000</v>
      </c>
      <c r="K2578" s="49">
        <f>VLOOKUP(A2578,[3]גיליון1!$A$1:$C$7693,3,0)</f>
        <v>13727700</v>
      </c>
      <c r="L2578" s="50">
        <f>VLOOKUP(A2578,[2]data1761205830331!$A$1:$J$65536,10,0)</f>
        <v>13793255.42</v>
      </c>
    </row>
    <row r="2579" spans="1:12" ht="15.6" outlineLevel="1">
      <c r="A2579" s="11">
        <v>1815710119</v>
      </c>
      <c r="B2579" s="40">
        <v>119</v>
      </c>
      <c r="C2579" s="109">
        <v>815710</v>
      </c>
      <c r="D2579" s="42">
        <v>1</v>
      </c>
      <c r="E2579" s="43"/>
      <c r="F2579" s="44" t="s">
        <v>23</v>
      </c>
      <c r="G2579" s="45" t="s">
        <v>22</v>
      </c>
      <c r="H2579" s="51">
        <f t="shared" si="40"/>
        <v>2.4999999999999911E-2</v>
      </c>
      <c r="I2579" s="47"/>
      <c r="J2579" s="48">
        <f>VLOOKUP(A2579,'[1]תקציב 2026'!$A$1:$M$65536,9,0)</f>
        <v>1412039.9999999998</v>
      </c>
      <c r="K2579" s="49">
        <v>1377600</v>
      </c>
      <c r="L2579" s="50">
        <f>VLOOKUP(A2579,[2]data1761205830331!$A$1:$J$65536,10,0)</f>
        <v>2131585.2799999998</v>
      </c>
    </row>
    <row r="2580" spans="1:12" ht="15.6" outlineLevel="1">
      <c r="A2580" s="11">
        <v>1815710122</v>
      </c>
      <c r="B2580" s="40">
        <v>122</v>
      </c>
      <c r="C2580" s="109">
        <v>815710</v>
      </c>
      <c r="D2580" s="42">
        <v>1</v>
      </c>
      <c r="E2580" s="43"/>
      <c r="F2580" s="44" t="s">
        <v>24</v>
      </c>
      <c r="G2580" s="45" t="s">
        <v>22</v>
      </c>
      <c r="H2580" s="51">
        <f t="shared" si="40"/>
        <v>0</v>
      </c>
      <c r="I2580" s="47"/>
      <c r="J2580" s="48">
        <f>VLOOKUP(A2580,'[1]תקציב 2026'!$A$1:$M$65536,9,0)</f>
        <v>144000</v>
      </c>
      <c r="K2580" s="49">
        <f>VLOOKUP(A2580,[3]גיליון1!$A$1:$C$7693,3,0)</f>
        <v>144000</v>
      </c>
      <c r="L2580" s="50">
        <f>VLOOKUP(A2580,[2]data1761205830331!$A$1:$J$65536,10,0)</f>
        <v>143766.60999999999</v>
      </c>
    </row>
    <row r="2581" spans="1:12" ht="15.6" outlineLevel="1">
      <c r="A2581" s="11">
        <v>1815710126</v>
      </c>
      <c r="B2581" s="40">
        <v>126</v>
      </c>
      <c r="C2581" s="109">
        <v>815710</v>
      </c>
      <c r="D2581" s="42">
        <v>1</v>
      </c>
      <c r="E2581" s="43"/>
      <c r="F2581" s="44" t="s">
        <v>25</v>
      </c>
      <c r="G2581" s="45" t="s">
        <v>22</v>
      </c>
      <c r="H2581" s="51">
        <f t="shared" si="40"/>
        <v>0</v>
      </c>
      <c r="I2581" s="47"/>
      <c r="J2581" s="48">
        <f>VLOOKUP(A2581,'[1]תקציב 2026'!$A$1:$M$65536,9,0)</f>
        <v>300000</v>
      </c>
      <c r="K2581" s="49">
        <f>VLOOKUP(A2581,[3]גיליון1!$A$1:$C$7693,3,0)</f>
        <v>300000</v>
      </c>
      <c r="L2581" s="50">
        <f>VLOOKUP(A2581,[2]data1761205830331!$A$1:$J$65536,10,0)</f>
        <v>302875.15000000002</v>
      </c>
    </row>
    <row r="2582" spans="1:12" ht="15.6" outlineLevel="1">
      <c r="A2582" s="11">
        <v>1815710130</v>
      </c>
      <c r="B2582" s="40">
        <v>130</v>
      </c>
      <c r="C2582" s="109">
        <v>815710</v>
      </c>
      <c r="D2582" s="42">
        <v>1</v>
      </c>
      <c r="E2582" s="43"/>
      <c r="F2582" s="44" t="s">
        <v>26</v>
      </c>
      <c r="G2582" s="45" t="s">
        <v>22</v>
      </c>
      <c r="H2582" s="51">
        <f t="shared" si="40"/>
        <v>0</v>
      </c>
      <c r="I2582" s="47"/>
      <c r="J2582" s="48">
        <f>VLOOKUP(A2582,'[1]תקציב 2026'!$A$1:$M$65536,9,0)</f>
        <v>11180</v>
      </c>
      <c r="K2582" s="49">
        <f>VLOOKUP(A2582,[3]גיליון1!$A$1:$C$7693,3,0)*0.86</f>
        <v>11180</v>
      </c>
      <c r="L2582" s="50">
        <f>VLOOKUP(A2582,[2]data1761205830331!$A$1:$J$65536,10,0)</f>
        <v>31354.1</v>
      </c>
    </row>
    <row r="2583" spans="1:12" ht="15.6" outlineLevel="1">
      <c r="A2583" s="11">
        <v>1815710140</v>
      </c>
      <c r="B2583" s="40">
        <v>140</v>
      </c>
      <c r="C2583" s="109">
        <v>815710</v>
      </c>
      <c r="D2583" s="42">
        <v>1</v>
      </c>
      <c r="E2583" s="43"/>
      <c r="F2583" s="44" t="s">
        <v>27</v>
      </c>
      <c r="G2583" s="45" t="s">
        <v>22</v>
      </c>
      <c r="H2583" s="51">
        <f t="shared" si="40"/>
        <v>0</v>
      </c>
      <c r="I2583" s="47"/>
      <c r="J2583" s="48">
        <f>VLOOKUP(A2583,'[1]תקציב 2026'!$A$1:$M$65536,9,0)</f>
        <v>134000</v>
      </c>
      <c r="K2583" s="49">
        <f>VLOOKUP(A2583,[3]גיליון1!$A$1:$C$7693,3,0)</f>
        <v>134000</v>
      </c>
      <c r="L2583" s="50">
        <f>VLOOKUP(A2583,[2]data1761205830331!$A$1:$J$65536,10,0)</f>
        <v>192611.28</v>
      </c>
    </row>
    <row r="2584" spans="1:12" ht="15.6" outlineLevel="1">
      <c r="A2584" s="11">
        <v>1815710212</v>
      </c>
      <c r="B2584" s="40">
        <v>212</v>
      </c>
      <c r="C2584" s="109">
        <v>815710</v>
      </c>
      <c r="D2584" s="42">
        <v>1</v>
      </c>
      <c r="E2584" s="43"/>
      <c r="F2584" s="44" t="s">
        <v>384</v>
      </c>
      <c r="G2584" s="45" t="s">
        <v>22</v>
      </c>
      <c r="H2584" s="51">
        <v>0</v>
      </c>
      <c r="I2584" s="47"/>
      <c r="J2584" s="48">
        <f>VLOOKUP(A2584,'[1]תקציב 2026'!$A$1:$M$65536,9,0)</f>
        <v>0</v>
      </c>
      <c r="K2584" s="49">
        <f>VLOOKUP(A2584,[3]גיליון1!$A$1:$C$7693,3,0)</f>
        <v>0</v>
      </c>
      <c r="L2584" s="50">
        <f>VLOOKUP(A2584,[2]data1761205830331!$A$1:$J$65536,10,0)</f>
        <v>0.35</v>
      </c>
    </row>
    <row r="2585" spans="1:12" ht="15.6" outlineLevel="1">
      <c r="A2585" s="11">
        <v>1815710213</v>
      </c>
      <c r="B2585" s="40">
        <v>213</v>
      </c>
      <c r="C2585" s="109">
        <v>815710</v>
      </c>
      <c r="D2585" s="42">
        <v>1</v>
      </c>
      <c r="E2585" s="43"/>
      <c r="F2585" s="44" t="s">
        <v>385</v>
      </c>
      <c r="G2585" s="45" t="s">
        <v>22</v>
      </c>
      <c r="H2585" s="51">
        <v>0</v>
      </c>
      <c r="I2585" s="47"/>
      <c r="J2585" s="48">
        <f>VLOOKUP(A2585,'[1]תקציב 2026'!$A$1:$M$65536,9,0)</f>
        <v>0</v>
      </c>
      <c r="K2585" s="49">
        <f>VLOOKUP(A2585,[3]גיליון1!$A$1:$C$7693,3,0)</f>
        <v>0</v>
      </c>
      <c r="L2585" s="50">
        <f>VLOOKUP(A2585,[2]data1761205830331!$A$1:$J$65536,10,0)</f>
        <v>1157.3699999999999</v>
      </c>
    </row>
    <row r="2586" spans="1:12" ht="15.6" outlineLevel="1">
      <c r="A2586" s="11">
        <v>1815710214</v>
      </c>
      <c r="B2586" s="40">
        <v>214</v>
      </c>
      <c r="C2586" s="109">
        <v>815710</v>
      </c>
      <c r="D2586" s="42">
        <v>1</v>
      </c>
      <c r="E2586" s="43"/>
      <c r="F2586" s="44" t="s">
        <v>1484</v>
      </c>
      <c r="G2586" s="45" t="s">
        <v>22</v>
      </c>
      <c r="H2586" s="51">
        <v>0</v>
      </c>
      <c r="I2586" s="47"/>
      <c r="J2586" s="48">
        <f>VLOOKUP(A2586,'[1]תקציב 2026'!$A$1:$M$65536,9,0)</f>
        <v>0</v>
      </c>
      <c r="K2586" s="49">
        <f>VLOOKUP(A2586,[3]גיליון1!$A$1:$C$7693,3,0)</f>
        <v>0</v>
      </c>
      <c r="L2586" s="50">
        <f>VLOOKUP(A2586,[2]data1761205830331!$A$1:$J$65536,10,0)</f>
        <v>24068.799999999999</v>
      </c>
    </row>
    <row r="2587" spans="1:12" ht="15.6" outlineLevel="1">
      <c r="A2587" s="11">
        <v>1815710216</v>
      </c>
      <c r="B2587" s="40">
        <v>216</v>
      </c>
      <c r="C2587" s="109">
        <v>815710</v>
      </c>
      <c r="D2587" s="42">
        <v>1</v>
      </c>
      <c r="E2587" s="43"/>
      <c r="F2587" s="44" t="s">
        <v>1485</v>
      </c>
      <c r="G2587" s="45" t="s">
        <v>22</v>
      </c>
      <c r="H2587" s="51">
        <f t="shared" si="40"/>
        <v>0</v>
      </c>
      <c r="I2587" s="47"/>
      <c r="J2587" s="48">
        <f>VLOOKUP(A2587,'[1]תקציב 2026'!$A$1:$M$65536,9,0)</f>
        <v>10000</v>
      </c>
      <c r="K2587" s="49">
        <f>VLOOKUP(A2587,[3]גיליון1!$A$1:$C$7693,3,0)</f>
        <v>10000</v>
      </c>
      <c r="L2587" s="50">
        <f>VLOOKUP(A2587,[2]data1761205830331!$A$1:$J$65536,10,0)</f>
        <v>1772</v>
      </c>
    </row>
    <row r="2588" spans="1:12" ht="15.6" outlineLevel="1">
      <c r="A2588" s="11">
        <v>1815710250</v>
      </c>
      <c r="B2588" s="40">
        <v>250</v>
      </c>
      <c r="C2588" s="109">
        <v>815710</v>
      </c>
      <c r="D2588" s="42">
        <v>1</v>
      </c>
      <c r="E2588" s="43"/>
      <c r="F2588" s="154" t="s">
        <v>1486</v>
      </c>
      <c r="G2588" s="45" t="s">
        <v>22</v>
      </c>
      <c r="H2588" s="51">
        <f t="shared" si="40"/>
        <v>-1</v>
      </c>
      <c r="I2588" s="47"/>
      <c r="J2588" s="48">
        <f>VLOOKUP(A2588,'[1]תקציב 2026'!$A$1:$M$65536,9,0)</f>
        <v>0</v>
      </c>
      <c r="K2588" s="49">
        <f>VLOOKUP(A2588,[3]גיליון1!$A$1:$C$7693,3,0)</f>
        <v>35400</v>
      </c>
      <c r="L2588" s="50">
        <f>VLOOKUP(A2588,[2]data1761205830331!$A$1:$J$65536,10,0)</f>
        <v>0.06</v>
      </c>
    </row>
    <row r="2589" spans="1:12" ht="15.6" outlineLevel="1">
      <c r="A2589" s="11">
        <v>1815710420</v>
      </c>
      <c r="B2589" s="40">
        <v>420</v>
      </c>
      <c r="C2589" s="109">
        <v>815710</v>
      </c>
      <c r="D2589" s="42">
        <v>1</v>
      </c>
      <c r="E2589" s="43"/>
      <c r="F2589" s="44" t="s">
        <v>30</v>
      </c>
      <c r="G2589" s="45" t="s">
        <v>29</v>
      </c>
      <c r="H2589" s="51">
        <f t="shared" si="40"/>
        <v>0</v>
      </c>
      <c r="I2589" s="47"/>
      <c r="J2589" s="48">
        <f>VLOOKUP(A2589,'[1]תקציב 2026'!$A$1:$M$65536,9,0)</f>
        <v>9900</v>
      </c>
      <c r="K2589" s="49">
        <f>VLOOKUP(A2589,[3]גיליון1!$A$1:$C$7693,3,0)*0.9</f>
        <v>9900</v>
      </c>
      <c r="L2589" s="50">
        <f>VLOOKUP(A2589,[2]data1761205830331!$A$1:$J$65536,10,0)</f>
        <v>3136.81</v>
      </c>
    </row>
    <row r="2590" spans="1:12" ht="15.6" outlineLevel="1">
      <c r="A2590" s="11">
        <v>1815710431</v>
      </c>
      <c r="B2590" s="40">
        <v>431</v>
      </c>
      <c r="C2590" s="109">
        <v>815710</v>
      </c>
      <c r="D2590" s="42">
        <v>1</v>
      </c>
      <c r="E2590" s="43"/>
      <c r="F2590" s="44" t="s">
        <v>32</v>
      </c>
      <c r="G2590" s="45" t="s">
        <v>29</v>
      </c>
      <c r="H2590" s="51">
        <f t="shared" si="40"/>
        <v>0</v>
      </c>
      <c r="I2590" s="47"/>
      <c r="J2590" s="48">
        <f>VLOOKUP(A2590,'[1]תקציב 2026'!$A$1:$M$65536,9,0)</f>
        <v>141500</v>
      </c>
      <c r="K2590" s="49">
        <v>141500</v>
      </c>
      <c r="L2590" s="50">
        <f>VLOOKUP(A2590,[2]data1761205830331!$A$1:$J$65536,10,0)</f>
        <v>142400</v>
      </c>
    </row>
    <row r="2591" spans="1:12" ht="15.6" outlineLevel="1">
      <c r="A2591" s="11">
        <v>1815710432</v>
      </c>
      <c r="B2591" s="40">
        <v>432</v>
      </c>
      <c r="C2591" s="109">
        <v>815710</v>
      </c>
      <c r="D2591" s="42">
        <v>1</v>
      </c>
      <c r="E2591" s="43"/>
      <c r="F2591" s="44" t="s">
        <v>33</v>
      </c>
      <c r="G2591" s="45" t="s">
        <v>29</v>
      </c>
      <c r="H2591" s="51">
        <f t="shared" si="40"/>
        <v>-9.9009900990099098E-3</v>
      </c>
      <c r="I2591" s="47"/>
      <c r="J2591" s="48">
        <f>VLOOKUP(A2591,'[1]תקציב 2026'!$A$1:$M$65536,9,0)</f>
        <v>80000</v>
      </c>
      <c r="K2591" s="49">
        <v>80800</v>
      </c>
      <c r="L2591" s="50">
        <f>VLOOKUP(A2591,[2]data1761205830331!$A$1:$J$65536,10,0)</f>
        <v>73802</v>
      </c>
    </row>
    <row r="2592" spans="1:12" ht="15.6" outlineLevel="1">
      <c r="A2592" s="11">
        <v>1815710437</v>
      </c>
      <c r="B2592" s="40">
        <v>437</v>
      </c>
      <c r="C2592" s="109">
        <v>815710</v>
      </c>
      <c r="D2592" s="42">
        <v>1</v>
      </c>
      <c r="E2592" s="43"/>
      <c r="F2592" s="44" t="s">
        <v>38</v>
      </c>
      <c r="G2592" s="45" t="s">
        <v>29</v>
      </c>
      <c r="H2592" s="51">
        <f t="shared" si="40"/>
        <v>0</v>
      </c>
      <c r="I2592" s="47"/>
      <c r="J2592" s="48">
        <f>VLOOKUP(A2592,'[1]תקציב 2026'!$A$1:$M$65536,9,0)</f>
        <v>3700</v>
      </c>
      <c r="K2592" s="49">
        <f>VLOOKUP(A2592,[3]גיליון1!$A$1:$C$7693,3,0)</f>
        <v>3700</v>
      </c>
      <c r="L2592" s="50">
        <f>VLOOKUP(A2592,[2]data1761205830331!$A$1:$J$65536,10,0)</f>
        <v>3591.38</v>
      </c>
    </row>
    <row r="2593" spans="1:12" ht="15.6" outlineLevel="1">
      <c r="A2593" s="11">
        <v>1815710450</v>
      </c>
      <c r="B2593" s="40">
        <v>450</v>
      </c>
      <c r="C2593" s="109">
        <v>815710</v>
      </c>
      <c r="D2593" s="42">
        <v>1</v>
      </c>
      <c r="E2593" s="43"/>
      <c r="F2593" s="44" t="s">
        <v>1487</v>
      </c>
      <c r="G2593" s="45" t="s">
        <v>37</v>
      </c>
      <c r="H2593" s="51">
        <f t="shared" si="40"/>
        <v>5.5155875299760293E-2</v>
      </c>
      <c r="I2593" s="47"/>
      <c r="J2593" s="48">
        <f>VLOOKUP(A2593,'[1]תקציב 2026'!$A$1:$M$65536,9,0)</f>
        <v>13200</v>
      </c>
      <c r="K2593" s="49">
        <f>13900*0.9</f>
        <v>12510</v>
      </c>
      <c r="L2593" s="50">
        <f>VLOOKUP(A2593,[2]data1761205830331!$A$1:$J$65536,10,0)</f>
        <v>9561</v>
      </c>
    </row>
    <row r="2594" spans="1:12" ht="15.6" outlineLevel="1">
      <c r="A2594" s="11">
        <v>1815710451</v>
      </c>
      <c r="B2594" s="40">
        <v>451</v>
      </c>
      <c r="C2594" s="109">
        <v>815710</v>
      </c>
      <c r="D2594" s="42">
        <v>1</v>
      </c>
      <c r="E2594" s="43"/>
      <c r="F2594" s="44" t="s">
        <v>1384</v>
      </c>
      <c r="G2594" s="45" t="s">
        <v>29</v>
      </c>
      <c r="H2594" s="51">
        <f t="shared" si="40"/>
        <v>-8.4249084249084283E-2</v>
      </c>
      <c r="I2594" s="47"/>
      <c r="J2594" s="48">
        <f>VLOOKUP(A2594,'[1]תקציב 2026'!$A$1:$M$65536,9,0)</f>
        <v>300000</v>
      </c>
      <c r="K2594" s="49">
        <v>327600</v>
      </c>
      <c r="L2594" s="50">
        <f>VLOOKUP(A2594,[2]data1761205830331!$A$1:$J$65536,10,0)</f>
        <v>0</v>
      </c>
    </row>
    <row r="2595" spans="1:12" ht="15.6" outlineLevel="1">
      <c r="A2595" s="11">
        <v>1815710452</v>
      </c>
      <c r="B2595" s="40">
        <v>452</v>
      </c>
      <c r="C2595" s="109">
        <v>815710</v>
      </c>
      <c r="D2595" s="42">
        <v>1</v>
      </c>
      <c r="E2595" s="43"/>
      <c r="F2595" s="44" t="s">
        <v>381</v>
      </c>
      <c r="G2595" s="45" t="s">
        <v>29</v>
      </c>
      <c r="H2595" s="51">
        <f t="shared" si="40"/>
        <v>3.5920461834509254E-2</v>
      </c>
      <c r="I2595" s="47"/>
      <c r="J2595" s="48">
        <f>VLOOKUP(A2595,'[1]תקציב 2026'!$A$1:$M$65536,9,0)</f>
        <v>323000</v>
      </c>
      <c r="K2595" s="49">
        <v>311800</v>
      </c>
      <c r="L2595" s="50">
        <f>VLOOKUP(A2595,[2]data1761205830331!$A$1:$J$65536,10,0)</f>
        <v>0</v>
      </c>
    </row>
    <row r="2596" spans="1:12" ht="15" customHeight="1" outlineLevel="1">
      <c r="A2596" s="11">
        <v>1815710511</v>
      </c>
      <c r="B2596" s="40">
        <v>511</v>
      </c>
      <c r="C2596" s="109">
        <v>815710</v>
      </c>
      <c r="D2596" s="42">
        <v>1</v>
      </c>
      <c r="E2596" s="43"/>
      <c r="F2596" s="44" t="s">
        <v>72</v>
      </c>
      <c r="G2596" s="45" t="s">
        <v>37</v>
      </c>
      <c r="H2596" s="51">
        <f t="shared" si="40"/>
        <v>0.27226463104325704</v>
      </c>
      <c r="I2596" s="47"/>
      <c r="J2596" s="48">
        <f>VLOOKUP(A2596,'[1]תקציב 2026'!$A$1:$M$65536,9,0)</f>
        <v>15000</v>
      </c>
      <c r="K2596" s="49">
        <f>13100*0.9</f>
        <v>11790</v>
      </c>
      <c r="L2596" s="50">
        <f>VLOOKUP(A2596,[2]data1761205830331!$A$1:$J$65536,10,0)</f>
        <v>13759.4</v>
      </c>
    </row>
    <row r="2597" spans="1:12" ht="15.6" outlineLevel="1">
      <c r="A2597" s="11">
        <v>1815710742</v>
      </c>
      <c r="B2597" s="40">
        <v>742</v>
      </c>
      <c r="C2597" s="109">
        <v>815710</v>
      </c>
      <c r="D2597" s="42">
        <v>1</v>
      </c>
      <c r="E2597" s="43"/>
      <c r="F2597" s="44" t="s">
        <v>52</v>
      </c>
      <c r="G2597" s="45" t="s">
        <v>37</v>
      </c>
      <c r="H2597" s="51">
        <f t="shared" si="40"/>
        <v>1.1011011011011096E-2</v>
      </c>
      <c r="I2597" s="47"/>
      <c r="J2597" s="48">
        <f>VLOOKUP(A2597,'[1]תקציב 2026'!$A$1:$M$65536,9,0)</f>
        <v>60600</v>
      </c>
      <c r="K2597" s="49">
        <f>VLOOKUP(A2597,[3]גיליון1!$A$1:$C$7693,3,0)*0.9</f>
        <v>59940</v>
      </c>
      <c r="L2597" s="50">
        <f>VLOOKUP(A2597,[2]data1761205830331!$A$1:$J$65536,10,0)</f>
        <v>61143</v>
      </c>
    </row>
    <row r="2598" spans="1:12" ht="15.6" outlineLevel="1">
      <c r="A2598" s="11">
        <v>1815710750</v>
      </c>
      <c r="B2598" s="40">
        <v>750</v>
      </c>
      <c r="C2598" s="109">
        <v>815710</v>
      </c>
      <c r="D2598" s="42">
        <v>1</v>
      </c>
      <c r="E2598" s="43"/>
      <c r="F2598" s="44" t="s">
        <v>1351</v>
      </c>
      <c r="G2598" s="45" t="s">
        <v>29</v>
      </c>
      <c r="H2598" s="51">
        <f t="shared" si="40"/>
        <v>-1.6168917633631374E-2</v>
      </c>
      <c r="I2598" s="47"/>
      <c r="J2598" s="48">
        <f>VLOOKUP(A2598,'[1]תקציב 2026'!$A$1:$M$65536,9,0)</f>
        <v>517200</v>
      </c>
      <c r="K2598" s="49">
        <v>525700</v>
      </c>
      <c r="L2598" s="50">
        <f>VLOOKUP(A2598,[2]data1761205830331!$A$1:$J$65536,10,0)</f>
        <v>481600</v>
      </c>
    </row>
    <row r="2599" spans="1:12" ht="15.6" outlineLevel="1">
      <c r="A2599" s="11">
        <v>1815710752</v>
      </c>
      <c r="B2599" s="40">
        <v>752</v>
      </c>
      <c r="C2599" s="109">
        <v>815710</v>
      </c>
      <c r="D2599" s="42">
        <v>1</v>
      </c>
      <c r="E2599" s="43"/>
      <c r="F2599" s="44" t="s">
        <v>54</v>
      </c>
      <c r="G2599" s="45" t="s">
        <v>29</v>
      </c>
      <c r="H2599" s="51">
        <f t="shared" si="40"/>
        <v>-0.16552936311000832</v>
      </c>
      <c r="I2599" s="47"/>
      <c r="J2599" s="48">
        <f>VLOOKUP(A2599,'[1]תקציב 2026'!$A$1:$M$65536,9,0)</f>
        <v>807100</v>
      </c>
      <c r="K2599" s="49">
        <f>VLOOKUP(A2599,[3]גיליון1!$A$1:$C$7693,3,0)</f>
        <v>967200</v>
      </c>
      <c r="L2599" s="50">
        <f>VLOOKUP(A2599,[2]data1761205830331!$A$1:$J$65536,10,0)</f>
        <v>819199.8</v>
      </c>
    </row>
    <row r="2600" spans="1:12" ht="15.6" outlineLevel="1">
      <c r="A2600" s="11">
        <v>1815710759</v>
      </c>
      <c r="B2600" s="40">
        <v>759</v>
      </c>
      <c r="C2600" s="109">
        <v>815710</v>
      </c>
      <c r="D2600" s="42">
        <v>1</v>
      </c>
      <c r="E2600" s="43"/>
      <c r="F2600" s="44" t="s">
        <v>1332</v>
      </c>
      <c r="G2600" s="45" t="s">
        <v>22</v>
      </c>
      <c r="H2600" s="51">
        <f t="shared" si="40"/>
        <v>7.2939690558888604E-2</v>
      </c>
      <c r="I2600" s="47"/>
      <c r="J2600" s="48">
        <f>VLOOKUP(A2600,'[1]תקציב 2026'!$A$1:$M$65536,9,0)</f>
        <v>679600</v>
      </c>
      <c r="K2600" s="49">
        <v>633400</v>
      </c>
      <c r="L2600" s="50">
        <f>VLOOKUP(A2600,[2]data1761205830331!$A$1:$J$65536,10,0)</f>
        <v>343122.02</v>
      </c>
    </row>
    <row r="2601" spans="1:12" ht="15.6" outlineLevel="1">
      <c r="A2601" s="11">
        <v>1815710762</v>
      </c>
      <c r="B2601" s="40">
        <v>762</v>
      </c>
      <c r="C2601" s="109">
        <v>815710</v>
      </c>
      <c r="D2601" s="42">
        <v>1</v>
      </c>
      <c r="E2601" s="43"/>
      <c r="F2601" s="44" t="s">
        <v>1488</v>
      </c>
      <c r="G2601" s="45" t="s">
        <v>22</v>
      </c>
      <c r="H2601" s="51">
        <f t="shared" si="40"/>
        <v>0.23397177960191007</v>
      </c>
      <c r="I2601" s="47"/>
      <c r="J2601" s="48">
        <f>VLOOKUP(A2601,'[1]תקציב 2026'!$A$1:$M$65536,9,0)</f>
        <v>2300000</v>
      </c>
      <c r="K2601" s="49">
        <f>VLOOKUP(A2601,[3]גיליון1!$A$1:$C$7693,3,0)</f>
        <v>1863900</v>
      </c>
      <c r="L2601" s="50">
        <f>VLOOKUP(A2601,[2]data1761205830331!$A$1:$J$65536,10,0)</f>
        <v>1985980.48</v>
      </c>
    </row>
    <row r="2602" spans="1:12" ht="15.6" outlineLevel="1">
      <c r="A2602" s="11">
        <v>1815710780</v>
      </c>
      <c r="B2602" s="40">
        <v>780</v>
      </c>
      <c r="C2602" s="109">
        <v>815710</v>
      </c>
      <c r="D2602" s="42">
        <v>1</v>
      </c>
      <c r="E2602" s="43"/>
      <c r="F2602" s="44" t="s">
        <v>1489</v>
      </c>
      <c r="G2602" s="45" t="s">
        <v>29</v>
      </c>
      <c r="H2602" s="51">
        <f t="shared" si="40"/>
        <v>2.7027027027026973E-2</v>
      </c>
      <c r="I2602" s="47"/>
      <c r="J2602" s="48">
        <f>VLOOKUP(A2602,'[1]תקציב 2026'!$A$1:$M$65536,9,0)</f>
        <v>19000</v>
      </c>
      <c r="K2602" s="49">
        <f>VLOOKUP(A2602,[3]גיליון1!$A$1:$C$7693,3,0)</f>
        <v>18500</v>
      </c>
      <c r="L2602" s="50">
        <f>VLOOKUP(A2602,[2]data1761205830331!$A$1:$J$65536,10,0)</f>
        <v>17180</v>
      </c>
    </row>
    <row r="2603" spans="1:12" ht="15.6" outlineLevel="1">
      <c r="A2603" s="11">
        <v>1815710794</v>
      </c>
      <c r="B2603" s="40">
        <v>794</v>
      </c>
      <c r="C2603" s="109">
        <v>815710</v>
      </c>
      <c r="D2603" s="42">
        <v>1</v>
      </c>
      <c r="E2603" s="43"/>
      <c r="F2603" s="44" t="s">
        <v>58</v>
      </c>
      <c r="G2603" s="45" t="s">
        <v>29</v>
      </c>
      <c r="H2603" s="51">
        <f t="shared" si="40"/>
        <v>0.10588235294117654</v>
      </c>
      <c r="I2603" s="47"/>
      <c r="J2603" s="48">
        <f>VLOOKUP(A2603,'[1]תקציב 2026'!$A$1:$M$65536,9,0)</f>
        <v>9400</v>
      </c>
      <c r="K2603" s="49">
        <v>8500</v>
      </c>
      <c r="L2603" s="50">
        <f>VLOOKUP(A2603,[2]data1761205830331!$A$1:$J$65536,10,0)</f>
        <v>19920</v>
      </c>
    </row>
    <row r="2604" spans="1:12" ht="15.6" outlineLevel="1">
      <c r="A2604" s="11">
        <v>1815710810</v>
      </c>
      <c r="B2604" s="40">
        <v>810</v>
      </c>
      <c r="C2604" s="109">
        <v>815710</v>
      </c>
      <c r="D2604" s="42">
        <v>1</v>
      </c>
      <c r="E2604" s="43"/>
      <c r="F2604" s="44" t="s">
        <v>1490</v>
      </c>
      <c r="G2604" s="45" t="s">
        <v>37</v>
      </c>
      <c r="H2604" s="51">
        <f t="shared" si="40"/>
        <v>-1</v>
      </c>
      <c r="I2604" s="47"/>
      <c r="J2604" s="48">
        <f>VLOOKUP(A2604,'[1]תקציב 2026'!$A$1:$M$65536,9,0)</f>
        <v>0</v>
      </c>
      <c r="K2604" s="49">
        <f>156200*0.9</f>
        <v>140580</v>
      </c>
      <c r="L2604" s="50">
        <f>VLOOKUP(A2604,[2]data1761205830331!$A$1:$J$65536,10,0)</f>
        <v>0</v>
      </c>
    </row>
    <row r="2605" spans="1:12" ht="15.6" outlineLevel="1">
      <c r="A2605" s="11">
        <v>1815710812</v>
      </c>
      <c r="B2605" s="40">
        <v>812</v>
      </c>
      <c r="C2605" s="109">
        <v>815710</v>
      </c>
      <c r="D2605" s="42">
        <v>1</v>
      </c>
      <c r="E2605" s="43"/>
      <c r="F2605" s="44" t="s">
        <v>296</v>
      </c>
      <c r="G2605" s="45" t="s">
        <v>29</v>
      </c>
      <c r="H2605" s="51">
        <f t="shared" si="40"/>
        <v>0.66666666666666674</v>
      </c>
      <c r="I2605" s="47"/>
      <c r="J2605" s="48">
        <f>VLOOKUP(A2605,'[1]תקציב 2026'!$A$1:$M$65536,9,0)</f>
        <v>34500</v>
      </c>
      <c r="K2605" s="49">
        <f>VLOOKUP(A2605,[3]גיליון1!$A$1:$C$7693,3,0)*0.9</f>
        <v>20700</v>
      </c>
      <c r="L2605" s="50">
        <f>VLOOKUP(A2605,[2]data1761205830331!$A$1:$J$65536,10,0)</f>
        <v>24442</v>
      </c>
    </row>
    <row r="2606" spans="1:12" ht="15.6" outlineLevel="1">
      <c r="A2606" s="11">
        <v>1815710953</v>
      </c>
      <c r="B2606" s="40">
        <v>953</v>
      </c>
      <c r="C2606" s="109">
        <v>815710</v>
      </c>
      <c r="D2606" s="42">
        <v>1</v>
      </c>
      <c r="E2606" s="43"/>
      <c r="F2606" s="44" t="s">
        <v>277</v>
      </c>
      <c r="G2606" s="45" t="s">
        <v>29</v>
      </c>
      <c r="H2606" s="51">
        <f t="shared" si="40"/>
        <v>9.8460551635663807E-2</v>
      </c>
      <c r="I2606" s="47"/>
      <c r="J2606" s="48">
        <f>VLOOKUP(A2606,'[1]תקציב 2026'!$A$1:$M$65536,9,0)</f>
        <v>1370000</v>
      </c>
      <c r="K2606" s="49">
        <v>1247200</v>
      </c>
      <c r="L2606" s="50">
        <f>VLOOKUP(A2606,[2]data1761205830331!$A$1:$J$65536,10,0)</f>
        <v>1441946.99</v>
      </c>
    </row>
    <row r="2607" spans="1:12" ht="16.2" outlineLevel="1" thickBot="1">
      <c r="A2607" s="11">
        <v>1815710989</v>
      </c>
      <c r="B2607" s="40">
        <v>989</v>
      </c>
      <c r="C2607" s="109">
        <v>815710</v>
      </c>
      <c r="D2607" s="42">
        <v>1</v>
      </c>
      <c r="E2607" s="43"/>
      <c r="F2607" s="44" t="s">
        <v>1491</v>
      </c>
      <c r="G2607" s="45" t="s">
        <v>29</v>
      </c>
      <c r="H2607" s="51">
        <f t="shared" si="40"/>
        <v>-4.0632768361581917E-2</v>
      </c>
      <c r="I2607" s="47"/>
      <c r="J2607" s="48">
        <f>VLOOKUP(A2607,'[1]תקציב 2026'!$A$1:$M$65536,9,0)</f>
        <v>1273560</v>
      </c>
      <c r="K2607" s="49">
        <v>1327500</v>
      </c>
      <c r="L2607" s="50">
        <f>VLOOKUP(A2607,[2]data1761205830331!$A$1:$J$65536,10,0)</f>
        <v>1258860</v>
      </c>
    </row>
    <row r="2608" spans="1:12" ht="16.2" thickBot="1">
      <c r="A2608" s="11" t="e">
        <v>#VALUE!</v>
      </c>
      <c r="B2608" s="53" t="s">
        <v>1492</v>
      </c>
      <c r="C2608" s="223"/>
      <c r="D2608" s="55"/>
      <c r="E2608" s="56"/>
      <c r="F2608" s="116" t="s">
        <v>1493</v>
      </c>
      <c r="G2608" s="58"/>
      <c r="H2608" s="166">
        <f>J2608/K2608-1</f>
        <v>-4.0640270161943715E-2</v>
      </c>
      <c r="I2608" s="72"/>
      <c r="J2608" s="74">
        <f>SUBTOTAL(9,J2578:J2607)</f>
        <v>22499480</v>
      </c>
      <c r="K2608" s="92">
        <f>SUBTOTAL(9,K2578:K2607)</f>
        <v>23452600</v>
      </c>
      <c r="L2608" s="75">
        <f>SUBTOTAL(9,L2578:L2607)</f>
        <v>23322091.299999993</v>
      </c>
    </row>
    <row r="2609" spans="1:12" ht="15.6" outlineLevel="1">
      <c r="A2609" s="11">
        <v>18157200</v>
      </c>
      <c r="B2609" s="40">
        <v>0</v>
      </c>
      <c r="C2609" s="109">
        <v>815720</v>
      </c>
      <c r="D2609" s="42">
        <v>1</v>
      </c>
      <c r="E2609" s="43"/>
      <c r="F2609" s="44" t="s">
        <v>392</v>
      </c>
      <c r="G2609" s="45" t="s">
        <v>15</v>
      </c>
      <c r="H2609" s="51"/>
      <c r="I2609" s="47"/>
      <c r="J2609" s="48"/>
      <c r="K2609" s="49"/>
      <c r="L2609" s="50"/>
    </row>
    <row r="2610" spans="1:12" ht="15.6" outlineLevel="1">
      <c r="A2610" s="11">
        <v>1815720110</v>
      </c>
      <c r="B2610" s="40">
        <v>110</v>
      </c>
      <c r="C2610" s="109">
        <v>815720</v>
      </c>
      <c r="D2610" s="42">
        <v>1</v>
      </c>
      <c r="E2610" s="43"/>
      <c r="F2610" s="44" t="s">
        <v>21</v>
      </c>
      <c r="G2610" s="45" t="s">
        <v>22</v>
      </c>
      <c r="H2610" s="51">
        <f t="shared" si="40"/>
        <v>2.4972375690607729E-2</v>
      </c>
      <c r="I2610" s="47"/>
      <c r="J2610" s="48">
        <f>VLOOKUP(A2610,'[1]תקציב 2026'!$A$1:$M$65536,9,0)</f>
        <v>185520</v>
      </c>
      <c r="K2610" s="49">
        <f>VLOOKUP(A2610,[3]גיליון1!$A$1:$C$7693,3,0)</f>
        <v>181000</v>
      </c>
      <c r="L2610" s="50">
        <f>VLOOKUP(A2610,[2]data1761205830331!$A$1:$J$65536,10,0)</f>
        <v>225786.84</v>
      </c>
    </row>
    <row r="2611" spans="1:12" ht="15.6" outlineLevel="1">
      <c r="A2611" s="11">
        <v>1815720118</v>
      </c>
      <c r="B2611" s="40">
        <v>118</v>
      </c>
      <c r="C2611" s="109">
        <v>815720</v>
      </c>
      <c r="D2611" s="42">
        <v>1</v>
      </c>
      <c r="E2611" s="43"/>
      <c r="F2611" s="44" t="s">
        <v>1483</v>
      </c>
      <c r="G2611" s="45" t="s">
        <v>22</v>
      </c>
      <c r="H2611" s="51">
        <f t="shared" si="40"/>
        <v>2.2844787064021821E-2</v>
      </c>
      <c r="I2611" s="47"/>
      <c r="J2611" s="48">
        <f>VLOOKUP(A2611,'[1]תקציב 2026'!$A$1:$M$65536,9,0)</f>
        <v>19584000</v>
      </c>
      <c r="K2611" s="49">
        <f>VLOOKUP(A2611,[3]גיליון1!$A$1:$C$7693,3,0)</f>
        <v>19146600</v>
      </c>
      <c r="L2611" s="50">
        <f>VLOOKUP(A2611,[2]data1761205830331!$A$1:$J$65536,10,0)</f>
        <v>18985574.309999999</v>
      </c>
    </row>
    <row r="2612" spans="1:12" ht="15.6" outlineLevel="1">
      <c r="A2612" s="11">
        <v>1815720119</v>
      </c>
      <c r="B2612" s="40">
        <v>119</v>
      </c>
      <c r="C2612" s="109">
        <v>815720</v>
      </c>
      <c r="D2612" s="42">
        <v>1</v>
      </c>
      <c r="E2612" s="43"/>
      <c r="F2612" s="44" t="s">
        <v>23</v>
      </c>
      <c r="G2612" s="45" t="s">
        <v>22</v>
      </c>
      <c r="H2612" s="51">
        <f t="shared" si="40"/>
        <v>2.4996791992814016E-2</v>
      </c>
      <c r="I2612" s="47"/>
      <c r="J2612" s="48">
        <f>VLOOKUP(A2612,'[1]תקציב 2026'!$A$1:$M$65536,9,0)</f>
        <v>1597560</v>
      </c>
      <c r="K2612" s="49">
        <v>1558600</v>
      </c>
      <c r="L2612" s="50">
        <f>VLOOKUP(A2612,[2]data1761205830331!$A$1:$J$65536,10,0)</f>
        <v>1655198.78</v>
      </c>
    </row>
    <row r="2613" spans="1:12" ht="15.6" outlineLevel="1">
      <c r="A2613" s="11">
        <v>1815720122</v>
      </c>
      <c r="B2613" s="40">
        <v>122</v>
      </c>
      <c r="C2613" s="109">
        <v>815720</v>
      </c>
      <c r="D2613" s="42">
        <v>1</v>
      </c>
      <c r="E2613" s="43"/>
      <c r="F2613" s="44" t="s">
        <v>24</v>
      </c>
      <c r="G2613" s="45" t="s">
        <v>22</v>
      </c>
      <c r="H2613" s="51">
        <f t="shared" si="40"/>
        <v>0</v>
      </c>
      <c r="I2613" s="47"/>
      <c r="J2613" s="48">
        <f>VLOOKUP(A2613,'[1]תקציב 2026'!$A$1:$M$65536,9,0)</f>
        <v>170000</v>
      </c>
      <c r="K2613" s="49">
        <f>VLOOKUP(A2613,[3]גיליון1!$A$1:$C$7693,3,0)</f>
        <v>170000</v>
      </c>
      <c r="L2613" s="50">
        <f>VLOOKUP(A2613,[2]data1761205830331!$A$1:$J$65536,10,0)</f>
        <v>168281.08</v>
      </c>
    </row>
    <row r="2614" spans="1:12" ht="15.6" outlineLevel="1">
      <c r="A2614" s="11">
        <v>1815720126</v>
      </c>
      <c r="B2614" s="40">
        <v>126</v>
      </c>
      <c r="C2614" s="109">
        <v>815720</v>
      </c>
      <c r="D2614" s="42">
        <v>1</v>
      </c>
      <c r="E2614" s="43"/>
      <c r="F2614" s="44" t="s">
        <v>25</v>
      </c>
      <c r="G2614" s="45" t="s">
        <v>22</v>
      </c>
      <c r="H2614" s="51">
        <f t="shared" ref="H2614:H2677" si="41">J2614/K2614-1</f>
        <v>0</v>
      </c>
      <c r="I2614" s="47"/>
      <c r="J2614" s="48">
        <f>VLOOKUP(A2614,'[1]תקציב 2026'!$A$1:$M$65536,9,0)</f>
        <v>375000</v>
      </c>
      <c r="K2614" s="49">
        <f>VLOOKUP(A2614,[3]גיליון1!$A$1:$C$7693,3,0)</f>
        <v>375000</v>
      </c>
      <c r="L2614" s="50">
        <f>VLOOKUP(A2614,[2]data1761205830331!$A$1:$J$65536,10,0)</f>
        <v>376162.97</v>
      </c>
    </row>
    <row r="2615" spans="1:12" ht="15.6" outlineLevel="1">
      <c r="A2615" s="11">
        <v>1815720130</v>
      </c>
      <c r="B2615" s="40">
        <v>130</v>
      </c>
      <c r="C2615" s="109">
        <v>815720</v>
      </c>
      <c r="D2615" s="42">
        <v>1</v>
      </c>
      <c r="E2615" s="43"/>
      <c r="F2615" s="44" t="s">
        <v>26</v>
      </c>
      <c r="G2615" s="45" t="s">
        <v>22</v>
      </c>
      <c r="H2615" s="51">
        <f t="shared" si="41"/>
        <v>0</v>
      </c>
      <c r="I2615" s="47"/>
      <c r="J2615" s="48">
        <f>VLOOKUP(A2615,'[1]תקציב 2026'!$A$1:$M$65536,9,0)</f>
        <v>9460</v>
      </c>
      <c r="K2615" s="49">
        <f>VLOOKUP(A2615,[3]גיליון1!$A$1:$C$7693,3,0)*0.86</f>
        <v>9460</v>
      </c>
      <c r="L2615" s="50">
        <f>VLOOKUP(A2615,[2]data1761205830331!$A$1:$J$65536,10,0)</f>
        <v>14928.98</v>
      </c>
    </row>
    <row r="2616" spans="1:12" ht="15.6" outlineLevel="1">
      <c r="A2616" s="11">
        <v>1815720140</v>
      </c>
      <c r="B2616" s="40">
        <v>140</v>
      </c>
      <c r="C2616" s="109">
        <v>815720</v>
      </c>
      <c r="D2616" s="42">
        <v>1</v>
      </c>
      <c r="E2616" s="43"/>
      <c r="F2616" s="44" t="s">
        <v>27</v>
      </c>
      <c r="G2616" s="45" t="s">
        <v>22</v>
      </c>
      <c r="H2616" s="51">
        <f t="shared" si="41"/>
        <v>0</v>
      </c>
      <c r="I2616" s="47"/>
      <c r="J2616" s="48">
        <f>VLOOKUP(A2616,'[1]תקציב 2026'!$A$1:$M$65536,9,0)</f>
        <v>154000</v>
      </c>
      <c r="K2616" s="49">
        <f>VLOOKUP(A2616,[3]גיליון1!$A$1:$C$7693,3,0)</f>
        <v>154000</v>
      </c>
      <c r="L2616" s="50">
        <f>VLOOKUP(A2616,[2]data1761205830331!$A$1:$J$65536,10,0)</f>
        <v>219025.32</v>
      </c>
    </row>
    <row r="2617" spans="1:12" ht="15.6" outlineLevel="1">
      <c r="A2617" s="11">
        <v>1815720214</v>
      </c>
      <c r="B2617" s="40">
        <v>214</v>
      </c>
      <c r="C2617" s="109">
        <v>815720</v>
      </c>
      <c r="D2617" s="42">
        <v>1</v>
      </c>
      <c r="E2617" s="43"/>
      <c r="F2617" s="44" t="s">
        <v>1484</v>
      </c>
      <c r="G2617" s="45" t="s">
        <v>22</v>
      </c>
      <c r="H2617" s="51">
        <v>0</v>
      </c>
      <c r="I2617" s="47"/>
      <c r="J2617" s="48">
        <f>VLOOKUP(A2617,'[1]תקציב 2026'!$A$1:$M$65536,9,0)</f>
        <v>0</v>
      </c>
      <c r="K2617" s="49">
        <v>0</v>
      </c>
      <c r="L2617" s="50">
        <f>VLOOKUP(A2617,[2]data1761205830331!$A$1:$J$65536,10,0)</f>
        <v>11075.13</v>
      </c>
    </row>
    <row r="2618" spans="1:12" ht="15.6" outlineLevel="1">
      <c r="A2618" s="11">
        <v>1815720216</v>
      </c>
      <c r="B2618" s="40">
        <v>216</v>
      </c>
      <c r="C2618" s="109">
        <v>815720</v>
      </c>
      <c r="D2618" s="42">
        <v>1</v>
      </c>
      <c r="E2618" s="43"/>
      <c r="F2618" s="44" t="s">
        <v>1494</v>
      </c>
      <c r="G2618" s="45" t="s">
        <v>22</v>
      </c>
      <c r="H2618" s="51">
        <f t="shared" si="41"/>
        <v>0</v>
      </c>
      <c r="I2618" s="47"/>
      <c r="J2618" s="48">
        <f>VLOOKUP(A2618,'[1]תקציב 2026'!$A$1:$M$65536,9,0)</f>
        <v>60000</v>
      </c>
      <c r="K2618" s="49">
        <f>VLOOKUP(A2618,[3]גיליון1!$A$1:$C$7693,3,0)</f>
        <v>60000</v>
      </c>
      <c r="L2618" s="50">
        <f>VLOOKUP(A2618,[2]data1761205830331!$A$1:$J$65536,10,0)</f>
        <v>45712.69</v>
      </c>
    </row>
    <row r="2619" spans="1:12" ht="15.6" outlineLevel="1">
      <c r="A2619" s="11">
        <v>1815720250</v>
      </c>
      <c r="B2619" s="40">
        <v>250</v>
      </c>
      <c r="C2619" s="109">
        <v>815720</v>
      </c>
      <c r="D2619" s="42">
        <v>1</v>
      </c>
      <c r="E2619" s="43"/>
      <c r="F2619" s="154" t="s">
        <v>1486</v>
      </c>
      <c r="G2619" s="45" t="s">
        <v>22</v>
      </c>
      <c r="H2619" s="51">
        <f t="shared" si="41"/>
        <v>-1</v>
      </c>
      <c r="I2619" s="47"/>
      <c r="J2619" s="48">
        <f>VLOOKUP(A2619,'[1]תקציב 2026'!$A$1:$M$65536,9,0)</f>
        <v>0</v>
      </c>
      <c r="K2619" s="49">
        <f>VLOOKUP(A2619,[3]גיליון1!$A$1:$C$7693,3,0)</f>
        <v>35400</v>
      </c>
      <c r="L2619" s="50">
        <f>VLOOKUP(A2619,[2]data1761205830331!$A$1:$J$65536,10,0)</f>
        <v>0</v>
      </c>
    </row>
    <row r="2620" spans="1:12" ht="15.6" outlineLevel="1">
      <c r="A2620" s="11">
        <v>1815720263</v>
      </c>
      <c r="B2620" s="40">
        <v>263</v>
      </c>
      <c r="C2620" s="109">
        <v>815720</v>
      </c>
      <c r="D2620" s="42">
        <v>1</v>
      </c>
      <c r="E2620" s="43"/>
      <c r="F2620" s="154" t="s">
        <v>1495</v>
      </c>
      <c r="G2620" s="45" t="s">
        <v>22</v>
      </c>
      <c r="H2620" s="51">
        <v>0</v>
      </c>
      <c r="I2620" s="47"/>
      <c r="J2620" s="48">
        <f>VLOOKUP(A2620,'[1]תקציב 2026'!$A$1:$M$65536,9,0)</f>
        <v>0</v>
      </c>
      <c r="K2620" s="49">
        <v>0</v>
      </c>
      <c r="L2620" s="50">
        <f>VLOOKUP(A2620,[2]data1761205830331!$A$1:$J$65536,10,0)</f>
        <v>42386.84</v>
      </c>
    </row>
    <row r="2621" spans="1:12" ht="15.6" outlineLevel="1">
      <c r="A2621" s="11">
        <v>1815720413</v>
      </c>
      <c r="B2621" s="40">
        <v>413</v>
      </c>
      <c r="C2621" s="109">
        <v>815720</v>
      </c>
      <c r="D2621" s="42">
        <v>1</v>
      </c>
      <c r="E2621" s="43"/>
      <c r="F2621" s="44" t="s">
        <v>521</v>
      </c>
      <c r="G2621" s="45" t="s">
        <v>29</v>
      </c>
      <c r="H2621" s="51">
        <f t="shared" si="41"/>
        <v>0</v>
      </c>
      <c r="I2621" s="47"/>
      <c r="J2621" s="48">
        <f>VLOOKUP(A2621,'[1]תקציב 2026'!$A$1:$M$65536,9,0)</f>
        <v>250000</v>
      </c>
      <c r="K2621" s="49">
        <v>250000</v>
      </c>
      <c r="L2621" s="50">
        <f>VLOOKUP(A2621,[2]data1761205830331!$A$1:$J$65536,10,0)</f>
        <v>250000</v>
      </c>
    </row>
    <row r="2622" spans="1:12" ht="15.6" outlineLevel="1">
      <c r="A2622" s="11">
        <v>1815720420</v>
      </c>
      <c r="B2622" s="40">
        <v>420</v>
      </c>
      <c r="C2622" s="109">
        <v>815720</v>
      </c>
      <c r="D2622" s="42">
        <v>1</v>
      </c>
      <c r="E2622" s="43"/>
      <c r="F2622" s="44" t="s">
        <v>30</v>
      </c>
      <c r="G2622" s="45" t="s">
        <v>29</v>
      </c>
      <c r="H2622" s="51">
        <f t="shared" si="41"/>
        <v>0.66666666666666674</v>
      </c>
      <c r="I2622" s="47"/>
      <c r="J2622" s="48">
        <f>VLOOKUP(A2622,'[1]תקציב 2026'!$A$1:$M$65536,9,0)</f>
        <v>18000</v>
      </c>
      <c r="K2622" s="49">
        <f>VLOOKUP(A2622,[3]גיליון1!$A$1:$C$7693,3,0)*0.9</f>
        <v>10800</v>
      </c>
      <c r="L2622" s="50">
        <f>VLOOKUP(A2622,[2]data1761205830331!$A$1:$J$65536,10,0)</f>
        <v>17441.45</v>
      </c>
    </row>
    <row r="2623" spans="1:12" ht="15.6" outlineLevel="1">
      <c r="A2623" s="11">
        <v>1815720431</v>
      </c>
      <c r="B2623" s="40">
        <v>431</v>
      </c>
      <c r="C2623" s="109">
        <v>815720</v>
      </c>
      <c r="D2623" s="42">
        <v>1</v>
      </c>
      <c r="E2623" s="43"/>
      <c r="F2623" s="44" t="s">
        <v>32</v>
      </c>
      <c r="G2623" s="45" t="s">
        <v>29</v>
      </c>
      <c r="H2623" s="51">
        <f t="shared" si="41"/>
        <v>-2.0051986632008911E-2</v>
      </c>
      <c r="I2623" s="47"/>
      <c r="J2623" s="48">
        <f>VLOOKUP(A2623,'[1]תקציב 2026'!$A$1:$M$65536,9,0)</f>
        <v>263900</v>
      </c>
      <c r="K2623" s="49">
        <v>269300</v>
      </c>
      <c r="L2623" s="50">
        <f>VLOOKUP(A2623,[2]data1761205830331!$A$1:$J$65536,10,0)</f>
        <v>241973</v>
      </c>
    </row>
    <row r="2624" spans="1:12" ht="15.6" outlineLevel="1">
      <c r="A2624" s="11">
        <v>1815720432</v>
      </c>
      <c r="B2624" s="40">
        <v>432</v>
      </c>
      <c r="C2624" s="109">
        <v>815720</v>
      </c>
      <c r="D2624" s="42">
        <v>1</v>
      </c>
      <c r="E2624" s="43"/>
      <c r="F2624" s="44" t="s">
        <v>33</v>
      </c>
      <c r="G2624" s="45" t="s">
        <v>29</v>
      </c>
      <c r="H2624" s="51">
        <f t="shared" si="41"/>
        <v>-1.2158054711246202E-2</v>
      </c>
      <c r="I2624" s="47"/>
      <c r="J2624" s="48">
        <f>VLOOKUP(A2624,'[1]תקציב 2026'!$A$1:$M$65536,9,0)</f>
        <v>130000</v>
      </c>
      <c r="K2624" s="49">
        <v>131600</v>
      </c>
      <c r="L2624" s="50">
        <f>VLOOKUP(A2624,[2]data1761205830331!$A$1:$J$65536,10,0)</f>
        <v>119442</v>
      </c>
    </row>
    <row r="2625" spans="1:12" ht="15.6" outlineLevel="1">
      <c r="A2625" s="11">
        <v>1815720437</v>
      </c>
      <c r="B2625" s="40">
        <v>437</v>
      </c>
      <c r="C2625" s="109">
        <v>815720</v>
      </c>
      <c r="D2625" s="42">
        <v>1</v>
      </c>
      <c r="E2625" s="43"/>
      <c r="F2625" s="44" t="s">
        <v>38</v>
      </c>
      <c r="G2625" s="45" t="s">
        <v>29</v>
      </c>
      <c r="H2625" s="51">
        <f t="shared" si="41"/>
        <v>0</v>
      </c>
      <c r="I2625" s="47"/>
      <c r="J2625" s="48">
        <f>VLOOKUP(A2625,'[1]תקציב 2026'!$A$1:$M$65536,9,0)</f>
        <v>2500</v>
      </c>
      <c r="K2625" s="49">
        <f>VLOOKUP(A2625,[3]גיליון1!$A$1:$C$7693,3,0)</f>
        <v>2500</v>
      </c>
      <c r="L2625" s="50">
        <f>VLOOKUP(A2625,[2]data1761205830331!$A$1:$J$65536,10,0)</f>
        <v>2442.96</v>
      </c>
    </row>
    <row r="2626" spans="1:12" ht="15.6" outlineLevel="1">
      <c r="A2626" s="11">
        <v>1815720450</v>
      </c>
      <c r="B2626" s="40">
        <v>450</v>
      </c>
      <c r="C2626" s="109">
        <v>815720</v>
      </c>
      <c r="D2626" s="42">
        <v>1</v>
      </c>
      <c r="E2626" s="43"/>
      <c r="F2626" s="44" t="s">
        <v>1487</v>
      </c>
      <c r="G2626" s="45" t="s">
        <v>37</v>
      </c>
      <c r="H2626" s="51">
        <f t="shared" si="41"/>
        <v>5.967078189300401E-2</v>
      </c>
      <c r="I2626" s="47"/>
      <c r="J2626" s="48">
        <f>VLOOKUP(A2626,'[1]תקציב 2026'!$A$1:$M$65536,9,0)</f>
        <v>10300</v>
      </c>
      <c r="K2626" s="49">
        <f>10800*0.9</f>
        <v>9720</v>
      </c>
      <c r="L2626" s="50">
        <f>VLOOKUP(A2626,[2]data1761205830331!$A$1:$J$65536,10,0)</f>
        <v>7796</v>
      </c>
    </row>
    <row r="2627" spans="1:12" ht="15.6" outlineLevel="1">
      <c r="A2627" s="11">
        <v>1815720451</v>
      </c>
      <c r="B2627" s="40">
        <v>451</v>
      </c>
      <c r="C2627" s="109">
        <v>815720</v>
      </c>
      <c r="D2627" s="42">
        <v>1</v>
      </c>
      <c r="E2627" s="43"/>
      <c r="F2627" s="44" t="s">
        <v>1384</v>
      </c>
      <c r="G2627" s="45" t="s">
        <v>29</v>
      </c>
      <c r="H2627" s="51">
        <f t="shared" si="41"/>
        <v>0</v>
      </c>
      <c r="I2627" s="47"/>
      <c r="J2627" s="48">
        <f>VLOOKUP(A2627,'[1]תקציב 2026'!$A$1:$M$65536,9,0)</f>
        <v>300000</v>
      </c>
      <c r="K2627" s="49">
        <v>300000</v>
      </c>
      <c r="L2627" s="50">
        <f>VLOOKUP(A2627,[2]data1761205830331!$A$1:$J$65536,10,0)</f>
        <v>0</v>
      </c>
    </row>
    <row r="2628" spans="1:12" ht="15.6" outlineLevel="1">
      <c r="A2628" s="11">
        <v>1815720452</v>
      </c>
      <c r="B2628" s="40">
        <v>452</v>
      </c>
      <c r="C2628" s="109">
        <v>815720</v>
      </c>
      <c r="D2628" s="42">
        <v>1</v>
      </c>
      <c r="E2628" s="43"/>
      <c r="F2628" s="44" t="s">
        <v>381</v>
      </c>
      <c r="G2628" s="45" t="s">
        <v>29</v>
      </c>
      <c r="H2628" s="51">
        <f t="shared" si="41"/>
        <v>2.2727272727272707E-2</v>
      </c>
      <c r="I2628" s="47"/>
      <c r="J2628" s="48">
        <f>VLOOKUP(A2628,'[1]תקציב 2026'!$A$1:$M$65536,9,0)</f>
        <v>360000</v>
      </c>
      <c r="K2628" s="49">
        <v>352000</v>
      </c>
      <c r="L2628" s="50">
        <f>VLOOKUP(A2628,[2]data1761205830331!$A$1:$J$65536,10,0)</f>
        <v>0</v>
      </c>
    </row>
    <row r="2629" spans="1:12" ht="15.6" outlineLevel="1">
      <c r="A2629" s="11">
        <v>1815720511</v>
      </c>
      <c r="B2629" s="40">
        <v>511</v>
      </c>
      <c r="C2629" s="109">
        <v>815720</v>
      </c>
      <c r="D2629" s="42">
        <v>1</v>
      </c>
      <c r="E2629" s="43"/>
      <c r="F2629" s="44" t="s">
        <v>72</v>
      </c>
      <c r="G2629" s="45" t="s">
        <v>37</v>
      </c>
      <c r="H2629" s="51">
        <f t="shared" si="41"/>
        <v>0.24269005847953218</v>
      </c>
      <c r="I2629" s="47"/>
      <c r="J2629" s="48">
        <f>VLOOKUP(A2629,'[1]תקציב 2026'!$A$1:$M$65536,9,0)</f>
        <v>17000</v>
      </c>
      <c r="K2629" s="49">
        <f>15200*0.9</f>
        <v>13680</v>
      </c>
      <c r="L2629" s="50">
        <f>VLOOKUP(A2629,[2]data1761205830331!$A$1:$J$65536,10,0)</f>
        <v>15239.9</v>
      </c>
    </row>
    <row r="2630" spans="1:12" ht="15.6" outlineLevel="1">
      <c r="A2630" s="11">
        <v>1815720742</v>
      </c>
      <c r="B2630" s="40">
        <v>742</v>
      </c>
      <c r="C2630" s="109">
        <v>815720</v>
      </c>
      <c r="D2630" s="42">
        <v>1</v>
      </c>
      <c r="E2630" s="43"/>
      <c r="F2630" s="44" t="s">
        <v>52</v>
      </c>
      <c r="G2630" s="45" t="s">
        <v>37</v>
      </c>
      <c r="H2630" s="51">
        <f t="shared" si="41"/>
        <v>0.46322378716744916</v>
      </c>
      <c r="I2630" s="47"/>
      <c r="J2630" s="48">
        <f>VLOOKUP(A2630,'[1]תקציב 2026'!$A$1:$M$65536,9,0)</f>
        <v>74800</v>
      </c>
      <c r="K2630" s="49">
        <f>VLOOKUP(A2630,[3]גיליון1!$A$1:$C$7693,3,0)*0.9</f>
        <v>51120</v>
      </c>
      <c r="L2630" s="50">
        <f>VLOOKUP(A2630,[2]data1761205830331!$A$1:$J$65536,10,0)</f>
        <v>51249</v>
      </c>
    </row>
    <row r="2631" spans="1:12" ht="15.6" outlineLevel="1">
      <c r="A2631" s="11">
        <v>1815720750</v>
      </c>
      <c r="B2631" s="40">
        <v>750</v>
      </c>
      <c r="C2631" s="109">
        <v>815720</v>
      </c>
      <c r="D2631" s="42">
        <v>1</v>
      </c>
      <c r="E2631" s="43"/>
      <c r="F2631" s="44" t="s">
        <v>1351</v>
      </c>
      <c r="G2631" s="45" t="s">
        <v>29</v>
      </c>
      <c r="H2631" s="51">
        <f t="shared" si="41"/>
        <v>2.9047546246752098E-3</v>
      </c>
      <c r="I2631" s="47"/>
      <c r="J2631" s="48">
        <f>VLOOKUP(A2631,'[1]תקציב 2026'!$A$1:$M$65536,9,0)</f>
        <v>656000</v>
      </c>
      <c r="K2631" s="49">
        <v>654100</v>
      </c>
      <c r="L2631" s="50">
        <f>VLOOKUP(A2631,[2]data1761205830331!$A$1:$J$65536,10,0)</f>
        <v>512171</v>
      </c>
    </row>
    <row r="2632" spans="1:12" ht="15.6" outlineLevel="1">
      <c r="A2632" s="11">
        <v>1815720752</v>
      </c>
      <c r="B2632" s="40">
        <v>752</v>
      </c>
      <c r="C2632" s="109">
        <v>815720</v>
      </c>
      <c r="D2632" s="42">
        <v>1</v>
      </c>
      <c r="E2632" s="43"/>
      <c r="F2632" s="44" t="s">
        <v>54</v>
      </c>
      <c r="G2632" s="45" t="s">
        <v>29</v>
      </c>
      <c r="H2632" s="51">
        <f t="shared" si="41"/>
        <v>-5.9253389681281909E-2</v>
      </c>
      <c r="I2632" s="47"/>
      <c r="J2632" s="48">
        <f>VLOOKUP(A2632,'[1]תקציב 2026'!$A$1:$M$65536,9,0)</f>
        <v>1068500</v>
      </c>
      <c r="K2632" s="49">
        <f>VLOOKUP(A2632,[3]גיליון1!$A$1:$C$7693,3,0)</f>
        <v>1135800</v>
      </c>
      <c r="L2632" s="50">
        <f>VLOOKUP(A2632,[2]data1761205830331!$A$1:$J$65536,10,0)</f>
        <v>899499.94</v>
      </c>
    </row>
    <row r="2633" spans="1:12" ht="15.6" outlineLevel="1">
      <c r="A2633" s="11">
        <v>1815720759</v>
      </c>
      <c r="B2633" s="40">
        <v>759</v>
      </c>
      <c r="C2633" s="109">
        <v>815720</v>
      </c>
      <c r="D2633" s="42">
        <v>1</v>
      </c>
      <c r="E2633" s="43"/>
      <c r="F2633" s="44" t="s">
        <v>1332</v>
      </c>
      <c r="G2633" s="45" t="s">
        <v>22</v>
      </c>
      <c r="H2633" s="51">
        <f t="shared" si="41"/>
        <v>7.2801082543978435E-2</v>
      </c>
      <c r="I2633" s="47"/>
      <c r="J2633" s="48">
        <f>VLOOKUP(A2633,'[1]תקציב 2026'!$A$1:$M$65536,9,0)</f>
        <v>1189200</v>
      </c>
      <c r="K2633" s="49">
        <v>1108500</v>
      </c>
      <c r="L2633" s="50">
        <f>VLOOKUP(A2633,[2]data1761205830331!$A$1:$J$65536,10,0)</f>
        <v>1064732.3799999999</v>
      </c>
    </row>
    <row r="2634" spans="1:12" ht="15.6" outlineLevel="1">
      <c r="A2634" s="11">
        <v>1815720762</v>
      </c>
      <c r="B2634" s="40">
        <v>762</v>
      </c>
      <c r="C2634" s="109">
        <v>815720</v>
      </c>
      <c r="D2634" s="42">
        <v>1</v>
      </c>
      <c r="E2634" s="43"/>
      <c r="F2634" s="44" t="s">
        <v>1496</v>
      </c>
      <c r="G2634" s="45" t="s">
        <v>22</v>
      </c>
      <c r="H2634" s="51">
        <f t="shared" si="41"/>
        <v>0.17760411090889616</v>
      </c>
      <c r="I2634" s="47"/>
      <c r="J2634" s="48">
        <f>VLOOKUP(A2634,'[1]תקציב 2026'!$A$1:$M$65536,9,0)</f>
        <v>1100000</v>
      </c>
      <c r="K2634" s="49">
        <f>VLOOKUP(A2634,[3]גיליון1!$A$1:$C$7693,3,0)</f>
        <v>934100</v>
      </c>
      <c r="L2634" s="50">
        <f>VLOOKUP(A2634,[2]data1761205830331!$A$1:$J$65536,10,0)</f>
        <v>976236.48</v>
      </c>
    </row>
    <row r="2635" spans="1:12" ht="15.6" outlineLevel="1">
      <c r="A2635" s="11">
        <v>1815720780</v>
      </c>
      <c r="B2635" s="40">
        <v>780</v>
      </c>
      <c r="C2635" s="109">
        <v>815720</v>
      </c>
      <c r="D2635" s="42">
        <v>1</v>
      </c>
      <c r="E2635" s="43"/>
      <c r="F2635" s="44" t="s">
        <v>1489</v>
      </c>
      <c r="G2635" s="45" t="s">
        <v>29</v>
      </c>
      <c r="H2635" s="51">
        <f t="shared" si="41"/>
        <v>-3.0837004405286361E-2</v>
      </c>
      <c r="I2635" s="47"/>
      <c r="J2635" s="48">
        <f>VLOOKUP(A2635,'[1]תקציב 2026'!$A$1:$M$65536,9,0)</f>
        <v>22000</v>
      </c>
      <c r="K2635" s="49">
        <v>22700</v>
      </c>
      <c r="L2635" s="50">
        <f>VLOOKUP(A2635,[2]data1761205830331!$A$1:$J$65536,10,0)</f>
        <v>19777</v>
      </c>
    </row>
    <row r="2636" spans="1:12" ht="15.6" outlineLevel="1">
      <c r="A2636" s="11">
        <v>1815720786</v>
      </c>
      <c r="B2636" s="40">
        <v>786</v>
      </c>
      <c r="C2636" s="109">
        <v>815720</v>
      </c>
      <c r="D2636" s="42">
        <v>1</v>
      </c>
      <c r="E2636" s="43"/>
      <c r="F2636" s="44" t="s">
        <v>1497</v>
      </c>
      <c r="G2636" s="45" t="s">
        <v>37</v>
      </c>
      <c r="H2636" s="51">
        <f t="shared" si="41"/>
        <v>-1</v>
      </c>
      <c r="I2636" s="47"/>
      <c r="J2636" s="48">
        <f>VLOOKUP(A2636,'[1]תקציב 2026'!$A$1:$M$65536,9,0)</f>
        <v>0</v>
      </c>
      <c r="K2636" s="49">
        <f>35000*0.9</f>
        <v>31500</v>
      </c>
      <c r="L2636" s="50">
        <f>VLOOKUP(A2636,[2]data1761205830331!$A$1:$J$65536,10,0)</f>
        <v>0</v>
      </c>
    </row>
    <row r="2637" spans="1:12" ht="15.6" outlineLevel="1">
      <c r="A2637" s="11">
        <v>1815720794</v>
      </c>
      <c r="B2637" s="40">
        <v>794</v>
      </c>
      <c r="C2637" s="109">
        <v>815720</v>
      </c>
      <c r="D2637" s="42">
        <v>1</v>
      </c>
      <c r="E2637" s="43"/>
      <c r="F2637" s="44" t="s">
        <v>58</v>
      </c>
      <c r="G2637" s="45" t="s">
        <v>29</v>
      </c>
      <c r="H2637" s="51">
        <f t="shared" si="41"/>
        <v>0.10588235294117654</v>
      </c>
      <c r="I2637" s="47"/>
      <c r="J2637" s="48">
        <f>VLOOKUP(A2637,'[1]תקציב 2026'!$A$1:$M$65536,9,0)</f>
        <v>9400</v>
      </c>
      <c r="K2637" s="49">
        <v>8500</v>
      </c>
      <c r="L2637" s="50">
        <f>VLOOKUP(A2637,[2]data1761205830331!$A$1:$J$65536,10,0)</f>
        <v>19920</v>
      </c>
    </row>
    <row r="2638" spans="1:12" ht="15.6" outlineLevel="1">
      <c r="A2638" s="11">
        <v>1815720810</v>
      </c>
      <c r="B2638" s="40">
        <v>810</v>
      </c>
      <c r="C2638" s="109">
        <v>815720</v>
      </c>
      <c r="D2638" s="42">
        <v>1</v>
      </c>
      <c r="E2638" s="43"/>
      <c r="F2638" s="44" t="s">
        <v>1490</v>
      </c>
      <c r="G2638" s="45" t="s">
        <v>37</v>
      </c>
      <c r="H2638" s="51">
        <f t="shared" si="41"/>
        <v>-1</v>
      </c>
      <c r="I2638" s="47"/>
      <c r="J2638" s="48">
        <f>VLOOKUP(A2638,'[1]תקציב 2026'!$A$1:$M$65536,9,0)</f>
        <v>0</v>
      </c>
      <c r="K2638" s="49">
        <f>86000*0.9</f>
        <v>77400</v>
      </c>
      <c r="L2638" s="50">
        <f>VLOOKUP(A2638,[2]data1761205830331!$A$1:$J$65536,10,0)</f>
        <v>0</v>
      </c>
    </row>
    <row r="2639" spans="1:12" ht="15.6" outlineLevel="1">
      <c r="A2639" s="11">
        <v>1815720812</v>
      </c>
      <c r="B2639" s="40">
        <v>812</v>
      </c>
      <c r="C2639" s="109">
        <v>815720</v>
      </c>
      <c r="D2639" s="42">
        <v>1</v>
      </c>
      <c r="E2639" s="43"/>
      <c r="F2639" s="44" t="s">
        <v>296</v>
      </c>
      <c r="G2639" s="45" t="s">
        <v>29</v>
      </c>
      <c r="H2639" s="51">
        <f t="shared" si="41"/>
        <v>0.6015325670498084</v>
      </c>
      <c r="I2639" s="47"/>
      <c r="J2639" s="48">
        <f>VLOOKUP(A2639,'[1]תקציב 2026'!$A$1:$M$65536,9,0)</f>
        <v>41800</v>
      </c>
      <c r="K2639" s="49">
        <f>VLOOKUP(A2639,[3]גיליון1!$A$1:$C$7693,3,0)*0.9</f>
        <v>26100</v>
      </c>
      <c r="L2639" s="50">
        <f>VLOOKUP(A2639,[2]data1761205830331!$A$1:$J$65536,10,0)</f>
        <v>30822</v>
      </c>
    </row>
    <row r="2640" spans="1:12" ht="15.6" outlineLevel="1">
      <c r="A2640" s="11">
        <v>1815720953</v>
      </c>
      <c r="B2640" s="40">
        <v>953</v>
      </c>
      <c r="C2640" s="109">
        <v>815720</v>
      </c>
      <c r="D2640" s="42">
        <v>1</v>
      </c>
      <c r="E2640" s="43"/>
      <c r="F2640" s="44" t="s">
        <v>277</v>
      </c>
      <c r="G2640" s="45" t="s">
        <v>29</v>
      </c>
      <c r="H2640" s="51">
        <f t="shared" si="41"/>
        <v>3.1960227272727293E-2</v>
      </c>
      <c r="I2640" s="47"/>
      <c r="J2640" s="48">
        <f>VLOOKUP(A2640,'[1]תקציב 2026'!$A$1:$M$65536,9,0)</f>
        <v>1453000</v>
      </c>
      <c r="K2640" s="49">
        <v>1408000</v>
      </c>
      <c r="L2640" s="50">
        <f>VLOOKUP(A2640,[2]data1761205830331!$A$1:$J$65536,10,0)</f>
        <v>1574911.75</v>
      </c>
    </row>
    <row r="2641" spans="1:12" ht="16.2" outlineLevel="1" thickBot="1">
      <c r="A2641" s="11">
        <v>1815720989</v>
      </c>
      <c r="B2641" s="40">
        <v>989</v>
      </c>
      <c r="C2641" s="109">
        <v>815720</v>
      </c>
      <c r="D2641" s="42">
        <v>1</v>
      </c>
      <c r="E2641" s="43"/>
      <c r="F2641" s="44" t="s">
        <v>1491</v>
      </c>
      <c r="G2641" s="45" t="s">
        <v>29</v>
      </c>
      <c r="H2641" s="51">
        <f t="shared" si="41"/>
        <v>2.1570864414216739E-2</v>
      </c>
      <c r="I2641" s="47"/>
      <c r="J2641" s="48">
        <f>VLOOKUP(A2641,'[1]תקציב 2026'!$A$1:$M$65536,9,0)</f>
        <v>1746120</v>
      </c>
      <c r="K2641" s="49">
        <v>1709250</v>
      </c>
      <c r="L2641" s="50">
        <f>VLOOKUP(A2641,[2]data1761205830331!$A$1:$J$65536,10,0)</f>
        <v>1629173</v>
      </c>
    </row>
    <row r="2642" spans="1:12" ht="16.2" thickBot="1">
      <c r="A2642" s="11" t="e">
        <v>#VALUE!</v>
      </c>
      <c r="B2642" s="53" t="s">
        <v>1498</v>
      </c>
      <c r="C2642" s="223"/>
      <c r="D2642" s="55"/>
      <c r="E2642" s="56"/>
      <c r="F2642" s="116" t="s">
        <v>392</v>
      </c>
      <c r="G2642" s="58"/>
      <c r="H2642" s="166">
        <f>J2642/K2642-1</f>
        <v>2.1569554054362783E-2</v>
      </c>
      <c r="I2642" s="72"/>
      <c r="J2642" s="74">
        <f>SUBTOTAL(9,J2610:J2641)</f>
        <v>30848060</v>
      </c>
      <c r="K2642" s="92">
        <f>SUBTOTAL(9,K2610:K2641)</f>
        <v>30196730</v>
      </c>
      <c r="L2642" s="75">
        <f>SUBTOTAL(9,L2610:L2641)</f>
        <v>29176960.799999997</v>
      </c>
    </row>
    <row r="2643" spans="1:12" ht="15.6" outlineLevel="1">
      <c r="A2643" s="11">
        <v>18157300</v>
      </c>
      <c r="B2643" s="64">
        <v>0</v>
      </c>
      <c r="C2643" s="131">
        <v>815730</v>
      </c>
      <c r="D2643" s="66">
        <v>1</v>
      </c>
      <c r="E2643" s="67"/>
      <c r="F2643" s="68" t="s">
        <v>1499</v>
      </c>
      <c r="G2643" s="69" t="s">
        <v>15</v>
      </c>
      <c r="H2643" s="51"/>
      <c r="I2643" s="47"/>
      <c r="J2643" s="48"/>
      <c r="K2643" s="49"/>
      <c r="L2643" s="50"/>
    </row>
    <row r="2644" spans="1:12" ht="15.6" outlineLevel="1">
      <c r="A2644" s="11">
        <v>1815730110</v>
      </c>
      <c r="B2644" s="40">
        <v>110</v>
      </c>
      <c r="C2644" s="109">
        <v>815730</v>
      </c>
      <c r="D2644" s="42">
        <v>1</v>
      </c>
      <c r="E2644" s="43"/>
      <c r="F2644" s="44" t="s">
        <v>21</v>
      </c>
      <c r="G2644" s="45" t="s">
        <v>22</v>
      </c>
      <c r="H2644" s="51">
        <f t="shared" si="41"/>
        <v>2.5012224938875338E-2</v>
      </c>
      <c r="I2644" s="47"/>
      <c r="J2644" s="48">
        <f>VLOOKUP(A2644,'[1]תקציב 2026'!$A$1:$M$65536,9,0)</f>
        <v>419230</v>
      </c>
      <c r="K2644" s="49">
        <v>409000</v>
      </c>
      <c r="L2644" s="50">
        <f>VLOOKUP(A2644,[2]data1761205830331!$A$1:$J$65536,10,0)</f>
        <v>337500.08</v>
      </c>
    </row>
    <row r="2645" spans="1:12" ht="15.6" outlineLevel="1">
      <c r="A2645" s="11">
        <v>1815730118</v>
      </c>
      <c r="B2645" s="40">
        <v>118</v>
      </c>
      <c r="C2645" s="109">
        <v>815730</v>
      </c>
      <c r="D2645" s="42">
        <v>1</v>
      </c>
      <c r="E2645" s="43"/>
      <c r="F2645" s="44" t="s">
        <v>1483</v>
      </c>
      <c r="G2645" s="45" t="s">
        <v>22</v>
      </c>
      <c r="H2645" s="51">
        <f t="shared" si="41"/>
        <v>-0.47487642711821743</v>
      </c>
      <c r="I2645" s="47"/>
      <c r="J2645" s="48">
        <f>VLOOKUP(A2645,'[1]תקציב 2026'!$A$1:$M$65536,9,0)</f>
        <v>7511000</v>
      </c>
      <c r="K2645" s="49">
        <f>VLOOKUP(A2645,[3]גיליון1!$A$1:$C$7693,3,0)</f>
        <v>14303300</v>
      </c>
      <c r="L2645" s="50">
        <f>VLOOKUP(A2645,[2]data1761205830331!$A$1:$J$65536,10,0)</f>
        <v>12885153.33</v>
      </c>
    </row>
    <row r="2646" spans="1:12" ht="15.6" outlineLevel="1">
      <c r="A2646" s="11">
        <v>1815730119</v>
      </c>
      <c r="B2646" s="40">
        <v>119</v>
      </c>
      <c r="C2646" s="109">
        <v>815730</v>
      </c>
      <c r="D2646" s="42">
        <v>1</v>
      </c>
      <c r="E2646" s="43"/>
      <c r="F2646" s="44" t="s">
        <v>23</v>
      </c>
      <c r="G2646" s="45" t="s">
        <v>22</v>
      </c>
      <c r="H2646" s="51">
        <f t="shared" si="41"/>
        <v>2.499830358960442E-2</v>
      </c>
      <c r="I2646" s="47"/>
      <c r="J2646" s="48">
        <f>VLOOKUP(A2646,'[1]תקציב 2026'!$A$1:$M$65536,9,0)</f>
        <v>1510540</v>
      </c>
      <c r="K2646" s="49">
        <v>1473700</v>
      </c>
      <c r="L2646" s="50">
        <f>VLOOKUP(A2646,[2]data1761205830331!$A$1:$J$65536,10,0)</f>
        <v>1812330.81</v>
      </c>
    </row>
    <row r="2647" spans="1:12" ht="15.6" outlineLevel="1">
      <c r="A2647" s="11">
        <v>1815730122</v>
      </c>
      <c r="B2647" s="40">
        <v>122</v>
      </c>
      <c r="C2647" s="109">
        <v>815730</v>
      </c>
      <c r="D2647" s="42">
        <v>1</v>
      </c>
      <c r="E2647" s="43"/>
      <c r="F2647" s="44" t="s">
        <v>24</v>
      </c>
      <c r="G2647" s="45" t="s">
        <v>22</v>
      </c>
      <c r="H2647" s="51">
        <f t="shared" si="41"/>
        <v>0</v>
      </c>
      <c r="I2647" s="47"/>
      <c r="J2647" s="48">
        <f>VLOOKUP(A2647,'[1]תקציב 2026'!$A$1:$M$65536,9,0)</f>
        <v>133000</v>
      </c>
      <c r="K2647" s="49">
        <f>VLOOKUP(A2647,[3]גיליון1!$A$1:$C$7693,3,0)</f>
        <v>133000</v>
      </c>
      <c r="L2647" s="50">
        <f>VLOOKUP(A2647,[2]data1761205830331!$A$1:$J$65536,10,0)</f>
        <v>139283.25</v>
      </c>
    </row>
    <row r="2648" spans="1:12" ht="15.6" outlineLevel="1">
      <c r="A2648" s="11">
        <v>1815730126</v>
      </c>
      <c r="B2648" s="40">
        <v>126</v>
      </c>
      <c r="C2648" s="109">
        <v>815730</v>
      </c>
      <c r="D2648" s="42">
        <v>1</v>
      </c>
      <c r="E2648" s="43"/>
      <c r="F2648" s="44" t="s">
        <v>25</v>
      </c>
      <c r="G2648" s="45" t="s">
        <v>22</v>
      </c>
      <c r="H2648" s="51">
        <f t="shared" si="41"/>
        <v>0</v>
      </c>
      <c r="I2648" s="47"/>
      <c r="J2648" s="48">
        <f>VLOOKUP(A2648,'[1]תקציב 2026'!$A$1:$M$65536,9,0)</f>
        <v>304500</v>
      </c>
      <c r="K2648" s="49">
        <f>VLOOKUP(A2648,[3]גיליון1!$A$1:$C$7693,3,0)</f>
        <v>304500</v>
      </c>
      <c r="L2648" s="50">
        <f>VLOOKUP(A2648,[2]data1761205830331!$A$1:$J$65536,10,0)</f>
        <v>298763.90999999997</v>
      </c>
    </row>
    <row r="2649" spans="1:12" ht="15.6" outlineLevel="1">
      <c r="A2649" s="11">
        <v>1815730130</v>
      </c>
      <c r="B2649" s="40">
        <v>130</v>
      </c>
      <c r="C2649" s="109">
        <v>815730</v>
      </c>
      <c r="D2649" s="42">
        <v>1</v>
      </c>
      <c r="E2649" s="43"/>
      <c r="F2649" s="44" t="s">
        <v>26</v>
      </c>
      <c r="G2649" s="45" t="s">
        <v>22</v>
      </c>
      <c r="H2649" s="51">
        <f t="shared" si="41"/>
        <v>2.7906976744186047</v>
      </c>
      <c r="I2649" s="47"/>
      <c r="J2649" s="48">
        <f>VLOOKUP(A2649,'[1]תקציב 2026'!$A$1:$M$65536,9,0)</f>
        <v>163000</v>
      </c>
      <c r="K2649" s="49">
        <f>VLOOKUP(A2649,[3]גיליון1!$A$1:$C$7693,3,0)*0.86</f>
        <v>43000</v>
      </c>
      <c r="L2649" s="50">
        <f>VLOOKUP(A2649,[2]data1761205830331!$A$1:$J$65536,10,0)</f>
        <v>62578.28</v>
      </c>
    </row>
    <row r="2650" spans="1:12" ht="15.6" outlineLevel="1">
      <c r="A2650" s="11">
        <v>1815730140</v>
      </c>
      <c r="B2650" s="40">
        <v>140</v>
      </c>
      <c r="C2650" s="109">
        <v>815730</v>
      </c>
      <c r="D2650" s="42">
        <v>1</v>
      </c>
      <c r="E2650" s="43"/>
      <c r="F2650" s="44" t="s">
        <v>27</v>
      </c>
      <c r="G2650" s="45" t="s">
        <v>22</v>
      </c>
      <c r="H2650" s="51">
        <f t="shared" si="41"/>
        <v>0</v>
      </c>
      <c r="I2650" s="47"/>
      <c r="J2650" s="48">
        <f>VLOOKUP(A2650,'[1]תקציב 2026'!$A$1:$M$65536,9,0)</f>
        <v>127000</v>
      </c>
      <c r="K2650" s="49">
        <f>VLOOKUP(A2650,[3]גיליון1!$A$1:$C$7693,3,0)</f>
        <v>127000</v>
      </c>
      <c r="L2650" s="50">
        <f>VLOOKUP(A2650,[2]data1761205830331!$A$1:$J$65536,10,0)</f>
        <v>137114.42000000001</v>
      </c>
    </row>
    <row r="2651" spans="1:12" ht="15.6" outlineLevel="1">
      <c r="A2651" s="11">
        <v>1815730250</v>
      </c>
      <c r="B2651" s="40">
        <v>250</v>
      </c>
      <c r="C2651" s="109">
        <v>815730</v>
      </c>
      <c r="D2651" s="42">
        <v>1</v>
      </c>
      <c r="E2651" s="43"/>
      <c r="F2651" s="154" t="s">
        <v>1486</v>
      </c>
      <c r="G2651" s="45" t="s">
        <v>22</v>
      </c>
      <c r="H2651" s="51">
        <f t="shared" si="41"/>
        <v>-1</v>
      </c>
      <c r="I2651" s="47"/>
      <c r="J2651" s="48">
        <f>VLOOKUP(A2651,'[1]תקציב 2026'!$A$1:$M$65536,9,0)</f>
        <v>0</v>
      </c>
      <c r="K2651" s="49">
        <f>VLOOKUP(A2651,[3]גיליון1!$A$1:$C$7693,3,0)</f>
        <v>495600</v>
      </c>
      <c r="L2651" s="50">
        <f>VLOOKUP(A2651,[2]data1761205830331!$A$1:$J$65536,10,0)</f>
        <v>231802.06</v>
      </c>
    </row>
    <row r="2652" spans="1:12" ht="15.6" outlineLevel="1">
      <c r="A2652" s="11">
        <v>1815730420</v>
      </c>
      <c r="B2652" s="40">
        <v>420</v>
      </c>
      <c r="C2652" s="109">
        <v>815730</v>
      </c>
      <c r="D2652" s="42">
        <v>1</v>
      </c>
      <c r="E2652" s="43"/>
      <c r="F2652" s="44" t="s">
        <v>30</v>
      </c>
      <c r="G2652" s="45" t="s">
        <v>29</v>
      </c>
      <c r="H2652" s="51">
        <f t="shared" si="41"/>
        <v>-1</v>
      </c>
      <c r="I2652" s="47"/>
      <c r="J2652" s="48">
        <f>VLOOKUP(A2652,'[1]תקציב 2026'!$A$1:$M$65536,9,0)</f>
        <v>0</v>
      </c>
      <c r="K2652" s="49">
        <f>VLOOKUP(A2652,[3]גיליון1!$A$1:$C$7693,3,0)*0.9</f>
        <v>13500</v>
      </c>
      <c r="L2652" s="50">
        <f>VLOOKUP(A2652,[2]data1761205830331!$A$1:$J$65536,10,0)</f>
        <v>13036.36</v>
      </c>
    </row>
    <row r="2653" spans="1:12" ht="15.6" outlineLevel="1">
      <c r="A2653" s="11">
        <v>1815730423</v>
      </c>
      <c r="B2653" s="40">
        <v>423</v>
      </c>
      <c r="C2653" s="109">
        <v>815730</v>
      </c>
      <c r="D2653" s="42">
        <v>1</v>
      </c>
      <c r="E2653" s="43"/>
      <c r="F2653" s="44" t="s">
        <v>31</v>
      </c>
      <c r="G2653" s="45" t="s">
        <v>29</v>
      </c>
      <c r="H2653" s="51">
        <f t="shared" si="41"/>
        <v>0.31333333333333324</v>
      </c>
      <c r="I2653" s="47"/>
      <c r="J2653" s="48">
        <f>VLOOKUP(A2653,'[1]תקציב 2026'!$A$1:$M$65536,9,0)</f>
        <v>59100</v>
      </c>
      <c r="K2653" s="49">
        <v>45000</v>
      </c>
      <c r="L2653" s="50">
        <f>VLOOKUP(A2653,[2]data1761205830331!$A$1:$J$65536,10,0)</f>
        <v>45000</v>
      </c>
    </row>
    <row r="2654" spans="1:12" ht="15.6" outlineLevel="1">
      <c r="A2654" s="11">
        <v>1815730431</v>
      </c>
      <c r="B2654" s="40">
        <v>431</v>
      </c>
      <c r="C2654" s="109">
        <v>815730</v>
      </c>
      <c r="D2654" s="42">
        <v>1</v>
      </c>
      <c r="E2654" s="43"/>
      <c r="F2654" s="44" t="s">
        <v>32</v>
      </c>
      <c r="G2654" s="45" t="s">
        <v>29</v>
      </c>
      <c r="H2654" s="51">
        <f t="shared" si="41"/>
        <v>-1</v>
      </c>
      <c r="I2654" s="47"/>
      <c r="J2654" s="48">
        <f>VLOOKUP(A2654,'[1]תקציב 2026'!$A$1:$M$65536,9,0)</f>
        <v>0</v>
      </c>
      <c r="K2654" s="49">
        <v>148400</v>
      </c>
      <c r="L2654" s="50">
        <f>VLOOKUP(A2654,[2]data1761205830331!$A$1:$J$65536,10,0)</f>
        <v>129167</v>
      </c>
    </row>
    <row r="2655" spans="1:12" ht="15.6" outlineLevel="1">
      <c r="A2655" s="11">
        <v>1815730432</v>
      </c>
      <c r="B2655" s="40">
        <v>432</v>
      </c>
      <c r="C2655" s="109">
        <v>815730</v>
      </c>
      <c r="D2655" s="42">
        <v>1</v>
      </c>
      <c r="E2655" s="43"/>
      <c r="F2655" s="44" t="s">
        <v>33</v>
      </c>
      <c r="G2655" s="45" t="s">
        <v>29</v>
      </c>
      <c r="H2655" s="51">
        <f t="shared" si="41"/>
        <v>-1</v>
      </c>
      <c r="I2655" s="47"/>
      <c r="J2655" s="48">
        <f>VLOOKUP(A2655,'[1]תקציב 2026'!$A$1:$M$65536,9,0)</f>
        <v>0</v>
      </c>
      <c r="K2655" s="49">
        <v>36400</v>
      </c>
      <c r="L2655" s="50">
        <f>VLOOKUP(A2655,[2]data1761205830331!$A$1:$J$65536,10,0)</f>
        <v>32001</v>
      </c>
    </row>
    <row r="2656" spans="1:12" ht="15.6" outlineLevel="1">
      <c r="A2656" s="11">
        <v>1815730437</v>
      </c>
      <c r="B2656" s="40">
        <v>437</v>
      </c>
      <c r="C2656" s="109">
        <v>815730</v>
      </c>
      <c r="D2656" s="42">
        <v>1</v>
      </c>
      <c r="E2656" s="43"/>
      <c r="F2656" s="44" t="s">
        <v>38</v>
      </c>
      <c r="G2656" s="45" t="s">
        <v>29</v>
      </c>
      <c r="H2656" s="51">
        <f t="shared" si="41"/>
        <v>-1</v>
      </c>
      <c r="I2656" s="47"/>
      <c r="J2656" s="48">
        <f>VLOOKUP(A2656,'[1]תקציב 2026'!$A$1:$M$65536,9,0)</f>
        <v>0</v>
      </c>
      <c r="K2656" s="49">
        <f>VLOOKUP(A2656,[3]גיליון1!$A$1:$C$7693,3,0)</f>
        <v>2500</v>
      </c>
      <c r="L2656" s="50">
        <f>VLOOKUP(A2656,[2]data1761205830331!$A$1:$J$65536,10,0)</f>
        <v>1832.22</v>
      </c>
    </row>
    <row r="2657" spans="1:12" ht="15.6" outlineLevel="1">
      <c r="A2657" s="11">
        <v>1815730450</v>
      </c>
      <c r="B2657" s="40">
        <v>450</v>
      </c>
      <c r="C2657" s="109">
        <v>815730</v>
      </c>
      <c r="D2657" s="42">
        <v>1</v>
      </c>
      <c r="E2657" s="43"/>
      <c r="F2657" s="44" t="s">
        <v>1487</v>
      </c>
      <c r="G2657" s="45" t="s">
        <v>37</v>
      </c>
      <c r="H2657" s="51">
        <f t="shared" si="41"/>
        <v>-1</v>
      </c>
      <c r="I2657" s="47"/>
      <c r="J2657" s="48">
        <f>VLOOKUP(A2657,'[1]תקציב 2026'!$A$1:$M$65536,9,0)</f>
        <v>0</v>
      </c>
      <c r="K2657" s="49">
        <f>13300*0.9</f>
        <v>11970</v>
      </c>
      <c r="L2657" s="50">
        <f>VLOOKUP(A2657,[2]data1761205830331!$A$1:$J$65536,10,0)</f>
        <v>9033</v>
      </c>
    </row>
    <row r="2658" spans="1:12" ht="15.6" outlineLevel="1">
      <c r="A2658" s="11">
        <v>1815730451</v>
      </c>
      <c r="B2658" s="40">
        <v>451</v>
      </c>
      <c r="C2658" s="109">
        <v>815730</v>
      </c>
      <c r="D2658" s="42">
        <v>1</v>
      </c>
      <c r="E2658" s="43"/>
      <c r="F2658" s="44" t="s">
        <v>1384</v>
      </c>
      <c r="G2658" s="45" t="s">
        <v>29</v>
      </c>
      <c r="H2658" s="51">
        <f t="shared" si="41"/>
        <v>-1</v>
      </c>
      <c r="I2658" s="47"/>
      <c r="J2658" s="48">
        <f>VLOOKUP(A2658,'[1]תקציב 2026'!$A$1:$M$65536,9,0)</f>
        <v>0</v>
      </c>
      <c r="K2658" s="49">
        <v>225000</v>
      </c>
      <c r="L2658" s="50">
        <f>VLOOKUP(A2658,[2]data1761205830331!$A$1:$J$65536,10,0)</f>
        <v>0</v>
      </c>
    </row>
    <row r="2659" spans="1:12" ht="15.6" outlineLevel="1">
      <c r="A2659" s="11">
        <v>1815730452</v>
      </c>
      <c r="B2659" s="40">
        <v>452</v>
      </c>
      <c r="C2659" s="109">
        <v>815730</v>
      </c>
      <c r="D2659" s="42">
        <v>1</v>
      </c>
      <c r="E2659" s="43"/>
      <c r="F2659" s="44" t="s">
        <v>381</v>
      </c>
      <c r="G2659" s="45" t="s">
        <v>29</v>
      </c>
      <c r="H2659" s="51">
        <f t="shared" si="41"/>
        <v>-1</v>
      </c>
      <c r="I2659" s="47"/>
      <c r="J2659" s="48">
        <f>VLOOKUP(A2659,'[1]תקציב 2026'!$A$1:$M$65536,9,0)</f>
        <v>0</v>
      </c>
      <c r="K2659" s="49">
        <v>273400</v>
      </c>
      <c r="L2659" s="50">
        <f>VLOOKUP(A2659,[2]data1761205830331!$A$1:$J$65536,10,0)</f>
        <v>0</v>
      </c>
    </row>
    <row r="2660" spans="1:12" ht="15.6" outlineLevel="1">
      <c r="A2660" s="11">
        <v>1815730511</v>
      </c>
      <c r="B2660" s="40">
        <v>511</v>
      </c>
      <c r="C2660" s="109">
        <v>815730</v>
      </c>
      <c r="D2660" s="42">
        <v>1</v>
      </c>
      <c r="E2660" s="43"/>
      <c r="F2660" s="44" t="s">
        <v>72</v>
      </c>
      <c r="G2660" s="45" t="s">
        <v>37</v>
      </c>
      <c r="H2660" s="51">
        <f t="shared" si="41"/>
        <v>-1</v>
      </c>
      <c r="I2660" s="47"/>
      <c r="J2660" s="48">
        <f>VLOOKUP(A2660,'[1]תקציב 2026'!$A$1:$M$65536,9,0)</f>
        <v>0</v>
      </c>
      <c r="K2660" s="49">
        <f>12100*0.9</f>
        <v>10890</v>
      </c>
      <c r="L2660" s="50">
        <f>VLOOKUP(A2660,[2]data1761205830331!$A$1:$J$65536,10,0)</f>
        <v>10991.94</v>
      </c>
    </row>
    <row r="2661" spans="1:12" ht="15.6" outlineLevel="1">
      <c r="A2661" s="11">
        <v>1815730742</v>
      </c>
      <c r="B2661" s="40">
        <v>742</v>
      </c>
      <c r="C2661" s="109">
        <v>815730</v>
      </c>
      <c r="D2661" s="42">
        <v>1</v>
      </c>
      <c r="E2661" s="43"/>
      <c r="F2661" s="44" t="s">
        <v>52</v>
      </c>
      <c r="G2661" s="45" t="s">
        <v>37</v>
      </c>
      <c r="H2661" s="51">
        <f t="shared" si="41"/>
        <v>-1</v>
      </c>
      <c r="I2661" s="47"/>
      <c r="J2661" s="48">
        <f>VLOOKUP(A2661,'[1]תקציב 2026'!$A$1:$M$65536,9,0)</f>
        <v>0</v>
      </c>
      <c r="K2661" s="49">
        <f>VLOOKUP(A2661,[3]גיליון1!$A$1:$C$7693,3,0)*0.9</f>
        <v>70290</v>
      </c>
      <c r="L2661" s="50">
        <f>VLOOKUP(A2661,[2]data1761205830331!$A$1:$J$65536,10,0)</f>
        <v>64059</v>
      </c>
    </row>
    <row r="2662" spans="1:12" ht="15.6" outlineLevel="1">
      <c r="A2662" s="11">
        <v>1815730750</v>
      </c>
      <c r="B2662" s="40">
        <v>750</v>
      </c>
      <c r="C2662" s="109">
        <v>815730</v>
      </c>
      <c r="D2662" s="42">
        <v>1</v>
      </c>
      <c r="E2662" s="43"/>
      <c r="F2662" s="44" t="s">
        <v>1351</v>
      </c>
      <c r="G2662" s="45" t="s">
        <v>29</v>
      </c>
      <c r="H2662" s="51">
        <f t="shared" si="41"/>
        <v>-1</v>
      </c>
      <c r="I2662" s="47"/>
      <c r="J2662" s="48">
        <f>VLOOKUP(A2662,'[1]תקציב 2026'!$A$1:$M$65536,9,0)</f>
        <v>0</v>
      </c>
      <c r="K2662" s="49">
        <v>337400</v>
      </c>
      <c r="L2662" s="50">
        <f>VLOOKUP(A2662,[2]data1761205830331!$A$1:$J$65536,10,0)</f>
        <v>251199</v>
      </c>
    </row>
    <row r="2663" spans="1:12" ht="15.6" outlineLevel="1">
      <c r="A2663" s="11">
        <v>1815730752</v>
      </c>
      <c r="B2663" s="40">
        <v>752</v>
      </c>
      <c r="C2663" s="109">
        <v>815730</v>
      </c>
      <c r="D2663" s="42">
        <v>1</v>
      </c>
      <c r="E2663" s="43"/>
      <c r="F2663" s="44" t="s">
        <v>54</v>
      </c>
      <c r="G2663" s="45" t="s">
        <v>29</v>
      </c>
      <c r="H2663" s="51">
        <f t="shared" si="41"/>
        <v>-1</v>
      </c>
      <c r="I2663" s="47"/>
      <c r="J2663" s="48">
        <f>VLOOKUP(A2663,'[1]תקציב 2026'!$A$1:$M$65536,9,0)</f>
        <v>0</v>
      </c>
      <c r="K2663" s="49">
        <f>VLOOKUP(A2663,[3]גיליון1!$A$1:$C$7693,3,0)</f>
        <v>949500</v>
      </c>
      <c r="L2663" s="50">
        <f>VLOOKUP(A2663,[2]data1761205830331!$A$1:$J$65536,10,0)</f>
        <v>797499.67</v>
      </c>
    </row>
    <row r="2664" spans="1:12" ht="15.6" outlineLevel="1">
      <c r="A2664" s="11">
        <v>1815730759</v>
      </c>
      <c r="B2664" s="40">
        <v>759</v>
      </c>
      <c r="C2664" s="109">
        <v>815730</v>
      </c>
      <c r="D2664" s="42">
        <v>1</v>
      </c>
      <c r="E2664" s="43"/>
      <c r="F2664" s="44" t="s">
        <v>1332</v>
      </c>
      <c r="G2664" s="45" t="s">
        <v>22</v>
      </c>
      <c r="H2664" s="51">
        <f t="shared" si="41"/>
        <v>7.2635135135135087E-2</v>
      </c>
      <c r="I2664" s="47"/>
      <c r="J2664" s="48">
        <f>VLOOKUP(A2664,'[1]תקציב 2026'!$A$1:$M$65536,9,0)</f>
        <v>444500</v>
      </c>
      <c r="K2664" s="49">
        <v>414400</v>
      </c>
      <c r="L2664" s="50">
        <f>VLOOKUP(A2664,[2]data1761205830331!$A$1:$J$65536,10,0)</f>
        <v>283913.46000000002</v>
      </c>
    </row>
    <row r="2665" spans="1:12" ht="15.6" outlineLevel="1">
      <c r="A2665" s="11">
        <v>1815730762</v>
      </c>
      <c r="B2665" s="40">
        <v>762</v>
      </c>
      <c r="C2665" s="109">
        <v>815730</v>
      </c>
      <c r="D2665" s="42">
        <v>1</v>
      </c>
      <c r="E2665" s="43"/>
      <c r="F2665" s="44" t="s">
        <v>1496</v>
      </c>
      <c r="G2665" s="45" t="s">
        <v>22</v>
      </c>
      <c r="H2665" s="51">
        <f t="shared" si="41"/>
        <v>-1</v>
      </c>
      <c r="I2665" s="47"/>
      <c r="J2665" s="48">
        <f>VLOOKUP(A2665,'[1]תקציב 2026'!$A$1:$M$65536,9,0)</f>
        <v>0</v>
      </c>
      <c r="K2665" s="49">
        <f>VLOOKUP(A2665,[3]גיליון1!$A$1:$C$7693,3,0)</f>
        <v>825900</v>
      </c>
      <c r="L2665" s="50">
        <f>VLOOKUP(A2665,[2]data1761205830331!$A$1:$J$65536,10,0)</f>
        <v>870850.22</v>
      </c>
    </row>
    <row r="2666" spans="1:12" ht="15.6" outlineLevel="1">
      <c r="A2666" s="11">
        <v>1815730780</v>
      </c>
      <c r="B2666" s="40">
        <v>780</v>
      </c>
      <c r="C2666" s="109">
        <v>815730</v>
      </c>
      <c r="D2666" s="42">
        <v>1</v>
      </c>
      <c r="E2666" s="43"/>
      <c r="F2666" s="44" t="s">
        <v>1489</v>
      </c>
      <c r="G2666" s="45" t="s">
        <v>29</v>
      </c>
      <c r="H2666" s="51">
        <f t="shared" si="41"/>
        <v>-1</v>
      </c>
      <c r="I2666" s="47"/>
      <c r="J2666" s="48">
        <f>VLOOKUP(A2666,'[1]תקציב 2026'!$A$1:$M$65536,9,0)</f>
        <v>0</v>
      </c>
      <c r="K2666" s="49">
        <v>15400</v>
      </c>
      <c r="L2666" s="50">
        <f>VLOOKUP(A2666,[2]data1761205830331!$A$1:$J$65536,10,0)</f>
        <v>12372</v>
      </c>
    </row>
    <row r="2667" spans="1:12" ht="15.6" outlineLevel="1">
      <c r="A2667" s="11">
        <v>1815730794</v>
      </c>
      <c r="B2667" s="40">
        <v>794</v>
      </c>
      <c r="C2667" s="109">
        <v>815730</v>
      </c>
      <c r="D2667" s="42">
        <v>1</v>
      </c>
      <c r="E2667" s="43"/>
      <c r="F2667" s="44" t="s">
        <v>58</v>
      </c>
      <c r="G2667" s="45" t="s">
        <v>29</v>
      </c>
      <c r="H2667" s="51">
        <f t="shared" si="41"/>
        <v>0.10588235294117654</v>
      </c>
      <c r="I2667" s="47"/>
      <c r="J2667" s="48">
        <f>VLOOKUP(A2667,'[1]תקציב 2026'!$A$1:$M$65536,9,0)</f>
        <v>9400</v>
      </c>
      <c r="K2667" s="49">
        <v>8500</v>
      </c>
      <c r="L2667" s="50">
        <f>VLOOKUP(A2667,[2]data1761205830331!$A$1:$J$65536,10,0)</f>
        <v>19920</v>
      </c>
    </row>
    <row r="2668" spans="1:12" ht="15.6" outlineLevel="1">
      <c r="A2668" s="11">
        <v>1815730810</v>
      </c>
      <c r="B2668" s="40">
        <v>810</v>
      </c>
      <c r="C2668" s="109">
        <v>815730</v>
      </c>
      <c r="D2668" s="42">
        <v>1</v>
      </c>
      <c r="E2668" s="43"/>
      <c r="F2668" s="44" t="s">
        <v>1490</v>
      </c>
      <c r="G2668" s="45" t="s">
        <v>37</v>
      </c>
      <c r="H2668" s="51">
        <f t="shared" si="41"/>
        <v>-1</v>
      </c>
      <c r="I2668" s="47"/>
      <c r="J2668" s="48">
        <f>VLOOKUP(A2668,'[1]תקציב 2026'!$A$1:$M$65536,9,0)</f>
        <v>0</v>
      </c>
      <c r="K2668" s="49">
        <f>124200*0.9</f>
        <v>111780</v>
      </c>
      <c r="L2668" s="50">
        <f>VLOOKUP(A2668,[2]data1761205830331!$A$1:$J$65536,10,0)</f>
        <v>100000</v>
      </c>
    </row>
    <row r="2669" spans="1:12" ht="15.6" outlineLevel="1">
      <c r="A2669" s="11">
        <v>1815730812</v>
      </c>
      <c r="B2669" s="40">
        <v>812</v>
      </c>
      <c r="C2669" s="109">
        <v>815730</v>
      </c>
      <c r="D2669" s="42">
        <v>1</v>
      </c>
      <c r="E2669" s="43"/>
      <c r="F2669" s="44" t="s">
        <v>296</v>
      </c>
      <c r="G2669" s="45" t="s">
        <v>29</v>
      </c>
      <c r="H2669" s="51">
        <f t="shared" si="41"/>
        <v>-0.57957957957957951</v>
      </c>
      <c r="I2669" s="47"/>
      <c r="J2669" s="48">
        <f>VLOOKUP(A2669,'[1]תקציב 2026'!$A$1:$M$65536,9,0)</f>
        <v>7000</v>
      </c>
      <c r="K2669" s="49">
        <f>VLOOKUP(A2669,[3]גיליון1!$A$1:$C$7693,3,0)*0.9</f>
        <v>16650</v>
      </c>
      <c r="L2669" s="50">
        <f>VLOOKUP(A2669,[2]data1761205830331!$A$1:$J$65536,10,0)</f>
        <v>19690</v>
      </c>
    </row>
    <row r="2670" spans="1:12" ht="15.6" outlineLevel="1">
      <c r="A2670" s="11">
        <v>1815730953</v>
      </c>
      <c r="B2670" s="40">
        <v>953</v>
      </c>
      <c r="C2670" s="109">
        <v>815730</v>
      </c>
      <c r="D2670" s="42">
        <v>1</v>
      </c>
      <c r="E2670" s="43"/>
      <c r="F2670" s="44" t="s">
        <v>277</v>
      </c>
      <c r="G2670" s="45" t="s">
        <v>29</v>
      </c>
      <c r="H2670" s="51">
        <f t="shared" si="41"/>
        <v>-1</v>
      </c>
      <c r="I2670" s="47"/>
      <c r="J2670" s="48">
        <f>VLOOKUP(A2670,'[1]תקציב 2026'!$A$1:$M$65536,9,0)</f>
        <v>0</v>
      </c>
      <c r="K2670" s="49">
        <v>1093600</v>
      </c>
      <c r="L2670" s="50">
        <f>VLOOKUP(A2670,[2]data1761205830331!$A$1:$J$65536,10,0)</f>
        <v>1135041.7</v>
      </c>
    </row>
    <row r="2671" spans="1:12" ht="16.2" outlineLevel="1" thickBot="1">
      <c r="A2671" s="11">
        <v>1815730989</v>
      </c>
      <c r="B2671" s="137">
        <v>989</v>
      </c>
      <c r="C2671" s="138">
        <v>815730</v>
      </c>
      <c r="D2671" s="139">
        <v>1</v>
      </c>
      <c r="E2671" s="200"/>
      <c r="F2671" s="134" t="s">
        <v>1491</v>
      </c>
      <c r="G2671" s="203" t="s">
        <v>29</v>
      </c>
      <c r="H2671" s="51">
        <f t="shared" si="41"/>
        <v>-0.51194082101706262</v>
      </c>
      <c r="I2671" s="47"/>
      <c r="J2671" s="48">
        <f>VLOOKUP(A2671,'[1]תקציב 2026'!$A$1:$M$65536,9,0)</f>
        <v>641300</v>
      </c>
      <c r="K2671" s="49">
        <v>1313980</v>
      </c>
      <c r="L2671" s="50">
        <f>VLOOKUP(A2671,[2]data1761205830331!$A$1:$J$65536,10,0)</f>
        <v>1113872</v>
      </c>
    </row>
    <row r="2672" spans="1:12" ht="16.2" thickBot="1">
      <c r="A2672" s="11" t="e">
        <v>#VALUE!</v>
      </c>
      <c r="B2672" s="53" t="s">
        <v>1500</v>
      </c>
      <c r="C2672" s="223"/>
      <c r="D2672" s="55"/>
      <c r="E2672" s="56"/>
      <c r="F2672" s="116" t="s">
        <v>1499</v>
      </c>
      <c r="G2672" s="58"/>
      <c r="H2672" s="166">
        <f>J2672/K2672-1</f>
        <v>-0.51194172716291686</v>
      </c>
      <c r="I2672" s="72"/>
      <c r="J2672" s="74">
        <f>SUBTOTAL(9,J2644:J2671)</f>
        <v>11329570</v>
      </c>
      <c r="K2672" s="92">
        <f>SUBTOTAL(9,K2644:K2671)</f>
        <v>23213560</v>
      </c>
      <c r="L2672" s="75">
        <f>SUBTOTAL(9,L2644:L2671)</f>
        <v>20814004.710000001</v>
      </c>
    </row>
    <row r="2673" spans="1:12" ht="15.6" outlineLevel="1">
      <c r="A2673" s="11">
        <v>18157400</v>
      </c>
      <c r="B2673" s="64">
        <v>0</v>
      </c>
      <c r="C2673" s="131">
        <v>815740</v>
      </c>
      <c r="D2673" s="66">
        <v>1</v>
      </c>
      <c r="E2673" s="67"/>
      <c r="F2673" s="68" t="s">
        <v>1501</v>
      </c>
      <c r="G2673" s="69" t="s">
        <v>15</v>
      </c>
      <c r="H2673" s="51"/>
      <c r="I2673" s="47"/>
      <c r="J2673" s="48"/>
      <c r="K2673" s="49"/>
      <c r="L2673" s="50"/>
    </row>
    <row r="2674" spans="1:12" ht="15.6" outlineLevel="1">
      <c r="A2674" s="11">
        <v>1815740110</v>
      </c>
      <c r="B2674" s="40">
        <v>110</v>
      </c>
      <c r="C2674" s="109">
        <v>815740</v>
      </c>
      <c r="D2674" s="42">
        <v>1</v>
      </c>
      <c r="E2674" s="43"/>
      <c r="F2674" s="44" t="s">
        <v>21</v>
      </c>
      <c r="G2674" s="45" t="s">
        <v>22</v>
      </c>
      <c r="H2674" s="51">
        <f t="shared" si="41"/>
        <v>2.4985994397758837E-2</v>
      </c>
      <c r="I2674" s="47"/>
      <c r="J2674" s="48">
        <f>VLOOKUP(A2674,'[1]תקציב 2026'!$A$1:$M$65536,9,0)</f>
        <v>182959.99999999997</v>
      </c>
      <c r="K2674" s="49">
        <v>178500</v>
      </c>
      <c r="L2674" s="50">
        <f>VLOOKUP(A2674,[2]data1761205830331!$A$1:$J$65536,10,0)</f>
        <v>170041.21</v>
      </c>
    </row>
    <row r="2675" spans="1:12" ht="15.6" outlineLevel="1">
      <c r="A2675" s="11">
        <v>1815740118</v>
      </c>
      <c r="B2675" s="40">
        <v>118</v>
      </c>
      <c r="C2675" s="109">
        <v>815740</v>
      </c>
      <c r="D2675" s="42">
        <v>1</v>
      </c>
      <c r="E2675" s="43"/>
      <c r="F2675" s="44" t="s">
        <v>1483</v>
      </c>
      <c r="G2675" s="45" t="s">
        <v>22</v>
      </c>
      <c r="H2675" s="51">
        <f t="shared" si="41"/>
        <v>5.6103649114465748E-2</v>
      </c>
      <c r="I2675" s="47"/>
      <c r="J2675" s="48">
        <f>VLOOKUP(A2675,'[1]תקציב 2026'!$A$1:$M$65536,9,0)</f>
        <v>28432000</v>
      </c>
      <c r="K2675" s="49">
        <f>VLOOKUP(A2675,[3]גיליון1!$A$1:$C$7693,3,0)</f>
        <v>26921600</v>
      </c>
      <c r="L2675" s="50">
        <f>VLOOKUP(A2675,[2]data1761205830331!$A$1:$J$65536,10,0)</f>
        <v>27098172.449999999</v>
      </c>
    </row>
    <row r="2676" spans="1:12" ht="15.6" outlineLevel="1">
      <c r="A2676" s="11">
        <v>1815740119</v>
      </c>
      <c r="B2676" s="40">
        <v>119</v>
      </c>
      <c r="C2676" s="109">
        <v>815740</v>
      </c>
      <c r="D2676" s="42">
        <v>1</v>
      </c>
      <c r="E2676" s="43"/>
      <c r="F2676" s="44" t="s">
        <v>23</v>
      </c>
      <c r="G2676" s="45" t="s">
        <v>22</v>
      </c>
      <c r="H2676" s="51">
        <f t="shared" si="41"/>
        <v>2.5000911111920932E-2</v>
      </c>
      <c r="I2676" s="47"/>
      <c r="J2676" s="48">
        <v>2812500</v>
      </c>
      <c r="K2676" s="49">
        <v>2743900</v>
      </c>
      <c r="L2676" s="50">
        <f>VLOOKUP(A2676,[2]data1761205830331!$A$1:$J$65536,10,0)</f>
        <v>3372783.27</v>
      </c>
    </row>
    <row r="2677" spans="1:12" ht="15.6" outlineLevel="1">
      <c r="A2677" s="11">
        <v>1815740122</v>
      </c>
      <c r="B2677" s="40">
        <v>122</v>
      </c>
      <c r="C2677" s="109">
        <v>815740</v>
      </c>
      <c r="D2677" s="42">
        <v>1</v>
      </c>
      <c r="E2677" s="43"/>
      <c r="F2677" s="44" t="s">
        <v>24</v>
      </c>
      <c r="G2677" s="45" t="s">
        <v>22</v>
      </c>
      <c r="H2677" s="51">
        <f t="shared" si="41"/>
        <v>0</v>
      </c>
      <c r="I2677" s="47"/>
      <c r="J2677" s="48">
        <f>VLOOKUP(A2677,'[1]תקציב 2026'!$A$1:$M$65536,9,0)</f>
        <v>281000</v>
      </c>
      <c r="K2677" s="49">
        <f>VLOOKUP(A2677,[3]גיליון1!$A$1:$C$7693,3,0)</f>
        <v>281000</v>
      </c>
      <c r="L2677" s="50">
        <f>VLOOKUP(A2677,[2]data1761205830331!$A$1:$J$65536,10,0)</f>
        <v>284095.77</v>
      </c>
    </row>
    <row r="2678" spans="1:12" ht="15.6" outlineLevel="1">
      <c r="A2678" s="11">
        <v>1815740126</v>
      </c>
      <c r="B2678" s="40">
        <v>126</v>
      </c>
      <c r="C2678" s="109">
        <v>815740</v>
      </c>
      <c r="D2678" s="42">
        <v>1</v>
      </c>
      <c r="E2678" s="43"/>
      <c r="F2678" s="44" t="s">
        <v>25</v>
      </c>
      <c r="G2678" s="45" t="s">
        <v>22</v>
      </c>
      <c r="H2678" s="51">
        <f t="shared" ref="H2678:H2741" si="42">J2678/K2678-1</f>
        <v>0</v>
      </c>
      <c r="I2678" s="47"/>
      <c r="J2678" s="48">
        <f>VLOOKUP(A2678,'[1]תקציב 2026'!$A$1:$M$65536,9,0)</f>
        <v>615000</v>
      </c>
      <c r="K2678" s="49">
        <f>VLOOKUP(A2678,[3]גיליון1!$A$1:$C$7693,3,0)</f>
        <v>615000</v>
      </c>
      <c r="L2678" s="50">
        <f>VLOOKUP(A2678,[2]data1761205830331!$A$1:$J$65536,10,0)</f>
        <v>617092.68000000005</v>
      </c>
    </row>
    <row r="2679" spans="1:12" ht="15.6" outlineLevel="1">
      <c r="A2679" s="11">
        <v>1815740130</v>
      </c>
      <c r="B2679" s="40">
        <v>130</v>
      </c>
      <c r="C2679" s="109">
        <v>815740</v>
      </c>
      <c r="D2679" s="42">
        <v>1</v>
      </c>
      <c r="E2679" s="43"/>
      <c r="F2679" s="44" t="s">
        <v>26</v>
      </c>
      <c r="G2679" s="45" t="s">
        <v>22</v>
      </c>
      <c r="H2679" s="51">
        <f t="shared" si="42"/>
        <v>0</v>
      </c>
      <c r="I2679" s="47"/>
      <c r="J2679" s="48">
        <f>VLOOKUP(A2679,'[1]תקציב 2026'!$A$1:$M$65536,9,0)</f>
        <v>10660</v>
      </c>
      <c r="K2679" s="49">
        <v>10660</v>
      </c>
      <c r="L2679" s="50">
        <f>VLOOKUP(A2679,[2]data1761205830331!$A$1:$J$65536,10,0)</f>
        <v>0</v>
      </c>
    </row>
    <row r="2680" spans="1:12" ht="15.6" outlineLevel="1">
      <c r="A2680" s="11">
        <v>1815740140</v>
      </c>
      <c r="B2680" s="40">
        <v>140</v>
      </c>
      <c r="C2680" s="109">
        <v>815740</v>
      </c>
      <c r="D2680" s="42">
        <v>1</v>
      </c>
      <c r="E2680" s="43"/>
      <c r="F2680" s="44" t="s">
        <v>27</v>
      </c>
      <c r="G2680" s="45" t="s">
        <v>22</v>
      </c>
      <c r="H2680" s="51">
        <f t="shared" si="42"/>
        <v>0</v>
      </c>
      <c r="I2680" s="47"/>
      <c r="J2680" s="48">
        <f>VLOOKUP(A2680,'[1]תקציב 2026'!$A$1:$M$65536,9,0)</f>
        <v>170000</v>
      </c>
      <c r="K2680" s="49">
        <f>VLOOKUP(A2680,[3]גיליון1!$A$1:$C$7693,3,0)</f>
        <v>170000</v>
      </c>
      <c r="L2680" s="50">
        <f>VLOOKUP(A2680,[2]data1761205830331!$A$1:$J$65536,10,0)</f>
        <v>261396.61</v>
      </c>
    </row>
    <row r="2681" spans="1:12" ht="15.6" outlineLevel="1">
      <c r="A2681" s="11">
        <v>1815740210</v>
      </c>
      <c r="B2681" s="40">
        <v>210</v>
      </c>
      <c r="C2681" s="109">
        <v>815740</v>
      </c>
      <c r="D2681" s="42">
        <v>1</v>
      </c>
      <c r="E2681" s="43"/>
      <c r="F2681" s="44" t="s">
        <v>1276</v>
      </c>
      <c r="G2681" s="45" t="s">
        <v>22</v>
      </c>
      <c r="H2681" s="51">
        <v>0</v>
      </c>
      <c r="I2681" s="47"/>
      <c r="J2681" s="48">
        <f>VLOOKUP(A2681,'[1]תקציב 2026'!$A$1:$M$65536,9,0)</f>
        <v>0</v>
      </c>
      <c r="K2681" s="49">
        <f>VLOOKUP(A2681,[3]גיליון1!$A$1:$C$7693,3,0)</f>
        <v>0</v>
      </c>
      <c r="L2681" s="50">
        <f>VLOOKUP(A2681,[2]data1761205830331!$A$1:$J$65536,10,0)</f>
        <v>73274.39</v>
      </c>
    </row>
    <row r="2682" spans="1:12" ht="15.6" outlineLevel="1">
      <c r="A2682" s="11">
        <v>1815740213</v>
      </c>
      <c r="B2682" s="40">
        <v>213</v>
      </c>
      <c r="C2682" s="109">
        <v>815740</v>
      </c>
      <c r="D2682" s="42">
        <v>1</v>
      </c>
      <c r="E2682" s="43"/>
      <c r="F2682" s="44" t="s">
        <v>385</v>
      </c>
      <c r="G2682" s="45" t="s">
        <v>22</v>
      </c>
      <c r="H2682" s="51">
        <v>0</v>
      </c>
      <c r="I2682" s="47"/>
      <c r="J2682" s="48">
        <f>VLOOKUP(A2682,'[1]תקציב 2026'!$A$1:$M$65536,9,0)</f>
        <v>0</v>
      </c>
      <c r="K2682" s="49">
        <f>VLOOKUP(A2682,[3]גיליון1!$A$1:$C$7693,3,0)</f>
        <v>0</v>
      </c>
      <c r="L2682" s="50">
        <f>VLOOKUP(A2682,[2]data1761205830331!$A$1:$J$65536,10,0)</f>
        <v>3432.64</v>
      </c>
    </row>
    <row r="2683" spans="1:12" ht="15.6" outlineLevel="1">
      <c r="A2683" s="11">
        <v>1815740214</v>
      </c>
      <c r="B2683" s="40">
        <v>214</v>
      </c>
      <c r="C2683" s="109">
        <v>815740</v>
      </c>
      <c r="D2683" s="42">
        <v>1</v>
      </c>
      <c r="E2683" s="43"/>
      <c r="F2683" s="44" t="s">
        <v>1484</v>
      </c>
      <c r="G2683" s="45" t="s">
        <v>22</v>
      </c>
      <c r="H2683" s="51">
        <v>0</v>
      </c>
      <c r="I2683" s="47"/>
      <c r="J2683" s="48">
        <f>VLOOKUP(A2683,'[1]תקציב 2026'!$A$1:$M$65536,9,0)</f>
        <v>0</v>
      </c>
      <c r="K2683" s="49">
        <v>0</v>
      </c>
      <c r="L2683" s="50">
        <f>VLOOKUP(A2683,[2]data1761205830331!$A$1:$J$65536,10,0)</f>
        <v>21389.49</v>
      </c>
    </row>
    <row r="2684" spans="1:12" ht="15.6" outlineLevel="1">
      <c r="A2684" s="11">
        <v>1815740216</v>
      </c>
      <c r="B2684" s="40">
        <v>216</v>
      </c>
      <c r="C2684" s="109">
        <v>815740</v>
      </c>
      <c r="D2684" s="42">
        <v>1</v>
      </c>
      <c r="E2684" s="43"/>
      <c r="F2684" s="44" t="s">
        <v>1502</v>
      </c>
      <c r="G2684" s="45" t="s">
        <v>22</v>
      </c>
      <c r="H2684" s="51">
        <f t="shared" si="42"/>
        <v>0</v>
      </c>
      <c r="I2684" s="47"/>
      <c r="J2684" s="48">
        <f>VLOOKUP(A2684,'[1]תקציב 2026'!$A$1:$M$65536,9,0)</f>
        <v>70000</v>
      </c>
      <c r="K2684" s="49">
        <f>VLOOKUP(A2684,[3]גיליון1!$A$1:$C$7693,3,0)</f>
        <v>70000</v>
      </c>
      <c r="L2684" s="50">
        <f>VLOOKUP(A2684,[2]data1761205830331!$A$1:$J$65536,10,0)</f>
        <v>50369.23</v>
      </c>
    </row>
    <row r="2685" spans="1:12" ht="15.6" outlineLevel="1">
      <c r="A2685" s="11">
        <v>1815740250</v>
      </c>
      <c r="B2685" s="40">
        <v>250</v>
      </c>
      <c r="C2685" s="109">
        <v>815740</v>
      </c>
      <c r="D2685" s="42">
        <v>1</v>
      </c>
      <c r="E2685" s="43"/>
      <c r="F2685" s="154" t="s">
        <v>1486</v>
      </c>
      <c r="G2685" s="45" t="s">
        <v>22</v>
      </c>
      <c r="H2685" s="51">
        <f t="shared" si="42"/>
        <v>-0.48400412796697623</v>
      </c>
      <c r="I2685" s="47"/>
      <c r="J2685" s="48">
        <f>VLOOKUP(A2685,'[1]תקציב 2026'!$A$1:$M$65536,9,0)</f>
        <v>200000</v>
      </c>
      <c r="K2685" s="49">
        <f>VLOOKUP(A2685,[3]גיליון1!$A$1:$C$7693,3,0)</f>
        <v>387600</v>
      </c>
      <c r="L2685" s="50">
        <f>VLOOKUP(A2685,[2]data1761205830331!$A$1:$J$65536,10,0)</f>
        <v>241071.09</v>
      </c>
    </row>
    <row r="2686" spans="1:12" ht="15.6" outlineLevel="1">
      <c r="A2686" s="11">
        <v>1815740413</v>
      </c>
      <c r="B2686" s="40">
        <v>413</v>
      </c>
      <c r="C2686" s="109">
        <v>815740</v>
      </c>
      <c r="D2686" s="42">
        <v>1</v>
      </c>
      <c r="E2686" s="43"/>
      <c r="F2686" s="44" t="s">
        <v>521</v>
      </c>
      <c r="G2686" s="45" t="s">
        <v>29</v>
      </c>
      <c r="H2686" s="51">
        <f t="shared" si="42"/>
        <v>0</v>
      </c>
      <c r="I2686" s="47"/>
      <c r="J2686" s="48">
        <f>VLOOKUP(A2686,'[1]תקציב 2026'!$A$1:$M$65536,9,0)</f>
        <v>210000</v>
      </c>
      <c r="K2686" s="49">
        <v>210000</v>
      </c>
      <c r="L2686" s="50">
        <f>VLOOKUP(A2686,[2]data1761205830331!$A$1:$J$65536,10,0)</f>
        <v>210000</v>
      </c>
    </row>
    <row r="2687" spans="1:12" ht="15.6" outlineLevel="1">
      <c r="A2687" s="11">
        <v>1815740420</v>
      </c>
      <c r="B2687" s="40">
        <v>420</v>
      </c>
      <c r="C2687" s="109">
        <v>815740</v>
      </c>
      <c r="D2687" s="42">
        <v>1</v>
      </c>
      <c r="E2687" s="43"/>
      <c r="F2687" s="44" t="s">
        <v>30</v>
      </c>
      <c r="G2687" s="45" t="s">
        <v>29</v>
      </c>
      <c r="H2687" s="51">
        <f t="shared" si="42"/>
        <v>0.11111111111111116</v>
      </c>
      <c r="I2687" s="47"/>
      <c r="J2687" s="48">
        <f>VLOOKUP(A2687,'[1]תקציב 2026'!$A$1:$M$65536,9,0)</f>
        <v>20000</v>
      </c>
      <c r="K2687" s="49">
        <f>VLOOKUP(A2687,[3]גיליון1!$A$1:$C$7693,3,0)*0.9</f>
        <v>18000</v>
      </c>
      <c r="L2687" s="50">
        <f>VLOOKUP(A2687,[2]data1761205830331!$A$1:$J$65536,10,0)</f>
        <v>18152.8</v>
      </c>
    </row>
    <row r="2688" spans="1:12" ht="15.6" outlineLevel="1">
      <c r="A2688" s="11">
        <v>1815740431</v>
      </c>
      <c r="B2688" s="40">
        <v>431</v>
      </c>
      <c r="C2688" s="109">
        <v>815740</v>
      </c>
      <c r="D2688" s="42">
        <v>1</v>
      </c>
      <c r="E2688" s="43"/>
      <c r="F2688" s="44" t="s">
        <v>32</v>
      </c>
      <c r="G2688" s="45" t="s">
        <v>29</v>
      </c>
      <c r="H2688" s="51">
        <f t="shared" si="42"/>
        <v>0</v>
      </c>
      <c r="I2688" s="47"/>
      <c r="J2688" s="48">
        <f>VLOOKUP(A2688,'[1]תקציב 2026'!$A$1:$M$65536,9,0)</f>
        <v>387800</v>
      </c>
      <c r="K2688" s="49">
        <v>387800</v>
      </c>
      <c r="L2688" s="50">
        <f>VLOOKUP(A2688,[2]data1761205830331!$A$1:$J$65536,10,0)</f>
        <v>355775</v>
      </c>
    </row>
    <row r="2689" spans="1:12" ht="15.6" outlineLevel="1">
      <c r="A2689" s="11">
        <v>1815740432</v>
      </c>
      <c r="B2689" s="40">
        <v>432</v>
      </c>
      <c r="C2689" s="109">
        <v>815740</v>
      </c>
      <c r="D2689" s="42">
        <v>1</v>
      </c>
      <c r="E2689" s="43"/>
      <c r="F2689" s="44" t="s">
        <v>33</v>
      </c>
      <c r="G2689" s="45" t="s">
        <v>29</v>
      </c>
      <c r="H2689" s="51">
        <f t="shared" si="42"/>
        <v>3.1678986272438703E-3</v>
      </c>
      <c r="I2689" s="47"/>
      <c r="J2689" s="48">
        <f>VLOOKUP(A2689,'[1]תקציב 2026'!$A$1:$M$65536,9,0)</f>
        <v>95000</v>
      </c>
      <c r="K2689" s="49">
        <v>94700</v>
      </c>
      <c r="L2689" s="50">
        <f>VLOOKUP(A2689,[2]data1761205830331!$A$1:$J$65536,10,0)</f>
        <v>87700</v>
      </c>
    </row>
    <row r="2690" spans="1:12" ht="15.6" outlineLevel="1">
      <c r="A2690" s="11">
        <v>1815740437</v>
      </c>
      <c r="B2690" s="40">
        <v>437</v>
      </c>
      <c r="C2690" s="109">
        <v>815740</v>
      </c>
      <c r="D2690" s="42">
        <v>1</v>
      </c>
      <c r="E2690" s="43"/>
      <c r="F2690" s="44" t="s">
        <v>38</v>
      </c>
      <c r="G2690" s="45" t="s">
        <v>29</v>
      </c>
      <c r="H2690" s="51">
        <f t="shared" si="42"/>
        <v>0</v>
      </c>
      <c r="I2690" s="47"/>
      <c r="J2690" s="48">
        <f>VLOOKUP(A2690,'[1]תקציב 2026'!$A$1:$M$65536,9,0)</f>
        <v>3800</v>
      </c>
      <c r="K2690" s="49">
        <f>VLOOKUP(A2690,[3]גיליון1!$A$1:$C$7693,3,0)</f>
        <v>3800</v>
      </c>
      <c r="L2690" s="50">
        <f>VLOOKUP(A2690,[2]data1761205830331!$A$1:$J$65536,10,0)</f>
        <v>3664.44</v>
      </c>
    </row>
    <row r="2691" spans="1:12" ht="15.6" outlineLevel="1">
      <c r="A2691" s="11">
        <v>1815740450</v>
      </c>
      <c r="B2691" s="40">
        <v>450</v>
      </c>
      <c r="C2691" s="109">
        <v>815740</v>
      </c>
      <c r="D2691" s="42">
        <v>1</v>
      </c>
      <c r="E2691" s="43"/>
      <c r="F2691" s="44" t="s">
        <v>1487</v>
      </c>
      <c r="G2691" s="45" t="s">
        <v>37</v>
      </c>
      <c r="H2691" s="51">
        <f t="shared" si="42"/>
        <v>3.7573805689747886E-3</v>
      </c>
      <c r="I2691" s="47"/>
      <c r="J2691" s="48">
        <f>VLOOKUP(A2691,'[1]תקציב 2026'!$A$1:$M$65536,9,0)</f>
        <v>18700</v>
      </c>
      <c r="K2691" s="49">
        <f>20700*0.9</f>
        <v>18630</v>
      </c>
      <c r="L2691" s="50">
        <f>VLOOKUP(A2691,[2]data1761205830331!$A$1:$J$65536,10,0)</f>
        <v>19040</v>
      </c>
    </row>
    <row r="2692" spans="1:12" ht="15.6" outlineLevel="1">
      <c r="A2692" s="11">
        <v>1815740451</v>
      </c>
      <c r="B2692" s="40">
        <v>451</v>
      </c>
      <c r="C2692" s="109">
        <v>815740</v>
      </c>
      <c r="D2692" s="42">
        <v>1</v>
      </c>
      <c r="E2692" s="43"/>
      <c r="F2692" s="44" t="s">
        <v>1384</v>
      </c>
      <c r="G2692" s="45" t="s">
        <v>29</v>
      </c>
      <c r="H2692" s="51">
        <f t="shared" si="42"/>
        <v>0</v>
      </c>
      <c r="I2692" s="47"/>
      <c r="J2692" s="48">
        <f>VLOOKUP(A2692,'[1]תקציב 2026'!$A$1:$M$65536,9,0)</f>
        <v>400000</v>
      </c>
      <c r="K2692" s="49">
        <v>400000</v>
      </c>
      <c r="L2692" s="50">
        <f>VLOOKUP(A2692,[2]data1761205830331!$A$1:$J$65536,10,0)</f>
        <v>0</v>
      </c>
    </row>
    <row r="2693" spans="1:12" ht="15.6" outlineLevel="1">
      <c r="A2693" s="11">
        <v>1815740452</v>
      </c>
      <c r="B2693" s="40">
        <v>452</v>
      </c>
      <c r="C2693" s="109">
        <v>815740</v>
      </c>
      <c r="D2693" s="42">
        <v>1</v>
      </c>
      <c r="E2693" s="43"/>
      <c r="F2693" s="44" t="s">
        <v>381</v>
      </c>
      <c r="G2693" s="45" t="s">
        <v>29</v>
      </c>
      <c r="H2693" s="51">
        <f t="shared" si="42"/>
        <v>-5.601158860453892E-2</v>
      </c>
      <c r="I2693" s="47"/>
      <c r="J2693" s="48">
        <f>VLOOKUP(A2693,'[1]תקציב 2026'!$A$1:$M$65536,9,0)</f>
        <v>391000</v>
      </c>
      <c r="K2693" s="49">
        <v>414200</v>
      </c>
      <c r="L2693" s="50">
        <f>VLOOKUP(A2693,[2]data1761205830331!$A$1:$J$65536,10,0)</f>
        <v>0</v>
      </c>
    </row>
    <row r="2694" spans="1:12" ht="15.6" outlineLevel="1">
      <c r="A2694" s="11">
        <v>1815740511</v>
      </c>
      <c r="B2694" s="40">
        <v>511</v>
      </c>
      <c r="C2694" s="109">
        <v>815740</v>
      </c>
      <c r="D2694" s="42">
        <v>1</v>
      </c>
      <c r="E2694" s="43"/>
      <c r="F2694" s="44" t="s">
        <v>72</v>
      </c>
      <c r="G2694" s="45" t="s">
        <v>37</v>
      </c>
      <c r="H2694" s="51">
        <f t="shared" si="42"/>
        <v>0.19375573921028466</v>
      </c>
      <c r="I2694" s="47"/>
      <c r="J2694" s="48">
        <f>VLOOKUP(A2694,'[1]תקציב 2026'!$A$1:$M$65536,9,0)</f>
        <v>26000</v>
      </c>
      <c r="K2694" s="49">
        <f>24200*0.9</f>
        <v>21780</v>
      </c>
      <c r="L2694" s="50">
        <f>VLOOKUP(A2694,[2]data1761205830331!$A$1:$J$65536,10,0)</f>
        <v>24759.99</v>
      </c>
    </row>
    <row r="2695" spans="1:12" ht="15.6" outlineLevel="1">
      <c r="A2695" s="11">
        <v>1815740580</v>
      </c>
      <c r="B2695" s="40">
        <v>580</v>
      </c>
      <c r="C2695" s="109">
        <v>815740</v>
      </c>
      <c r="D2695" s="42">
        <v>1</v>
      </c>
      <c r="E2695" s="43"/>
      <c r="F2695" s="44" t="s">
        <v>1503</v>
      </c>
      <c r="G2695" s="45" t="s">
        <v>37</v>
      </c>
      <c r="H2695" s="51">
        <f t="shared" si="42"/>
        <v>0</v>
      </c>
      <c r="I2695" s="47"/>
      <c r="J2695" s="48">
        <f>VLOOKUP(A2695,'[1]תקציב 2026'!$A$1:$M$65536,9,0)</f>
        <v>60000</v>
      </c>
      <c r="K2695" s="49">
        <v>60000</v>
      </c>
      <c r="L2695" s="50">
        <f>VLOOKUP(A2695,[2]data1761205830331!$A$1:$J$65536,10,0)</f>
        <v>55000</v>
      </c>
    </row>
    <row r="2696" spans="1:12" ht="15.6" outlineLevel="1">
      <c r="A2696" s="11">
        <v>1815740742</v>
      </c>
      <c r="B2696" s="40">
        <v>742</v>
      </c>
      <c r="C2696" s="109">
        <v>815740</v>
      </c>
      <c r="D2696" s="42">
        <v>1</v>
      </c>
      <c r="E2696" s="43"/>
      <c r="F2696" s="44" t="s">
        <v>52</v>
      </c>
      <c r="G2696" s="45" t="s">
        <v>37</v>
      </c>
      <c r="H2696" s="51">
        <f t="shared" si="42"/>
        <v>0.11593154977102915</v>
      </c>
      <c r="I2696" s="47"/>
      <c r="J2696" s="48">
        <f>VLOOKUP(A2696,'[1]תקציב 2026'!$A$1:$M$65536,9,0)</f>
        <v>92600</v>
      </c>
      <c r="K2696" s="49">
        <f>VLOOKUP(A2696,[3]גיליון1!$A$1:$C$7693,3,0)*0.9</f>
        <v>82980</v>
      </c>
      <c r="L2696" s="50">
        <f>VLOOKUP(A2696,[2]data1761205830331!$A$1:$J$65536,10,0)</f>
        <v>86234</v>
      </c>
    </row>
    <row r="2697" spans="1:12" ht="15.6" outlineLevel="1">
      <c r="A2697" s="11">
        <v>1815740750</v>
      </c>
      <c r="B2697" s="40">
        <v>750</v>
      </c>
      <c r="C2697" s="109">
        <v>815740</v>
      </c>
      <c r="D2697" s="42">
        <v>1</v>
      </c>
      <c r="E2697" s="43"/>
      <c r="F2697" s="44" t="s">
        <v>1351</v>
      </c>
      <c r="G2697" s="45" t="s">
        <v>29</v>
      </c>
      <c r="H2697" s="51">
        <f t="shared" si="42"/>
        <v>1.9205435762324141E-2</v>
      </c>
      <c r="I2697" s="47"/>
      <c r="J2697" s="48">
        <f>VLOOKUP(A2697,'[1]תקציב 2026'!$A$1:$M$65536,9,0)</f>
        <v>1470000</v>
      </c>
      <c r="K2697" s="49">
        <v>1442300</v>
      </c>
      <c r="L2697" s="50">
        <f>VLOOKUP(A2697,[2]data1761205830331!$A$1:$J$65536,10,0)</f>
        <v>1162591</v>
      </c>
    </row>
    <row r="2698" spans="1:12" ht="15.6" outlineLevel="1">
      <c r="A2698" s="11">
        <v>1815740752</v>
      </c>
      <c r="B2698" s="40">
        <v>752</v>
      </c>
      <c r="C2698" s="109">
        <v>815740</v>
      </c>
      <c r="D2698" s="42">
        <v>1</v>
      </c>
      <c r="E2698" s="43"/>
      <c r="F2698" s="44" t="s">
        <v>54</v>
      </c>
      <c r="G2698" s="45" t="s">
        <v>29</v>
      </c>
      <c r="H2698" s="51">
        <f t="shared" si="42"/>
        <v>-5.6609035136642505E-2</v>
      </c>
      <c r="I2698" s="47"/>
      <c r="J2698" s="48">
        <f>VLOOKUP(A2698,'[1]תקציב 2026'!$A$1:$M$65536,9,0)</f>
        <v>1691500</v>
      </c>
      <c r="K2698" s="49">
        <f>VLOOKUP(A2698,[3]גיליון1!$A$1:$C$7693,3,0)</f>
        <v>1793000</v>
      </c>
      <c r="L2698" s="50">
        <f>VLOOKUP(A2698,[2]data1761205830331!$A$1:$J$65536,10,0)</f>
        <v>1436999.11</v>
      </c>
    </row>
    <row r="2699" spans="1:12" ht="15.6" outlineLevel="1">
      <c r="A2699" s="11">
        <v>1815740759</v>
      </c>
      <c r="B2699" s="40">
        <v>759</v>
      </c>
      <c r="C2699" s="109">
        <v>815740</v>
      </c>
      <c r="D2699" s="42">
        <v>1</v>
      </c>
      <c r="E2699" s="43"/>
      <c r="F2699" s="44" t="s">
        <v>1332</v>
      </c>
      <c r="G2699" s="45" t="s">
        <v>22</v>
      </c>
      <c r="H2699" s="51">
        <f t="shared" si="42"/>
        <v>7.2821124714671059E-2</v>
      </c>
      <c r="I2699" s="47"/>
      <c r="J2699" s="48">
        <f>VLOOKUP(A2699,'[1]תקציב 2026'!$A$1:$M$65536,9,0)</f>
        <v>2067970</v>
      </c>
      <c r="K2699" s="49">
        <v>1927600</v>
      </c>
      <c r="L2699" s="50">
        <f>VLOOKUP(A2699,[2]data1761205830331!$A$1:$J$65536,10,0)</f>
        <v>1585288.83</v>
      </c>
    </row>
    <row r="2700" spans="1:12" ht="15.6" outlineLevel="1">
      <c r="A2700" s="11">
        <v>1815740762</v>
      </c>
      <c r="B2700" s="40">
        <v>762</v>
      </c>
      <c r="C2700" s="109">
        <v>815740</v>
      </c>
      <c r="D2700" s="42">
        <v>1</v>
      </c>
      <c r="E2700" s="43"/>
      <c r="F2700" s="44" t="s">
        <v>1496</v>
      </c>
      <c r="G2700" s="45" t="s">
        <v>22</v>
      </c>
      <c r="H2700" s="51">
        <f t="shared" si="42"/>
        <v>0.10537951363301401</v>
      </c>
      <c r="I2700" s="47"/>
      <c r="J2700" s="48">
        <f>VLOOKUP(A2700,'[1]תקציב 2026'!$A$1:$M$65536,9,0)</f>
        <v>300000</v>
      </c>
      <c r="K2700" s="49">
        <f>VLOOKUP(A2700,[3]גיליון1!$A$1:$C$7693,3,0)</f>
        <v>271400</v>
      </c>
      <c r="L2700" s="50">
        <f>VLOOKUP(A2700,[2]data1761205830331!$A$1:$J$65536,10,0)</f>
        <v>285667.49</v>
      </c>
    </row>
    <row r="2701" spans="1:12" ht="15.6" outlineLevel="1">
      <c r="A2701" s="11">
        <v>1815740780</v>
      </c>
      <c r="B2701" s="40">
        <v>780</v>
      </c>
      <c r="C2701" s="109">
        <v>815740</v>
      </c>
      <c r="D2701" s="42">
        <v>1</v>
      </c>
      <c r="E2701" s="43"/>
      <c r="F2701" s="44" t="s">
        <v>1489</v>
      </c>
      <c r="G2701" s="45" t="s">
        <v>29</v>
      </c>
      <c r="H2701" s="51">
        <f t="shared" si="42"/>
        <v>6.2893081761006275E-3</v>
      </c>
      <c r="I2701" s="47"/>
      <c r="J2701" s="48">
        <f>VLOOKUP(A2701,'[1]תקציב 2026'!$A$1:$M$65536,9,0)</f>
        <v>32000</v>
      </c>
      <c r="K2701" s="49">
        <v>31800</v>
      </c>
      <c r="L2701" s="50">
        <f>VLOOKUP(A2701,[2]data1761205830331!$A$1:$J$65536,10,0)</f>
        <v>29637</v>
      </c>
    </row>
    <row r="2702" spans="1:12" ht="15.6" outlineLevel="1">
      <c r="A2702" s="11">
        <v>1815740794</v>
      </c>
      <c r="B2702" s="40">
        <v>794</v>
      </c>
      <c r="C2702" s="109">
        <v>815740</v>
      </c>
      <c r="D2702" s="42">
        <v>1</v>
      </c>
      <c r="E2702" s="43"/>
      <c r="F2702" s="44" t="s">
        <v>58</v>
      </c>
      <c r="G2702" s="45" t="s">
        <v>29</v>
      </c>
      <c r="H2702" s="51">
        <f t="shared" si="42"/>
        <v>0.10588235294117654</v>
      </c>
      <c r="I2702" s="47"/>
      <c r="J2702" s="48">
        <f>VLOOKUP(A2702,'[1]תקציב 2026'!$A$1:$M$65536,9,0)</f>
        <v>9400</v>
      </c>
      <c r="K2702" s="49">
        <v>8500</v>
      </c>
      <c r="L2702" s="50">
        <f>VLOOKUP(A2702,[2]data1761205830331!$A$1:$J$65536,10,0)</f>
        <v>19920</v>
      </c>
    </row>
    <row r="2703" spans="1:12" ht="15.6" outlineLevel="1">
      <c r="A2703" s="11">
        <v>1815740810</v>
      </c>
      <c r="B2703" s="40">
        <v>810</v>
      </c>
      <c r="C2703" s="109">
        <v>815740</v>
      </c>
      <c r="D2703" s="42">
        <v>1</v>
      </c>
      <c r="E2703" s="43"/>
      <c r="F2703" s="44" t="s">
        <v>1490</v>
      </c>
      <c r="G2703" s="45" t="s">
        <v>37</v>
      </c>
      <c r="H2703" s="51">
        <f t="shared" si="42"/>
        <v>-1</v>
      </c>
      <c r="I2703" s="47"/>
      <c r="J2703" s="48">
        <f>VLOOKUP(A2703,'[1]תקציב 2026'!$A$1:$M$65536,9,0)</f>
        <v>0</v>
      </c>
      <c r="K2703" s="49">
        <f>134800*0.9</f>
        <v>121320</v>
      </c>
      <c r="L2703" s="50">
        <f>VLOOKUP(A2703,[2]data1761205830331!$A$1:$J$65536,10,0)</f>
        <v>0</v>
      </c>
    </row>
    <row r="2704" spans="1:12" ht="15.6" outlineLevel="1">
      <c r="A2704" s="11">
        <v>1815740812</v>
      </c>
      <c r="B2704" s="40">
        <v>812</v>
      </c>
      <c r="C2704" s="109">
        <v>815740</v>
      </c>
      <c r="D2704" s="42">
        <v>1</v>
      </c>
      <c r="E2704" s="43"/>
      <c r="F2704" s="44" t="s">
        <v>296</v>
      </c>
      <c r="G2704" s="45" t="s">
        <v>29</v>
      </c>
      <c r="H2704" s="51">
        <f t="shared" si="42"/>
        <v>0.2592592592592593</v>
      </c>
      <c r="I2704" s="47"/>
      <c r="J2704" s="48">
        <f>VLOOKUP(A2704,'[1]תקציב 2026'!$A$1:$M$65536,9,0)</f>
        <v>51000</v>
      </c>
      <c r="K2704" s="49">
        <f>VLOOKUP(A2704,[3]גיליון1!$A$1:$C$7693,3,0)*0.9</f>
        <v>40500</v>
      </c>
      <c r="L2704" s="50">
        <f>VLOOKUP(A2704,[2]data1761205830331!$A$1:$J$65536,10,0)</f>
        <v>45760</v>
      </c>
    </row>
    <row r="2705" spans="1:12" ht="15.6" outlineLevel="1">
      <c r="A2705" s="11">
        <v>1815740953</v>
      </c>
      <c r="B2705" s="40">
        <v>953</v>
      </c>
      <c r="C2705" s="109">
        <v>815740</v>
      </c>
      <c r="D2705" s="42">
        <v>1</v>
      </c>
      <c r="E2705" s="43"/>
      <c r="F2705" s="44" t="s">
        <v>277</v>
      </c>
      <c r="G2705" s="45" t="s">
        <v>29</v>
      </c>
      <c r="H2705" s="51">
        <f t="shared" si="42"/>
        <v>-3.4282955094157463E-2</v>
      </c>
      <c r="I2705" s="47"/>
      <c r="J2705" s="48">
        <f>VLOOKUP(A2705,'[1]תקציב 2026'!$A$1:$M$65536,9,0)</f>
        <v>1600000</v>
      </c>
      <c r="K2705" s="49">
        <v>1656800</v>
      </c>
      <c r="L2705" s="50">
        <f>VLOOKUP(A2705,[2]data1761205830331!$A$1:$J$65536,10,0)</f>
        <v>1949795.19</v>
      </c>
    </row>
    <row r="2706" spans="1:12" ht="16.2" outlineLevel="1" thickBot="1">
      <c r="A2706" s="11">
        <v>1815740989</v>
      </c>
      <c r="B2706" s="40">
        <v>989</v>
      </c>
      <c r="C2706" s="109">
        <v>815740</v>
      </c>
      <c r="D2706" s="42">
        <v>1</v>
      </c>
      <c r="E2706" s="43"/>
      <c r="F2706" s="44" t="s">
        <v>1491</v>
      </c>
      <c r="G2706" s="45" t="s">
        <v>29</v>
      </c>
      <c r="H2706" s="51">
        <f t="shared" si="42"/>
        <v>3.2624845233182098E-2</v>
      </c>
      <c r="I2706" s="47"/>
      <c r="J2706" s="48">
        <f>VLOOKUP(A2706,'[1]תקציב 2026'!$A$1:$M$65536,9,0)</f>
        <v>2502050</v>
      </c>
      <c r="K2706" s="49">
        <v>2423000</v>
      </c>
      <c r="L2706" s="50">
        <f>VLOOKUP(A2706,[2]data1761205830331!$A$1:$J$65536,10,0)</f>
        <v>2309255</v>
      </c>
    </row>
    <row r="2707" spans="1:12" ht="16.2" thickBot="1">
      <c r="A2707" s="11" t="e">
        <v>#VALUE!</v>
      </c>
      <c r="B2707" s="53" t="s">
        <v>1504</v>
      </c>
      <c r="C2707" s="223"/>
      <c r="D2707" s="55"/>
      <c r="E2707" s="56"/>
      <c r="F2707" s="116" t="s">
        <v>1501</v>
      </c>
      <c r="G2707" s="58"/>
      <c r="H2707" s="166">
        <f>J2707/K2707-1</f>
        <v>3.2625284507889818E-2</v>
      </c>
      <c r="I2707" s="72"/>
      <c r="J2707" s="74">
        <f>SUBTOTAL(9,J2674:J2706)</f>
        <v>44202940</v>
      </c>
      <c r="K2707" s="92">
        <f>SUBTOTAL(9,K2674:K2706)</f>
        <v>42806370</v>
      </c>
      <c r="L2707" s="75">
        <f>SUBTOTAL(9,L2674:L2706)</f>
        <v>41878358.68</v>
      </c>
    </row>
    <row r="2708" spans="1:12" ht="15.6" outlineLevel="1">
      <c r="A2708" s="11">
        <v>18157500</v>
      </c>
      <c r="B2708" s="64">
        <v>0</v>
      </c>
      <c r="C2708" s="131">
        <v>815750</v>
      </c>
      <c r="D2708" s="66">
        <v>1</v>
      </c>
      <c r="E2708" s="67"/>
      <c r="F2708" s="68" t="s">
        <v>1505</v>
      </c>
      <c r="G2708" s="69" t="s">
        <v>15</v>
      </c>
      <c r="H2708" s="51"/>
      <c r="I2708" s="47"/>
      <c r="J2708" s="48"/>
      <c r="K2708" s="49"/>
      <c r="L2708" s="50"/>
    </row>
    <row r="2709" spans="1:12" ht="15.6" outlineLevel="1">
      <c r="A2709" s="11">
        <v>1815750110</v>
      </c>
      <c r="B2709" s="40">
        <v>110</v>
      </c>
      <c r="C2709" s="109">
        <v>815750</v>
      </c>
      <c r="D2709" s="42">
        <v>1</v>
      </c>
      <c r="E2709" s="43"/>
      <c r="F2709" s="44" t="s">
        <v>21</v>
      </c>
      <c r="G2709" s="45" t="s">
        <v>22</v>
      </c>
      <c r="H2709" s="51">
        <f t="shared" si="42"/>
        <v>2.4999999999999911E-2</v>
      </c>
      <c r="I2709" s="47"/>
      <c r="J2709" s="48">
        <f>VLOOKUP(A2709,'[1]תקציב 2026'!$A$1:$M$65536,9,0)</f>
        <v>272650</v>
      </c>
      <c r="K2709" s="49">
        <f>VLOOKUP(A2709,[3]גיליון1!$A$1:$C$7693,3,0)</f>
        <v>266000</v>
      </c>
      <c r="L2709" s="50">
        <f>VLOOKUP(A2709,[2]data1761205830331!$A$1:$J$65536,10,0)</f>
        <v>274498.71999999997</v>
      </c>
    </row>
    <row r="2710" spans="1:12" ht="15.6" outlineLevel="1">
      <c r="A2710" s="11">
        <v>1815750118</v>
      </c>
      <c r="B2710" s="40">
        <v>118</v>
      </c>
      <c r="C2710" s="109">
        <v>815750</v>
      </c>
      <c r="D2710" s="42">
        <v>1</v>
      </c>
      <c r="E2710" s="43"/>
      <c r="F2710" s="44" t="s">
        <v>1483</v>
      </c>
      <c r="G2710" s="45" t="s">
        <v>22</v>
      </c>
      <c r="H2710" s="51">
        <f t="shared" si="42"/>
        <v>-4.5981123249222655E-2</v>
      </c>
      <c r="I2710" s="47"/>
      <c r="J2710" s="48">
        <f>VLOOKUP(A2710,'[1]תקציב 2026'!$A$1:$M$65536,9,0)</f>
        <v>20802000</v>
      </c>
      <c r="K2710" s="49">
        <f>VLOOKUP(A2710,[3]גיליון1!$A$1:$C$7693,3,0)</f>
        <v>21804600</v>
      </c>
      <c r="L2710" s="50">
        <f>VLOOKUP(A2710,[2]data1761205830331!$A$1:$J$65536,10,0)</f>
        <v>21240961.559999999</v>
      </c>
    </row>
    <row r="2711" spans="1:12" ht="15.6" outlineLevel="1">
      <c r="A2711" s="11">
        <v>1815750119</v>
      </c>
      <c r="B2711" s="40">
        <v>119</v>
      </c>
      <c r="C2711" s="109">
        <v>815750</v>
      </c>
      <c r="D2711" s="42">
        <v>1</v>
      </c>
      <c r="E2711" s="43"/>
      <c r="F2711" s="44" t="s">
        <v>23</v>
      </c>
      <c r="G2711" s="45" t="s">
        <v>22</v>
      </c>
      <c r="H2711" s="51">
        <f t="shared" si="42"/>
        <v>9.0353873479983582E-2</v>
      </c>
      <c r="I2711" s="47"/>
      <c r="J2711" s="48">
        <f>VLOOKUP(A2711,'[1]תקציב 2026'!$A$1:$M$65536,9,0)</f>
        <v>2394090</v>
      </c>
      <c r="K2711" s="49">
        <f>1583700+120000+240000+252000</f>
        <v>2195700</v>
      </c>
      <c r="L2711" s="50">
        <f>VLOOKUP(A2711,[2]data1761205830331!$A$1:$J$65536,10,0)</f>
        <v>1851898.47</v>
      </c>
    </row>
    <row r="2712" spans="1:12" ht="15.6" outlineLevel="1">
      <c r="A2712" s="11">
        <v>1815750122</v>
      </c>
      <c r="B2712" s="40">
        <v>122</v>
      </c>
      <c r="C2712" s="109">
        <v>815750</v>
      </c>
      <c r="D2712" s="42">
        <v>1</v>
      </c>
      <c r="E2712" s="43"/>
      <c r="F2712" s="44" t="s">
        <v>24</v>
      </c>
      <c r="G2712" s="45" t="s">
        <v>22</v>
      </c>
      <c r="H2712" s="51">
        <f t="shared" si="42"/>
        <v>1.4285714285713347E-3</v>
      </c>
      <c r="I2712" s="47"/>
      <c r="J2712" s="48">
        <v>210300</v>
      </c>
      <c r="K2712" s="49">
        <f>VLOOKUP(A2712,[3]גיליון1!$A$1:$C$7693,3,0)</f>
        <v>210000</v>
      </c>
      <c r="L2712" s="50">
        <f>VLOOKUP(A2712,[2]data1761205830331!$A$1:$J$65536,10,0)</f>
        <v>209626.2</v>
      </c>
    </row>
    <row r="2713" spans="1:12" ht="15.6" outlineLevel="1">
      <c r="A2713" s="11">
        <v>1815750126</v>
      </c>
      <c r="B2713" s="40">
        <v>126</v>
      </c>
      <c r="C2713" s="109">
        <v>815750</v>
      </c>
      <c r="D2713" s="42">
        <v>1</v>
      </c>
      <c r="E2713" s="43"/>
      <c r="F2713" s="44" t="s">
        <v>25</v>
      </c>
      <c r="G2713" s="45" t="s">
        <v>22</v>
      </c>
      <c r="H2713" s="51">
        <f t="shared" si="42"/>
        <v>1.4349775784754382E-3</v>
      </c>
      <c r="I2713" s="47"/>
      <c r="J2713" s="48">
        <v>446640</v>
      </c>
      <c r="K2713" s="49">
        <f>VLOOKUP(A2713,[3]גיליון1!$A$1:$C$7693,3,0)</f>
        <v>446000</v>
      </c>
      <c r="L2713" s="50">
        <f>VLOOKUP(A2713,[2]data1761205830331!$A$1:$J$65536,10,0)</f>
        <v>450287.08</v>
      </c>
    </row>
    <row r="2714" spans="1:12" ht="15.6" outlineLevel="1">
      <c r="A2714" s="11">
        <v>1815750130</v>
      </c>
      <c r="B2714" s="40">
        <v>130</v>
      </c>
      <c r="C2714" s="109">
        <v>815750</v>
      </c>
      <c r="D2714" s="42">
        <v>1</v>
      </c>
      <c r="E2714" s="43"/>
      <c r="F2714" s="44" t="s">
        <v>26</v>
      </c>
      <c r="G2714" s="45" t="s">
        <v>22</v>
      </c>
      <c r="H2714" s="51">
        <f t="shared" si="42"/>
        <v>0</v>
      </c>
      <c r="I2714" s="47"/>
      <c r="J2714" s="48">
        <f>VLOOKUP(A2714,'[1]תקציב 2026'!$A$1:$M$65536,9,0)</f>
        <v>13160</v>
      </c>
      <c r="K2714" s="49">
        <v>13160</v>
      </c>
      <c r="L2714" s="50">
        <f>VLOOKUP(A2714,[2]data1761205830331!$A$1:$J$65536,10,0)</f>
        <v>5355.16</v>
      </c>
    </row>
    <row r="2715" spans="1:12" ht="15.6" outlineLevel="1">
      <c r="A2715" s="11">
        <v>1815750140</v>
      </c>
      <c r="B2715" s="40">
        <v>140</v>
      </c>
      <c r="C2715" s="109">
        <v>815750</v>
      </c>
      <c r="D2715" s="42">
        <v>1</v>
      </c>
      <c r="E2715" s="43"/>
      <c r="F2715" s="44" t="s">
        <v>27</v>
      </c>
      <c r="G2715" s="45" t="s">
        <v>22</v>
      </c>
      <c r="H2715" s="51">
        <f t="shared" si="42"/>
        <v>0</v>
      </c>
      <c r="I2715" s="47"/>
      <c r="J2715" s="48">
        <f>VLOOKUP(A2715,'[1]תקציב 2026'!$A$1:$M$65536,9,0)</f>
        <v>132700</v>
      </c>
      <c r="K2715" s="49">
        <f>VLOOKUP(A2715,[3]גיליון1!$A$1:$C$7693,3,0)</f>
        <v>132700</v>
      </c>
      <c r="L2715" s="50">
        <f>VLOOKUP(A2715,[2]data1761205830331!$A$1:$J$65536,10,0)</f>
        <v>173643.53</v>
      </c>
    </row>
    <row r="2716" spans="1:12" ht="15.6" outlineLevel="1">
      <c r="A2716" s="11">
        <v>1815750210</v>
      </c>
      <c r="B2716" s="40">
        <v>210</v>
      </c>
      <c r="C2716" s="109">
        <v>815750</v>
      </c>
      <c r="D2716" s="42">
        <v>1</v>
      </c>
      <c r="E2716" s="43"/>
      <c r="F2716" s="44" t="s">
        <v>1276</v>
      </c>
      <c r="G2716" s="45" t="s">
        <v>22</v>
      </c>
      <c r="H2716" s="51">
        <v>0</v>
      </c>
      <c r="I2716" s="47"/>
      <c r="J2716" s="48">
        <f>VLOOKUP(A2716,'[1]תקציב 2026'!$A$1:$M$65536,9,0)</f>
        <v>0</v>
      </c>
      <c r="K2716" s="49">
        <f>VLOOKUP(A2716,[3]גיליון1!$A$1:$C$7693,3,0)</f>
        <v>0</v>
      </c>
      <c r="L2716" s="50">
        <f>VLOOKUP(A2716,[2]data1761205830331!$A$1:$J$65536,10,0)</f>
        <v>4581.53</v>
      </c>
    </row>
    <row r="2717" spans="1:12" ht="15.6" outlineLevel="1">
      <c r="A2717" s="11">
        <v>1815750213</v>
      </c>
      <c r="B2717" s="40">
        <v>213</v>
      </c>
      <c r="C2717" s="109">
        <v>815750</v>
      </c>
      <c r="D2717" s="42">
        <v>1</v>
      </c>
      <c r="E2717" s="43"/>
      <c r="F2717" s="44" t="s">
        <v>385</v>
      </c>
      <c r="G2717" s="45" t="s">
        <v>22</v>
      </c>
      <c r="H2717" s="51">
        <v>0</v>
      </c>
      <c r="I2717" s="47"/>
      <c r="J2717" s="48">
        <f>VLOOKUP(A2717,'[1]תקציב 2026'!$A$1:$M$65536,9,0)</f>
        <v>0</v>
      </c>
      <c r="K2717" s="49">
        <f>VLOOKUP(A2717,[3]גיליון1!$A$1:$C$7693,3,0)</f>
        <v>0</v>
      </c>
      <c r="L2717" s="50">
        <f>VLOOKUP(A2717,[2]data1761205830331!$A$1:$J$65536,10,0)</f>
        <v>135614.81</v>
      </c>
    </row>
    <row r="2718" spans="1:12" ht="15.6" outlineLevel="1">
      <c r="A2718" s="11">
        <v>1815750216</v>
      </c>
      <c r="B2718" s="40">
        <v>216</v>
      </c>
      <c r="C2718" s="109">
        <v>815750</v>
      </c>
      <c r="D2718" s="42">
        <v>1</v>
      </c>
      <c r="E2718" s="43"/>
      <c r="F2718" s="44" t="s">
        <v>1506</v>
      </c>
      <c r="G2718" s="45" t="s">
        <v>22</v>
      </c>
      <c r="H2718" s="51">
        <f t="shared" si="42"/>
        <v>0</v>
      </c>
      <c r="I2718" s="47"/>
      <c r="J2718" s="48">
        <f>VLOOKUP(A2718,'[1]תקציב 2026'!$A$1:$M$65536,9,0)</f>
        <v>30000</v>
      </c>
      <c r="K2718" s="49">
        <f>VLOOKUP(A2718,[3]גיליון1!$A$1:$C$7693,3,0)</f>
        <v>30000</v>
      </c>
      <c r="L2718" s="50">
        <f>VLOOKUP(A2718,[2]data1761205830331!$A$1:$J$65536,10,0)</f>
        <v>13328.24</v>
      </c>
    </row>
    <row r="2719" spans="1:12" ht="15.6" outlineLevel="1">
      <c r="A2719" s="11">
        <v>1815750250</v>
      </c>
      <c r="B2719" s="40">
        <v>250</v>
      </c>
      <c r="C2719" s="109">
        <v>815750</v>
      </c>
      <c r="D2719" s="42">
        <v>1</v>
      </c>
      <c r="E2719" s="43"/>
      <c r="F2719" s="154" t="s">
        <v>1486</v>
      </c>
      <c r="G2719" s="45" t="s">
        <v>22</v>
      </c>
      <c r="H2719" s="51">
        <f t="shared" si="42"/>
        <v>-0.50073421439060206</v>
      </c>
      <c r="I2719" s="47"/>
      <c r="J2719" s="48">
        <f>VLOOKUP(A2719,'[1]תקציב 2026'!$A$1:$M$65536,9,0)</f>
        <v>170000</v>
      </c>
      <c r="K2719" s="49">
        <f>VLOOKUP(A2719,[3]גיליון1!$A$1:$C$7693,3,0)</f>
        <v>340500</v>
      </c>
      <c r="L2719" s="50">
        <f>VLOOKUP(A2719,[2]data1761205830331!$A$1:$J$65536,10,0)</f>
        <v>279019.53999999998</v>
      </c>
    </row>
    <row r="2720" spans="1:12" ht="15.6" outlineLevel="1">
      <c r="A2720" s="11">
        <v>1815750420</v>
      </c>
      <c r="B2720" s="40">
        <v>420</v>
      </c>
      <c r="C2720" s="109">
        <v>815750</v>
      </c>
      <c r="D2720" s="42">
        <v>1</v>
      </c>
      <c r="E2720" s="43"/>
      <c r="F2720" s="44" t="s">
        <v>30</v>
      </c>
      <c r="G2720" s="45" t="s">
        <v>29</v>
      </c>
      <c r="H2720" s="51">
        <f t="shared" si="42"/>
        <v>0.11111111111111116</v>
      </c>
      <c r="I2720" s="47"/>
      <c r="J2720" s="48">
        <f>VLOOKUP(A2720,'[1]תקציב 2026'!$A$1:$M$65536,9,0)</f>
        <v>9000</v>
      </c>
      <c r="K2720" s="49">
        <f>VLOOKUP(A2720,[3]גיליון1!$A$1:$C$7693,3,0)*0.9</f>
        <v>8100</v>
      </c>
      <c r="L2720" s="50">
        <f>VLOOKUP(A2720,[2]data1761205830331!$A$1:$J$65536,10,0)</f>
        <v>9536.39</v>
      </c>
    </row>
    <row r="2721" spans="1:12" ht="15.6" outlineLevel="1">
      <c r="A2721" s="11">
        <v>1815750423</v>
      </c>
      <c r="B2721" s="40">
        <v>423</v>
      </c>
      <c r="C2721" s="109">
        <v>815750</v>
      </c>
      <c r="D2721" s="42">
        <v>1</v>
      </c>
      <c r="E2721" s="43"/>
      <c r="F2721" s="44" t="s">
        <v>31</v>
      </c>
      <c r="G2721" s="45" t="s">
        <v>29</v>
      </c>
      <c r="H2721" s="51">
        <f t="shared" si="42"/>
        <v>0.23529411764705888</v>
      </c>
      <c r="I2721" s="47"/>
      <c r="J2721" s="48">
        <f>VLOOKUP(A2721,'[1]תקציב 2026'!$A$1:$M$65536,9,0)</f>
        <v>42000</v>
      </c>
      <c r="K2721" s="49">
        <v>34000</v>
      </c>
      <c r="L2721" s="50">
        <f>VLOOKUP(A2721,[2]data1761205830331!$A$1:$J$65536,10,0)</f>
        <v>30700</v>
      </c>
    </row>
    <row r="2722" spans="1:12" ht="15.6" outlineLevel="1">
      <c r="A2722" s="11">
        <v>1815750431</v>
      </c>
      <c r="B2722" s="40">
        <v>431</v>
      </c>
      <c r="C2722" s="109">
        <v>815750</v>
      </c>
      <c r="D2722" s="42">
        <v>1</v>
      </c>
      <c r="E2722" s="43"/>
      <c r="F2722" s="44" t="s">
        <v>32</v>
      </c>
      <c r="G2722" s="45" t="s">
        <v>29</v>
      </c>
      <c r="H2722" s="51">
        <f t="shared" si="42"/>
        <v>0</v>
      </c>
      <c r="I2722" s="47"/>
      <c r="J2722" s="48">
        <f>VLOOKUP(A2722,'[1]תקציב 2026'!$A$1:$M$65536,9,0)</f>
        <v>247100</v>
      </c>
      <c r="K2722" s="49">
        <v>247100</v>
      </c>
      <c r="L2722" s="50">
        <f>VLOOKUP(A2722,[2]data1761205830331!$A$1:$J$65536,10,0)</f>
        <v>228125</v>
      </c>
    </row>
    <row r="2723" spans="1:12" ht="15.6" outlineLevel="1">
      <c r="A2723" s="11">
        <v>1815750432</v>
      </c>
      <c r="B2723" s="40">
        <v>432</v>
      </c>
      <c r="C2723" s="109">
        <v>815750</v>
      </c>
      <c r="D2723" s="42">
        <v>1</v>
      </c>
      <c r="E2723" s="43"/>
      <c r="F2723" s="44" t="s">
        <v>33</v>
      </c>
      <c r="G2723" s="45" t="s">
        <v>29</v>
      </c>
      <c r="H2723" s="51">
        <f t="shared" si="42"/>
        <v>-5.1282051282051322E-2</v>
      </c>
      <c r="I2723" s="47"/>
      <c r="J2723" s="48">
        <f>VLOOKUP(A2723,'[1]תקציב 2026'!$A$1:$M$65536,9,0)</f>
        <v>37000</v>
      </c>
      <c r="K2723" s="49">
        <v>39000</v>
      </c>
      <c r="L2723" s="50">
        <f>VLOOKUP(A2723,[2]data1761205830331!$A$1:$J$65536,10,0)</f>
        <v>36377</v>
      </c>
    </row>
    <row r="2724" spans="1:12" ht="15.6" outlineLevel="1">
      <c r="A2724" s="11">
        <v>1815750437</v>
      </c>
      <c r="B2724" s="40">
        <v>437</v>
      </c>
      <c r="C2724" s="109">
        <v>815750</v>
      </c>
      <c r="D2724" s="42">
        <v>1</v>
      </c>
      <c r="E2724" s="43"/>
      <c r="F2724" s="44" t="s">
        <v>38</v>
      </c>
      <c r="G2724" s="45" t="s">
        <v>29</v>
      </c>
      <c r="H2724" s="51">
        <f t="shared" si="42"/>
        <v>0</v>
      </c>
      <c r="I2724" s="47"/>
      <c r="J2724" s="48">
        <f>VLOOKUP(A2724,'[1]תקציב 2026'!$A$1:$M$65536,9,0)</f>
        <v>3800</v>
      </c>
      <c r="K2724" s="49">
        <f>VLOOKUP(A2724,[3]גיליון1!$A$1:$C$7693,3,0)</f>
        <v>3800</v>
      </c>
      <c r="L2724" s="50">
        <f>VLOOKUP(A2724,[2]data1761205830331!$A$1:$J$65536,10,0)</f>
        <v>3664.45</v>
      </c>
    </row>
    <row r="2725" spans="1:12" ht="15.6" outlineLevel="1">
      <c r="A2725" s="11">
        <v>1815750450</v>
      </c>
      <c r="B2725" s="40">
        <v>450</v>
      </c>
      <c r="C2725" s="109">
        <v>815750</v>
      </c>
      <c r="D2725" s="42">
        <v>1</v>
      </c>
      <c r="E2725" s="43"/>
      <c r="F2725" s="44" t="s">
        <v>1487</v>
      </c>
      <c r="G2725" s="45" t="s">
        <v>37</v>
      </c>
      <c r="H2725" s="51">
        <f t="shared" si="42"/>
        <v>5.2910052910053018E-2</v>
      </c>
      <c r="I2725" s="47"/>
      <c r="J2725" s="48">
        <f>VLOOKUP(A2725,'[1]תקציב 2026'!$A$1:$M$65536,9,0)</f>
        <v>19900</v>
      </c>
      <c r="K2725" s="49">
        <f>VLOOKUP(A2725,[3]גיליון1!$A$1:$C$7693,3,0)*0.9</f>
        <v>18900</v>
      </c>
      <c r="L2725" s="50">
        <f>VLOOKUP(A2725,[2]data1761205830331!$A$1:$J$65536,10,0)</f>
        <v>17698</v>
      </c>
    </row>
    <row r="2726" spans="1:12" ht="15.6" outlineLevel="1">
      <c r="A2726" s="11">
        <v>1815750451</v>
      </c>
      <c r="B2726" s="40">
        <v>451</v>
      </c>
      <c r="C2726" s="109">
        <v>815750</v>
      </c>
      <c r="D2726" s="42">
        <v>1</v>
      </c>
      <c r="E2726" s="43"/>
      <c r="F2726" s="44" t="s">
        <v>1384</v>
      </c>
      <c r="G2726" s="45" t="s">
        <v>29</v>
      </c>
      <c r="H2726" s="51">
        <f t="shared" si="42"/>
        <v>0</v>
      </c>
      <c r="I2726" s="47"/>
      <c r="J2726" s="48">
        <f>VLOOKUP(A2726,'[1]תקציב 2026'!$A$1:$M$65536,9,0)</f>
        <v>200000</v>
      </c>
      <c r="K2726" s="49">
        <v>200000</v>
      </c>
      <c r="L2726" s="50">
        <f>VLOOKUP(A2726,[2]data1761205830331!$A$1:$J$65536,10,0)</f>
        <v>0</v>
      </c>
    </row>
    <row r="2727" spans="1:12" ht="15.6" outlineLevel="1">
      <c r="A2727" s="11">
        <v>1815750452</v>
      </c>
      <c r="B2727" s="40">
        <v>452</v>
      </c>
      <c r="C2727" s="109">
        <v>815750</v>
      </c>
      <c r="D2727" s="42">
        <v>1</v>
      </c>
      <c r="E2727" s="43"/>
      <c r="F2727" s="44" t="s">
        <v>381</v>
      </c>
      <c r="G2727" s="45" t="s">
        <v>29</v>
      </c>
      <c r="H2727" s="51">
        <f t="shared" si="42"/>
        <v>-4.1533546325878579E-2</v>
      </c>
      <c r="I2727" s="47"/>
      <c r="J2727" s="48">
        <f>VLOOKUP(A2727,'[1]תקציב 2026'!$A$1:$M$65536,9,0)</f>
        <v>300000</v>
      </c>
      <c r="K2727" s="49">
        <v>313000</v>
      </c>
      <c r="L2727" s="50">
        <f>VLOOKUP(A2727,[2]data1761205830331!$A$1:$J$65536,10,0)</f>
        <v>0</v>
      </c>
    </row>
    <row r="2728" spans="1:12" ht="15.6" outlineLevel="1">
      <c r="A2728" s="11">
        <v>1815750511</v>
      </c>
      <c r="B2728" s="40">
        <v>511</v>
      </c>
      <c r="C2728" s="109">
        <v>815750</v>
      </c>
      <c r="D2728" s="42">
        <v>1</v>
      </c>
      <c r="E2728" s="43"/>
      <c r="F2728" s="44" t="s">
        <v>72</v>
      </c>
      <c r="G2728" s="45" t="s">
        <v>37</v>
      </c>
      <c r="H2728" s="51">
        <f t="shared" si="42"/>
        <v>0.15740740740740744</v>
      </c>
      <c r="I2728" s="47"/>
      <c r="J2728" s="48">
        <f>VLOOKUP(A2728,'[1]תקציב 2026'!$A$1:$M$65536,9,0)</f>
        <v>20000</v>
      </c>
      <c r="K2728" s="49">
        <f>19200*0.9</f>
        <v>17280</v>
      </c>
      <c r="L2728" s="50">
        <f>VLOOKUP(A2728,[2]data1761205830331!$A$1:$J$65536,10,0)</f>
        <v>19503.900000000001</v>
      </c>
    </row>
    <row r="2729" spans="1:12" ht="15.6" outlineLevel="1">
      <c r="A2729" s="11">
        <v>1815750742</v>
      </c>
      <c r="B2729" s="40">
        <v>742</v>
      </c>
      <c r="C2729" s="109">
        <v>815750</v>
      </c>
      <c r="D2729" s="42">
        <v>1</v>
      </c>
      <c r="E2729" s="43"/>
      <c r="F2729" s="44" t="s">
        <v>52</v>
      </c>
      <c r="G2729" s="45" t="s">
        <v>37</v>
      </c>
      <c r="H2729" s="51">
        <f t="shared" si="42"/>
        <v>0.26079447322970628</v>
      </c>
      <c r="I2729" s="47"/>
      <c r="J2729" s="48">
        <f>VLOOKUP(A2729,'[1]תקציב 2026'!$A$1:$M$65536,9,0)</f>
        <v>65700</v>
      </c>
      <c r="K2729" s="49">
        <f>VLOOKUP(A2729,[3]גיליון1!$A$1:$C$7693,3,0)*0.9</f>
        <v>52110</v>
      </c>
      <c r="L2729" s="50">
        <f>VLOOKUP(A2729,[2]data1761205830331!$A$1:$J$65536,10,0)</f>
        <v>53020</v>
      </c>
    </row>
    <row r="2730" spans="1:12" ht="15.6" outlineLevel="1">
      <c r="A2730" s="11">
        <v>1815750750</v>
      </c>
      <c r="B2730" s="40">
        <v>750</v>
      </c>
      <c r="C2730" s="109">
        <v>815750</v>
      </c>
      <c r="D2730" s="42">
        <v>1</v>
      </c>
      <c r="E2730" s="43"/>
      <c r="F2730" s="44" t="s">
        <v>1351</v>
      </c>
      <c r="G2730" s="45" t="s">
        <v>29</v>
      </c>
      <c r="H2730" s="51">
        <f t="shared" si="42"/>
        <v>1.5479876160990669E-2</v>
      </c>
      <c r="I2730" s="47"/>
      <c r="J2730" s="48">
        <f>VLOOKUP(A2730,'[1]תקציב 2026'!$A$1:$M$65536,9,0)</f>
        <v>656000</v>
      </c>
      <c r="K2730" s="49">
        <v>646000</v>
      </c>
      <c r="L2730" s="50">
        <f>VLOOKUP(A2730,[2]data1761205830331!$A$1:$J$65536,10,0)</f>
        <v>527521</v>
      </c>
    </row>
    <row r="2731" spans="1:12" ht="15.6" outlineLevel="1">
      <c r="A2731" s="11">
        <v>1815750751</v>
      </c>
      <c r="B2731" s="40">
        <v>751</v>
      </c>
      <c r="C2731" s="109">
        <v>815750</v>
      </c>
      <c r="D2731" s="42">
        <v>1</v>
      </c>
      <c r="E2731" s="43"/>
      <c r="F2731" s="44" t="s">
        <v>53</v>
      </c>
      <c r="G2731" s="45" t="s">
        <v>29</v>
      </c>
      <c r="H2731" s="51">
        <v>0</v>
      </c>
      <c r="I2731" s="47"/>
      <c r="J2731" s="48">
        <f>VLOOKUP(A2731,'[1]תקציב 2026'!$A$1:$M$65536,9,0)</f>
        <v>0</v>
      </c>
      <c r="K2731" s="49">
        <v>0</v>
      </c>
      <c r="L2731" s="50">
        <f>VLOOKUP(A2731,[2]data1761205830331!$A$1:$J$65536,10,0)</f>
        <v>9061</v>
      </c>
    </row>
    <row r="2732" spans="1:12" ht="15.6" outlineLevel="1">
      <c r="A2732" s="11">
        <v>1815750752</v>
      </c>
      <c r="B2732" s="40">
        <v>752</v>
      </c>
      <c r="C2732" s="109">
        <v>815750</v>
      </c>
      <c r="D2732" s="42">
        <v>1</v>
      </c>
      <c r="E2732" s="43"/>
      <c r="F2732" s="44" t="s">
        <v>54</v>
      </c>
      <c r="G2732" s="45" t="s">
        <v>29</v>
      </c>
      <c r="H2732" s="51">
        <f t="shared" si="42"/>
        <v>-5.8942113852356703E-2</v>
      </c>
      <c r="I2732" s="47"/>
      <c r="J2732" s="48">
        <f>VLOOKUP(A2732,'[1]תקציב 2026'!$A$1:$M$65536,9,0)</f>
        <v>980300</v>
      </c>
      <c r="K2732" s="49">
        <v>1041700</v>
      </c>
      <c r="L2732" s="50">
        <f>VLOOKUP(A2732,[2]data1761205830331!$A$1:$J$65536,10,0)</f>
        <v>838199.49</v>
      </c>
    </row>
    <row r="2733" spans="1:12" ht="15.6" outlineLevel="1">
      <c r="A2733" s="11">
        <v>1815750759</v>
      </c>
      <c r="B2733" s="40">
        <v>759</v>
      </c>
      <c r="C2733" s="109">
        <v>815750</v>
      </c>
      <c r="D2733" s="42">
        <v>1</v>
      </c>
      <c r="E2733" s="43"/>
      <c r="F2733" s="44" t="s">
        <v>1332</v>
      </c>
      <c r="G2733" s="45" t="s">
        <v>22</v>
      </c>
      <c r="H2733" s="51">
        <f t="shared" si="42"/>
        <v>7.2824956672443708E-2</v>
      </c>
      <c r="I2733" s="47"/>
      <c r="J2733" s="48">
        <f>VLOOKUP(A2733,'[1]תקציב 2026'!$A$1:$M$65536,9,0)</f>
        <v>3095100</v>
      </c>
      <c r="K2733" s="49">
        <v>2885000</v>
      </c>
      <c r="L2733" s="50">
        <f>VLOOKUP(A2733,[2]data1761205830331!$A$1:$J$65536,10,0)</f>
        <v>2495858.69</v>
      </c>
    </row>
    <row r="2734" spans="1:12" ht="15.6" outlineLevel="1">
      <c r="A2734" s="11">
        <v>1815750762</v>
      </c>
      <c r="B2734" s="40">
        <v>762</v>
      </c>
      <c r="C2734" s="109">
        <v>815750</v>
      </c>
      <c r="D2734" s="42">
        <v>1</v>
      </c>
      <c r="E2734" s="43"/>
      <c r="F2734" s="44" t="s">
        <v>1496</v>
      </c>
      <c r="G2734" s="45" t="s">
        <v>22</v>
      </c>
      <c r="H2734" s="51">
        <f t="shared" si="42"/>
        <v>0.5514809590973202</v>
      </c>
      <c r="I2734" s="47"/>
      <c r="J2734" s="48">
        <f>VLOOKUP(A2734,'[1]תקציב 2026'!$A$1:$M$65536,9,0)</f>
        <v>660000</v>
      </c>
      <c r="K2734" s="49">
        <f>VLOOKUP(A2734,[3]גיליון1!$A$1:$C$7693,3,0)</f>
        <v>425400</v>
      </c>
      <c r="L2734" s="50">
        <f>VLOOKUP(A2734,[2]data1761205830331!$A$1:$J$65536,10,0)</f>
        <v>498653.27</v>
      </c>
    </row>
    <row r="2735" spans="1:12" ht="15.6" outlineLevel="1">
      <c r="A2735" s="11">
        <v>1815750780</v>
      </c>
      <c r="B2735" s="40">
        <v>780</v>
      </c>
      <c r="C2735" s="109">
        <v>815750</v>
      </c>
      <c r="D2735" s="42">
        <v>1</v>
      </c>
      <c r="E2735" s="43"/>
      <c r="F2735" s="44" t="s">
        <v>1489</v>
      </c>
      <c r="G2735" s="45" t="s">
        <v>29</v>
      </c>
      <c r="H2735" s="51">
        <f t="shared" si="42"/>
        <v>-3.5087719298245612E-2</v>
      </c>
      <c r="I2735" s="47"/>
      <c r="J2735" s="48">
        <f>VLOOKUP(A2735,'[1]תקציב 2026'!$A$1:$M$65536,9,0)</f>
        <v>22000</v>
      </c>
      <c r="K2735" s="49">
        <v>22800</v>
      </c>
      <c r="L2735" s="50">
        <f>VLOOKUP(A2735,[2]data1761205830331!$A$1:$J$65536,10,0)</f>
        <v>21556</v>
      </c>
    </row>
    <row r="2736" spans="1:12" ht="15.6" outlineLevel="1">
      <c r="A2736" s="11">
        <v>1815750794</v>
      </c>
      <c r="B2736" s="40">
        <v>794</v>
      </c>
      <c r="C2736" s="109">
        <v>815750</v>
      </c>
      <c r="D2736" s="42">
        <v>1</v>
      </c>
      <c r="E2736" s="43"/>
      <c r="F2736" s="44" t="s">
        <v>58</v>
      </c>
      <c r="G2736" s="45" t="s">
        <v>29</v>
      </c>
      <c r="H2736" s="51">
        <f t="shared" si="42"/>
        <v>0.10588235294117654</v>
      </c>
      <c r="I2736" s="47"/>
      <c r="J2736" s="48">
        <f>VLOOKUP(A2736,'[1]תקציב 2026'!$A$1:$M$65536,9,0)</f>
        <v>9400</v>
      </c>
      <c r="K2736" s="49">
        <v>8500</v>
      </c>
      <c r="L2736" s="50">
        <f>VLOOKUP(A2736,[2]data1761205830331!$A$1:$J$65536,10,0)</f>
        <v>19920</v>
      </c>
    </row>
    <row r="2737" spans="1:12" ht="15.6" outlineLevel="1">
      <c r="A2737" s="11">
        <v>1815750810</v>
      </c>
      <c r="B2737" s="40">
        <v>810</v>
      </c>
      <c r="C2737" s="109">
        <v>815750</v>
      </c>
      <c r="D2737" s="42">
        <v>1</v>
      </c>
      <c r="E2737" s="43"/>
      <c r="F2737" s="44" t="s">
        <v>1490</v>
      </c>
      <c r="G2737" s="45" t="s">
        <v>29</v>
      </c>
      <c r="H2737" s="51">
        <f t="shared" si="42"/>
        <v>-1</v>
      </c>
      <c r="I2737" s="47"/>
      <c r="J2737" s="48">
        <f>VLOOKUP(A2737,'[1]תקציב 2026'!$A$1:$M$65536,9,0)</f>
        <v>0</v>
      </c>
      <c r="K2737" s="49">
        <f>102200*0.9</f>
        <v>91980</v>
      </c>
      <c r="L2737" s="50">
        <f>VLOOKUP(A2737,[2]data1761205830331!$A$1:$J$65536,10,0)</f>
        <v>0</v>
      </c>
    </row>
    <row r="2738" spans="1:12" ht="15.6" outlineLevel="1">
      <c r="A2738" s="11">
        <v>1815750811</v>
      </c>
      <c r="B2738" s="40">
        <v>811</v>
      </c>
      <c r="C2738" s="109">
        <v>815750</v>
      </c>
      <c r="D2738" s="42">
        <v>1</v>
      </c>
      <c r="E2738" s="43"/>
      <c r="F2738" s="44" t="s">
        <v>1507</v>
      </c>
      <c r="G2738" s="45" t="s">
        <v>29</v>
      </c>
      <c r="H2738" s="51">
        <f t="shared" si="42"/>
        <v>0.11111111111111116</v>
      </c>
      <c r="I2738" s="47"/>
      <c r="J2738" s="48">
        <f>VLOOKUP(A2738,'[1]תקציב 2026'!$A$1:$M$65536,9,0)</f>
        <v>250000</v>
      </c>
      <c r="K2738" s="49">
        <f>VLOOKUP(A2738,[3]גיליון1!$A$1:$C$7693,3,0)*0.9</f>
        <v>225000</v>
      </c>
      <c r="L2738" s="50">
        <f>VLOOKUP(A2738,[2]data1761205830331!$A$1:$J$65536,10,0)</f>
        <v>244482.2</v>
      </c>
    </row>
    <row r="2739" spans="1:12" ht="15.6" outlineLevel="1">
      <c r="A2739" s="11">
        <v>1815750812</v>
      </c>
      <c r="B2739" s="40">
        <v>812</v>
      </c>
      <c r="C2739" s="109">
        <v>815750</v>
      </c>
      <c r="D2739" s="42">
        <v>1</v>
      </c>
      <c r="E2739" s="43"/>
      <c r="F2739" s="44" t="s">
        <v>296</v>
      </c>
      <c r="G2739" s="45" t="s">
        <v>29</v>
      </c>
      <c r="H2739" s="51">
        <f t="shared" si="42"/>
        <v>0.59111111111111114</v>
      </c>
      <c r="I2739" s="47"/>
      <c r="J2739" s="48">
        <f>VLOOKUP(A2739,'[1]תקציב 2026'!$A$1:$M$65536,9,0)</f>
        <v>35800</v>
      </c>
      <c r="K2739" s="49">
        <f>VLOOKUP(A2739,[3]גיליון1!$A$1:$C$7693,3,0)*0.9</f>
        <v>22500</v>
      </c>
      <c r="L2739" s="50">
        <f>VLOOKUP(A2739,[2]data1761205830331!$A$1:$J$65536,10,0)</f>
        <v>24706</v>
      </c>
    </row>
    <row r="2740" spans="1:12" ht="15.6" outlineLevel="1">
      <c r="A2740" s="11">
        <v>1815750953</v>
      </c>
      <c r="B2740" s="40">
        <v>953</v>
      </c>
      <c r="C2740" s="109">
        <v>815750</v>
      </c>
      <c r="D2740" s="42">
        <v>1</v>
      </c>
      <c r="E2740" s="43"/>
      <c r="F2740" s="44" t="s">
        <v>277</v>
      </c>
      <c r="G2740" s="45" t="s">
        <v>29</v>
      </c>
      <c r="H2740" s="51">
        <f t="shared" si="42"/>
        <v>-9.5846645367412275E-3</v>
      </c>
      <c r="I2740" s="47"/>
      <c r="J2740" s="48">
        <f>VLOOKUP(A2740,'[1]תקציב 2026'!$A$1:$M$65536,9,0)</f>
        <v>1240000</v>
      </c>
      <c r="K2740" s="49">
        <v>1252000</v>
      </c>
      <c r="L2740" s="50">
        <f>VLOOKUP(A2740,[2]data1761205830331!$A$1:$J$65536,10,0)</f>
        <v>1459166.03</v>
      </c>
    </row>
    <row r="2741" spans="1:12" ht="16.2" outlineLevel="1" thickBot="1">
      <c r="A2741" s="11">
        <v>1815750989</v>
      </c>
      <c r="B2741" s="40">
        <v>989</v>
      </c>
      <c r="C2741" s="109">
        <v>815750</v>
      </c>
      <c r="D2741" s="42">
        <v>1</v>
      </c>
      <c r="E2741" s="43"/>
      <c r="F2741" s="44" t="s">
        <v>1491</v>
      </c>
      <c r="G2741" s="45" t="s">
        <v>29</v>
      </c>
      <c r="H2741" s="51">
        <f t="shared" si="42"/>
        <v>-1.9039488373737701E-2</v>
      </c>
      <c r="I2741" s="47"/>
      <c r="J2741" s="48">
        <f>VLOOKUP(A2741,'[1]תקציב 2026'!$A$1:$M$65536,9,0)</f>
        <v>1941880</v>
      </c>
      <c r="K2741" s="49">
        <v>1979570</v>
      </c>
      <c r="L2741" s="50">
        <f>VLOOKUP(A2741,[2]data1761205830331!$A$1:$J$65536,10,0)</f>
        <v>1801468</v>
      </c>
    </row>
    <row r="2742" spans="1:12" ht="16.2" thickBot="1">
      <c r="A2742" s="11" t="e">
        <v>#VALUE!</v>
      </c>
      <c r="B2742" s="53" t="s">
        <v>1508</v>
      </c>
      <c r="C2742" s="223"/>
      <c r="D2742" s="55"/>
      <c r="E2742" s="56"/>
      <c r="F2742" s="116" t="s">
        <v>1505</v>
      </c>
      <c r="G2742" s="58"/>
      <c r="H2742" s="166">
        <f>J2742/K2742-1</f>
        <v>-1.9040157381249201E-2</v>
      </c>
      <c r="I2742" s="72"/>
      <c r="J2742" s="74">
        <f>SUBTOTAL(9,J2709:J2741)</f>
        <v>34306520</v>
      </c>
      <c r="K2742" s="92">
        <f>SUBTOTAL(9,K2709:K2741)</f>
        <v>34972400</v>
      </c>
      <c r="L2742" s="75">
        <f>SUBTOTAL(9,L2709:L2741)</f>
        <v>32978031.25999999</v>
      </c>
    </row>
    <row r="2743" spans="1:12" ht="15.6" outlineLevel="1">
      <c r="A2743" s="11">
        <v>18157600</v>
      </c>
      <c r="B2743" s="40">
        <v>0</v>
      </c>
      <c r="C2743" s="109">
        <v>815760</v>
      </c>
      <c r="D2743" s="42">
        <v>1</v>
      </c>
      <c r="E2743" s="43"/>
      <c r="F2743" s="44" t="s">
        <v>1509</v>
      </c>
      <c r="G2743" s="45" t="s">
        <v>15</v>
      </c>
      <c r="H2743" s="51"/>
      <c r="I2743" s="47"/>
      <c r="J2743" s="48"/>
      <c r="K2743" s="49"/>
      <c r="L2743" s="50"/>
    </row>
    <row r="2744" spans="1:12" ht="15.6" outlineLevel="1">
      <c r="A2744" s="11">
        <v>1815760110</v>
      </c>
      <c r="B2744" s="40">
        <v>110</v>
      </c>
      <c r="C2744" s="109">
        <v>815760</v>
      </c>
      <c r="D2744" s="42">
        <v>1</v>
      </c>
      <c r="E2744" s="43"/>
      <c r="F2744" s="44" t="s">
        <v>21</v>
      </c>
      <c r="G2744" s="45" t="s">
        <v>22</v>
      </c>
      <c r="H2744" s="51">
        <f t="shared" ref="H2744:H2805" si="43">J2744/K2744-1</f>
        <v>2.4999999999999911E-2</v>
      </c>
      <c r="I2744" s="47"/>
      <c r="J2744" s="48">
        <f>VLOOKUP(A2744,'[1]תקציב 2026'!$A$1:$M$65536,9,0)</f>
        <v>374329.99999999994</v>
      </c>
      <c r="K2744" s="49">
        <v>365200</v>
      </c>
      <c r="L2744" s="50">
        <f>VLOOKUP(A2744,[2]data1761205830331!$A$1:$J$65536,10,0)</f>
        <v>370592.44</v>
      </c>
    </row>
    <row r="2745" spans="1:12" ht="15.6" outlineLevel="1">
      <c r="A2745" s="11">
        <v>1815760118</v>
      </c>
      <c r="B2745" s="40">
        <v>118</v>
      </c>
      <c r="C2745" s="109">
        <v>815760</v>
      </c>
      <c r="D2745" s="42">
        <v>1</v>
      </c>
      <c r="E2745" s="43"/>
      <c r="F2745" s="44" t="s">
        <v>1483</v>
      </c>
      <c r="G2745" s="45" t="s">
        <v>22</v>
      </c>
      <c r="H2745" s="51">
        <f t="shared" si="43"/>
        <v>0.40795402599098796</v>
      </c>
      <c r="I2745" s="47"/>
      <c r="J2745" s="48">
        <f>VLOOKUP(A2745,'[1]תקציב 2026'!$A$1:$M$65536,9,0)</f>
        <v>4312000</v>
      </c>
      <c r="K2745" s="49">
        <f>VLOOKUP(A2745,[3]גיליון1!$A$1:$C$7693,3,0)</f>
        <v>3062600</v>
      </c>
      <c r="L2745" s="50">
        <f>VLOOKUP(A2745,[2]data1761205830331!$A$1:$J$65536,10,0)</f>
        <v>4698077.4800000004</v>
      </c>
    </row>
    <row r="2746" spans="1:12" ht="15.6" outlineLevel="1">
      <c r="A2746" s="11">
        <v>1815760119</v>
      </c>
      <c r="B2746" s="40">
        <v>119</v>
      </c>
      <c r="C2746" s="109">
        <v>815760</v>
      </c>
      <c r="D2746" s="42">
        <v>1</v>
      </c>
      <c r="E2746" s="43"/>
      <c r="F2746" s="44" t="s">
        <v>23</v>
      </c>
      <c r="G2746" s="45" t="s">
        <v>22</v>
      </c>
      <c r="H2746" s="51">
        <f t="shared" si="43"/>
        <v>5.6736438679245049E-2</v>
      </c>
      <c r="I2746" s="47"/>
      <c r="J2746" s="48">
        <f>VLOOKUP(A2746,'[1]תקציב 2026'!$A$1:$M$65536,9,0)</f>
        <v>716889.99999999988</v>
      </c>
      <c r="K2746" s="49">
        <v>678400</v>
      </c>
      <c r="L2746" s="50">
        <f>VLOOKUP(A2746,[2]data1761205830331!$A$1:$J$65536,10,0)</f>
        <v>714749.98</v>
      </c>
    </row>
    <row r="2747" spans="1:12" ht="15.6" outlineLevel="1">
      <c r="A2747" s="11">
        <v>1815760122</v>
      </c>
      <c r="B2747" s="40">
        <v>122</v>
      </c>
      <c r="C2747" s="109">
        <v>815760</v>
      </c>
      <c r="D2747" s="42">
        <v>1</v>
      </c>
      <c r="E2747" s="43"/>
      <c r="F2747" s="44" t="s">
        <v>24</v>
      </c>
      <c r="G2747" s="45" t="s">
        <v>22</v>
      </c>
      <c r="H2747" s="51">
        <f t="shared" si="43"/>
        <v>1.7857142857136132E-4</v>
      </c>
      <c r="I2747" s="47"/>
      <c r="J2747" s="48">
        <v>56010</v>
      </c>
      <c r="K2747" s="49">
        <f>VLOOKUP(A2747,[3]גיליון1!$A$1:$C$7693,3,0)</f>
        <v>56000</v>
      </c>
      <c r="L2747" s="50">
        <f>VLOOKUP(A2747,[2]data1761205830331!$A$1:$J$65536,10,0)</f>
        <v>54560.69</v>
      </c>
    </row>
    <row r="2748" spans="1:12" ht="15.6" outlineLevel="1">
      <c r="A2748" s="11">
        <v>1815760126</v>
      </c>
      <c r="B2748" s="40">
        <v>126</v>
      </c>
      <c r="C2748" s="109">
        <v>815760</v>
      </c>
      <c r="D2748" s="42">
        <v>1</v>
      </c>
      <c r="E2748" s="43"/>
      <c r="F2748" s="44" t="s">
        <v>25</v>
      </c>
      <c r="G2748" s="45" t="s">
        <v>22</v>
      </c>
      <c r="H2748" s="51">
        <f t="shared" si="43"/>
        <v>2.3809523809514843E-4</v>
      </c>
      <c r="I2748" s="47"/>
      <c r="J2748" s="48">
        <v>126030</v>
      </c>
      <c r="K2748" s="49">
        <f>VLOOKUP(A2748,[3]גיליון1!$A$1:$C$7693,3,0)</f>
        <v>126000</v>
      </c>
      <c r="L2748" s="50">
        <f>VLOOKUP(A2748,[2]data1761205830331!$A$1:$J$65536,10,0)</f>
        <v>125385.26</v>
      </c>
    </row>
    <row r="2749" spans="1:12" ht="15.6" outlineLevel="1">
      <c r="A2749" s="11">
        <v>1815760130</v>
      </c>
      <c r="B2749" s="40">
        <v>130</v>
      </c>
      <c r="C2749" s="109">
        <v>815760</v>
      </c>
      <c r="D2749" s="42">
        <v>1</v>
      </c>
      <c r="E2749" s="43"/>
      <c r="F2749" s="44" t="s">
        <v>26</v>
      </c>
      <c r="G2749" s="45" t="s">
        <v>22</v>
      </c>
      <c r="H2749" s="51">
        <f t="shared" si="43"/>
        <v>0</v>
      </c>
      <c r="I2749" s="47"/>
      <c r="J2749" s="48">
        <f>VLOOKUP(A2749,'[1]תקציב 2026'!$A$1:$M$65536,9,0)</f>
        <v>23900</v>
      </c>
      <c r="K2749" s="49">
        <v>23900</v>
      </c>
      <c r="L2749" s="50">
        <f>VLOOKUP(A2749,[2]data1761205830331!$A$1:$J$65536,10,0)</f>
        <v>61615.9</v>
      </c>
    </row>
    <row r="2750" spans="1:12" ht="15.6" outlineLevel="1">
      <c r="A2750" s="11">
        <v>1815760140</v>
      </c>
      <c r="B2750" s="40">
        <v>140</v>
      </c>
      <c r="C2750" s="109">
        <v>815760</v>
      </c>
      <c r="D2750" s="42">
        <v>1</v>
      </c>
      <c r="E2750" s="43"/>
      <c r="F2750" s="44" t="s">
        <v>27</v>
      </c>
      <c r="G2750" s="45" t="s">
        <v>22</v>
      </c>
      <c r="H2750" s="51">
        <f t="shared" si="43"/>
        <v>0</v>
      </c>
      <c r="I2750" s="47"/>
      <c r="J2750" s="48">
        <f>VLOOKUP(A2750,'[1]תקציב 2026'!$A$1:$M$65536,9,0)</f>
        <v>95900</v>
      </c>
      <c r="K2750" s="49">
        <f>VLOOKUP(A2750,[3]גיליון1!$A$1:$C$7693,3,0)</f>
        <v>95900</v>
      </c>
      <c r="L2750" s="50">
        <f>VLOOKUP(A2750,[2]data1761205830331!$A$1:$J$65536,10,0)</f>
        <v>111366.28</v>
      </c>
    </row>
    <row r="2751" spans="1:12" ht="15.6" outlineLevel="1">
      <c r="A2751" s="11">
        <v>1815760250</v>
      </c>
      <c r="B2751" s="40">
        <v>250</v>
      </c>
      <c r="C2751" s="109">
        <v>815760</v>
      </c>
      <c r="D2751" s="42">
        <v>1</v>
      </c>
      <c r="E2751" s="43"/>
      <c r="F2751" s="154" t="s">
        <v>1486</v>
      </c>
      <c r="G2751" s="45" t="s">
        <v>22</v>
      </c>
      <c r="H2751" s="51">
        <f t="shared" si="43"/>
        <v>-0.81678270428728472</v>
      </c>
      <c r="I2751" s="47"/>
      <c r="J2751" s="48">
        <f>VLOOKUP(A2751,'[1]תקציב 2026'!$A$1:$M$65536,9,0)</f>
        <v>50000</v>
      </c>
      <c r="K2751" s="49">
        <f>VLOOKUP(A2751,[3]גיליון1!$A$1:$C$7693,3,0)</f>
        <v>272900</v>
      </c>
      <c r="L2751" s="50">
        <f>VLOOKUP(A2751,[2]data1761205830331!$A$1:$J$65536,10,0)</f>
        <v>162239.20000000001</v>
      </c>
    </row>
    <row r="2752" spans="1:12" ht="15.6" outlineLevel="1">
      <c r="A2752" s="11">
        <v>1815760420</v>
      </c>
      <c r="B2752" s="40">
        <v>420</v>
      </c>
      <c r="C2752" s="109">
        <v>815760</v>
      </c>
      <c r="D2752" s="42">
        <v>1</v>
      </c>
      <c r="E2752" s="43"/>
      <c r="F2752" s="44" t="s">
        <v>30</v>
      </c>
      <c r="G2752" s="45" t="s">
        <v>29</v>
      </c>
      <c r="H2752" s="51">
        <f t="shared" si="43"/>
        <v>0.11111111111111116</v>
      </c>
      <c r="I2752" s="47"/>
      <c r="J2752" s="48">
        <f>VLOOKUP(A2752,'[1]תקציב 2026'!$A$1:$M$65536,9,0)</f>
        <v>7000</v>
      </c>
      <c r="K2752" s="49">
        <f>VLOOKUP(A2752,[3]גיליון1!$A$1:$C$7693,3,0)*0.9</f>
        <v>6300</v>
      </c>
      <c r="L2752" s="50">
        <f>VLOOKUP(A2752,[2]data1761205830331!$A$1:$J$65536,10,0)</f>
        <v>4430.42</v>
      </c>
    </row>
    <row r="2753" spans="1:12" ht="15.6" outlineLevel="1">
      <c r="A2753" s="11">
        <v>1815760423</v>
      </c>
      <c r="B2753" s="40">
        <v>423</v>
      </c>
      <c r="C2753" s="109">
        <v>815760</v>
      </c>
      <c r="D2753" s="42">
        <v>1</v>
      </c>
      <c r="E2753" s="43"/>
      <c r="F2753" s="44" t="s">
        <v>31</v>
      </c>
      <c r="G2753" s="45" t="s">
        <v>29</v>
      </c>
      <c r="H2753" s="51">
        <f t="shared" si="43"/>
        <v>0.49132947976878616</v>
      </c>
      <c r="I2753" s="47"/>
      <c r="J2753" s="48">
        <f>VLOOKUP(A2753,'[1]תקציב 2026'!$A$1:$M$65536,9,0)</f>
        <v>51600</v>
      </c>
      <c r="K2753" s="49">
        <v>34600</v>
      </c>
      <c r="L2753" s="50">
        <f>VLOOKUP(A2753,[2]data1761205830331!$A$1:$J$65536,10,0)</f>
        <v>34600</v>
      </c>
    </row>
    <row r="2754" spans="1:12" ht="15.6" outlineLevel="1">
      <c r="A2754" s="11">
        <v>1815760431</v>
      </c>
      <c r="B2754" s="40">
        <v>431</v>
      </c>
      <c r="C2754" s="109">
        <v>815760</v>
      </c>
      <c r="D2754" s="42">
        <v>1</v>
      </c>
      <c r="E2754" s="43"/>
      <c r="F2754" s="44" t="s">
        <v>32</v>
      </c>
      <c r="G2754" s="45" t="s">
        <v>29</v>
      </c>
      <c r="H2754" s="51">
        <f t="shared" si="43"/>
        <v>0</v>
      </c>
      <c r="I2754" s="47"/>
      <c r="J2754" s="48">
        <f>VLOOKUP(A2754,'[1]תקציב 2026'!$A$1:$M$65536,9,0)</f>
        <v>46600</v>
      </c>
      <c r="K2754" s="49">
        <v>46600</v>
      </c>
      <c r="L2754" s="50">
        <f>VLOOKUP(A2754,[2]data1761205830331!$A$1:$J$65536,10,0)</f>
        <v>41026</v>
      </c>
    </row>
    <row r="2755" spans="1:12" ht="15.6" outlineLevel="1">
      <c r="A2755" s="11">
        <v>1815760432</v>
      </c>
      <c r="B2755" s="40">
        <v>432</v>
      </c>
      <c r="C2755" s="109">
        <v>815760</v>
      </c>
      <c r="D2755" s="42">
        <v>1</v>
      </c>
      <c r="E2755" s="43"/>
      <c r="F2755" s="44" t="s">
        <v>33</v>
      </c>
      <c r="G2755" s="45" t="s">
        <v>29</v>
      </c>
      <c r="H2755" s="51">
        <f t="shared" si="43"/>
        <v>-1.9607843137254943E-2</v>
      </c>
      <c r="I2755" s="47"/>
      <c r="J2755" s="48">
        <f>VLOOKUP(A2755,'[1]תקציב 2026'!$A$1:$M$65536,9,0)</f>
        <v>20000</v>
      </c>
      <c r="K2755" s="49">
        <v>20400</v>
      </c>
      <c r="L2755" s="50">
        <f>VLOOKUP(A2755,[2]data1761205830331!$A$1:$J$65536,10,0)</f>
        <v>18168</v>
      </c>
    </row>
    <row r="2756" spans="1:12" ht="15.6" outlineLevel="1">
      <c r="A2756" s="11">
        <v>1815760437</v>
      </c>
      <c r="B2756" s="40">
        <v>437</v>
      </c>
      <c r="C2756" s="109">
        <v>815760</v>
      </c>
      <c r="D2756" s="42">
        <v>1</v>
      </c>
      <c r="E2756" s="43"/>
      <c r="F2756" s="44" t="s">
        <v>38</v>
      </c>
      <c r="G2756" s="45" t="s">
        <v>29</v>
      </c>
      <c r="H2756" s="51">
        <f t="shared" si="43"/>
        <v>0</v>
      </c>
      <c r="I2756" s="47"/>
      <c r="J2756" s="48">
        <f>VLOOKUP(A2756,'[1]תקציב 2026'!$A$1:$M$65536,9,0)</f>
        <v>1300</v>
      </c>
      <c r="K2756" s="49">
        <f>VLOOKUP(A2756,[3]גיליון1!$A$1:$C$7693,3,0)</f>
        <v>1300</v>
      </c>
      <c r="L2756" s="50">
        <f>VLOOKUP(A2756,[2]data1761205830331!$A$1:$J$65536,10,0)</f>
        <v>1221.48</v>
      </c>
    </row>
    <row r="2757" spans="1:12" ht="15.6" outlineLevel="1">
      <c r="A2757" s="11">
        <v>1815760450</v>
      </c>
      <c r="B2757" s="40">
        <v>450</v>
      </c>
      <c r="C2757" s="109">
        <v>815760</v>
      </c>
      <c r="D2757" s="42">
        <v>1</v>
      </c>
      <c r="E2757" s="43"/>
      <c r="F2757" s="44" t="s">
        <v>1487</v>
      </c>
      <c r="G2757" s="45" t="s">
        <v>29</v>
      </c>
      <c r="H2757" s="51">
        <f t="shared" si="43"/>
        <v>0.15890083632019114</v>
      </c>
      <c r="I2757" s="47"/>
      <c r="J2757" s="48">
        <f>VLOOKUP(A2757,'[1]תקציב 2026'!$A$1:$M$65536,9,0)</f>
        <v>9700</v>
      </c>
      <c r="K2757" s="49">
        <f>9300*0.9</f>
        <v>8370</v>
      </c>
      <c r="L2757" s="50">
        <f>VLOOKUP(A2757,[2]data1761205830331!$A$1:$J$65536,10,0)</f>
        <v>9750</v>
      </c>
    </row>
    <row r="2758" spans="1:12" ht="15.6" outlineLevel="1">
      <c r="A2758" s="11">
        <v>1815760451</v>
      </c>
      <c r="B2758" s="40">
        <v>451</v>
      </c>
      <c r="C2758" s="109">
        <v>815760</v>
      </c>
      <c r="D2758" s="42">
        <v>1</v>
      </c>
      <c r="E2758" s="43"/>
      <c r="F2758" s="44" t="s">
        <v>1384</v>
      </c>
      <c r="G2758" s="45" t="s">
        <v>29</v>
      </c>
      <c r="H2758" s="51">
        <f t="shared" si="43"/>
        <v>5.4137664346480818E-3</v>
      </c>
      <c r="I2758" s="47"/>
      <c r="J2758" s="48">
        <f>VLOOKUP(A2758,'[1]תקציב 2026'!$A$1:$M$65536,9,0)</f>
        <v>130000</v>
      </c>
      <c r="K2758" s="49">
        <v>129300</v>
      </c>
      <c r="L2758" s="50">
        <f>VLOOKUP(A2758,[2]data1761205830331!$A$1:$J$65536,10,0)</f>
        <v>0</v>
      </c>
    </row>
    <row r="2759" spans="1:12" ht="15.6" outlineLevel="1">
      <c r="A2759" s="11">
        <v>1815760452</v>
      </c>
      <c r="B2759" s="40">
        <v>452</v>
      </c>
      <c r="C2759" s="109">
        <v>815760</v>
      </c>
      <c r="D2759" s="42">
        <v>1</v>
      </c>
      <c r="E2759" s="43"/>
      <c r="F2759" s="44" t="s">
        <v>381</v>
      </c>
      <c r="G2759" s="45" t="s">
        <v>29</v>
      </c>
      <c r="H2759" s="51">
        <f t="shared" si="43"/>
        <v>3.8681948424068802E-2</v>
      </c>
      <c r="I2759" s="47"/>
      <c r="J2759" s="48">
        <f>VLOOKUP(A2759,'[1]תקציב 2026'!$A$1:$M$65536,9,0)</f>
        <v>145000</v>
      </c>
      <c r="K2759" s="49">
        <v>139600</v>
      </c>
      <c r="L2759" s="50">
        <f>VLOOKUP(A2759,[2]data1761205830331!$A$1:$J$65536,10,0)</f>
        <v>0</v>
      </c>
    </row>
    <row r="2760" spans="1:12" ht="15.6" outlineLevel="1">
      <c r="A2760" s="11">
        <v>1815760511</v>
      </c>
      <c r="B2760" s="40">
        <v>511</v>
      </c>
      <c r="C2760" s="109">
        <v>815760</v>
      </c>
      <c r="D2760" s="42">
        <v>1</v>
      </c>
      <c r="E2760" s="43"/>
      <c r="F2760" s="44" t="s">
        <v>72</v>
      </c>
      <c r="G2760" s="45" t="s">
        <v>37</v>
      </c>
      <c r="H2760" s="51">
        <f t="shared" si="43"/>
        <v>0.17845117845117842</v>
      </c>
      <c r="I2760" s="47"/>
      <c r="J2760" s="48">
        <f>VLOOKUP(A2760,'[1]תקציב 2026'!$A$1:$M$65536,9,0)</f>
        <v>7000</v>
      </c>
      <c r="K2760" s="49">
        <f>6600*0.9</f>
        <v>5940</v>
      </c>
      <c r="L2760" s="50">
        <f>VLOOKUP(A2760,[2]data1761205830331!$A$1:$J$65536,10,0)</f>
        <v>6847.3</v>
      </c>
    </row>
    <row r="2761" spans="1:12" ht="15.6" outlineLevel="1">
      <c r="A2761" s="11">
        <v>1815760742</v>
      </c>
      <c r="B2761" s="40">
        <v>742</v>
      </c>
      <c r="C2761" s="109">
        <v>815760</v>
      </c>
      <c r="D2761" s="42">
        <v>1</v>
      </c>
      <c r="E2761" s="43"/>
      <c r="F2761" s="44" t="s">
        <v>52</v>
      </c>
      <c r="G2761" s="45" t="s">
        <v>29</v>
      </c>
      <c r="H2761" s="51">
        <f t="shared" si="43"/>
        <v>0.73469387755102034</v>
      </c>
      <c r="I2761" s="47"/>
      <c r="J2761" s="48">
        <f>VLOOKUP(A2761,'[1]תקציב 2026'!$A$1:$M$65536,9,0)</f>
        <v>15300</v>
      </c>
      <c r="K2761" s="49">
        <f>9800*0.9</f>
        <v>8820</v>
      </c>
      <c r="L2761" s="50">
        <f>VLOOKUP(A2761,[2]data1761205830331!$A$1:$J$65536,10,0)</f>
        <v>4253</v>
      </c>
    </row>
    <row r="2762" spans="1:12" ht="15.6" outlineLevel="1">
      <c r="A2762" s="11">
        <v>1815760750</v>
      </c>
      <c r="B2762" s="40">
        <v>750</v>
      </c>
      <c r="C2762" s="109">
        <v>815760</v>
      </c>
      <c r="D2762" s="42">
        <v>1</v>
      </c>
      <c r="E2762" s="43"/>
      <c r="F2762" s="44" t="s">
        <v>1351</v>
      </c>
      <c r="G2762" s="45" t="s">
        <v>29</v>
      </c>
      <c r="H2762" s="51">
        <f t="shared" si="43"/>
        <v>8.3690987124463545E-2</v>
      </c>
      <c r="I2762" s="47"/>
      <c r="J2762" s="48">
        <f>VLOOKUP(A2762,'[1]תקציב 2026'!$A$1:$M$65536,9,0)</f>
        <v>404000</v>
      </c>
      <c r="K2762" s="49">
        <v>372800</v>
      </c>
      <c r="L2762" s="50">
        <f>VLOOKUP(A2762,[2]data1761205830331!$A$1:$J$65536,10,0)</f>
        <v>253098</v>
      </c>
    </row>
    <row r="2763" spans="1:12" ht="15.6" outlineLevel="1">
      <c r="A2763" s="11">
        <v>1815760751</v>
      </c>
      <c r="B2763" s="40">
        <v>751</v>
      </c>
      <c r="C2763" s="109">
        <v>815760</v>
      </c>
      <c r="D2763" s="42">
        <v>1</v>
      </c>
      <c r="E2763" s="43"/>
      <c r="F2763" s="44" t="s">
        <v>53</v>
      </c>
      <c r="G2763" s="45" t="s">
        <v>29</v>
      </c>
      <c r="H2763" s="51">
        <v>0</v>
      </c>
      <c r="I2763" s="47"/>
      <c r="J2763" s="48">
        <f>VLOOKUP(A2763,'[1]תקציב 2026'!$A$1:$M$65536,9,0)</f>
        <v>0</v>
      </c>
      <c r="K2763" s="49">
        <v>0</v>
      </c>
      <c r="L2763" s="50">
        <f>VLOOKUP(A2763,[2]data1761205830331!$A$1:$J$65536,10,0)</f>
        <v>6646</v>
      </c>
    </row>
    <row r="2764" spans="1:12" ht="15.6" outlineLevel="1">
      <c r="A2764" s="11">
        <v>1815760752</v>
      </c>
      <c r="B2764" s="40">
        <v>752</v>
      </c>
      <c r="C2764" s="109">
        <v>815760</v>
      </c>
      <c r="D2764" s="42">
        <v>1</v>
      </c>
      <c r="E2764" s="43"/>
      <c r="F2764" s="44" t="s">
        <v>54</v>
      </c>
      <c r="G2764" s="45" t="s">
        <v>29</v>
      </c>
      <c r="H2764" s="51">
        <f t="shared" si="43"/>
        <v>-6.7450058754406572E-2</v>
      </c>
      <c r="I2764" s="47"/>
      <c r="J2764" s="48">
        <f>VLOOKUP(A2764,'[1]תקציב 2026'!$A$1:$M$65536,9,0)</f>
        <v>396800</v>
      </c>
      <c r="K2764" s="49">
        <f>VLOOKUP(A2764,[3]גיליון1!$A$1:$C$7693,3,0)</f>
        <v>425500</v>
      </c>
      <c r="L2764" s="50">
        <f>VLOOKUP(A2764,[2]data1761205830331!$A$1:$J$65536,10,0)</f>
        <v>319999.03999999998</v>
      </c>
    </row>
    <row r="2765" spans="1:12" ht="15.6" outlineLevel="1">
      <c r="A2765" s="11">
        <v>1815760759</v>
      </c>
      <c r="B2765" s="40">
        <v>759</v>
      </c>
      <c r="C2765" s="109">
        <v>815760</v>
      </c>
      <c r="D2765" s="42">
        <v>1</v>
      </c>
      <c r="E2765" s="43"/>
      <c r="F2765" s="44" t="s">
        <v>1332</v>
      </c>
      <c r="G2765" s="45" t="s">
        <v>29</v>
      </c>
      <c r="H2765" s="51">
        <f t="shared" si="43"/>
        <v>7.2789896670493626E-2</v>
      </c>
      <c r="I2765" s="47"/>
      <c r="J2765" s="48">
        <f>VLOOKUP(A2765,'[1]תקציב 2026'!$A$1:$M$65536,9,0)</f>
        <v>467200</v>
      </c>
      <c r="K2765" s="49">
        <v>435500</v>
      </c>
      <c r="L2765" s="50">
        <f>VLOOKUP(A2765,[2]data1761205830331!$A$1:$J$65536,10,0)</f>
        <v>295408.99</v>
      </c>
    </row>
    <row r="2766" spans="1:12" ht="15.6" outlineLevel="1">
      <c r="A2766" s="11">
        <v>1815760762</v>
      </c>
      <c r="B2766" s="40">
        <v>762</v>
      </c>
      <c r="C2766" s="109">
        <v>815760</v>
      </c>
      <c r="D2766" s="42">
        <v>1</v>
      </c>
      <c r="E2766" s="43"/>
      <c r="F2766" s="44" t="s">
        <v>1496</v>
      </c>
      <c r="G2766" s="45" t="s">
        <v>22</v>
      </c>
      <c r="H2766" s="51">
        <f t="shared" si="43"/>
        <v>0.33118864052360086</v>
      </c>
      <c r="I2766" s="47"/>
      <c r="J2766" s="48">
        <f>VLOOKUP(A2766,'[1]תקציב 2026'!$A$1:$M$65536,9,0)</f>
        <v>2400000</v>
      </c>
      <c r="K2766" s="49">
        <f>VLOOKUP(A2766,[3]גיליון1!$A$1:$C$7693,3,0)</f>
        <v>1802900</v>
      </c>
      <c r="L2766" s="50">
        <f>VLOOKUP(A2766,[2]data1761205830331!$A$1:$J$65536,10,0)</f>
        <v>1840040.16</v>
      </c>
    </row>
    <row r="2767" spans="1:12" ht="15.6" outlineLevel="1">
      <c r="A2767" s="11">
        <v>1815760780</v>
      </c>
      <c r="B2767" s="40">
        <v>780</v>
      </c>
      <c r="C2767" s="109">
        <v>815760</v>
      </c>
      <c r="D2767" s="42">
        <v>1</v>
      </c>
      <c r="E2767" s="43"/>
      <c r="F2767" s="44" t="s">
        <v>1489</v>
      </c>
      <c r="G2767" s="45" t="s">
        <v>29</v>
      </c>
      <c r="H2767" s="51">
        <f t="shared" si="43"/>
        <v>0.16666666666666674</v>
      </c>
      <c r="I2767" s="47"/>
      <c r="J2767" s="48">
        <f>VLOOKUP(A2767,'[1]תקציב 2026'!$A$1:$M$65536,9,0)</f>
        <v>7000</v>
      </c>
      <c r="K2767" s="49">
        <f>VLOOKUP(A2767,[3]גיליון1!$A$1:$C$7693,3,0)</f>
        <v>6000</v>
      </c>
      <c r="L2767" s="50">
        <f>VLOOKUP(A2767,[2]data1761205830331!$A$1:$J$65536,10,0)</f>
        <v>5031</v>
      </c>
    </row>
    <row r="2768" spans="1:12" ht="15.6" outlineLevel="1">
      <c r="A2768" s="11">
        <v>1815760794</v>
      </c>
      <c r="B2768" s="40">
        <v>794</v>
      </c>
      <c r="C2768" s="109">
        <v>815760</v>
      </c>
      <c r="D2768" s="42">
        <v>1</v>
      </c>
      <c r="E2768" s="43"/>
      <c r="F2768" s="44" t="s">
        <v>58</v>
      </c>
      <c r="G2768" s="45" t="s">
        <v>29</v>
      </c>
      <c r="H2768" s="51">
        <f t="shared" si="43"/>
        <v>0.10588235294117654</v>
      </c>
      <c r="I2768" s="47"/>
      <c r="J2768" s="48">
        <f>VLOOKUP(A2768,'[1]תקציב 2026'!$A$1:$M$65536,9,0)</f>
        <v>9400</v>
      </c>
      <c r="K2768" s="49">
        <v>8500</v>
      </c>
      <c r="L2768" s="50">
        <f>VLOOKUP(A2768,[2]data1761205830331!$A$1:$J$65536,10,0)</f>
        <v>19920</v>
      </c>
    </row>
    <row r="2769" spans="1:12" ht="15.6" outlineLevel="1">
      <c r="A2769" s="11">
        <v>1815760810</v>
      </c>
      <c r="B2769" s="40">
        <v>810</v>
      </c>
      <c r="C2769" s="109">
        <v>815760</v>
      </c>
      <c r="D2769" s="42">
        <v>1</v>
      </c>
      <c r="E2769" s="43"/>
      <c r="F2769" s="44" t="s">
        <v>1490</v>
      </c>
      <c r="G2769" s="45" t="s">
        <v>29</v>
      </c>
      <c r="H2769" s="51">
        <f t="shared" si="43"/>
        <v>-0.48698698698698695</v>
      </c>
      <c r="I2769" s="47"/>
      <c r="J2769" s="48">
        <f>VLOOKUP(A2769,'[1]תקציב 2026'!$A$1:$M$65536,9,0)</f>
        <v>41000</v>
      </c>
      <c r="K2769" s="49">
        <f>88800*0.9</f>
        <v>79920</v>
      </c>
      <c r="L2769" s="50">
        <f>VLOOKUP(A2769,[2]data1761205830331!$A$1:$J$65536,10,0)</f>
        <v>86300</v>
      </c>
    </row>
    <row r="2770" spans="1:12" ht="15.6" outlineLevel="1">
      <c r="A2770" s="11">
        <v>1815760812</v>
      </c>
      <c r="B2770" s="40">
        <v>812</v>
      </c>
      <c r="C2770" s="109">
        <v>815760</v>
      </c>
      <c r="D2770" s="42">
        <v>1</v>
      </c>
      <c r="E2770" s="43"/>
      <c r="F2770" s="44" t="s">
        <v>296</v>
      </c>
      <c r="G2770" s="45" t="s">
        <v>29</v>
      </c>
      <c r="H2770" s="51">
        <f t="shared" si="43"/>
        <v>0.81481481481481488</v>
      </c>
      <c r="I2770" s="47"/>
      <c r="J2770" s="48">
        <f>VLOOKUP(A2770,'[1]תקציב 2026'!$A$1:$M$65536,9,0)</f>
        <v>14700</v>
      </c>
      <c r="K2770" s="49">
        <f>VLOOKUP(A2770,[3]גיליון1!$A$1:$C$7693,3,0)*0.9</f>
        <v>8100</v>
      </c>
      <c r="L2770" s="50">
        <f>VLOOKUP(A2770,[2]data1761205830331!$A$1:$J$65536,10,0)</f>
        <v>10186</v>
      </c>
    </row>
    <row r="2771" spans="1:12" ht="15.6" outlineLevel="1">
      <c r="A2771" s="11">
        <v>1815760953</v>
      </c>
      <c r="B2771" s="40">
        <v>953</v>
      </c>
      <c r="C2771" s="109">
        <v>815760</v>
      </c>
      <c r="D2771" s="42">
        <v>1</v>
      </c>
      <c r="E2771" s="43"/>
      <c r="F2771" s="44" t="s">
        <v>277</v>
      </c>
      <c r="G2771" s="45" t="s">
        <v>29</v>
      </c>
      <c r="H2771" s="51">
        <f t="shared" si="43"/>
        <v>2.0773638968481389E-2</v>
      </c>
      <c r="I2771" s="47"/>
      <c r="J2771" s="48">
        <f>VLOOKUP(A2771,'[1]תקציב 2026'!$A$1:$M$65536,9,0)</f>
        <v>570000</v>
      </c>
      <c r="K2771" s="49">
        <v>558400</v>
      </c>
      <c r="L2771" s="50">
        <f>VLOOKUP(A2771,[2]data1761205830331!$A$1:$J$65536,10,0)</f>
        <v>608819.6</v>
      </c>
    </row>
    <row r="2772" spans="1:12" ht="16.2" outlineLevel="1" thickBot="1">
      <c r="A2772" s="11">
        <v>1815760989</v>
      </c>
      <c r="B2772" s="40">
        <v>989</v>
      </c>
      <c r="C2772" s="109">
        <v>815760</v>
      </c>
      <c r="D2772" s="42">
        <v>1</v>
      </c>
      <c r="E2772" s="43"/>
      <c r="F2772" s="44" t="s">
        <v>1491</v>
      </c>
      <c r="G2772" s="45" t="s">
        <v>29</v>
      </c>
      <c r="H2772" s="51">
        <f t="shared" si="43"/>
        <v>0.1957933103003151</v>
      </c>
      <c r="I2772" s="47"/>
      <c r="J2772" s="48">
        <f>VLOOKUP(A2772,'[1]תקציב 2026'!$A$1:$M$65536,9,0)</f>
        <v>629920</v>
      </c>
      <c r="K2772" s="49">
        <v>526780</v>
      </c>
      <c r="L2772" s="50">
        <f>VLOOKUP(A2772,[2]data1761205830331!$A$1:$J$65536,10,0)</f>
        <v>588099</v>
      </c>
    </row>
    <row r="2773" spans="1:12" ht="16.2" thickBot="1">
      <c r="A2773" s="11" t="e">
        <v>#VALUE!</v>
      </c>
      <c r="B2773" s="53" t="s">
        <v>1510</v>
      </c>
      <c r="C2773" s="223"/>
      <c r="D2773" s="55"/>
      <c r="E2773" s="56"/>
      <c r="F2773" s="116" t="s">
        <v>1509</v>
      </c>
      <c r="G2773" s="165"/>
      <c r="H2773" s="71">
        <f>J2773/K2773-1</f>
        <v>0.19578188648185746</v>
      </c>
      <c r="I2773" s="72"/>
      <c r="J2773" s="74">
        <f>SUBTOTAL(9,J2744:J2772)</f>
        <v>11128580</v>
      </c>
      <c r="K2773" s="92">
        <f>SUBTOTAL(9,K2744:K2772)</f>
        <v>9306530</v>
      </c>
      <c r="L2773" s="75">
        <f>SUBTOTAL(9,L2744:L2772)</f>
        <v>10452431.220000001</v>
      </c>
    </row>
    <row r="2774" spans="1:12" ht="15.6" outlineLevel="1">
      <c r="A2774" s="11">
        <v>18157700</v>
      </c>
      <c r="B2774" s="64">
        <v>0</v>
      </c>
      <c r="C2774" s="131">
        <v>815770</v>
      </c>
      <c r="D2774" s="66">
        <v>1</v>
      </c>
      <c r="E2774" s="67"/>
      <c r="F2774" s="68" t="s">
        <v>405</v>
      </c>
      <c r="G2774" s="69" t="s">
        <v>15</v>
      </c>
      <c r="H2774" s="51"/>
      <c r="I2774" s="47"/>
      <c r="J2774" s="48"/>
      <c r="K2774" s="49"/>
      <c r="L2774" s="50"/>
    </row>
    <row r="2775" spans="1:12" ht="15.6" outlineLevel="1">
      <c r="A2775" s="11">
        <v>1815770118</v>
      </c>
      <c r="B2775" s="40">
        <v>118</v>
      </c>
      <c r="C2775" s="109">
        <v>815770</v>
      </c>
      <c r="D2775" s="42">
        <v>1</v>
      </c>
      <c r="E2775" s="43"/>
      <c r="F2775" s="44" t="s">
        <v>1483</v>
      </c>
      <c r="G2775" s="45" t="s">
        <v>22</v>
      </c>
      <c r="H2775" s="51">
        <f t="shared" si="43"/>
        <v>5.7102521662934391E-2</v>
      </c>
      <c r="I2775" s="47"/>
      <c r="J2775" s="48">
        <f>VLOOKUP(A2775,'[1]תקציב 2026'!$A$1:$M$65536,9,0)</f>
        <v>17372000</v>
      </c>
      <c r="K2775" s="49">
        <f>VLOOKUP(A2775,[3]גיליון1!$A$1:$C$7693,3,0)</f>
        <v>16433600</v>
      </c>
      <c r="L2775" s="50">
        <f>VLOOKUP(A2775,[2]data1761205830331!$A$1:$J$65536,10,0)</f>
        <v>15046099.369999999</v>
      </c>
    </row>
    <row r="2776" spans="1:12" ht="15.6" outlineLevel="1">
      <c r="A2776" s="11">
        <v>1815770119</v>
      </c>
      <c r="B2776" s="40">
        <v>119</v>
      </c>
      <c r="C2776" s="109">
        <v>815770</v>
      </c>
      <c r="D2776" s="42">
        <v>1</v>
      </c>
      <c r="E2776" s="43"/>
      <c r="F2776" s="44" t="s">
        <v>23</v>
      </c>
      <c r="G2776" s="45" t="s">
        <v>22</v>
      </c>
      <c r="H2776" s="51">
        <f t="shared" si="43"/>
        <v>3.4465699208443112E-2</v>
      </c>
      <c r="I2776" s="47"/>
      <c r="J2776" s="48">
        <f>VLOOKUP(A2776,'[1]תקציב 2026'!$A$1:$M$65536,9,0)</f>
        <v>1568249.9999999998</v>
      </c>
      <c r="K2776" s="49">
        <v>1516000</v>
      </c>
      <c r="L2776" s="50">
        <f>VLOOKUP(A2776,[2]data1761205830331!$A$1:$J$65536,10,0)</f>
        <v>2050821.77</v>
      </c>
    </row>
    <row r="2777" spans="1:12" ht="15.6" outlineLevel="1">
      <c r="A2777" s="11">
        <v>1815770122</v>
      </c>
      <c r="B2777" s="40">
        <v>122</v>
      </c>
      <c r="C2777" s="109">
        <v>815770</v>
      </c>
      <c r="D2777" s="42">
        <v>1</v>
      </c>
      <c r="E2777" s="43"/>
      <c r="F2777" s="44" t="s">
        <v>24</v>
      </c>
      <c r="G2777" s="45" t="s">
        <v>22</v>
      </c>
      <c r="H2777" s="51">
        <f t="shared" si="43"/>
        <v>0</v>
      </c>
      <c r="I2777" s="47"/>
      <c r="J2777" s="48">
        <f>VLOOKUP(A2777,'[1]תקציב 2026'!$A$1:$M$65536,9,0)</f>
        <v>163000</v>
      </c>
      <c r="K2777" s="49">
        <f>VLOOKUP(A2777,[3]גיליון1!$A$1:$C$7693,3,0)</f>
        <v>163000</v>
      </c>
      <c r="L2777" s="50">
        <f>VLOOKUP(A2777,[2]data1761205830331!$A$1:$J$65536,10,0)</f>
        <v>161974.44</v>
      </c>
    </row>
    <row r="2778" spans="1:12" ht="15.6" outlineLevel="1">
      <c r="A2778" s="11">
        <v>1815770126</v>
      </c>
      <c r="B2778" s="40">
        <v>126</v>
      </c>
      <c r="C2778" s="109">
        <v>815770</v>
      </c>
      <c r="D2778" s="42">
        <v>1</v>
      </c>
      <c r="E2778" s="43"/>
      <c r="F2778" s="44" t="s">
        <v>25</v>
      </c>
      <c r="G2778" s="45" t="s">
        <v>22</v>
      </c>
      <c r="H2778" s="51">
        <f t="shared" si="43"/>
        <v>2.849002849003579E-4</v>
      </c>
      <c r="I2778" s="47"/>
      <c r="J2778" s="48">
        <f>VLOOKUP(A2778,'[1]תקציב 2026'!$A$1:$M$65536,9,0)</f>
        <v>351100</v>
      </c>
      <c r="K2778" s="49">
        <f>VLOOKUP(A2778,[3]גיליון1!$A$1:$C$7693,3,0)</f>
        <v>351000</v>
      </c>
      <c r="L2778" s="50">
        <f>VLOOKUP(A2778,[2]data1761205830331!$A$1:$J$65536,10,0)</f>
        <v>350376.18</v>
      </c>
    </row>
    <row r="2779" spans="1:12" ht="15.6" outlineLevel="1">
      <c r="A2779" s="11">
        <v>1815770130</v>
      </c>
      <c r="B2779" s="40">
        <v>130</v>
      </c>
      <c r="C2779" s="109">
        <v>815770</v>
      </c>
      <c r="D2779" s="42">
        <v>1</v>
      </c>
      <c r="E2779" s="43"/>
      <c r="F2779" s="44" t="s">
        <v>26</v>
      </c>
      <c r="G2779" s="45" t="s">
        <v>22</v>
      </c>
      <c r="H2779" s="51">
        <f t="shared" si="43"/>
        <v>0</v>
      </c>
      <c r="I2779" s="47"/>
      <c r="J2779" s="48">
        <f>VLOOKUP(A2779,'[1]תקציב 2026'!$A$1:$M$65536,9,0)</f>
        <v>8510</v>
      </c>
      <c r="K2779" s="49">
        <v>8510</v>
      </c>
      <c r="L2779" s="50">
        <f>VLOOKUP(A2779,[2]data1761205830331!$A$1:$J$65536,10,0)</f>
        <v>270.45999999999998</v>
      </c>
    </row>
    <row r="2780" spans="1:12" ht="15.6" outlineLevel="1">
      <c r="A2780" s="11">
        <v>1815770140</v>
      </c>
      <c r="B2780" s="40">
        <v>140</v>
      </c>
      <c r="C2780" s="109">
        <v>815770</v>
      </c>
      <c r="D2780" s="42">
        <v>1</v>
      </c>
      <c r="E2780" s="43"/>
      <c r="F2780" s="44" t="s">
        <v>27</v>
      </c>
      <c r="G2780" s="45" t="s">
        <v>22</v>
      </c>
      <c r="H2780" s="51">
        <f t="shared" si="43"/>
        <v>0</v>
      </c>
      <c r="I2780" s="47"/>
      <c r="J2780" s="48">
        <f>VLOOKUP(A2780,'[1]תקציב 2026'!$A$1:$M$65536,9,0)</f>
        <v>107000</v>
      </c>
      <c r="K2780" s="49">
        <f>VLOOKUP(A2780,[3]גיליון1!$A$1:$C$7693,3,0)</f>
        <v>107000</v>
      </c>
      <c r="L2780" s="50">
        <f>VLOOKUP(A2780,[2]data1761205830331!$A$1:$J$65536,10,0)</f>
        <v>146169.79</v>
      </c>
    </row>
    <row r="2781" spans="1:12" ht="15.6" outlineLevel="1">
      <c r="A2781" s="11">
        <v>1815770214</v>
      </c>
      <c r="B2781" s="40">
        <v>214</v>
      </c>
      <c r="C2781" s="109">
        <v>815770</v>
      </c>
      <c r="D2781" s="42">
        <v>1</v>
      </c>
      <c r="E2781" s="43"/>
      <c r="F2781" s="44" t="s">
        <v>1484</v>
      </c>
      <c r="G2781" s="45" t="s">
        <v>22</v>
      </c>
      <c r="H2781" s="51">
        <v>0</v>
      </c>
      <c r="I2781" s="47"/>
      <c r="J2781" s="48">
        <f>VLOOKUP(A2781,'[1]תקציב 2026'!$A$1:$M$65536,9,0)</f>
        <v>0</v>
      </c>
      <c r="K2781" s="49">
        <v>0</v>
      </c>
      <c r="L2781" s="50">
        <f>VLOOKUP(A2781,[2]data1761205830331!$A$1:$J$65536,10,0)</f>
        <v>1234.1300000000001</v>
      </c>
    </row>
    <row r="2782" spans="1:12" ht="15.6" outlineLevel="1">
      <c r="A2782" s="11">
        <v>1815770250</v>
      </c>
      <c r="B2782" s="40">
        <v>250</v>
      </c>
      <c r="C2782" s="109">
        <v>815770</v>
      </c>
      <c r="D2782" s="42">
        <v>1</v>
      </c>
      <c r="E2782" s="43"/>
      <c r="F2782" s="154" t="s">
        <v>1486</v>
      </c>
      <c r="G2782" s="45" t="s">
        <v>22</v>
      </c>
      <c r="H2782" s="51">
        <f t="shared" si="43"/>
        <v>-1</v>
      </c>
      <c r="I2782" s="47"/>
      <c r="J2782" s="48">
        <f>VLOOKUP(A2782,'[1]תקציב 2026'!$A$1:$M$65536,9,0)</f>
        <v>0</v>
      </c>
      <c r="K2782" s="49">
        <f>VLOOKUP(A2782,[3]גיליון1!$A$1:$C$7693,3,0)</f>
        <v>46900</v>
      </c>
      <c r="L2782" s="50">
        <f>VLOOKUP(A2782,[2]data1761205830331!$A$1:$J$65536,10,0)</f>
        <v>-447.5</v>
      </c>
    </row>
    <row r="2783" spans="1:12" ht="15.6" outlineLevel="1">
      <c r="A2783" s="11">
        <v>1815770413</v>
      </c>
      <c r="B2783" s="40">
        <v>413</v>
      </c>
      <c r="C2783" s="109">
        <v>815770</v>
      </c>
      <c r="D2783" s="42">
        <v>1</v>
      </c>
      <c r="E2783" s="43"/>
      <c r="F2783" s="44" t="s">
        <v>521</v>
      </c>
      <c r="G2783" s="45" t="s">
        <v>29</v>
      </c>
      <c r="H2783" s="51">
        <f t="shared" si="43"/>
        <v>0</v>
      </c>
      <c r="I2783" s="47"/>
      <c r="J2783" s="48">
        <f>VLOOKUP(A2783,'[1]תקציב 2026'!$A$1:$M$65536,9,0)</f>
        <v>210000</v>
      </c>
      <c r="K2783" s="49">
        <v>210000</v>
      </c>
      <c r="L2783" s="50">
        <f>VLOOKUP(A2783,[2]data1761205830331!$A$1:$J$65536,10,0)</f>
        <v>210000</v>
      </c>
    </row>
    <row r="2784" spans="1:12" ht="15.6" outlineLevel="1">
      <c r="A2784" s="11">
        <v>1815770420</v>
      </c>
      <c r="B2784" s="40">
        <v>420</v>
      </c>
      <c r="C2784" s="109">
        <v>815770</v>
      </c>
      <c r="D2784" s="42">
        <v>1</v>
      </c>
      <c r="E2784" s="43"/>
      <c r="F2784" s="44" t="s">
        <v>30</v>
      </c>
      <c r="G2784" s="45" t="s">
        <v>29</v>
      </c>
      <c r="H2784" s="51">
        <f t="shared" si="43"/>
        <v>0</v>
      </c>
      <c r="I2784" s="47"/>
      <c r="J2784" s="48">
        <f>VLOOKUP(A2784,'[1]תקציב 2026'!$A$1:$M$65536,9,0)</f>
        <v>8100</v>
      </c>
      <c r="K2784" s="49">
        <f>VLOOKUP(A2784,[3]גיליון1!$A$1:$C$7693,3,0)*0.9</f>
        <v>8100</v>
      </c>
      <c r="L2784" s="50">
        <f>VLOOKUP(A2784,[2]data1761205830331!$A$1:$J$65536,10,0)</f>
        <v>12148.71</v>
      </c>
    </row>
    <row r="2785" spans="1:12" ht="15.6" outlineLevel="1">
      <c r="A2785" s="11">
        <v>1815770423</v>
      </c>
      <c r="B2785" s="40">
        <v>423</v>
      </c>
      <c r="C2785" s="109">
        <v>815770</v>
      </c>
      <c r="D2785" s="42">
        <v>1</v>
      </c>
      <c r="E2785" s="43"/>
      <c r="F2785" s="44" t="s">
        <v>31</v>
      </c>
      <c r="G2785" s="45" t="s">
        <v>29</v>
      </c>
      <c r="H2785" s="51">
        <f t="shared" si="43"/>
        <v>0.35555555555555562</v>
      </c>
      <c r="I2785" s="47"/>
      <c r="J2785" s="48">
        <f>VLOOKUP(A2785,'[1]תקציב 2026'!$A$1:$M$65536,9,0)</f>
        <v>61000</v>
      </c>
      <c r="K2785" s="49">
        <v>45000</v>
      </c>
      <c r="L2785" s="50">
        <f>VLOOKUP(A2785,[2]data1761205830331!$A$1:$J$65536,10,0)</f>
        <v>41200</v>
      </c>
    </row>
    <row r="2786" spans="1:12" ht="15.6" outlineLevel="1">
      <c r="A2786" s="11">
        <v>1815770431</v>
      </c>
      <c r="B2786" s="40">
        <v>431</v>
      </c>
      <c r="C2786" s="109">
        <v>815770</v>
      </c>
      <c r="D2786" s="42">
        <v>1</v>
      </c>
      <c r="E2786" s="43"/>
      <c r="F2786" s="44" t="s">
        <v>32</v>
      </c>
      <c r="G2786" s="45" t="s">
        <v>29</v>
      </c>
      <c r="H2786" s="51">
        <f t="shared" si="43"/>
        <v>0</v>
      </c>
      <c r="I2786" s="47"/>
      <c r="J2786" s="48">
        <f>VLOOKUP(A2786,'[1]תקציב 2026'!$A$1:$M$65536,9,0)</f>
        <v>286200</v>
      </c>
      <c r="K2786" s="49">
        <v>286200</v>
      </c>
      <c r="L2786" s="50">
        <f>VLOOKUP(A2786,[2]data1761205830331!$A$1:$J$65536,10,0)</f>
        <v>259062</v>
      </c>
    </row>
    <row r="2787" spans="1:12" ht="15.6" outlineLevel="1">
      <c r="A2787" s="11">
        <v>1815770432</v>
      </c>
      <c r="B2787" s="40">
        <v>432</v>
      </c>
      <c r="C2787" s="109">
        <v>815770</v>
      </c>
      <c r="D2787" s="42">
        <v>1</v>
      </c>
      <c r="E2787" s="43"/>
      <c r="F2787" s="44" t="s">
        <v>33</v>
      </c>
      <c r="G2787" s="45" t="s">
        <v>29</v>
      </c>
      <c r="H2787" s="51">
        <f t="shared" si="43"/>
        <v>0</v>
      </c>
      <c r="I2787" s="47"/>
      <c r="J2787" s="48">
        <f>VLOOKUP(A2787,'[1]תקציב 2026'!$A$1:$M$65536,9,0)</f>
        <v>76700</v>
      </c>
      <c r="K2787" s="49">
        <v>76700</v>
      </c>
      <c r="L2787" s="50">
        <f>VLOOKUP(A2787,[2]data1761205830331!$A$1:$J$65536,10,0)</f>
        <v>70123</v>
      </c>
    </row>
    <row r="2788" spans="1:12" ht="15.6" outlineLevel="1">
      <c r="A2788" s="11">
        <v>1815770437</v>
      </c>
      <c r="B2788" s="40">
        <v>437</v>
      </c>
      <c r="C2788" s="109">
        <v>815770</v>
      </c>
      <c r="D2788" s="42">
        <v>1</v>
      </c>
      <c r="E2788" s="43"/>
      <c r="F2788" s="44" t="s">
        <v>38</v>
      </c>
      <c r="G2788" s="45" t="s">
        <v>29</v>
      </c>
      <c r="H2788" s="51">
        <f t="shared" si="43"/>
        <v>0</v>
      </c>
      <c r="I2788" s="47"/>
      <c r="J2788" s="48">
        <f>VLOOKUP(A2788,'[1]תקציב 2026'!$A$1:$M$65536,9,0)</f>
        <v>5000</v>
      </c>
      <c r="K2788" s="49">
        <f>VLOOKUP(A2788,[3]גיליון1!$A$1:$C$7693,3,0)</f>
        <v>5000</v>
      </c>
      <c r="L2788" s="50">
        <f>VLOOKUP(A2788,[2]data1761205830331!$A$1:$J$65536,10,0)</f>
        <v>4885.92</v>
      </c>
    </row>
    <row r="2789" spans="1:12" ht="15.6" outlineLevel="1">
      <c r="A2789" s="11">
        <v>1815770450</v>
      </c>
      <c r="B2789" s="40">
        <v>450</v>
      </c>
      <c r="C2789" s="109">
        <v>815770</v>
      </c>
      <c r="D2789" s="42">
        <v>1</v>
      </c>
      <c r="E2789" s="43"/>
      <c r="F2789" s="44" t="s">
        <v>1487</v>
      </c>
      <c r="G2789" s="45" t="s">
        <v>29</v>
      </c>
      <c r="H2789" s="51">
        <f t="shared" si="43"/>
        <v>5.6041464204729552E-2</v>
      </c>
      <c r="I2789" s="47"/>
      <c r="J2789" s="48">
        <f>VLOOKUP(A2789,'[1]תקציב 2026'!$A$1:$M$65536,9,0)</f>
        <v>32600</v>
      </c>
      <c r="K2789" s="49">
        <f>34300*0.9</f>
        <v>30870</v>
      </c>
      <c r="L2789" s="50">
        <f>VLOOKUP(A2789,[2]data1761205830331!$A$1:$J$65536,10,0)</f>
        <v>29687</v>
      </c>
    </row>
    <row r="2790" spans="1:12" ht="15.6" outlineLevel="1">
      <c r="A2790" s="11">
        <v>1815770451</v>
      </c>
      <c r="B2790" s="40">
        <v>451</v>
      </c>
      <c r="C2790" s="109">
        <v>815770</v>
      </c>
      <c r="D2790" s="42">
        <v>1</v>
      </c>
      <c r="E2790" s="43"/>
      <c r="F2790" s="44" t="s">
        <v>1384</v>
      </c>
      <c r="G2790" s="45" t="s">
        <v>29</v>
      </c>
      <c r="H2790" s="51">
        <f t="shared" si="43"/>
        <v>-9.0909090909090939E-2</v>
      </c>
      <c r="I2790" s="47"/>
      <c r="J2790" s="48">
        <f>VLOOKUP(A2790,'[1]תקציב 2026'!$A$1:$M$65536,9,0)</f>
        <v>300000</v>
      </c>
      <c r="K2790" s="49">
        <v>330000</v>
      </c>
      <c r="L2790" s="50">
        <f>VLOOKUP(A2790,[2]data1761205830331!$A$1:$J$65536,10,0)</f>
        <v>0</v>
      </c>
    </row>
    <row r="2791" spans="1:12" ht="15.6" outlineLevel="1">
      <c r="A2791" s="11">
        <v>1815770452</v>
      </c>
      <c r="B2791" s="40">
        <v>452</v>
      </c>
      <c r="C2791" s="109">
        <v>815770</v>
      </c>
      <c r="D2791" s="42">
        <v>1</v>
      </c>
      <c r="E2791" s="43"/>
      <c r="F2791" s="44" t="s">
        <v>381</v>
      </c>
      <c r="G2791" s="45" t="s">
        <v>29</v>
      </c>
      <c r="H2791" s="51">
        <f t="shared" si="43"/>
        <v>0</v>
      </c>
      <c r="I2791" s="47"/>
      <c r="J2791" s="48">
        <f>VLOOKUP(A2791,'[1]תקציב 2026'!$A$1:$M$65536,9,0)</f>
        <v>400000</v>
      </c>
      <c r="K2791" s="49">
        <v>400000</v>
      </c>
      <c r="L2791" s="50">
        <f>VLOOKUP(A2791,[2]data1761205830331!$A$1:$J$65536,10,0)</f>
        <v>0</v>
      </c>
    </row>
    <row r="2792" spans="1:12" ht="15.6" outlineLevel="1">
      <c r="A2792" s="11">
        <v>1815770511</v>
      </c>
      <c r="B2792" s="40">
        <v>511</v>
      </c>
      <c r="C2792" s="109">
        <v>815770</v>
      </c>
      <c r="D2792" s="42">
        <v>1</v>
      </c>
      <c r="E2792" s="43"/>
      <c r="F2792" s="44" t="s">
        <v>72</v>
      </c>
      <c r="G2792" s="45" t="s">
        <v>37</v>
      </c>
      <c r="H2792" s="51">
        <f t="shared" si="43"/>
        <v>0.14379084967320255</v>
      </c>
      <c r="I2792" s="47"/>
      <c r="J2792" s="48">
        <f>VLOOKUP(A2792,'[1]תקציב 2026'!$A$1:$M$65536,9,0)</f>
        <v>14000</v>
      </c>
      <c r="K2792" s="49">
        <f>13600*0.9</f>
        <v>12240</v>
      </c>
      <c r="L2792" s="50">
        <f>VLOOKUP(A2792,[2]data1761205830331!$A$1:$J$65536,10,0)</f>
        <v>13795.47</v>
      </c>
    </row>
    <row r="2793" spans="1:12" ht="15.6" outlineLevel="1">
      <c r="A2793" s="11">
        <v>1815770742</v>
      </c>
      <c r="B2793" s="40">
        <v>742</v>
      </c>
      <c r="C2793" s="109">
        <v>815770</v>
      </c>
      <c r="D2793" s="42">
        <v>1</v>
      </c>
      <c r="E2793" s="43"/>
      <c r="F2793" s="44" t="s">
        <v>52</v>
      </c>
      <c r="G2793" s="45" t="s">
        <v>29</v>
      </c>
      <c r="H2793" s="51">
        <f t="shared" si="43"/>
        <v>0.15147438053593443</v>
      </c>
      <c r="I2793" s="47"/>
      <c r="J2793" s="48">
        <f>VLOOKUP(A2793,'[1]תקציב 2026'!$A$1:$M$65536,9,0)</f>
        <v>102700</v>
      </c>
      <c r="K2793" s="49">
        <f>99100*0.9</f>
        <v>89190</v>
      </c>
      <c r="L2793" s="50">
        <f>VLOOKUP(A2793,[2]data1761205830331!$A$1:$J$65536,10,0)</f>
        <v>94815</v>
      </c>
    </row>
    <row r="2794" spans="1:12" ht="15.6" outlineLevel="1">
      <c r="A2794" s="11">
        <v>1815770750</v>
      </c>
      <c r="B2794" s="40">
        <v>750</v>
      </c>
      <c r="C2794" s="109">
        <v>815770</v>
      </c>
      <c r="D2794" s="42">
        <v>1</v>
      </c>
      <c r="E2794" s="43"/>
      <c r="F2794" s="44" t="s">
        <v>1351</v>
      </c>
      <c r="G2794" s="45" t="s">
        <v>29</v>
      </c>
      <c r="H2794" s="51">
        <f t="shared" si="43"/>
        <v>-0.20648360953187372</v>
      </c>
      <c r="I2794" s="47"/>
      <c r="J2794" s="48">
        <f>VLOOKUP(A2794,'[1]תקציב 2026'!$A$1:$M$65536,9,0)</f>
        <v>656000</v>
      </c>
      <c r="K2794" s="49">
        <v>826700</v>
      </c>
      <c r="L2794" s="50">
        <f>VLOOKUP(A2794,[2]data1761205830331!$A$1:$J$65536,10,0)</f>
        <v>649199</v>
      </c>
    </row>
    <row r="2795" spans="1:12" ht="15.6" outlineLevel="1">
      <c r="A2795" s="11">
        <v>1815770752</v>
      </c>
      <c r="B2795" s="40">
        <v>752</v>
      </c>
      <c r="C2795" s="109">
        <v>815770</v>
      </c>
      <c r="D2795" s="42">
        <v>1</v>
      </c>
      <c r="E2795" s="43"/>
      <c r="F2795" s="44" t="s">
        <v>54</v>
      </c>
      <c r="G2795" s="45" t="s">
        <v>29</v>
      </c>
      <c r="H2795" s="51">
        <f t="shared" si="43"/>
        <v>-2.9408359384045402E-2</v>
      </c>
      <c r="I2795" s="47"/>
      <c r="J2795" s="48">
        <f>VLOOKUP(A2795,'[1]תקציב 2026'!$A$1:$M$65536,9,0)</f>
        <v>838300</v>
      </c>
      <c r="K2795" s="49">
        <f>VLOOKUP(A2795,[3]גיליון1!$A$1:$C$7693,3,0)</f>
        <v>863700</v>
      </c>
      <c r="L2795" s="50">
        <f>VLOOKUP(A2795,[2]data1761205830331!$A$1:$J$65536,10,0)</f>
        <v>681999.53</v>
      </c>
    </row>
    <row r="2796" spans="1:12" ht="15.6" outlineLevel="1">
      <c r="A2796" s="11">
        <v>1815770759</v>
      </c>
      <c r="B2796" s="40">
        <v>759</v>
      </c>
      <c r="C2796" s="109">
        <v>815770</v>
      </c>
      <c r="D2796" s="42">
        <v>1</v>
      </c>
      <c r="E2796" s="43"/>
      <c r="F2796" s="44" t="s">
        <v>1332</v>
      </c>
      <c r="G2796" s="45" t="s">
        <v>22</v>
      </c>
      <c r="H2796" s="51">
        <f t="shared" si="43"/>
        <v>7.2792265821756352E-2</v>
      </c>
      <c r="I2796" s="47"/>
      <c r="J2796" s="48">
        <f>VLOOKUP(A2796,'[1]תקציב 2026'!$A$1:$M$65536,9,0)</f>
        <v>1320500</v>
      </c>
      <c r="K2796" s="49">
        <v>1230900</v>
      </c>
      <c r="L2796" s="50">
        <f>VLOOKUP(A2796,[2]data1761205830331!$A$1:$J$65536,10,0)</f>
        <v>1024669.65</v>
      </c>
    </row>
    <row r="2797" spans="1:12" ht="15.6" outlineLevel="1">
      <c r="A2797" s="11">
        <v>1815770762</v>
      </c>
      <c r="B2797" s="40">
        <v>762</v>
      </c>
      <c r="C2797" s="109">
        <v>815770</v>
      </c>
      <c r="D2797" s="42">
        <v>1</v>
      </c>
      <c r="E2797" s="43"/>
      <c r="F2797" s="44" t="s">
        <v>1496</v>
      </c>
      <c r="G2797" s="45" t="s">
        <v>22</v>
      </c>
      <c r="H2797" s="51">
        <f t="shared" si="43"/>
        <v>1.2321428571428572</v>
      </c>
      <c r="I2797" s="47"/>
      <c r="J2797" s="48">
        <f>VLOOKUP(A2797,'[1]תקציב 2026'!$A$1:$M$65536,9,0)</f>
        <v>1000000</v>
      </c>
      <c r="K2797" s="49">
        <f>VLOOKUP(A2797,[3]גיליון1!$A$1:$C$7693,3,0)</f>
        <v>448000</v>
      </c>
      <c r="L2797" s="50">
        <f>VLOOKUP(A2797,[2]data1761205830331!$A$1:$J$65536,10,0)</f>
        <v>622693.98</v>
      </c>
    </row>
    <row r="2798" spans="1:12" ht="15.6" outlineLevel="1">
      <c r="A2798" s="11">
        <v>1815770780</v>
      </c>
      <c r="B2798" s="40">
        <v>780</v>
      </c>
      <c r="C2798" s="109">
        <v>815770</v>
      </c>
      <c r="D2798" s="42">
        <v>1</v>
      </c>
      <c r="E2798" s="43"/>
      <c r="F2798" s="44" t="s">
        <v>1489</v>
      </c>
      <c r="G2798" s="45" t="s">
        <v>29</v>
      </c>
      <c r="H2798" s="51">
        <f t="shared" si="43"/>
        <v>7.344632768361592E-2</v>
      </c>
      <c r="I2798" s="47"/>
      <c r="J2798" s="48">
        <f>VLOOKUP(A2798,'[1]תקציב 2026'!$A$1:$M$65536,9,0)</f>
        <v>19000</v>
      </c>
      <c r="K2798" s="49">
        <v>17700</v>
      </c>
      <c r="L2798" s="50">
        <f>VLOOKUP(A2798,[2]data1761205830331!$A$1:$J$65536,10,0)</f>
        <v>17675</v>
      </c>
    </row>
    <row r="2799" spans="1:12" ht="15.6" outlineLevel="1">
      <c r="A2799" s="11">
        <v>1815770781</v>
      </c>
      <c r="B2799" s="40">
        <v>781</v>
      </c>
      <c r="C2799" s="109">
        <v>815770</v>
      </c>
      <c r="D2799" s="42">
        <v>1</v>
      </c>
      <c r="E2799" s="43"/>
      <c r="F2799" s="44" t="s">
        <v>1511</v>
      </c>
      <c r="G2799" s="45" t="s">
        <v>29</v>
      </c>
      <c r="H2799" s="51">
        <f t="shared" si="43"/>
        <v>0</v>
      </c>
      <c r="I2799" s="47"/>
      <c r="J2799" s="48">
        <f>VLOOKUP(A2799,'[1]תקציב 2026'!$A$1:$M$65536,9,0)</f>
        <v>150000</v>
      </c>
      <c r="K2799" s="49">
        <v>150000</v>
      </c>
      <c r="L2799" s="50">
        <f>VLOOKUP(A2799,[2]data1761205830331!$A$1:$J$65536,10,0)</f>
        <v>137500</v>
      </c>
    </row>
    <row r="2800" spans="1:12" ht="15.6" outlineLevel="1">
      <c r="A2800" s="11">
        <v>1815770782</v>
      </c>
      <c r="B2800" s="40">
        <v>782</v>
      </c>
      <c r="C2800" s="109">
        <v>815770</v>
      </c>
      <c r="D2800" s="42">
        <v>1</v>
      </c>
      <c r="E2800" s="43"/>
      <c r="F2800" s="44" t="s">
        <v>1512</v>
      </c>
      <c r="G2800" s="45" t="s">
        <v>29</v>
      </c>
      <c r="H2800" s="51">
        <f t="shared" si="43"/>
        <v>0</v>
      </c>
      <c r="I2800" s="47"/>
      <c r="J2800" s="48">
        <f>VLOOKUP(A2800,'[1]תקציב 2026'!$A$1:$M$65536,9,0)</f>
        <v>40000</v>
      </c>
      <c r="K2800" s="49">
        <v>40000</v>
      </c>
      <c r="L2800" s="50">
        <f>VLOOKUP(A2800,[2]data1761205830331!$A$1:$J$65536,10,0)</f>
        <v>1001</v>
      </c>
    </row>
    <row r="2801" spans="1:12" ht="15.6" outlineLevel="1">
      <c r="A2801" s="11">
        <v>1815770794</v>
      </c>
      <c r="B2801" s="40">
        <v>794</v>
      </c>
      <c r="C2801" s="109">
        <v>815770</v>
      </c>
      <c r="D2801" s="42">
        <v>1</v>
      </c>
      <c r="E2801" s="43"/>
      <c r="F2801" s="44" t="s">
        <v>58</v>
      </c>
      <c r="G2801" s="45" t="s">
        <v>29</v>
      </c>
      <c r="H2801" s="51">
        <f t="shared" si="43"/>
        <v>0.10588235294117654</v>
      </c>
      <c r="I2801" s="47"/>
      <c r="J2801" s="48">
        <f>VLOOKUP(A2801,'[1]תקציב 2026'!$A$1:$M$65536,9,0)</f>
        <v>9400</v>
      </c>
      <c r="K2801" s="49">
        <v>8500</v>
      </c>
      <c r="L2801" s="50">
        <f>VLOOKUP(A2801,[2]data1761205830331!$A$1:$J$65536,10,0)</f>
        <v>19920</v>
      </c>
    </row>
    <row r="2802" spans="1:12" ht="15.6" outlineLevel="1">
      <c r="A2802" s="11">
        <v>1815770810</v>
      </c>
      <c r="B2802" s="40">
        <v>810</v>
      </c>
      <c r="C2802" s="109">
        <v>815770</v>
      </c>
      <c r="D2802" s="42">
        <v>1</v>
      </c>
      <c r="E2802" s="43"/>
      <c r="F2802" s="44" t="s">
        <v>1490</v>
      </c>
      <c r="G2802" s="45" t="s">
        <v>29</v>
      </c>
      <c r="H2802" s="51">
        <f t="shared" si="43"/>
        <v>-1</v>
      </c>
      <c r="I2802" s="47"/>
      <c r="J2802" s="48">
        <f>VLOOKUP(A2802,'[1]תקציב 2026'!$A$1:$M$65536,9,0)</f>
        <v>0</v>
      </c>
      <c r="K2802" s="49">
        <f>138700*0.9</f>
        <v>124830</v>
      </c>
      <c r="L2802" s="50">
        <f>VLOOKUP(A2802,[2]data1761205830331!$A$1:$J$65536,10,0)</f>
        <v>0</v>
      </c>
    </row>
    <row r="2803" spans="1:12" ht="15.6" outlineLevel="1">
      <c r="A2803" s="11">
        <v>1815770812</v>
      </c>
      <c r="B2803" s="40">
        <v>812</v>
      </c>
      <c r="C2803" s="109">
        <v>815770</v>
      </c>
      <c r="D2803" s="42">
        <v>1</v>
      </c>
      <c r="E2803" s="43"/>
      <c r="F2803" s="44" t="s">
        <v>296</v>
      </c>
      <c r="G2803" s="45" t="s">
        <v>29</v>
      </c>
      <c r="H2803" s="51">
        <f t="shared" si="43"/>
        <v>0.67407407407407405</v>
      </c>
      <c r="I2803" s="47"/>
      <c r="J2803" s="48">
        <f>VLOOKUP(A2803,'[1]תקציב 2026'!$A$1:$M$65536,9,0)</f>
        <v>45200</v>
      </c>
      <c r="K2803" s="49">
        <f>VLOOKUP(A2803,[3]גיליון1!$A$1:$C$7693,3,0)*0.9</f>
        <v>27000</v>
      </c>
      <c r="L2803" s="50">
        <f>VLOOKUP(A2803,[2]data1761205830331!$A$1:$J$65536,10,0)</f>
        <v>33484</v>
      </c>
    </row>
    <row r="2804" spans="1:12" ht="15.6" outlineLevel="1">
      <c r="A2804" s="11">
        <v>1815770953</v>
      </c>
      <c r="B2804" s="40">
        <v>953</v>
      </c>
      <c r="C2804" s="109">
        <v>815770</v>
      </c>
      <c r="D2804" s="42">
        <v>1</v>
      </c>
      <c r="E2804" s="43"/>
      <c r="F2804" s="44" t="s">
        <v>277</v>
      </c>
      <c r="G2804" s="45" t="s">
        <v>29</v>
      </c>
      <c r="H2804" s="51">
        <f t="shared" si="43"/>
        <v>6.25E-2</v>
      </c>
      <c r="I2804" s="47"/>
      <c r="J2804" s="48">
        <f>VLOOKUP(A2804,'[1]תקציב 2026'!$A$1:$M$65536,9,0)</f>
        <v>1700000</v>
      </c>
      <c r="K2804" s="49">
        <v>1600000</v>
      </c>
      <c r="L2804" s="50">
        <f>VLOOKUP(A2804,[2]data1761205830331!$A$1:$J$65536,10,0)</f>
        <v>1868030.7</v>
      </c>
    </row>
    <row r="2805" spans="1:12" ht="16.2" outlineLevel="1" thickBot="1">
      <c r="A2805" s="11">
        <v>1815770989</v>
      </c>
      <c r="B2805" s="40">
        <v>989</v>
      </c>
      <c r="C2805" s="109">
        <v>815770</v>
      </c>
      <c r="D2805" s="42">
        <v>1</v>
      </c>
      <c r="E2805" s="43"/>
      <c r="F2805" s="44" t="s">
        <v>1491</v>
      </c>
      <c r="G2805" s="45" t="s">
        <v>29</v>
      </c>
      <c r="H2805" s="51">
        <f t="shared" si="43"/>
        <v>5.4517480686133268E-2</v>
      </c>
      <c r="I2805" s="47"/>
      <c r="J2805" s="48">
        <f>VLOOKUP(A2805,'[1]תקציב 2026'!$A$1:$M$65536,9,0)</f>
        <v>1610670</v>
      </c>
      <c r="K2805" s="49">
        <v>1527400</v>
      </c>
      <c r="L2805" s="50">
        <f>VLOOKUP(A2805,[2]data1761205830331!$A$1:$J$65536,10,0)</f>
        <v>1353289</v>
      </c>
    </row>
    <row r="2806" spans="1:12" ht="16.2" thickBot="1">
      <c r="A2806" s="11" t="e">
        <v>#VALUE!</v>
      </c>
      <c r="B2806" s="53" t="s">
        <v>1513</v>
      </c>
      <c r="C2806" s="223"/>
      <c r="D2806" s="55"/>
      <c r="E2806" s="56"/>
      <c r="F2806" s="116" t="s">
        <v>405</v>
      </c>
      <c r="G2806" s="58"/>
      <c r="H2806" s="71">
        <f>J2806/K2806-1</f>
        <v>5.4520746337464621E-2</v>
      </c>
      <c r="I2806" s="72"/>
      <c r="J2806" s="74">
        <f>SUBTOTAL(9,J2775:J2805)</f>
        <v>28455230</v>
      </c>
      <c r="K2806" s="92">
        <f>SUBTOTAL(9,K2775:K2805)</f>
        <v>26984040</v>
      </c>
      <c r="L2806" s="75">
        <f>SUBTOTAL(9,L2775:L2805)</f>
        <v>24901677.600000001</v>
      </c>
    </row>
    <row r="2807" spans="1:12" ht="15.6" outlineLevel="1">
      <c r="A2807" s="11">
        <v>18157800</v>
      </c>
      <c r="B2807" s="40">
        <v>0</v>
      </c>
      <c r="C2807" s="109">
        <v>815780</v>
      </c>
      <c r="D2807" s="42">
        <v>1</v>
      </c>
      <c r="E2807" s="43"/>
      <c r="F2807" s="44" t="s">
        <v>1514</v>
      </c>
      <c r="G2807" s="45" t="s">
        <v>15</v>
      </c>
      <c r="H2807" s="51"/>
      <c r="I2807" s="47"/>
      <c r="J2807" s="48"/>
      <c r="K2807" s="49"/>
      <c r="L2807" s="50"/>
    </row>
    <row r="2808" spans="1:12" ht="16.2" outlineLevel="1" thickBot="1">
      <c r="A2808" s="11">
        <v>1815780781</v>
      </c>
      <c r="B2808" s="40">
        <v>781</v>
      </c>
      <c r="C2808" s="109">
        <v>815780</v>
      </c>
      <c r="D2808" s="42">
        <v>1</v>
      </c>
      <c r="E2808" s="43"/>
      <c r="F2808" s="44" t="s">
        <v>1515</v>
      </c>
      <c r="G2808" s="45" t="s">
        <v>29</v>
      </c>
      <c r="H2808" s="51">
        <f t="shared" ref="H2808:H2871" si="44">J2808/K2808-1</f>
        <v>0.11638537271448657</v>
      </c>
      <c r="I2808" s="47"/>
      <c r="J2808" s="48">
        <f>VLOOKUP(A2808,'[1]תקציב 2026'!$A$1:$M$65536,9,0)</f>
        <v>635000</v>
      </c>
      <c r="K2808" s="49">
        <f>VLOOKUP(A2808,[3]גיליון1!$A$1:$C$7693,3,0)*0.9</f>
        <v>568800</v>
      </c>
      <c r="L2808" s="50">
        <f>VLOOKUP(A2808,[2]data1761205830331!$A$1:$J$65536,10,0)</f>
        <v>635310.56000000006</v>
      </c>
    </row>
    <row r="2809" spans="1:12" ht="16.2" thickBot="1">
      <c r="A2809" s="11" t="e">
        <v>#VALUE!</v>
      </c>
      <c r="B2809" s="53" t="s">
        <v>1516</v>
      </c>
      <c r="C2809" s="223"/>
      <c r="D2809" s="55"/>
      <c r="E2809" s="56"/>
      <c r="F2809" s="116" t="s">
        <v>1514</v>
      </c>
      <c r="G2809" s="58"/>
      <c r="H2809" s="166">
        <f>J2809/K2809-1</f>
        <v>0.11638537271448657</v>
      </c>
      <c r="I2809" s="92"/>
      <c r="J2809" s="74">
        <f>SUBTOTAL(9,J2808:J2808)</f>
        <v>635000</v>
      </c>
      <c r="K2809" s="92">
        <f>SUBTOTAL(9,K2808:K2808)</f>
        <v>568800</v>
      </c>
      <c r="L2809" s="75">
        <f>SUBTOTAL(9,L2808:L2808)</f>
        <v>635310.56000000006</v>
      </c>
    </row>
    <row r="2810" spans="1:12" ht="15.6" outlineLevel="1">
      <c r="A2810" s="11">
        <v>18157900</v>
      </c>
      <c r="B2810" s="40">
        <v>0</v>
      </c>
      <c r="C2810" s="109">
        <v>815790</v>
      </c>
      <c r="D2810" s="42">
        <v>1</v>
      </c>
      <c r="E2810" s="43"/>
      <c r="F2810" s="44" t="s">
        <v>1517</v>
      </c>
      <c r="G2810" s="45" t="s">
        <v>15</v>
      </c>
      <c r="H2810" s="51"/>
      <c r="I2810" s="47"/>
      <c r="J2810" s="48"/>
      <c r="K2810" s="49"/>
      <c r="L2810" s="50"/>
    </row>
    <row r="2811" spans="1:12" ht="15.6" outlineLevel="1">
      <c r="A2811" s="11">
        <v>1815790119</v>
      </c>
      <c r="B2811" s="40">
        <v>119</v>
      </c>
      <c r="C2811" s="109">
        <v>815790</v>
      </c>
      <c r="D2811" s="42">
        <v>1</v>
      </c>
      <c r="E2811" s="43"/>
      <c r="F2811" s="44" t="s">
        <v>23</v>
      </c>
      <c r="G2811" s="45" t="s">
        <v>22</v>
      </c>
      <c r="H2811" s="51">
        <f t="shared" si="44"/>
        <v>2.4999999999999911E-2</v>
      </c>
      <c r="I2811" s="47"/>
      <c r="J2811" s="48">
        <f>VLOOKUP(A2811,'[1]תקציב 2026'!$A$1:$M$65536,9,0)</f>
        <v>177939.99999999997</v>
      </c>
      <c r="K2811" s="49">
        <v>173600</v>
      </c>
      <c r="L2811" s="50">
        <f>VLOOKUP(A2811,[2]data1761205830331!$A$1:$J$65536,10,0)</f>
        <v>67354.75</v>
      </c>
    </row>
    <row r="2812" spans="1:12" ht="15.6" outlineLevel="1">
      <c r="A2812" s="11">
        <v>1815790122</v>
      </c>
      <c r="B2812" s="40">
        <v>122</v>
      </c>
      <c r="C2812" s="109">
        <v>815790</v>
      </c>
      <c r="D2812" s="42">
        <v>1</v>
      </c>
      <c r="E2812" s="43"/>
      <c r="F2812" s="44" t="s">
        <v>24</v>
      </c>
      <c r="G2812" s="45" t="s">
        <v>22</v>
      </c>
      <c r="H2812" s="51">
        <f t="shared" si="44"/>
        <v>0</v>
      </c>
      <c r="I2812" s="47"/>
      <c r="J2812" s="48">
        <f>VLOOKUP(A2812,'[1]תקציב 2026'!$A$1:$M$65536,9,0)</f>
        <v>1000</v>
      </c>
      <c r="K2812" s="49">
        <f>VLOOKUP(A2812,[3]גיליון1!$A$1:$C$7693,3,0)</f>
        <v>1000</v>
      </c>
      <c r="L2812" s="50">
        <f>VLOOKUP(A2812,[2]data1761205830331!$A$1:$J$65536,10,0)</f>
        <v>962</v>
      </c>
    </row>
    <row r="2813" spans="1:12" ht="16.2" outlineLevel="1" thickBot="1">
      <c r="A2813" s="11">
        <v>1815790126</v>
      </c>
      <c r="B2813" s="40">
        <v>126</v>
      </c>
      <c r="C2813" s="109">
        <v>815790</v>
      </c>
      <c r="D2813" s="42">
        <v>1</v>
      </c>
      <c r="E2813" s="43"/>
      <c r="F2813" s="44" t="s">
        <v>25</v>
      </c>
      <c r="G2813" s="45" t="s">
        <v>22</v>
      </c>
      <c r="H2813" s="51">
        <v>1</v>
      </c>
      <c r="I2813" s="47"/>
      <c r="J2813" s="48">
        <f>VLOOKUP(A2813,'[1]תקציב 2026'!$A$1:$M$65536,9,0)</f>
        <v>2300</v>
      </c>
      <c r="K2813" s="49">
        <f>VLOOKUP(A2813,[3]גיליון1!$A$1:$C$7693,3,0)</f>
        <v>0</v>
      </c>
      <c r="L2813" s="50">
        <f>VLOOKUP(A2813,[2]data1761205830331!$A$1:$J$65536,10,0)</f>
        <v>0</v>
      </c>
    </row>
    <row r="2814" spans="1:12" ht="16.2" thickBot="1">
      <c r="A2814" s="11" t="e">
        <v>#VALUE!</v>
      </c>
      <c r="B2814" s="53" t="s">
        <v>1518</v>
      </c>
      <c r="C2814" s="223"/>
      <c r="D2814" s="55"/>
      <c r="E2814" s="56"/>
      <c r="F2814" s="116" t="s">
        <v>1517</v>
      </c>
      <c r="G2814" s="58"/>
      <c r="H2814" s="71">
        <f>J2814/K2814-1</f>
        <v>3.8029782359679132E-2</v>
      </c>
      <c r="I2814" s="72"/>
      <c r="J2814" s="74">
        <f>SUBTOTAL(9,J2811:J2813)</f>
        <v>181239.99999999997</v>
      </c>
      <c r="K2814" s="92">
        <f>SUBTOTAL(9,K2811:K2813)</f>
        <v>174600</v>
      </c>
      <c r="L2814" s="75">
        <f>SUBTOTAL(9,L2811:L2813)</f>
        <v>68316.75</v>
      </c>
    </row>
    <row r="2815" spans="1:12" ht="15.6" outlineLevel="1">
      <c r="A2815" s="11">
        <v>18158000</v>
      </c>
      <c r="B2815" s="64">
        <v>0</v>
      </c>
      <c r="C2815" s="131">
        <v>815800</v>
      </c>
      <c r="D2815" s="66">
        <v>1</v>
      </c>
      <c r="E2815" s="67"/>
      <c r="F2815" s="68" t="s">
        <v>408</v>
      </c>
      <c r="G2815" s="69" t="s">
        <v>15</v>
      </c>
      <c r="H2815" s="51"/>
      <c r="I2815" s="47"/>
      <c r="J2815" s="48"/>
      <c r="K2815" s="49"/>
      <c r="L2815" s="50"/>
    </row>
    <row r="2816" spans="1:12" ht="15.6" outlineLevel="1">
      <c r="A2816" s="11">
        <v>1815800110</v>
      </c>
      <c r="B2816" s="40">
        <v>110</v>
      </c>
      <c r="C2816" s="109">
        <v>815800</v>
      </c>
      <c r="D2816" s="42">
        <v>1</v>
      </c>
      <c r="E2816" s="43"/>
      <c r="F2816" s="44" t="s">
        <v>21</v>
      </c>
      <c r="G2816" s="45" t="s">
        <v>22</v>
      </c>
      <c r="H2816" s="51">
        <f t="shared" si="44"/>
        <v>2.4999999999999911E-2</v>
      </c>
      <c r="I2816" s="47"/>
      <c r="J2816" s="48">
        <f>VLOOKUP(A2816,'[1]תקציב 2026'!$A$1:$M$65536,9,0)</f>
        <v>252149.99999999997</v>
      </c>
      <c r="K2816" s="49">
        <f>VLOOKUP(A2816,[3]גיליון1!$A$1:$C$7693,3,0)</f>
        <v>246000</v>
      </c>
      <c r="L2816" s="50">
        <f>VLOOKUP(A2816,[2]data1761205830331!$A$1:$J$65536,10,0)</f>
        <v>163782.75</v>
      </c>
    </row>
    <row r="2817" spans="1:12" ht="15.6" outlineLevel="1">
      <c r="A2817" s="11">
        <v>1815800118</v>
      </c>
      <c r="B2817" s="40">
        <v>118</v>
      </c>
      <c r="C2817" s="109">
        <v>815800</v>
      </c>
      <c r="D2817" s="42">
        <v>1</v>
      </c>
      <c r="E2817" s="43"/>
      <c r="F2817" s="155" t="s">
        <v>1483</v>
      </c>
      <c r="G2817" s="45" t="s">
        <v>22</v>
      </c>
      <c r="H2817" s="51">
        <f t="shared" si="44"/>
        <v>-4.3802952222901537E-2</v>
      </c>
      <c r="I2817" s="47"/>
      <c r="J2817" s="48">
        <f>VLOOKUP(A2817,'[1]תקציב 2026'!$A$1:$M$65536,9,0)</f>
        <v>13137000</v>
      </c>
      <c r="K2817" s="49">
        <v>13738800</v>
      </c>
      <c r="L2817" s="50">
        <f>VLOOKUP(A2817,[2]data1761205830331!$A$1:$J$65536,10,0)</f>
        <v>13927255.35</v>
      </c>
    </row>
    <row r="2818" spans="1:12" ht="15.6" outlineLevel="1">
      <c r="A2818" s="11">
        <v>1815800119</v>
      </c>
      <c r="B2818" s="40">
        <v>119</v>
      </c>
      <c r="C2818" s="109">
        <v>815800</v>
      </c>
      <c r="D2818" s="42">
        <v>1</v>
      </c>
      <c r="E2818" s="43"/>
      <c r="F2818" s="44" t="s">
        <v>23</v>
      </c>
      <c r="G2818" s="45" t="s">
        <v>22</v>
      </c>
      <c r="H2818" s="51">
        <f t="shared" si="44"/>
        <v>4.1641446894365108E-2</v>
      </c>
      <c r="I2818" s="47"/>
      <c r="J2818" s="48">
        <f>VLOOKUP(A2818,'[1]תקציב 2026'!$A$1:$M$65536,9,0)</f>
        <v>1445590</v>
      </c>
      <c r="K2818" s="49">
        <f>1267800+120000</f>
        <v>1387800</v>
      </c>
      <c r="L2818" s="50">
        <f>VLOOKUP(A2818,[2]data1761205830331!$A$1:$J$65536,10,0)</f>
        <v>1419993.51</v>
      </c>
    </row>
    <row r="2819" spans="1:12" ht="15.6" outlineLevel="1">
      <c r="A2819" s="11">
        <v>1815800122</v>
      </c>
      <c r="B2819" s="40">
        <v>122</v>
      </c>
      <c r="C2819" s="109">
        <v>815800</v>
      </c>
      <c r="D2819" s="42">
        <v>1</v>
      </c>
      <c r="E2819" s="43"/>
      <c r="F2819" s="44" t="s">
        <v>24</v>
      </c>
      <c r="G2819" s="45" t="s">
        <v>22</v>
      </c>
      <c r="H2819" s="51">
        <f t="shared" si="44"/>
        <v>0</v>
      </c>
      <c r="I2819" s="47"/>
      <c r="J2819" s="48">
        <f>VLOOKUP(A2819,'[1]תקציב 2026'!$A$1:$M$65536,9,0)</f>
        <v>144000</v>
      </c>
      <c r="K2819" s="49">
        <f>VLOOKUP(A2819,[3]גיליון1!$A$1:$C$7693,3,0)</f>
        <v>144000</v>
      </c>
      <c r="L2819" s="50">
        <f>VLOOKUP(A2819,[2]data1761205830331!$A$1:$J$65536,10,0)</f>
        <v>145204.31</v>
      </c>
    </row>
    <row r="2820" spans="1:12" ht="15.6" outlineLevel="1">
      <c r="A2820" s="11">
        <v>1815800126</v>
      </c>
      <c r="B2820" s="40">
        <v>126</v>
      </c>
      <c r="C2820" s="109">
        <v>815800</v>
      </c>
      <c r="D2820" s="42">
        <v>1</v>
      </c>
      <c r="E2820" s="43"/>
      <c r="F2820" s="44" t="s">
        <v>25</v>
      </c>
      <c r="G2820" s="45" t="s">
        <v>22</v>
      </c>
      <c r="H2820" s="51">
        <f t="shared" si="44"/>
        <v>0</v>
      </c>
      <c r="I2820" s="47"/>
      <c r="J2820" s="48">
        <f>VLOOKUP(A2820,'[1]תקציב 2026'!$A$1:$M$65536,9,0)</f>
        <v>295100</v>
      </c>
      <c r="K2820" s="49">
        <f>VLOOKUP(A2820,[3]גיליון1!$A$1:$C$7693,3,0)</f>
        <v>295100</v>
      </c>
      <c r="L2820" s="50">
        <f>VLOOKUP(A2820,[2]data1761205830331!$A$1:$J$65536,10,0)</f>
        <v>294719.37</v>
      </c>
    </row>
    <row r="2821" spans="1:12" ht="15.6" outlineLevel="1">
      <c r="A2821" s="11">
        <v>1815800130</v>
      </c>
      <c r="B2821" s="40">
        <v>130</v>
      </c>
      <c r="C2821" s="109">
        <v>815800</v>
      </c>
      <c r="D2821" s="42">
        <v>1</v>
      </c>
      <c r="E2821" s="43"/>
      <c r="F2821" s="44" t="s">
        <v>26</v>
      </c>
      <c r="G2821" s="45" t="s">
        <v>22</v>
      </c>
      <c r="H2821" s="51">
        <f t="shared" si="44"/>
        <v>0</v>
      </c>
      <c r="I2821" s="47"/>
      <c r="J2821" s="48">
        <f>VLOOKUP(A2821,'[1]תקציב 2026'!$A$1:$M$65536,9,0)</f>
        <v>10320</v>
      </c>
      <c r="K2821" s="49">
        <f>VLOOKUP(A2821,[3]גיליון1!$A$1:$C$7693,3,0)*0.86</f>
        <v>10320</v>
      </c>
      <c r="L2821" s="50">
        <f>VLOOKUP(A2821,[2]data1761205830331!$A$1:$J$65536,10,0)</f>
        <v>6533.77</v>
      </c>
    </row>
    <row r="2822" spans="1:12" ht="15.6" outlineLevel="1">
      <c r="A2822" s="11">
        <v>1815800140</v>
      </c>
      <c r="B2822" s="40">
        <v>140</v>
      </c>
      <c r="C2822" s="109">
        <v>815800</v>
      </c>
      <c r="D2822" s="42">
        <v>1</v>
      </c>
      <c r="E2822" s="43"/>
      <c r="F2822" s="44" t="s">
        <v>27</v>
      </c>
      <c r="G2822" s="45" t="s">
        <v>22</v>
      </c>
      <c r="H2822" s="51">
        <f t="shared" si="44"/>
        <v>0</v>
      </c>
      <c r="I2822" s="47"/>
      <c r="J2822" s="48">
        <f>VLOOKUP(A2822,'[1]תקציב 2026'!$A$1:$M$65536,9,0)</f>
        <v>56000</v>
      </c>
      <c r="K2822" s="49">
        <f>VLOOKUP(A2822,[3]גיליון1!$A$1:$C$7693,3,0)</f>
        <v>56000</v>
      </c>
      <c r="L2822" s="50">
        <f>VLOOKUP(A2822,[2]data1761205830331!$A$1:$J$65536,10,0)</f>
        <v>57118.26</v>
      </c>
    </row>
    <row r="2823" spans="1:12" ht="15.6" outlineLevel="1">
      <c r="A2823" s="11">
        <v>1815800212</v>
      </c>
      <c r="B2823" s="40">
        <v>212</v>
      </c>
      <c r="C2823" s="109">
        <v>815800</v>
      </c>
      <c r="D2823" s="42">
        <v>1</v>
      </c>
      <c r="E2823" s="43"/>
      <c r="F2823" s="44" t="s">
        <v>1519</v>
      </c>
      <c r="G2823" s="45" t="s">
        <v>22</v>
      </c>
      <c r="H2823" s="51">
        <v>0</v>
      </c>
      <c r="I2823" s="47"/>
      <c r="J2823" s="48">
        <f>VLOOKUP(A2823,'[1]תקציב 2026'!$A$1:$M$65536,9,0)</f>
        <v>0</v>
      </c>
      <c r="K2823" s="49">
        <v>0</v>
      </c>
      <c r="L2823" s="50">
        <f>VLOOKUP(A2823,[2]data1761205830331!$A$1:$J$65536,10,0)</f>
        <v>9807.26</v>
      </c>
    </row>
    <row r="2824" spans="1:12" ht="15.6" outlineLevel="1">
      <c r="A2824" s="11">
        <v>1815800213</v>
      </c>
      <c r="B2824" s="40">
        <v>213</v>
      </c>
      <c r="C2824" s="109">
        <v>815800</v>
      </c>
      <c r="D2824" s="42">
        <v>1</v>
      </c>
      <c r="E2824" s="43"/>
      <c r="F2824" s="44" t="s">
        <v>385</v>
      </c>
      <c r="G2824" s="45" t="s">
        <v>22</v>
      </c>
      <c r="H2824" s="51">
        <v>0</v>
      </c>
      <c r="I2824" s="47"/>
      <c r="J2824" s="48">
        <f>VLOOKUP(A2824,'[1]תקציב 2026'!$A$1:$M$65536,9,0)</f>
        <v>0</v>
      </c>
      <c r="K2824" s="49">
        <f>VLOOKUP(A2824,[3]גיליון1!$A$1:$C$7693,3,0)</f>
        <v>0</v>
      </c>
      <c r="L2824" s="50">
        <f>VLOOKUP(A2824,[2]data1761205830331!$A$1:$J$65536,10,0)</f>
        <v>2.2999999999999998</v>
      </c>
    </row>
    <row r="2825" spans="1:12" ht="15.6" outlineLevel="1">
      <c r="A2825" s="11">
        <v>1815800214</v>
      </c>
      <c r="B2825" s="40">
        <v>214</v>
      </c>
      <c r="C2825" s="109">
        <v>815800</v>
      </c>
      <c r="D2825" s="42">
        <v>1</v>
      </c>
      <c r="E2825" s="43"/>
      <c r="F2825" s="44" t="s">
        <v>1484</v>
      </c>
      <c r="G2825" s="45" t="s">
        <v>22</v>
      </c>
      <c r="H2825" s="51">
        <v>0</v>
      </c>
      <c r="I2825" s="47"/>
      <c r="J2825" s="48">
        <f>VLOOKUP(A2825,'[1]תקציב 2026'!$A$1:$M$65536,9,0)</f>
        <v>0</v>
      </c>
      <c r="K2825" s="49">
        <v>0</v>
      </c>
      <c r="L2825" s="50">
        <f>VLOOKUP(A2825,[2]data1761205830331!$A$1:$J$65536,10,0)</f>
        <v>6495.41</v>
      </c>
    </row>
    <row r="2826" spans="1:12" ht="15.6" outlineLevel="1">
      <c r="A2826" s="11">
        <v>1815800216</v>
      </c>
      <c r="B2826" s="40">
        <v>216</v>
      </c>
      <c r="C2826" s="109">
        <v>815800</v>
      </c>
      <c r="D2826" s="42">
        <v>1</v>
      </c>
      <c r="E2826" s="43"/>
      <c r="F2826" s="44" t="s">
        <v>1520</v>
      </c>
      <c r="G2826" s="45" t="s">
        <v>22</v>
      </c>
      <c r="H2826" s="51">
        <f t="shared" si="44"/>
        <v>0</v>
      </c>
      <c r="I2826" s="47"/>
      <c r="J2826" s="48">
        <f>VLOOKUP(A2826,'[1]תקציב 2026'!$A$1:$M$65536,9,0)</f>
        <v>30000</v>
      </c>
      <c r="K2826" s="49">
        <f>VLOOKUP(A2826,[3]גיליון1!$A$1:$C$7693,3,0)</f>
        <v>30000</v>
      </c>
      <c r="L2826" s="50">
        <f>VLOOKUP(A2826,[2]data1761205830331!$A$1:$J$65536,10,0)</f>
        <v>10250.17</v>
      </c>
    </row>
    <row r="2827" spans="1:12" ht="15.6" outlineLevel="1">
      <c r="A2827" s="11">
        <v>1815800250</v>
      </c>
      <c r="B2827" s="40">
        <v>250</v>
      </c>
      <c r="C2827" s="109">
        <v>815800</v>
      </c>
      <c r="D2827" s="42">
        <v>1</v>
      </c>
      <c r="E2827" s="43"/>
      <c r="F2827" s="154" t="s">
        <v>1486</v>
      </c>
      <c r="G2827" s="45" t="s">
        <v>22</v>
      </c>
      <c r="H2827" s="51">
        <f t="shared" si="44"/>
        <v>-0.80996621621621623</v>
      </c>
      <c r="I2827" s="47"/>
      <c r="J2827" s="48">
        <f>VLOOKUP(A2827,'[1]תקציב 2026'!$A$1:$M$65536,9,0)</f>
        <v>90000</v>
      </c>
      <c r="K2827" s="49">
        <f>VLOOKUP(A2827,[3]גיליון1!$A$1:$C$7693,3,0)</f>
        <v>473600</v>
      </c>
      <c r="L2827" s="50">
        <f>VLOOKUP(A2827,[2]data1761205830331!$A$1:$J$65536,10,0)</f>
        <v>196046.3</v>
      </c>
    </row>
    <row r="2828" spans="1:12" ht="15.6" outlineLevel="1">
      <c r="A2828" s="11">
        <v>1815800350</v>
      </c>
      <c r="B2828" s="40">
        <v>350</v>
      </c>
      <c r="C2828" s="109">
        <v>815800</v>
      </c>
      <c r="D2828" s="42">
        <v>1</v>
      </c>
      <c r="E2828" s="43"/>
      <c r="F2828" s="44" t="s">
        <v>1521</v>
      </c>
      <c r="G2828" s="45" t="s">
        <v>22</v>
      </c>
      <c r="H2828" s="51">
        <f t="shared" si="44"/>
        <v>8.666666666666667E-2</v>
      </c>
      <c r="I2828" s="47"/>
      <c r="J2828" s="48">
        <f>VLOOKUP(A2828,'[1]תקציב 2026'!$A$1:$M$65536,9,0)</f>
        <v>55420</v>
      </c>
      <c r="K2828" s="49">
        <f>VLOOKUP(A2828,[3]גיליון1!$A$1:$C$7693,3,0)</f>
        <v>51000</v>
      </c>
      <c r="L2828" s="50">
        <f>VLOOKUP(A2828,[2]data1761205830331!$A$1:$J$65536,10,0)</f>
        <v>53711.63</v>
      </c>
    </row>
    <row r="2829" spans="1:12" ht="15.6" outlineLevel="1">
      <c r="A2829" s="11">
        <v>1815800351</v>
      </c>
      <c r="B2829" s="40">
        <v>351</v>
      </c>
      <c r="C2829" s="109">
        <v>815800</v>
      </c>
      <c r="D2829" s="42">
        <v>1</v>
      </c>
      <c r="E2829" s="43"/>
      <c r="F2829" s="44" t="s">
        <v>1522</v>
      </c>
      <c r="G2829" s="45" t="s">
        <v>22</v>
      </c>
      <c r="H2829" s="51">
        <f t="shared" si="44"/>
        <v>2.3622047244094446E-2</v>
      </c>
      <c r="I2829" s="47"/>
      <c r="J2829" s="48">
        <f>VLOOKUP(A2829,'[1]תקציב 2026'!$A$1:$M$65536,9,0)</f>
        <v>26000</v>
      </c>
      <c r="K2829" s="49">
        <f>VLOOKUP(A2829,[3]גיליון1!$A$1:$C$7693,3,0)</f>
        <v>25400</v>
      </c>
      <c r="L2829" s="50">
        <f>VLOOKUP(A2829,[2]data1761205830331!$A$1:$J$65536,10,0)</f>
        <v>19620.099999999999</v>
      </c>
    </row>
    <row r="2830" spans="1:12" ht="15.6" outlineLevel="1">
      <c r="A2830" s="11">
        <v>1815800420</v>
      </c>
      <c r="B2830" s="40">
        <v>420</v>
      </c>
      <c r="C2830" s="109">
        <v>815800</v>
      </c>
      <c r="D2830" s="42">
        <v>1</v>
      </c>
      <c r="E2830" s="43"/>
      <c r="F2830" s="44" t="s">
        <v>30</v>
      </c>
      <c r="G2830" s="45" t="s">
        <v>29</v>
      </c>
      <c r="H2830" s="51">
        <f t="shared" si="44"/>
        <v>0</v>
      </c>
      <c r="I2830" s="47"/>
      <c r="J2830" s="48">
        <f>VLOOKUP(A2830,'[1]תקציב 2026'!$A$1:$M$65536,9,0)</f>
        <v>7200</v>
      </c>
      <c r="K2830" s="49">
        <f>VLOOKUP(A2830,[3]גיליון1!$A$1:$C$7693,3,0)*0.9</f>
        <v>7200</v>
      </c>
      <c r="L2830" s="50">
        <f>VLOOKUP(A2830,[2]data1761205830331!$A$1:$J$65536,10,0)</f>
        <v>7072.14</v>
      </c>
    </row>
    <row r="2831" spans="1:12" ht="15.6" outlineLevel="1">
      <c r="A2831" s="11">
        <v>1815800431</v>
      </c>
      <c r="B2831" s="40">
        <v>431</v>
      </c>
      <c r="C2831" s="109">
        <v>815800</v>
      </c>
      <c r="D2831" s="42">
        <v>1</v>
      </c>
      <c r="E2831" s="43"/>
      <c r="F2831" s="44" t="s">
        <v>32</v>
      </c>
      <c r="G2831" s="45" t="s">
        <v>29</v>
      </c>
      <c r="H2831" s="51">
        <f t="shared" si="44"/>
        <v>0</v>
      </c>
      <c r="I2831" s="47"/>
      <c r="J2831" s="48">
        <f>VLOOKUP(A2831,'[1]תקציב 2026'!$A$1:$M$65536,9,0)</f>
        <v>140700</v>
      </c>
      <c r="K2831" s="49">
        <v>140700</v>
      </c>
      <c r="L2831" s="50">
        <f>VLOOKUP(A2831,[2]data1761205830331!$A$1:$J$65536,10,0)</f>
        <v>127983</v>
      </c>
    </row>
    <row r="2832" spans="1:12" ht="15.6" outlineLevel="1">
      <c r="A2832" s="11">
        <v>1815800432</v>
      </c>
      <c r="B2832" s="40">
        <v>432</v>
      </c>
      <c r="C2832" s="109">
        <v>815800</v>
      </c>
      <c r="D2832" s="42">
        <v>1</v>
      </c>
      <c r="E2832" s="43"/>
      <c r="F2832" s="44" t="s">
        <v>33</v>
      </c>
      <c r="G2832" s="45" t="s">
        <v>29</v>
      </c>
      <c r="H2832" s="51">
        <f t="shared" si="44"/>
        <v>0</v>
      </c>
      <c r="I2832" s="47"/>
      <c r="J2832" s="48">
        <f>VLOOKUP(A2832,'[1]תקציב 2026'!$A$1:$M$65536,9,0)</f>
        <v>82100</v>
      </c>
      <c r="K2832" s="49">
        <v>82100</v>
      </c>
      <c r="L2832" s="50">
        <f>VLOOKUP(A2832,[2]data1761205830331!$A$1:$J$65536,10,0)</f>
        <v>75451</v>
      </c>
    </row>
    <row r="2833" spans="1:12" ht="15.6" outlineLevel="1">
      <c r="A2833" s="11">
        <v>1815800437</v>
      </c>
      <c r="B2833" s="40">
        <v>437</v>
      </c>
      <c r="C2833" s="109">
        <v>815800</v>
      </c>
      <c r="D2833" s="42">
        <v>1</v>
      </c>
      <c r="E2833" s="43"/>
      <c r="F2833" s="154" t="s">
        <v>1251</v>
      </c>
      <c r="G2833" s="45" t="s">
        <v>29</v>
      </c>
      <c r="H2833" s="51">
        <f t="shared" si="44"/>
        <v>0</v>
      </c>
      <c r="I2833" s="47"/>
      <c r="J2833" s="48">
        <f>VLOOKUP(A2833,'[1]תקציב 2026'!$A$1:$M$65536,9,0)</f>
        <v>1300</v>
      </c>
      <c r="K2833" s="49">
        <f>VLOOKUP(A2833,[3]גיליון1!$A$1:$C$7693,3,0)</f>
        <v>1300</v>
      </c>
      <c r="L2833" s="50">
        <f>VLOOKUP(A2833,[2]data1761205830331!$A$1:$J$65536,10,0)</f>
        <v>1763.26</v>
      </c>
    </row>
    <row r="2834" spans="1:12" ht="15.6" outlineLevel="1">
      <c r="A2834" s="11">
        <v>1815800450</v>
      </c>
      <c r="B2834" s="40">
        <v>450</v>
      </c>
      <c r="C2834" s="109">
        <v>815800</v>
      </c>
      <c r="D2834" s="42">
        <v>1</v>
      </c>
      <c r="E2834" s="43"/>
      <c r="F2834" s="44" t="s">
        <v>1487</v>
      </c>
      <c r="G2834" s="45" t="s">
        <v>29</v>
      </c>
      <c r="H2834" s="51">
        <f t="shared" si="44"/>
        <v>9.8412698412698507E-2</v>
      </c>
      <c r="I2834" s="47"/>
      <c r="J2834" s="48">
        <f>VLOOKUP(A2834,'[1]תקציב 2026'!$A$1:$M$65536,9,0)</f>
        <v>17300</v>
      </c>
      <c r="K2834" s="49">
        <f>17500*0.9</f>
        <v>15750</v>
      </c>
      <c r="L2834" s="50">
        <f>VLOOKUP(A2834,[2]data1761205830331!$A$1:$J$65536,10,0)</f>
        <v>16167</v>
      </c>
    </row>
    <row r="2835" spans="1:12" ht="15.6" outlineLevel="1">
      <c r="A2835" s="11">
        <v>1815800451</v>
      </c>
      <c r="B2835" s="40">
        <v>451</v>
      </c>
      <c r="C2835" s="109">
        <v>815800</v>
      </c>
      <c r="D2835" s="42">
        <v>1</v>
      </c>
      <c r="E2835" s="43"/>
      <c r="F2835" s="44" t="s">
        <v>1384</v>
      </c>
      <c r="G2835" s="45" t="s">
        <v>29</v>
      </c>
      <c r="H2835" s="51">
        <f t="shared" si="44"/>
        <v>-4.4585987261146487E-2</v>
      </c>
      <c r="I2835" s="47"/>
      <c r="J2835" s="48">
        <f>VLOOKUP(A2835,'[1]תקציב 2026'!$A$1:$M$65536,9,0)</f>
        <v>300000</v>
      </c>
      <c r="K2835" s="49">
        <v>314000</v>
      </c>
      <c r="L2835" s="50">
        <f>VLOOKUP(A2835,[2]data1761205830331!$A$1:$J$65536,10,0)</f>
        <v>0</v>
      </c>
    </row>
    <row r="2836" spans="1:12" ht="15.6" outlineLevel="1">
      <c r="A2836" s="11">
        <v>1815800452</v>
      </c>
      <c r="B2836" s="40">
        <v>452</v>
      </c>
      <c r="C2836" s="109">
        <v>815800</v>
      </c>
      <c r="D2836" s="42">
        <v>1</v>
      </c>
      <c r="E2836" s="43"/>
      <c r="F2836" s="44" t="s">
        <v>381</v>
      </c>
      <c r="G2836" s="45" t="s">
        <v>29</v>
      </c>
      <c r="H2836" s="51">
        <f t="shared" si="44"/>
        <v>2.3299748110831242E-2</v>
      </c>
      <c r="I2836" s="47"/>
      <c r="J2836" s="48">
        <f>VLOOKUP(A2836,'[1]תקציב 2026'!$A$1:$M$65536,9,0)</f>
        <v>325000</v>
      </c>
      <c r="K2836" s="49">
        <v>317600</v>
      </c>
      <c r="L2836" s="50">
        <f>VLOOKUP(A2836,[2]data1761205830331!$A$1:$J$65536,10,0)</f>
        <v>0</v>
      </c>
    </row>
    <row r="2837" spans="1:12" ht="15.6" outlineLevel="1">
      <c r="A2837" s="11">
        <v>1815800511</v>
      </c>
      <c r="B2837" s="40">
        <v>511</v>
      </c>
      <c r="C2837" s="109">
        <v>815800</v>
      </c>
      <c r="D2837" s="42">
        <v>1</v>
      </c>
      <c r="E2837" s="43"/>
      <c r="F2837" s="44" t="s">
        <v>72</v>
      </c>
      <c r="G2837" s="45" t="s">
        <v>37</v>
      </c>
      <c r="H2837" s="51">
        <f t="shared" si="44"/>
        <v>0.1530398322851152</v>
      </c>
      <c r="I2837" s="47"/>
      <c r="J2837" s="48">
        <f>VLOOKUP(A2837,'[1]תקציב 2026'!$A$1:$M$65536,9,0)</f>
        <v>11000</v>
      </c>
      <c r="K2837" s="49">
        <f>10600*0.9</f>
        <v>9540</v>
      </c>
      <c r="L2837" s="50">
        <f>VLOOKUP(A2837,[2]data1761205830331!$A$1:$J$65536,10,0)</f>
        <v>10284.52</v>
      </c>
    </row>
    <row r="2838" spans="1:12" ht="15.6" outlineLevel="1">
      <c r="A2838" s="11">
        <v>1815800742</v>
      </c>
      <c r="B2838" s="40">
        <v>742</v>
      </c>
      <c r="C2838" s="109">
        <v>815800</v>
      </c>
      <c r="D2838" s="42">
        <v>1</v>
      </c>
      <c r="E2838" s="43"/>
      <c r="F2838" s="44" t="s">
        <v>52</v>
      </c>
      <c r="G2838" s="45" t="s">
        <v>29</v>
      </c>
      <c r="H2838" s="51">
        <f t="shared" si="44"/>
        <v>1.8970189701897011E-2</v>
      </c>
      <c r="I2838" s="47"/>
      <c r="J2838" s="48">
        <f>VLOOKUP(A2838,'[1]תקציב 2026'!$A$1:$M$65536,9,0)</f>
        <v>18800</v>
      </c>
      <c r="K2838" s="49">
        <f>VLOOKUP(A2838,[3]גיליון1!$A$1:$C$7693,3,0)*0.9</f>
        <v>18450</v>
      </c>
      <c r="L2838" s="50">
        <f>VLOOKUP(A2838,[2]data1761205830331!$A$1:$J$65536,10,0)</f>
        <v>33489</v>
      </c>
    </row>
    <row r="2839" spans="1:12" ht="15.6" outlineLevel="1">
      <c r="A2839" s="11">
        <v>1815800750</v>
      </c>
      <c r="B2839" s="40">
        <v>750</v>
      </c>
      <c r="C2839" s="109">
        <v>815800</v>
      </c>
      <c r="D2839" s="42">
        <v>1</v>
      </c>
      <c r="E2839" s="43"/>
      <c r="F2839" s="44" t="s">
        <v>1351</v>
      </c>
      <c r="G2839" s="45" t="s">
        <v>29</v>
      </c>
      <c r="H2839" s="51">
        <f t="shared" si="44"/>
        <v>0.12151748666271489</v>
      </c>
      <c r="I2839" s="47"/>
      <c r="J2839" s="48">
        <f>VLOOKUP(A2839,'[1]תקציב 2026'!$A$1:$M$65536,9,0)</f>
        <v>378400</v>
      </c>
      <c r="K2839" s="49">
        <v>337400</v>
      </c>
      <c r="L2839" s="50">
        <f>VLOOKUP(A2839,[2]data1761205830331!$A$1:$J$65536,10,0)</f>
        <v>253098</v>
      </c>
    </row>
    <row r="2840" spans="1:12" ht="15.6" outlineLevel="1">
      <c r="A2840" s="11">
        <v>1815800751</v>
      </c>
      <c r="B2840" s="40">
        <v>751</v>
      </c>
      <c r="C2840" s="109">
        <v>815800</v>
      </c>
      <c r="D2840" s="42">
        <v>1</v>
      </c>
      <c r="E2840" s="43"/>
      <c r="F2840" s="44" t="s">
        <v>53</v>
      </c>
      <c r="G2840" s="45" t="s">
        <v>29</v>
      </c>
      <c r="H2840" s="51">
        <v>0</v>
      </c>
      <c r="I2840" s="47"/>
      <c r="J2840" s="48">
        <f>VLOOKUP(A2840,'[1]תקציב 2026'!$A$1:$M$65536,9,0)</f>
        <v>0</v>
      </c>
      <c r="K2840" s="49">
        <v>0</v>
      </c>
      <c r="L2840" s="50">
        <f>VLOOKUP(A2840,[2]data1761205830331!$A$1:$J$65536,10,0)</f>
        <v>3231</v>
      </c>
    </row>
    <row r="2841" spans="1:12" ht="15.6" outlineLevel="1">
      <c r="A2841" s="11">
        <v>1815800752</v>
      </c>
      <c r="B2841" s="40">
        <v>752</v>
      </c>
      <c r="C2841" s="109">
        <v>815800</v>
      </c>
      <c r="D2841" s="42">
        <v>1</v>
      </c>
      <c r="E2841" s="43"/>
      <c r="F2841" s="44" t="s">
        <v>54</v>
      </c>
      <c r="G2841" s="45" t="s">
        <v>29</v>
      </c>
      <c r="H2841" s="51">
        <f t="shared" si="44"/>
        <v>0.1961616161616162</v>
      </c>
      <c r="I2841" s="47"/>
      <c r="J2841" s="48">
        <f>VLOOKUP(A2841,'[1]תקציב 2026'!$A$1:$M$65536,9,0)</f>
        <v>592100</v>
      </c>
      <c r="K2841" s="49">
        <f>VLOOKUP(A2841,[3]גיליון1!$A$1:$C$7693,3,0)</f>
        <v>495000</v>
      </c>
      <c r="L2841" s="50">
        <f>VLOOKUP(A2841,[2]data1761205830331!$A$1:$J$65536,10,0)</f>
        <v>393799.92</v>
      </c>
    </row>
    <row r="2842" spans="1:12" ht="15.6" outlineLevel="1">
      <c r="A2842" s="11">
        <v>1815800759</v>
      </c>
      <c r="B2842" s="40">
        <v>759</v>
      </c>
      <c r="C2842" s="109">
        <v>815800</v>
      </c>
      <c r="D2842" s="42">
        <v>1</v>
      </c>
      <c r="E2842" s="43"/>
      <c r="F2842" s="44" t="s">
        <v>1332</v>
      </c>
      <c r="G2842" s="45" t="s">
        <v>22</v>
      </c>
      <c r="H2842" s="51">
        <f t="shared" si="44"/>
        <v>7.2510822510822415E-2</v>
      </c>
      <c r="I2842" s="47"/>
      <c r="J2842" s="48">
        <f>VLOOKUP(A2842,'[1]תקציב 2026'!$A$1:$M$65536,9,0)</f>
        <v>198200</v>
      </c>
      <c r="K2842" s="49">
        <v>184800</v>
      </c>
      <c r="L2842" s="50">
        <f>VLOOKUP(A2842,[2]data1761205830331!$A$1:$J$65536,10,0)</f>
        <v>156974.9</v>
      </c>
    </row>
    <row r="2843" spans="1:12" ht="15.6" outlineLevel="1">
      <c r="A2843" s="11">
        <v>1815800762</v>
      </c>
      <c r="B2843" s="40">
        <v>762</v>
      </c>
      <c r="C2843" s="109">
        <v>815800</v>
      </c>
      <c r="D2843" s="42">
        <v>1</v>
      </c>
      <c r="E2843" s="43"/>
      <c r="F2843" s="44" t="s">
        <v>1523</v>
      </c>
      <c r="G2843" s="45" t="s">
        <v>22</v>
      </c>
      <c r="H2843" s="51">
        <f t="shared" si="44"/>
        <v>8.5383502170766956E-2</v>
      </c>
      <c r="I2843" s="47"/>
      <c r="J2843" s="48">
        <f>VLOOKUP(A2843,'[1]תקציב 2026'!$A$1:$M$65536,9,0)</f>
        <v>300000</v>
      </c>
      <c r="K2843" s="49">
        <f>VLOOKUP(A2843,[3]גיליון1!$A$1:$C$7693,3,0)</f>
        <v>276400</v>
      </c>
      <c r="L2843" s="50">
        <f>VLOOKUP(A2843,[2]data1761205830331!$A$1:$J$65536,10,0)</f>
        <v>272751.38</v>
      </c>
    </row>
    <row r="2844" spans="1:12" ht="15.6" outlineLevel="1">
      <c r="A2844" s="11">
        <v>1815800780</v>
      </c>
      <c r="B2844" s="40">
        <v>780</v>
      </c>
      <c r="C2844" s="109">
        <v>815800</v>
      </c>
      <c r="D2844" s="42">
        <v>1</v>
      </c>
      <c r="E2844" s="43"/>
      <c r="F2844" s="44" t="s">
        <v>1489</v>
      </c>
      <c r="G2844" s="45" t="s">
        <v>29</v>
      </c>
      <c r="H2844" s="51">
        <f t="shared" si="44"/>
        <v>-2.5974025974025983E-2</v>
      </c>
      <c r="I2844" s="47"/>
      <c r="J2844" s="48">
        <f>VLOOKUP(A2844,'[1]תקציב 2026'!$A$1:$M$65536,9,0)</f>
        <v>15000</v>
      </c>
      <c r="K2844" s="49">
        <v>15400</v>
      </c>
      <c r="L2844" s="50">
        <f>VLOOKUP(A2844,[2]data1761205830331!$A$1:$J$65536,10,0)</f>
        <v>13715</v>
      </c>
    </row>
    <row r="2845" spans="1:12" ht="15.6" outlineLevel="1">
      <c r="A2845" s="11">
        <v>1815800794</v>
      </c>
      <c r="B2845" s="40">
        <v>794</v>
      </c>
      <c r="C2845" s="109">
        <v>815800</v>
      </c>
      <c r="D2845" s="42">
        <v>1</v>
      </c>
      <c r="E2845" s="43"/>
      <c r="F2845" s="44" t="s">
        <v>58</v>
      </c>
      <c r="G2845" s="45" t="s">
        <v>29</v>
      </c>
      <c r="H2845" s="51">
        <f t="shared" si="44"/>
        <v>0.10588235294117654</v>
      </c>
      <c r="I2845" s="47"/>
      <c r="J2845" s="48">
        <f>VLOOKUP(A2845,'[1]תקציב 2026'!$A$1:$M$65536,9,0)</f>
        <v>9400</v>
      </c>
      <c r="K2845" s="49">
        <v>8500</v>
      </c>
      <c r="L2845" s="50">
        <f>VLOOKUP(A2845,[2]data1761205830331!$A$1:$J$65536,10,0)</f>
        <v>19920</v>
      </c>
    </row>
    <row r="2846" spans="1:12" ht="15.6" outlineLevel="1">
      <c r="A2846" s="11">
        <v>1815800810</v>
      </c>
      <c r="B2846" s="40">
        <v>810</v>
      </c>
      <c r="C2846" s="109">
        <v>815800</v>
      </c>
      <c r="D2846" s="42">
        <v>1</v>
      </c>
      <c r="E2846" s="43"/>
      <c r="F2846" s="44" t="s">
        <v>1490</v>
      </c>
      <c r="G2846" s="45" t="s">
        <v>29</v>
      </c>
      <c r="H2846" s="51">
        <f t="shared" si="44"/>
        <v>-1</v>
      </c>
      <c r="I2846" s="47"/>
      <c r="J2846" s="48">
        <f>VLOOKUP(A2846,'[1]תקציב 2026'!$A$1:$M$65536,9,0)</f>
        <v>0</v>
      </c>
      <c r="K2846" s="49">
        <f>110900*0.9</f>
        <v>99810</v>
      </c>
      <c r="L2846" s="50">
        <f>VLOOKUP(A2846,[2]data1761205830331!$A$1:$J$65536,10,0)</f>
        <v>0</v>
      </c>
    </row>
    <row r="2847" spans="1:12" ht="15.6" outlineLevel="1">
      <c r="A2847" s="11">
        <v>1815800812</v>
      </c>
      <c r="B2847" s="40">
        <v>812</v>
      </c>
      <c r="C2847" s="109">
        <v>815800</v>
      </c>
      <c r="D2847" s="42">
        <v>1</v>
      </c>
      <c r="E2847" s="43"/>
      <c r="F2847" s="44" t="s">
        <v>296</v>
      </c>
      <c r="G2847" s="45" t="s">
        <v>29</v>
      </c>
      <c r="H2847" s="51">
        <f t="shared" si="44"/>
        <v>0.64999999999999991</v>
      </c>
      <c r="I2847" s="47"/>
      <c r="J2847" s="48">
        <f>VLOOKUP(A2847,'[1]תקציב 2026'!$A$1:$M$65536,9,0)</f>
        <v>29700</v>
      </c>
      <c r="K2847" s="49">
        <f>VLOOKUP(A2847,[3]גיליון1!$A$1:$C$7693,3,0)*0.9</f>
        <v>18000</v>
      </c>
      <c r="L2847" s="50">
        <f>VLOOKUP(A2847,[2]data1761205830331!$A$1:$J$65536,10,0)</f>
        <v>21164</v>
      </c>
    </row>
    <row r="2848" spans="1:12" ht="15.6" outlineLevel="1">
      <c r="A2848" s="11">
        <v>1815800953</v>
      </c>
      <c r="B2848" s="40">
        <v>953</v>
      </c>
      <c r="C2848" s="109">
        <v>815800</v>
      </c>
      <c r="D2848" s="42">
        <v>1</v>
      </c>
      <c r="E2848" s="43"/>
      <c r="F2848" s="44" t="s">
        <v>277</v>
      </c>
      <c r="G2848" s="45" t="s">
        <v>29</v>
      </c>
      <c r="H2848" s="51">
        <f t="shared" si="44"/>
        <v>-3.1486146095716094E-4</v>
      </c>
      <c r="I2848" s="47"/>
      <c r="J2848" s="48">
        <f>VLOOKUP(A2848,'[1]תקציב 2026'!$A$1:$M$65536,9,0)</f>
        <v>1270000</v>
      </c>
      <c r="K2848" s="49">
        <v>1270400</v>
      </c>
      <c r="L2848" s="50">
        <f>VLOOKUP(A2848,[2]data1761205830331!$A$1:$J$65536,10,0)</f>
        <v>1589636.77</v>
      </c>
    </row>
    <row r="2849" spans="1:12" ht="16.2" outlineLevel="1" thickBot="1">
      <c r="A2849" s="11">
        <v>1815800989</v>
      </c>
      <c r="B2849" s="40">
        <v>989</v>
      </c>
      <c r="C2849" s="109">
        <v>815800</v>
      </c>
      <c r="D2849" s="42">
        <v>1</v>
      </c>
      <c r="E2849" s="43"/>
      <c r="F2849" s="44" t="s">
        <v>1524</v>
      </c>
      <c r="G2849" s="45" t="s">
        <v>29</v>
      </c>
      <c r="H2849" s="51">
        <f t="shared" si="44"/>
        <v>-4.1463212091014778E-2</v>
      </c>
      <c r="I2849" s="47"/>
      <c r="J2849" s="48">
        <f>VLOOKUP(A2849,'[1]תקציב 2026'!$A$1:$M$65536,9,0)</f>
        <v>1154270</v>
      </c>
      <c r="K2849" s="49">
        <v>1204200</v>
      </c>
      <c r="L2849" s="50">
        <f>VLOOKUP(A2849,[2]data1761205830331!$A$1:$J$65536,10,0)</f>
        <v>1158295</v>
      </c>
    </row>
    <row r="2850" spans="1:12" ht="16.2" thickBot="1">
      <c r="A2850" s="11" t="e">
        <v>#VALUE!</v>
      </c>
      <c r="B2850" s="157" t="s">
        <v>1525</v>
      </c>
      <c r="C2850" s="223"/>
      <c r="D2850" s="55"/>
      <c r="E2850" s="56"/>
      <c r="F2850" s="116" t="s">
        <v>408</v>
      </c>
      <c r="G2850" s="58"/>
      <c r="H2850" s="71">
        <f>J2850/K2850-1</f>
        <v>-4.1482389538307962E-2</v>
      </c>
      <c r="I2850" s="72"/>
      <c r="J2850" s="74">
        <f>SUBTOTAL(9,J2816:J2849)</f>
        <v>20392050</v>
      </c>
      <c r="K2850" s="92">
        <f>SUBTOTAL(9,K2816:K2849)</f>
        <v>21274570</v>
      </c>
      <c r="L2850" s="75">
        <f>SUBTOTAL(9,L2816:L2849)</f>
        <v>20465336.379999999</v>
      </c>
    </row>
    <row r="2851" spans="1:12" ht="15.6" outlineLevel="1">
      <c r="A2851" s="11">
        <v>18158100</v>
      </c>
      <c r="B2851" s="40">
        <v>0</v>
      </c>
      <c r="C2851" s="109">
        <v>815810</v>
      </c>
      <c r="D2851" s="42">
        <v>1</v>
      </c>
      <c r="E2851" s="43"/>
      <c r="F2851" s="44" t="s">
        <v>1526</v>
      </c>
      <c r="G2851" s="45" t="s">
        <v>15</v>
      </c>
      <c r="H2851" s="51"/>
      <c r="I2851" s="47"/>
      <c r="J2851" s="48"/>
      <c r="K2851" s="49"/>
      <c r="L2851" s="50"/>
    </row>
    <row r="2852" spans="1:12" ht="15.6" outlineLevel="1">
      <c r="A2852" s="11">
        <v>1815810118</v>
      </c>
      <c r="B2852" s="40">
        <v>118</v>
      </c>
      <c r="C2852" s="109">
        <v>815810</v>
      </c>
      <c r="D2852" s="42">
        <v>1</v>
      </c>
      <c r="E2852" s="43"/>
      <c r="F2852" s="155" t="s">
        <v>1483</v>
      </c>
      <c r="G2852" s="45" t="s">
        <v>22</v>
      </c>
      <c r="H2852" s="51">
        <f t="shared" si="44"/>
        <v>7.5367273023236869E-2</v>
      </c>
      <c r="I2852" s="47"/>
      <c r="J2852" s="48">
        <f>VLOOKUP(A2852,'[1]תקציב 2026'!$A$1:$M$65536,9,0)</f>
        <v>10570000</v>
      </c>
      <c r="K2852" s="49">
        <v>9829200</v>
      </c>
      <c r="L2852" s="50">
        <f>VLOOKUP(A2852,[2]data1761205830331!$A$1:$J$65536,10,0)</f>
        <v>11058145.890000001</v>
      </c>
    </row>
    <row r="2853" spans="1:12" ht="15.6" outlineLevel="1">
      <c r="A2853" s="11">
        <v>1815810119</v>
      </c>
      <c r="B2853" s="40">
        <v>119</v>
      </c>
      <c r="C2853" s="109">
        <v>815810</v>
      </c>
      <c r="D2853" s="42">
        <v>1</v>
      </c>
      <c r="E2853" s="43"/>
      <c r="F2853" s="44" t="s">
        <v>23</v>
      </c>
      <c r="G2853" s="45" t="s">
        <v>22</v>
      </c>
      <c r="H2853" s="51">
        <f t="shared" si="44"/>
        <v>2.4999999999999911E-2</v>
      </c>
      <c r="I2853" s="47"/>
      <c r="J2853" s="48">
        <f>VLOOKUP(A2853,'[1]תקציב 2026'!$A$1:$M$65536,9,0)</f>
        <v>812209.99999999988</v>
      </c>
      <c r="K2853" s="49">
        <f>783400+9000</f>
        <v>792400</v>
      </c>
      <c r="L2853" s="50">
        <f>VLOOKUP(A2853,[2]data1761205830331!$A$1:$J$65536,10,0)</f>
        <v>985045.43</v>
      </c>
    </row>
    <row r="2854" spans="1:12" ht="15.6" outlineLevel="1">
      <c r="A2854" s="11">
        <v>1815810122</v>
      </c>
      <c r="B2854" s="40">
        <v>122</v>
      </c>
      <c r="C2854" s="109">
        <v>815810</v>
      </c>
      <c r="D2854" s="42">
        <v>1</v>
      </c>
      <c r="E2854" s="43"/>
      <c r="F2854" s="44" t="s">
        <v>24</v>
      </c>
      <c r="G2854" s="45" t="s">
        <v>22</v>
      </c>
      <c r="H2854" s="51">
        <f t="shared" si="44"/>
        <v>0</v>
      </c>
      <c r="I2854" s="47"/>
      <c r="J2854" s="48">
        <f>VLOOKUP(A2854,'[1]תקציב 2026'!$A$1:$M$65536,9,0)</f>
        <v>116000</v>
      </c>
      <c r="K2854" s="49">
        <f>VLOOKUP(A2854,[3]גיליון1!$A$1:$C$7693,3,0)</f>
        <v>116000</v>
      </c>
      <c r="L2854" s="50">
        <f>VLOOKUP(A2854,[2]data1761205830331!$A$1:$J$65536,10,0)</f>
        <v>114420.47</v>
      </c>
    </row>
    <row r="2855" spans="1:12" ht="15.6" outlineLevel="1">
      <c r="A2855" s="11">
        <v>1815810126</v>
      </c>
      <c r="B2855" s="40">
        <v>126</v>
      </c>
      <c r="C2855" s="109">
        <v>815810</v>
      </c>
      <c r="D2855" s="42">
        <v>1</v>
      </c>
      <c r="E2855" s="43"/>
      <c r="F2855" s="44" t="s">
        <v>25</v>
      </c>
      <c r="G2855" s="45" t="s">
        <v>22</v>
      </c>
      <c r="H2855" s="51">
        <f t="shared" si="44"/>
        <v>0</v>
      </c>
      <c r="I2855" s="47"/>
      <c r="J2855" s="48">
        <f>VLOOKUP(A2855,'[1]תקציב 2026'!$A$1:$M$65536,9,0)</f>
        <v>225000</v>
      </c>
      <c r="K2855" s="49">
        <f>VLOOKUP(A2855,[3]גיליון1!$A$1:$C$7693,3,0)</f>
        <v>225000</v>
      </c>
      <c r="L2855" s="50">
        <f>VLOOKUP(A2855,[2]data1761205830331!$A$1:$J$65536,10,0)</f>
        <v>220138.04</v>
      </c>
    </row>
    <row r="2856" spans="1:12" ht="15.6" outlineLevel="1">
      <c r="A2856" s="11">
        <v>1815810140</v>
      </c>
      <c r="B2856" s="40">
        <v>140</v>
      </c>
      <c r="C2856" s="109">
        <v>815810</v>
      </c>
      <c r="D2856" s="42">
        <v>1</v>
      </c>
      <c r="E2856" s="43"/>
      <c r="F2856" s="44" t="s">
        <v>27</v>
      </c>
      <c r="G2856" s="45" t="s">
        <v>22</v>
      </c>
      <c r="H2856" s="51">
        <f t="shared" si="44"/>
        <v>0</v>
      </c>
      <c r="I2856" s="47"/>
      <c r="J2856" s="48">
        <f>VLOOKUP(A2856,'[1]תקציב 2026'!$A$1:$M$65536,9,0)</f>
        <v>79800</v>
      </c>
      <c r="K2856" s="49">
        <f>VLOOKUP(A2856,[3]גיליון1!$A$1:$C$7693,3,0)</f>
        <v>79800</v>
      </c>
      <c r="L2856" s="50">
        <f>VLOOKUP(A2856,[2]data1761205830331!$A$1:$J$65536,10,0)</f>
        <v>82966.61</v>
      </c>
    </row>
    <row r="2857" spans="1:12" ht="15.6" outlineLevel="1">
      <c r="A2857" s="11">
        <v>1815810214</v>
      </c>
      <c r="B2857" s="40">
        <v>214</v>
      </c>
      <c r="C2857" s="109">
        <v>815810</v>
      </c>
      <c r="D2857" s="42">
        <v>1</v>
      </c>
      <c r="E2857" s="43"/>
      <c r="F2857" s="44" t="s">
        <v>1484</v>
      </c>
      <c r="G2857" s="45" t="s">
        <v>29</v>
      </c>
      <c r="H2857" s="51">
        <v>0</v>
      </c>
      <c r="I2857" s="47"/>
      <c r="J2857" s="48">
        <f>VLOOKUP(A2857,'[1]תקציב 2026'!$A$1:$M$65536,9,0)</f>
        <v>0</v>
      </c>
      <c r="K2857" s="49">
        <f>VLOOKUP(A2857,[3]גיליון1!$A$1:$C$7693,3,0)</f>
        <v>0</v>
      </c>
      <c r="L2857" s="50">
        <f>VLOOKUP(A2857,[2]data1761205830331!$A$1:$J$65536,10,0)</f>
        <v>6214.6</v>
      </c>
    </row>
    <row r="2858" spans="1:12" ht="15.6" outlineLevel="1">
      <c r="A2858" s="11">
        <v>1815810420</v>
      </c>
      <c r="B2858" s="40">
        <v>420</v>
      </c>
      <c r="C2858" s="109">
        <v>815810</v>
      </c>
      <c r="D2858" s="42">
        <v>1</v>
      </c>
      <c r="E2858" s="43"/>
      <c r="F2858" s="44" t="s">
        <v>30</v>
      </c>
      <c r="G2858" s="45" t="s">
        <v>29</v>
      </c>
      <c r="H2858" s="51">
        <f t="shared" si="44"/>
        <v>0.11111111111111116</v>
      </c>
      <c r="I2858" s="47"/>
      <c r="J2858" s="48">
        <f>VLOOKUP(A2858,'[1]תקציב 2026'!$A$1:$M$65536,9,0)</f>
        <v>7000</v>
      </c>
      <c r="K2858" s="49">
        <f>VLOOKUP(A2858,[3]גיליון1!$A$1:$C$7693,3,0)*0.9</f>
        <v>6300</v>
      </c>
      <c r="L2858" s="50">
        <f>VLOOKUP(A2858,[2]data1761205830331!$A$1:$J$65536,10,0)</f>
        <v>4730.53</v>
      </c>
    </row>
    <row r="2859" spans="1:12" ht="15.6" outlineLevel="1">
      <c r="A2859" s="11">
        <v>1815810431</v>
      </c>
      <c r="B2859" s="40">
        <v>431</v>
      </c>
      <c r="C2859" s="109">
        <v>815810</v>
      </c>
      <c r="D2859" s="42">
        <v>1</v>
      </c>
      <c r="E2859" s="43"/>
      <c r="F2859" s="44" t="s">
        <v>32</v>
      </c>
      <c r="G2859" s="45" t="s">
        <v>29</v>
      </c>
      <c r="H2859" s="51">
        <f t="shared" si="44"/>
        <v>0</v>
      </c>
      <c r="I2859" s="47"/>
      <c r="J2859" s="48">
        <f>VLOOKUP(A2859,'[1]תקציב 2026'!$A$1:$M$65536,9,0)</f>
        <v>84100</v>
      </c>
      <c r="K2859" s="49">
        <v>84100</v>
      </c>
      <c r="L2859" s="50">
        <f>VLOOKUP(A2859,[2]data1761205830331!$A$1:$J$65536,10,0)</f>
        <v>74446</v>
      </c>
    </row>
    <row r="2860" spans="1:12" ht="15.6" outlineLevel="1">
      <c r="A2860" s="11">
        <v>1815810432</v>
      </c>
      <c r="B2860" s="40">
        <v>432</v>
      </c>
      <c r="C2860" s="109">
        <v>815810</v>
      </c>
      <c r="D2860" s="42">
        <v>1</v>
      </c>
      <c r="E2860" s="43"/>
      <c r="F2860" s="44" t="s">
        <v>33</v>
      </c>
      <c r="G2860" s="45" t="s">
        <v>29</v>
      </c>
      <c r="H2860" s="51">
        <f t="shared" si="44"/>
        <v>0</v>
      </c>
      <c r="I2860" s="47"/>
      <c r="J2860" s="48">
        <f>VLOOKUP(A2860,'[1]תקציב 2026'!$A$1:$M$65536,9,0)</f>
        <v>39000</v>
      </c>
      <c r="K2860" s="49">
        <v>39000</v>
      </c>
      <c r="L2860" s="50">
        <f>VLOOKUP(A2860,[2]data1761205830331!$A$1:$J$65536,10,0)</f>
        <v>34896</v>
      </c>
    </row>
    <row r="2861" spans="1:12" ht="15.6" outlineLevel="1">
      <c r="A2861" s="11">
        <v>1815810437</v>
      </c>
      <c r="B2861" s="40">
        <v>437</v>
      </c>
      <c r="C2861" s="109">
        <v>815810</v>
      </c>
      <c r="D2861" s="42">
        <v>1</v>
      </c>
      <c r="E2861" s="43"/>
      <c r="F2861" s="44" t="s">
        <v>1251</v>
      </c>
      <c r="G2861" s="45" t="s">
        <v>29</v>
      </c>
      <c r="H2861" s="51">
        <f t="shared" si="44"/>
        <v>0</v>
      </c>
      <c r="I2861" s="47"/>
      <c r="J2861" s="48">
        <f>VLOOKUP(A2861,'[1]תקציב 2026'!$A$1:$M$65536,9,0)</f>
        <v>5000</v>
      </c>
      <c r="K2861" s="49">
        <f>VLOOKUP(A2861,[3]גיליון1!$A$1:$C$7693,3,0)</f>
        <v>5000</v>
      </c>
      <c r="L2861" s="50">
        <f>VLOOKUP(A2861,[2]data1761205830331!$A$1:$J$65536,10,0)</f>
        <v>4885.92</v>
      </c>
    </row>
    <row r="2862" spans="1:12" ht="15.6" outlineLevel="1">
      <c r="A2862" s="11">
        <v>1815810450</v>
      </c>
      <c r="B2862" s="40">
        <v>450</v>
      </c>
      <c r="C2862" s="109">
        <v>815810</v>
      </c>
      <c r="D2862" s="42">
        <v>1</v>
      </c>
      <c r="E2862" s="43"/>
      <c r="F2862" s="44" t="s">
        <v>1487</v>
      </c>
      <c r="G2862" s="45" t="s">
        <v>29</v>
      </c>
      <c r="H2862" s="51">
        <f t="shared" si="44"/>
        <v>6.8376068376068355E-2</v>
      </c>
      <c r="I2862" s="47"/>
      <c r="J2862" s="48">
        <f>VLOOKUP(A2862,'[1]תקציב 2026'!$A$1:$M$65536,9,0)</f>
        <v>15000</v>
      </c>
      <c r="K2862" s="49">
        <f>15600*0.9</f>
        <v>14040</v>
      </c>
      <c r="L2862" s="50">
        <f>VLOOKUP(A2862,[2]data1761205830331!$A$1:$J$65536,10,0)</f>
        <v>16888</v>
      </c>
    </row>
    <row r="2863" spans="1:12" ht="15.6" outlineLevel="1">
      <c r="A2863" s="11">
        <v>1815810451</v>
      </c>
      <c r="B2863" s="40">
        <v>451</v>
      </c>
      <c r="C2863" s="109">
        <v>815810</v>
      </c>
      <c r="D2863" s="42">
        <v>1</v>
      </c>
      <c r="E2863" s="43"/>
      <c r="F2863" s="44" t="s">
        <v>1384</v>
      </c>
      <c r="G2863" s="45" t="s">
        <v>29</v>
      </c>
      <c r="H2863" s="51">
        <f t="shared" si="44"/>
        <v>0</v>
      </c>
      <c r="I2863" s="47"/>
      <c r="J2863" s="48">
        <f>VLOOKUP(A2863,'[1]תקציב 2026'!$A$1:$M$65536,9,0)</f>
        <v>143000</v>
      </c>
      <c r="K2863" s="49">
        <v>143000</v>
      </c>
      <c r="L2863" s="50">
        <f>VLOOKUP(A2863,[2]data1761205830331!$A$1:$J$65536,10,0)</f>
        <v>0</v>
      </c>
    </row>
    <row r="2864" spans="1:12" ht="15.6" outlineLevel="1">
      <c r="A2864" s="11">
        <v>1815810452</v>
      </c>
      <c r="B2864" s="40">
        <v>452</v>
      </c>
      <c r="C2864" s="109">
        <v>815810</v>
      </c>
      <c r="D2864" s="42">
        <v>1</v>
      </c>
      <c r="E2864" s="43"/>
      <c r="F2864" s="44" t="s">
        <v>381</v>
      </c>
      <c r="G2864" s="45" t="s">
        <v>29</v>
      </c>
      <c r="H2864" s="51">
        <f t="shared" si="44"/>
        <v>5.1660516605166018E-2</v>
      </c>
      <c r="I2864" s="47"/>
      <c r="J2864" s="48">
        <f>VLOOKUP(A2864,'[1]תקציב 2026'!$A$1:$M$65536,9,0)</f>
        <v>171000</v>
      </c>
      <c r="K2864" s="49">
        <v>162600</v>
      </c>
      <c r="L2864" s="50">
        <f>VLOOKUP(A2864,[2]data1761205830331!$A$1:$J$65536,10,0)</f>
        <v>0</v>
      </c>
    </row>
    <row r="2865" spans="1:12" ht="15.6" outlineLevel="1">
      <c r="A2865" s="11">
        <v>1815810511</v>
      </c>
      <c r="B2865" s="40">
        <v>511</v>
      </c>
      <c r="C2865" s="109">
        <v>815810</v>
      </c>
      <c r="D2865" s="42">
        <v>1</v>
      </c>
      <c r="E2865" s="43"/>
      <c r="F2865" s="44" t="s">
        <v>72</v>
      </c>
      <c r="G2865" s="45" t="s">
        <v>37</v>
      </c>
      <c r="H2865" s="51">
        <f t="shared" si="44"/>
        <v>-0.20634920634920639</v>
      </c>
      <c r="I2865" s="47"/>
      <c r="J2865" s="48">
        <f>VLOOKUP(A2865,'[1]תקציב 2026'!$A$1:$M$65536,9,0)</f>
        <v>9000</v>
      </c>
      <c r="K2865" s="49">
        <f>12600*0.9</f>
        <v>11340</v>
      </c>
      <c r="L2865" s="50">
        <f>VLOOKUP(A2865,[2]data1761205830331!$A$1:$J$65536,10,0)</f>
        <v>8118.96</v>
      </c>
    </row>
    <row r="2866" spans="1:12" ht="15.6" outlineLevel="1">
      <c r="A2866" s="11">
        <v>1815810742</v>
      </c>
      <c r="B2866" s="40">
        <v>742</v>
      </c>
      <c r="C2866" s="109">
        <v>815810</v>
      </c>
      <c r="D2866" s="42">
        <v>1</v>
      </c>
      <c r="E2866" s="43"/>
      <c r="F2866" s="44" t="s">
        <v>52</v>
      </c>
      <c r="G2866" s="45" t="s">
        <v>29</v>
      </c>
      <c r="H2866" s="51">
        <f t="shared" si="44"/>
        <v>0.77177177177177181</v>
      </c>
      <c r="I2866" s="47"/>
      <c r="J2866" s="48">
        <f>VLOOKUP(A2866,'[1]תקציב 2026'!$A$1:$M$65536,9,0)</f>
        <v>5900</v>
      </c>
      <c r="K2866" s="49">
        <f>3700*0.9</f>
        <v>3330</v>
      </c>
      <c r="L2866" s="50">
        <f>VLOOKUP(A2866,[2]data1761205830331!$A$1:$J$65536,10,0)</f>
        <v>25537</v>
      </c>
    </row>
    <row r="2867" spans="1:12" ht="15.6" outlineLevel="1">
      <c r="A2867" s="11">
        <v>1815810750</v>
      </c>
      <c r="B2867" s="40">
        <v>750</v>
      </c>
      <c r="C2867" s="109">
        <v>815810</v>
      </c>
      <c r="D2867" s="42">
        <v>1</v>
      </c>
      <c r="E2867" s="43"/>
      <c r="F2867" s="44" t="s">
        <v>1351</v>
      </c>
      <c r="G2867" s="45" t="s">
        <v>29</v>
      </c>
      <c r="H2867" s="51">
        <f t="shared" si="44"/>
        <v>0.12168362258128873</v>
      </c>
      <c r="I2867" s="47"/>
      <c r="J2867" s="48">
        <f>VLOOKUP(A2867,'[1]תקציב 2026'!$A$1:$M$65536,9,0)</f>
        <v>562300</v>
      </c>
      <c r="K2867" s="49">
        <v>501300</v>
      </c>
      <c r="L2867" s="50">
        <f>VLOOKUP(A2867,[2]data1761205830331!$A$1:$J$65536,10,0)</f>
        <v>530900</v>
      </c>
    </row>
    <row r="2868" spans="1:12" ht="15.6" outlineLevel="1">
      <c r="A2868" s="11">
        <v>1815810752</v>
      </c>
      <c r="B2868" s="40">
        <v>752</v>
      </c>
      <c r="C2868" s="109">
        <v>815810</v>
      </c>
      <c r="D2868" s="42">
        <v>1</v>
      </c>
      <c r="E2868" s="43"/>
      <c r="F2868" s="44" t="s">
        <v>54</v>
      </c>
      <c r="G2868" s="45" t="s">
        <v>29</v>
      </c>
      <c r="H2868" s="51">
        <f t="shared" si="44"/>
        <v>-9.8674351585014364E-2</v>
      </c>
      <c r="I2868" s="47"/>
      <c r="J2868" s="48">
        <f>VLOOKUP(A2868,'[1]תקציב 2026'!$A$1:$M$65536,9,0)</f>
        <v>781900</v>
      </c>
      <c r="K2868" s="49">
        <f>VLOOKUP(A2868,[3]גיליון1!$A$1:$C$7693,3,0)</f>
        <v>867500</v>
      </c>
      <c r="L2868" s="50">
        <f>VLOOKUP(A2868,[2]data1761205830331!$A$1:$J$65536,10,0)</f>
        <v>674499.57</v>
      </c>
    </row>
    <row r="2869" spans="1:12" ht="15.6" outlineLevel="1">
      <c r="A2869" s="11">
        <v>1815810759</v>
      </c>
      <c r="B2869" s="40">
        <v>759</v>
      </c>
      <c r="C2869" s="109">
        <v>815810</v>
      </c>
      <c r="D2869" s="42">
        <v>1</v>
      </c>
      <c r="E2869" s="43"/>
      <c r="F2869" s="44" t="s">
        <v>1332</v>
      </c>
      <c r="G2869" s="45" t="s">
        <v>22</v>
      </c>
      <c r="H2869" s="51">
        <f t="shared" si="44"/>
        <v>7.2781726987334538E-2</v>
      </c>
      <c r="I2869" s="47"/>
      <c r="J2869" s="48">
        <f>VLOOKUP(A2869,'[1]תקציב 2026'!$A$1:$M$65536,9,0)</f>
        <v>2973000</v>
      </c>
      <c r="K2869" s="49">
        <v>2771300</v>
      </c>
      <c r="L2869" s="50">
        <f>VLOOKUP(A2869,[2]data1761205830331!$A$1:$J$65536,10,0)</f>
        <v>2551159.04</v>
      </c>
    </row>
    <row r="2870" spans="1:12" ht="15.6" outlineLevel="1">
      <c r="A2870" s="11">
        <v>1815810762</v>
      </c>
      <c r="B2870" s="40">
        <v>762</v>
      </c>
      <c r="C2870" s="109">
        <v>815810</v>
      </c>
      <c r="D2870" s="42">
        <v>1</v>
      </c>
      <c r="E2870" s="43"/>
      <c r="F2870" s="44" t="s">
        <v>1496</v>
      </c>
      <c r="G2870" s="45" t="s">
        <v>22</v>
      </c>
      <c r="H2870" s="51">
        <f t="shared" si="44"/>
        <v>-1</v>
      </c>
      <c r="I2870" s="47"/>
      <c r="J2870" s="48">
        <f>VLOOKUP(A2870,'[1]תקציב 2026'!$A$1:$M$65536,9,0)</f>
        <v>0</v>
      </c>
      <c r="K2870" s="49">
        <f>VLOOKUP(A2870,[3]גיליון1!$A$1:$C$7693,3,0)</f>
        <v>76000</v>
      </c>
      <c r="L2870" s="50">
        <f>VLOOKUP(A2870,[2]data1761205830331!$A$1:$J$65536,10,0)</f>
        <v>0</v>
      </c>
    </row>
    <row r="2871" spans="1:12" ht="15.6" outlineLevel="1">
      <c r="A2871" s="11">
        <v>1815810780</v>
      </c>
      <c r="B2871" s="40">
        <v>780</v>
      </c>
      <c r="C2871" s="109">
        <v>815810</v>
      </c>
      <c r="D2871" s="42">
        <v>1</v>
      </c>
      <c r="E2871" s="43"/>
      <c r="F2871" s="44" t="s">
        <v>1489</v>
      </c>
      <c r="G2871" s="45" t="s">
        <v>29</v>
      </c>
      <c r="H2871" s="51">
        <f t="shared" si="44"/>
        <v>0.62162162162162171</v>
      </c>
      <c r="I2871" s="47"/>
      <c r="J2871" s="48">
        <f>VLOOKUP(A2871,'[1]תקציב 2026'!$A$1:$M$65536,9,0)</f>
        <v>18000</v>
      </c>
      <c r="K2871" s="49">
        <v>11100</v>
      </c>
      <c r="L2871" s="50">
        <f>VLOOKUP(A2871,[2]data1761205830331!$A$1:$J$65536,10,0)</f>
        <v>9792</v>
      </c>
    </row>
    <row r="2872" spans="1:12" ht="15.6" outlineLevel="1">
      <c r="A2872" s="11">
        <v>1815810810</v>
      </c>
      <c r="B2872" s="40">
        <v>810</v>
      </c>
      <c r="C2872" s="109">
        <v>815810</v>
      </c>
      <c r="D2872" s="42">
        <v>1</v>
      </c>
      <c r="E2872" s="43"/>
      <c r="F2872" s="44" t="s">
        <v>1490</v>
      </c>
      <c r="G2872" s="45" t="s">
        <v>29</v>
      </c>
      <c r="H2872" s="51">
        <f>J2872/K2872-1</f>
        <v>0.11111111111111116</v>
      </c>
      <c r="I2872" s="47"/>
      <c r="J2872" s="48">
        <f>VLOOKUP(A2872,'[1]תקציב 2026'!$A$1:$M$65536,9,0)</f>
        <v>200000</v>
      </c>
      <c r="K2872" s="49">
        <f>200000*0.9</f>
        <v>180000</v>
      </c>
      <c r="L2872" s="50">
        <f>VLOOKUP(A2872,[2]data1761205830331!$A$1:$J$65536,10,0)</f>
        <v>250000</v>
      </c>
    </row>
    <row r="2873" spans="1:12" ht="15.6" outlineLevel="1">
      <c r="A2873" s="11">
        <v>1815810812</v>
      </c>
      <c r="B2873" s="40">
        <v>812</v>
      </c>
      <c r="C2873" s="109">
        <v>815810</v>
      </c>
      <c r="D2873" s="42">
        <v>1</v>
      </c>
      <c r="E2873" s="43"/>
      <c r="F2873" s="44" t="s">
        <v>296</v>
      </c>
      <c r="G2873" s="45" t="s">
        <v>29</v>
      </c>
      <c r="H2873" s="51">
        <f>J2873/K2873-1</f>
        <v>0.73333333333333339</v>
      </c>
      <c r="I2873" s="47"/>
      <c r="J2873" s="48">
        <f>VLOOKUP(A2873,'[1]תקציב 2026'!$A$1:$M$65536,9,0)</f>
        <v>19500</v>
      </c>
      <c r="K2873" s="49">
        <f>VLOOKUP(A2873,[3]גיליון1!$A$1:$C$7693,3,0)*0.9</f>
        <v>11250</v>
      </c>
      <c r="L2873" s="50">
        <f>VLOOKUP(A2873,[2]data1761205830331!$A$1:$J$65536,10,0)</f>
        <v>14520</v>
      </c>
    </row>
    <row r="2874" spans="1:12" ht="15.6" outlineLevel="1">
      <c r="A2874" s="11">
        <v>1815810953</v>
      </c>
      <c r="B2874" s="40">
        <v>953</v>
      </c>
      <c r="C2874" s="109">
        <v>815810</v>
      </c>
      <c r="D2874" s="42">
        <v>1</v>
      </c>
      <c r="E2874" s="43"/>
      <c r="F2874" s="44" t="s">
        <v>277</v>
      </c>
      <c r="G2874" s="45" t="s">
        <v>29</v>
      </c>
      <c r="H2874" s="51">
        <f>J2874/K2874-1</f>
        <v>6.0885608856088513E-2</v>
      </c>
      <c r="I2874" s="47"/>
      <c r="J2874" s="48">
        <f>VLOOKUP(A2874,'[1]תקציב 2026'!$A$1:$M$65536,9,0)</f>
        <v>690000</v>
      </c>
      <c r="K2874" s="49">
        <v>650400</v>
      </c>
      <c r="L2874" s="50">
        <f>VLOOKUP(A2874,[2]data1761205830331!$A$1:$J$65536,10,0)</f>
        <v>853993.26</v>
      </c>
    </row>
    <row r="2875" spans="1:12" ht="16.2" outlineLevel="1" thickBot="1">
      <c r="A2875" s="11">
        <v>1815810989</v>
      </c>
      <c r="B2875" s="40">
        <v>989</v>
      </c>
      <c r="C2875" s="109">
        <v>815810</v>
      </c>
      <c r="D2875" s="42">
        <v>1</v>
      </c>
      <c r="E2875" s="43"/>
      <c r="F2875" s="44" t="s">
        <v>1524</v>
      </c>
      <c r="G2875" s="45" t="s">
        <v>29</v>
      </c>
      <c r="H2875" s="51">
        <f>J2875/K2875-1</f>
        <v>-0.10486891385767794</v>
      </c>
      <c r="I2875" s="47"/>
      <c r="J2875" s="48">
        <f>VLOOKUP(A2875,'[1]תקציב 2026'!$A$1:$M$65536,9,0)</f>
        <v>1051600</v>
      </c>
      <c r="K2875" s="49">
        <v>1174800</v>
      </c>
      <c r="L2875" s="50">
        <f>VLOOKUP(A2875,[2]data1761205830331!$A$1:$J$65536,10,0)</f>
        <v>1032972</v>
      </c>
    </row>
    <row r="2876" spans="1:12" ht="16.2" thickBot="1">
      <c r="A2876" s="11" t="e">
        <v>#VALUE!</v>
      </c>
      <c r="B2876" s="157" t="s">
        <v>1527</v>
      </c>
      <c r="C2876" s="223"/>
      <c r="D2876" s="55"/>
      <c r="E2876" s="56"/>
      <c r="F2876" s="116" t="s">
        <v>1526</v>
      </c>
      <c r="G2876" s="58"/>
      <c r="H2876" s="71">
        <f>J2876/K2876-1</f>
        <v>4.6384744147484946E-2</v>
      </c>
      <c r="I2876" s="72"/>
      <c r="J2876" s="74">
        <f>SUBTOTAL(9,J2852:J2875)</f>
        <v>18578310</v>
      </c>
      <c r="K2876" s="92">
        <f>SUBTOTAL(9,K2852:K2875)</f>
        <v>17754760</v>
      </c>
      <c r="L2876" s="75">
        <f>SUBTOTAL(9,L2852:L2875)</f>
        <v>18554269.32</v>
      </c>
    </row>
    <row r="2877" spans="1:12" ht="15.6" outlineLevel="1">
      <c r="A2877" s="11">
        <v>18158200</v>
      </c>
      <c r="B2877" s="40">
        <v>0</v>
      </c>
      <c r="C2877" s="109">
        <v>815820</v>
      </c>
      <c r="D2877" s="42">
        <v>1</v>
      </c>
      <c r="E2877" s="43"/>
      <c r="F2877" s="44" t="s">
        <v>414</v>
      </c>
      <c r="G2877" s="45" t="s">
        <v>15</v>
      </c>
      <c r="H2877" s="51"/>
      <c r="I2877" s="47"/>
      <c r="J2877" s="48"/>
      <c r="K2877" s="49"/>
      <c r="L2877" s="50"/>
    </row>
    <row r="2878" spans="1:12" ht="15.6" outlineLevel="1">
      <c r="A2878" s="11">
        <v>1815820118</v>
      </c>
      <c r="B2878" s="40">
        <v>118</v>
      </c>
      <c r="C2878" s="109">
        <v>815820</v>
      </c>
      <c r="D2878" s="42">
        <v>1</v>
      </c>
      <c r="E2878" s="43"/>
      <c r="F2878" s="44" t="s">
        <v>1483</v>
      </c>
      <c r="G2878" s="45" t="s">
        <v>22</v>
      </c>
      <c r="H2878" s="51">
        <f>J2878/K2878-1</f>
        <v>3.1326715764756097E-2</v>
      </c>
      <c r="I2878" s="47"/>
      <c r="J2878" s="48">
        <f>VLOOKUP(A2878,'[1]תקציב 2026'!$A$1:$M$65536,9,0)</f>
        <v>7730000</v>
      </c>
      <c r="K2878" s="49">
        <v>7495200</v>
      </c>
      <c r="L2878" s="50">
        <f>VLOOKUP(A2878,[2]data1761205830331!$A$1:$J$65536,10,0)</f>
        <v>7707444.1799999997</v>
      </c>
    </row>
    <row r="2879" spans="1:12" ht="15.6" outlineLevel="1">
      <c r="A2879" s="11">
        <v>1815820119</v>
      </c>
      <c r="B2879" s="40">
        <v>119</v>
      </c>
      <c r="C2879" s="109">
        <v>815820</v>
      </c>
      <c r="D2879" s="42">
        <v>1</v>
      </c>
      <c r="E2879" s="43"/>
      <c r="F2879" s="44" t="s">
        <v>23</v>
      </c>
      <c r="G2879" s="45" t="s">
        <v>22</v>
      </c>
      <c r="H2879" s="51">
        <f>J2879/K2879-1</f>
        <v>2.5010317787866221E-2</v>
      </c>
      <c r="I2879" s="47"/>
      <c r="J2879" s="48">
        <f>VLOOKUP(A2879,'[1]תקציב 2026'!$A$1:$M$65536,9,0)</f>
        <v>248360</v>
      </c>
      <c r="K2879" s="49">
        <v>242300</v>
      </c>
      <c r="L2879" s="50">
        <f>VLOOKUP(A2879,[2]data1761205830331!$A$1:$J$65536,10,0)</f>
        <v>245323.31</v>
      </c>
    </row>
    <row r="2880" spans="1:12" ht="15.6" outlineLevel="1">
      <c r="A2880" s="11">
        <v>1815820122</v>
      </c>
      <c r="B2880" s="40">
        <v>122</v>
      </c>
      <c r="C2880" s="109">
        <v>815820</v>
      </c>
      <c r="D2880" s="42">
        <v>1</v>
      </c>
      <c r="E2880" s="43"/>
      <c r="F2880" s="44" t="s">
        <v>24</v>
      </c>
      <c r="G2880" s="45" t="s">
        <v>22</v>
      </c>
      <c r="H2880" s="51">
        <f>J2880/K2880-1</f>
        <v>0</v>
      </c>
      <c r="I2880" s="47"/>
      <c r="J2880" s="48">
        <f>VLOOKUP(A2880,'[1]תקציב 2026'!$A$1:$M$65536,9,0)</f>
        <v>77000</v>
      </c>
      <c r="K2880" s="49">
        <f>VLOOKUP(A2880,[3]גיליון1!$A$1:$C$7693,3,0)</f>
        <v>77000</v>
      </c>
      <c r="L2880" s="50">
        <f>VLOOKUP(A2880,[2]data1761205830331!$A$1:$J$65536,10,0)</f>
        <v>75634.41</v>
      </c>
    </row>
    <row r="2881" spans="1:12" ht="15.6" outlineLevel="1">
      <c r="A2881" s="11">
        <v>1815820126</v>
      </c>
      <c r="B2881" s="40">
        <v>126</v>
      </c>
      <c r="C2881" s="109">
        <v>815820</v>
      </c>
      <c r="D2881" s="42">
        <v>1</v>
      </c>
      <c r="E2881" s="43"/>
      <c r="F2881" s="44" t="s">
        <v>25</v>
      </c>
      <c r="G2881" s="45" t="s">
        <v>22</v>
      </c>
      <c r="H2881" s="51">
        <f>J2881/K2881-1</f>
        <v>0</v>
      </c>
      <c r="I2881" s="47"/>
      <c r="J2881" s="48">
        <f>VLOOKUP(A2881,'[1]תקציב 2026'!$A$1:$M$65536,9,0)</f>
        <v>155000</v>
      </c>
      <c r="K2881" s="49">
        <f>VLOOKUP(A2881,[3]גיליון1!$A$1:$C$7693,3,0)</f>
        <v>155000</v>
      </c>
      <c r="L2881" s="50">
        <f>VLOOKUP(A2881,[2]data1761205830331!$A$1:$J$65536,10,0)</f>
        <v>153842.43</v>
      </c>
    </row>
    <row r="2882" spans="1:12" ht="15.6" outlineLevel="1">
      <c r="A2882" s="11">
        <v>1815820140</v>
      </c>
      <c r="B2882" s="40">
        <v>140</v>
      </c>
      <c r="C2882" s="109">
        <v>815820</v>
      </c>
      <c r="D2882" s="42">
        <v>1</v>
      </c>
      <c r="E2882" s="43"/>
      <c r="F2882" s="44" t="s">
        <v>27</v>
      </c>
      <c r="G2882" s="45" t="s">
        <v>22</v>
      </c>
      <c r="H2882" s="51">
        <v>0</v>
      </c>
      <c r="I2882" s="47"/>
      <c r="J2882" s="48">
        <f>VLOOKUP(A2882,'[1]תקציב 2026'!$A$1:$M$65536,9,0)</f>
        <v>0</v>
      </c>
      <c r="K2882" s="49">
        <f>VLOOKUP(A2882,[3]גיליון1!$A$1:$C$7693,3,0)</f>
        <v>0</v>
      </c>
      <c r="L2882" s="50">
        <f>VLOOKUP(A2882,[2]data1761205830331!$A$1:$J$65536,10,0)</f>
        <v>880.53</v>
      </c>
    </row>
    <row r="2883" spans="1:12" ht="15.6" outlineLevel="1">
      <c r="A2883" s="11">
        <v>1815820210</v>
      </c>
      <c r="B2883" s="40">
        <v>210</v>
      </c>
      <c r="C2883" s="109">
        <v>815820</v>
      </c>
      <c r="D2883" s="42">
        <v>1</v>
      </c>
      <c r="E2883" s="43"/>
      <c r="F2883" s="44" t="s">
        <v>1330</v>
      </c>
      <c r="G2883" s="45" t="s">
        <v>22</v>
      </c>
      <c r="H2883" s="51">
        <v>0</v>
      </c>
      <c r="I2883" s="47"/>
      <c r="J2883" s="48">
        <f>VLOOKUP(A2883,'[1]תקציב 2026'!$A$1:$M$65536,9,0)</f>
        <v>0</v>
      </c>
      <c r="K2883" s="49">
        <f>VLOOKUP(A2883,[3]גיליון1!$A$1:$C$7693,3,0)</f>
        <v>0</v>
      </c>
      <c r="L2883" s="50">
        <f>VLOOKUP(A2883,[2]data1761205830331!$A$1:$J$65536,10,0)</f>
        <v>7378.86</v>
      </c>
    </row>
    <row r="2884" spans="1:12" ht="15.6" outlineLevel="1">
      <c r="A2884" s="11">
        <v>1815820213</v>
      </c>
      <c r="B2884" s="40">
        <v>213</v>
      </c>
      <c r="C2884" s="109">
        <v>815820</v>
      </c>
      <c r="D2884" s="42">
        <v>1</v>
      </c>
      <c r="E2884" s="43"/>
      <c r="F2884" s="44" t="s">
        <v>385</v>
      </c>
      <c r="G2884" s="45" t="s">
        <v>22</v>
      </c>
      <c r="H2884" s="51">
        <v>0</v>
      </c>
      <c r="I2884" s="47"/>
      <c r="J2884" s="48">
        <f>VLOOKUP(A2884,'[1]תקציב 2026'!$A$1:$M$65536,9,0)</f>
        <v>0</v>
      </c>
      <c r="K2884" s="49">
        <f>VLOOKUP(A2884,[3]גיליון1!$A$1:$C$7693,3,0)</f>
        <v>0</v>
      </c>
      <c r="L2884" s="50">
        <f>VLOOKUP(A2884,[2]data1761205830331!$A$1:$J$65536,10,0)</f>
        <v>76818.78</v>
      </c>
    </row>
    <row r="2885" spans="1:12" ht="15.6" outlineLevel="1">
      <c r="A2885" s="11">
        <v>1815820263</v>
      </c>
      <c r="B2885" s="40">
        <v>263</v>
      </c>
      <c r="C2885" s="109">
        <v>815820</v>
      </c>
      <c r="D2885" s="42">
        <v>1</v>
      </c>
      <c r="E2885" s="43"/>
      <c r="F2885" s="44" t="s">
        <v>1528</v>
      </c>
      <c r="G2885" s="45" t="s">
        <v>22</v>
      </c>
      <c r="H2885" s="51">
        <v>0</v>
      </c>
      <c r="I2885" s="47"/>
      <c r="J2885" s="48">
        <f>VLOOKUP(A2885,'[1]תקציב 2026'!$A$1:$M$65536,9,0)</f>
        <v>0</v>
      </c>
      <c r="K2885" s="49">
        <v>0</v>
      </c>
      <c r="L2885" s="50">
        <f>VLOOKUP(A2885,[2]data1761205830331!$A$1:$J$65536,10,0)</f>
        <v>35151.57</v>
      </c>
    </row>
    <row r="2886" spans="1:12" ht="15.6" outlineLevel="1">
      <c r="A2886" s="11">
        <v>1815820420</v>
      </c>
      <c r="B2886" s="40">
        <v>420</v>
      </c>
      <c r="C2886" s="109">
        <v>815820</v>
      </c>
      <c r="D2886" s="42">
        <v>1</v>
      </c>
      <c r="E2886" s="43"/>
      <c r="F2886" s="44" t="s">
        <v>30</v>
      </c>
      <c r="G2886" s="45" t="s">
        <v>29</v>
      </c>
      <c r="H2886" s="51">
        <f t="shared" ref="H2886:H2902" si="45">J2886/K2886-1</f>
        <v>0.66666666666666674</v>
      </c>
      <c r="I2886" s="47"/>
      <c r="J2886" s="48">
        <f>VLOOKUP(A2886,'[1]תקציב 2026'!$A$1:$M$65536,9,0)</f>
        <v>3000</v>
      </c>
      <c r="K2886" s="49">
        <f>VLOOKUP(A2886,[3]גיליון1!$A$1:$C$7693,3,0)*0.9</f>
        <v>1800</v>
      </c>
      <c r="L2886" s="50">
        <f>VLOOKUP(A2886,[2]data1761205830331!$A$1:$J$65536,10,0)</f>
        <v>0</v>
      </c>
    </row>
    <row r="2887" spans="1:12" ht="15.6" outlineLevel="1">
      <c r="A2887" s="11">
        <v>1815820431</v>
      </c>
      <c r="B2887" s="40">
        <v>431</v>
      </c>
      <c r="C2887" s="109">
        <v>815820</v>
      </c>
      <c r="D2887" s="42">
        <v>1</v>
      </c>
      <c r="E2887" s="43"/>
      <c r="F2887" s="44" t="s">
        <v>32</v>
      </c>
      <c r="G2887" s="45" t="s">
        <v>29</v>
      </c>
      <c r="H2887" s="51">
        <f t="shared" si="45"/>
        <v>0</v>
      </c>
      <c r="I2887" s="47"/>
      <c r="J2887" s="48">
        <f>VLOOKUP(A2887,'[1]תקציב 2026'!$A$1:$M$65536,9,0)</f>
        <v>40400</v>
      </c>
      <c r="K2887" s="49">
        <v>40400</v>
      </c>
      <c r="L2887" s="50">
        <f>VLOOKUP(A2887,[2]data1761205830331!$A$1:$J$65536,10,0)</f>
        <v>36665</v>
      </c>
    </row>
    <row r="2888" spans="1:12" ht="15.6" outlineLevel="1">
      <c r="A2888" s="11">
        <v>1815820432</v>
      </c>
      <c r="B2888" s="40">
        <v>432</v>
      </c>
      <c r="C2888" s="109">
        <v>815820</v>
      </c>
      <c r="D2888" s="42">
        <v>1</v>
      </c>
      <c r="E2888" s="43"/>
      <c r="F2888" s="44" t="s">
        <v>33</v>
      </c>
      <c r="G2888" s="45" t="s">
        <v>29</v>
      </c>
      <c r="H2888" s="51">
        <f t="shared" si="45"/>
        <v>0</v>
      </c>
      <c r="I2888" s="47"/>
      <c r="J2888" s="48">
        <f>VLOOKUP(A2888,'[1]תקציב 2026'!$A$1:$M$65536,9,0)</f>
        <v>15000</v>
      </c>
      <c r="K2888" s="49">
        <v>15000</v>
      </c>
      <c r="L2888" s="50">
        <f>VLOOKUP(A2888,[2]data1761205830331!$A$1:$J$65536,10,0)</f>
        <v>13750</v>
      </c>
    </row>
    <row r="2889" spans="1:12" ht="15.6" outlineLevel="1">
      <c r="A2889" s="11">
        <v>1815820437</v>
      </c>
      <c r="B2889" s="40">
        <v>437</v>
      </c>
      <c r="C2889" s="109">
        <v>815820</v>
      </c>
      <c r="D2889" s="42">
        <v>1</v>
      </c>
      <c r="E2889" s="43"/>
      <c r="F2889" s="44" t="s">
        <v>38</v>
      </c>
      <c r="G2889" s="45" t="s">
        <v>29</v>
      </c>
      <c r="H2889" s="51">
        <f t="shared" si="45"/>
        <v>-7.1428571428571397E-2</v>
      </c>
      <c r="I2889" s="47"/>
      <c r="J2889" s="48">
        <f>VLOOKUP(A2889,'[1]תקציב 2026'!$A$1:$M$65536,9,0)</f>
        <v>1300</v>
      </c>
      <c r="K2889" s="49">
        <f>VLOOKUP(A2889,[3]גיליון1!$A$1:$C$7693,3,0)</f>
        <v>1400</v>
      </c>
      <c r="L2889" s="50">
        <f>VLOOKUP(A2889,[2]data1761205830331!$A$1:$J$65536,10,0)</f>
        <v>1221.48</v>
      </c>
    </row>
    <row r="2890" spans="1:12" ht="15.6" outlineLevel="1">
      <c r="A2890" s="11">
        <v>1815820450</v>
      </c>
      <c r="B2890" s="40">
        <v>450</v>
      </c>
      <c r="C2890" s="109">
        <v>815820</v>
      </c>
      <c r="D2890" s="42">
        <v>1</v>
      </c>
      <c r="E2890" s="43"/>
      <c r="F2890" s="44" t="s">
        <v>1487</v>
      </c>
      <c r="G2890" s="45" t="s">
        <v>29</v>
      </c>
      <c r="H2890" s="51">
        <f t="shared" si="45"/>
        <v>0.19047619047619047</v>
      </c>
      <c r="I2890" s="47"/>
      <c r="J2890" s="48">
        <f>VLOOKUP(A2890,'[1]תקציב 2026'!$A$1:$M$65536,9,0)</f>
        <v>7500</v>
      </c>
      <c r="K2890" s="49">
        <f>VLOOKUP(A2890,[3]גיליון1!$A$1:$C$7693,3,0)*0.9</f>
        <v>6300</v>
      </c>
      <c r="L2890" s="50">
        <f>VLOOKUP(A2890,[2]data1761205830331!$A$1:$J$65536,10,0)</f>
        <v>7151</v>
      </c>
    </row>
    <row r="2891" spans="1:12" ht="15.6" outlineLevel="1">
      <c r="A2891" s="11">
        <v>1815820451</v>
      </c>
      <c r="B2891" s="40">
        <v>451</v>
      </c>
      <c r="C2891" s="109">
        <v>815820</v>
      </c>
      <c r="D2891" s="42">
        <v>1</v>
      </c>
      <c r="E2891" s="43"/>
      <c r="F2891" s="44" t="s">
        <v>1384</v>
      </c>
      <c r="G2891" s="45" t="s">
        <v>29</v>
      </c>
      <c r="H2891" s="51">
        <f t="shared" si="45"/>
        <v>-9.0909090909090939E-2</v>
      </c>
      <c r="I2891" s="47"/>
      <c r="J2891" s="48">
        <f>VLOOKUP(A2891,'[1]תקציב 2026'!$A$1:$M$65536,9,0)</f>
        <v>100000</v>
      </c>
      <c r="K2891" s="49">
        <v>110000</v>
      </c>
      <c r="L2891" s="50">
        <f>VLOOKUP(A2891,[2]data1761205830331!$A$1:$J$65536,10,0)</f>
        <v>0</v>
      </c>
    </row>
    <row r="2892" spans="1:12" ht="15.6" outlineLevel="1">
      <c r="A2892" s="11">
        <v>1815820452</v>
      </c>
      <c r="B2892" s="40">
        <v>452</v>
      </c>
      <c r="C2892" s="109">
        <v>815820</v>
      </c>
      <c r="D2892" s="42">
        <v>1</v>
      </c>
      <c r="E2892" s="43"/>
      <c r="F2892" s="44" t="s">
        <v>381</v>
      </c>
      <c r="G2892" s="45" t="s">
        <v>29</v>
      </c>
      <c r="H2892" s="51">
        <f t="shared" si="45"/>
        <v>0.14541832669322718</v>
      </c>
      <c r="I2892" s="47"/>
      <c r="J2892" s="48">
        <f>VLOOKUP(A2892,'[1]תקציב 2026'!$A$1:$M$65536,9,0)</f>
        <v>115000</v>
      </c>
      <c r="K2892" s="49">
        <v>100400</v>
      </c>
      <c r="L2892" s="50">
        <f>VLOOKUP(A2892,[2]data1761205830331!$A$1:$J$65536,10,0)</f>
        <v>0</v>
      </c>
    </row>
    <row r="2893" spans="1:12" ht="15.6" outlineLevel="1">
      <c r="A2893" s="11">
        <v>1815820511</v>
      </c>
      <c r="B2893" s="40">
        <v>511</v>
      </c>
      <c r="C2893" s="109">
        <v>815820</v>
      </c>
      <c r="D2893" s="42">
        <v>1</v>
      </c>
      <c r="E2893" s="43"/>
      <c r="F2893" s="44" t="s">
        <v>72</v>
      </c>
      <c r="G2893" s="45" t="s">
        <v>37</v>
      </c>
      <c r="H2893" s="51">
        <f t="shared" si="45"/>
        <v>8.9324618736383421E-2</v>
      </c>
      <c r="I2893" s="47"/>
      <c r="J2893" s="48">
        <f>VLOOKUP(A2893,'[1]תקציב 2026'!$A$1:$M$65536,9,0)</f>
        <v>5000</v>
      </c>
      <c r="K2893" s="49">
        <f>5100*0.9</f>
        <v>4590</v>
      </c>
      <c r="L2893" s="50">
        <f>VLOOKUP(A2893,[2]data1761205830331!$A$1:$J$65536,10,0)</f>
        <v>4817.08</v>
      </c>
    </row>
    <row r="2894" spans="1:12" ht="15.6" outlineLevel="1">
      <c r="A2894" s="11">
        <v>1815820742</v>
      </c>
      <c r="B2894" s="40">
        <v>742</v>
      </c>
      <c r="C2894" s="109">
        <v>815820</v>
      </c>
      <c r="D2894" s="42">
        <v>1</v>
      </c>
      <c r="E2894" s="43"/>
      <c r="F2894" s="44" t="s">
        <v>52</v>
      </c>
      <c r="G2894" s="45" t="s">
        <v>29</v>
      </c>
      <c r="H2894" s="51">
        <f t="shared" si="45"/>
        <v>0.24090121317157709</v>
      </c>
      <c r="I2894" s="47"/>
      <c r="J2894" s="48">
        <f>VLOOKUP(A2894,'[1]תקציב 2026'!$A$1:$M$65536,9,0)</f>
        <v>71600</v>
      </c>
      <c r="K2894" s="49">
        <v>57700</v>
      </c>
      <c r="L2894" s="50">
        <f>VLOOKUP(A2894,[2]data1761205830331!$A$1:$J$65536,10,0)</f>
        <v>54424</v>
      </c>
    </row>
    <row r="2895" spans="1:12" ht="15.6" outlineLevel="1">
      <c r="A2895" s="11">
        <v>1815820750</v>
      </c>
      <c r="B2895" s="40">
        <v>750</v>
      </c>
      <c r="C2895" s="109">
        <v>815820</v>
      </c>
      <c r="D2895" s="42">
        <v>1</v>
      </c>
      <c r="E2895" s="43"/>
      <c r="F2895" s="44" t="s">
        <v>1351</v>
      </c>
      <c r="G2895" s="45" t="s">
        <v>29</v>
      </c>
      <c r="H2895" s="51">
        <f t="shared" si="45"/>
        <v>4.8470859780727071E-2</v>
      </c>
      <c r="I2895" s="47"/>
      <c r="J2895" s="48">
        <f>VLOOKUP(A2895,'[1]תקציב 2026'!$A$1:$M$65536,9,0)</f>
        <v>363400</v>
      </c>
      <c r="K2895" s="49">
        <v>346600</v>
      </c>
      <c r="L2895" s="50">
        <f>VLOOKUP(A2895,[2]data1761205830331!$A$1:$J$65536,10,0)</f>
        <v>230646</v>
      </c>
    </row>
    <row r="2896" spans="1:12" ht="15.6" outlineLevel="1">
      <c r="A2896" s="11">
        <v>1815820752</v>
      </c>
      <c r="B2896" s="40">
        <v>752</v>
      </c>
      <c r="C2896" s="109">
        <v>815820</v>
      </c>
      <c r="D2896" s="42">
        <v>1</v>
      </c>
      <c r="E2896" s="43"/>
      <c r="F2896" s="44" t="s">
        <v>54</v>
      </c>
      <c r="G2896" s="45" t="s">
        <v>29</v>
      </c>
      <c r="H2896" s="51">
        <f t="shared" si="45"/>
        <v>-2.7157360406091402E-2</v>
      </c>
      <c r="I2896" s="47"/>
      <c r="J2896" s="48">
        <f>VLOOKUP(A2896,'[1]תקציב 2026'!$A$1:$M$65536,9,0)</f>
        <v>383300</v>
      </c>
      <c r="K2896" s="49">
        <f>VLOOKUP(A2896,[3]גיליון1!$A$1:$C$7693,3,0)</f>
        <v>394000</v>
      </c>
      <c r="L2896" s="50">
        <f>VLOOKUP(A2896,[2]data1761205830331!$A$1:$J$65536,10,0)</f>
        <v>333499.89</v>
      </c>
    </row>
    <row r="2897" spans="1:12" ht="15.6" outlineLevel="1">
      <c r="A2897" s="11">
        <v>1815820780</v>
      </c>
      <c r="B2897" s="40">
        <v>780</v>
      </c>
      <c r="C2897" s="109">
        <v>815820</v>
      </c>
      <c r="D2897" s="42">
        <v>1</v>
      </c>
      <c r="E2897" s="43"/>
      <c r="F2897" s="44" t="s">
        <v>1489</v>
      </c>
      <c r="G2897" s="45" t="s">
        <v>29</v>
      </c>
      <c r="H2897" s="51">
        <f t="shared" si="45"/>
        <v>6.3829787234042534E-2</v>
      </c>
      <c r="I2897" s="47"/>
      <c r="J2897" s="48">
        <f>VLOOKUP(A2897,'[1]תקציב 2026'!$A$1:$M$65536,9,0)</f>
        <v>10000</v>
      </c>
      <c r="K2897" s="49">
        <v>9400</v>
      </c>
      <c r="L2897" s="50">
        <f>VLOOKUP(A2897,[2]data1761205830331!$A$1:$J$65536,10,0)</f>
        <v>7977</v>
      </c>
    </row>
    <row r="2898" spans="1:12" ht="15.6" outlineLevel="1">
      <c r="A2898" s="11">
        <v>1815820810</v>
      </c>
      <c r="B2898" s="40">
        <v>810</v>
      </c>
      <c r="C2898" s="109">
        <v>815820</v>
      </c>
      <c r="D2898" s="42">
        <v>1</v>
      </c>
      <c r="E2898" s="43"/>
      <c r="F2898" s="44" t="s">
        <v>1490</v>
      </c>
      <c r="G2898" s="45" t="s">
        <v>29</v>
      </c>
      <c r="H2898" s="51">
        <f t="shared" si="45"/>
        <v>-1</v>
      </c>
      <c r="I2898" s="47"/>
      <c r="J2898" s="48">
        <f>VLOOKUP(A2898,'[1]תקציב 2026'!$A$1:$M$65536,9,0)</f>
        <v>0</v>
      </c>
      <c r="K2898" s="49">
        <f>67300*0.9</f>
        <v>60570</v>
      </c>
      <c r="L2898" s="50">
        <f>VLOOKUP(A2898,[2]data1761205830331!$A$1:$J$65536,10,0)</f>
        <v>0</v>
      </c>
    </row>
    <row r="2899" spans="1:12" ht="15.6" outlineLevel="1">
      <c r="A2899" s="11">
        <v>1815820812</v>
      </c>
      <c r="B2899" s="40">
        <v>812</v>
      </c>
      <c r="C2899" s="109">
        <v>815820</v>
      </c>
      <c r="D2899" s="42">
        <v>1</v>
      </c>
      <c r="E2899" s="43"/>
      <c r="F2899" s="44" t="s">
        <v>296</v>
      </c>
      <c r="G2899" s="45" t="s">
        <v>29</v>
      </c>
      <c r="H2899" s="51">
        <f t="shared" si="45"/>
        <v>-1.2345679012345734E-2</v>
      </c>
      <c r="I2899" s="47"/>
      <c r="J2899" s="48">
        <f>VLOOKUP(A2899,'[1]תקציב 2026'!$A$1:$M$65536,9,0)</f>
        <v>8000</v>
      </c>
      <c r="K2899" s="49">
        <f>VLOOKUP(A2899,[3]גיליון1!$A$1:$C$7693,3,0)*0.9</f>
        <v>8100</v>
      </c>
      <c r="L2899" s="50">
        <f>VLOOKUP(A2899,[2]data1761205830331!$A$1:$J$65536,10,0)</f>
        <v>7524</v>
      </c>
    </row>
    <row r="2900" spans="1:12" ht="15.6" outlineLevel="1">
      <c r="A2900" s="11">
        <v>1815820953</v>
      </c>
      <c r="B2900" s="40">
        <v>953</v>
      </c>
      <c r="C2900" s="109">
        <v>815820</v>
      </c>
      <c r="D2900" s="42">
        <v>1</v>
      </c>
      <c r="E2900" s="43"/>
      <c r="F2900" s="44" t="s">
        <v>277</v>
      </c>
      <c r="G2900" s="45" t="s">
        <v>29</v>
      </c>
      <c r="H2900" s="51">
        <f t="shared" si="45"/>
        <v>0.1777888446215139</v>
      </c>
      <c r="I2900" s="47"/>
      <c r="J2900" s="48">
        <f>VLOOKUP(A2900,'[1]תקציב 2026'!$A$1:$M$65536,9,0)</f>
        <v>473000</v>
      </c>
      <c r="K2900" s="49">
        <v>401600</v>
      </c>
      <c r="L2900" s="50">
        <f>VLOOKUP(A2900,[2]data1761205830331!$A$1:$J$65536,10,0)</f>
        <v>425474.45</v>
      </c>
    </row>
    <row r="2901" spans="1:12" ht="16.2" outlineLevel="1" thickBot="1">
      <c r="A2901" s="11">
        <v>1815820989</v>
      </c>
      <c r="B2901" s="40">
        <v>989</v>
      </c>
      <c r="C2901" s="109">
        <v>815820</v>
      </c>
      <c r="D2901" s="42">
        <v>1</v>
      </c>
      <c r="E2901" s="43"/>
      <c r="F2901" s="44" t="s">
        <v>1491</v>
      </c>
      <c r="G2901" s="45" t="s">
        <v>29</v>
      </c>
      <c r="H2901" s="51">
        <f t="shared" si="45"/>
        <v>2.9336645441186748E-2</v>
      </c>
      <c r="I2901" s="47"/>
      <c r="J2901" s="48">
        <f>VLOOKUP(A2901,'[1]תקציב 2026'!$A$1:$M$65536,9,0)</f>
        <v>588410</v>
      </c>
      <c r="K2901" s="49">
        <v>571640</v>
      </c>
      <c r="L2901" s="50">
        <f>VLOOKUP(A2901,[2]data1761205830331!$A$1:$J$65536,10,0)</f>
        <v>563107</v>
      </c>
    </row>
    <row r="2902" spans="1:12" ht="16.2" thickBot="1">
      <c r="A2902" s="11" t="e">
        <v>#VALUE!</v>
      </c>
      <c r="B2902" s="53" t="s">
        <v>1529</v>
      </c>
      <c r="C2902" s="223"/>
      <c r="D2902" s="55"/>
      <c r="E2902" s="56"/>
      <c r="F2902" s="116" t="s">
        <v>414</v>
      </c>
      <c r="G2902" s="58"/>
      <c r="H2902" s="71">
        <f t="shared" si="45"/>
        <v>2.9336567977027439E-2</v>
      </c>
      <c r="I2902" s="72"/>
      <c r="J2902" s="74">
        <f>SUBTOTAL(9,J2878:J2901)</f>
        <v>10395270</v>
      </c>
      <c r="K2902" s="92">
        <f>SUBTOTAL(9,K2878:K2901)</f>
        <v>10099000</v>
      </c>
      <c r="L2902" s="75">
        <f>SUBTOTAL(9,L2878:L2901)</f>
        <v>9988730.9700000007</v>
      </c>
    </row>
    <row r="2903" spans="1:12" ht="15.6" outlineLevel="1">
      <c r="A2903" s="11">
        <v>18158300</v>
      </c>
      <c r="B2903" s="40">
        <v>0</v>
      </c>
      <c r="C2903" s="109">
        <v>815830</v>
      </c>
      <c r="D2903" s="42">
        <v>1</v>
      </c>
      <c r="E2903" s="43"/>
      <c r="F2903" s="44" t="s">
        <v>418</v>
      </c>
      <c r="G2903" s="45" t="s">
        <v>15</v>
      </c>
      <c r="H2903" s="51"/>
      <c r="I2903" s="47"/>
      <c r="J2903" s="48"/>
      <c r="K2903" s="49"/>
      <c r="L2903" s="50"/>
    </row>
    <row r="2904" spans="1:12" ht="15.6" outlineLevel="1">
      <c r="A2904" s="11">
        <v>1815830118</v>
      </c>
      <c r="B2904" s="40">
        <v>118</v>
      </c>
      <c r="C2904" s="109">
        <v>815830</v>
      </c>
      <c r="D2904" s="42">
        <v>1</v>
      </c>
      <c r="E2904" s="43"/>
      <c r="F2904" s="44" t="s">
        <v>1530</v>
      </c>
      <c r="G2904" s="45" t="s">
        <v>22</v>
      </c>
      <c r="H2904" s="51">
        <v>1</v>
      </c>
      <c r="I2904" s="47"/>
      <c r="J2904" s="48">
        <f>VLOOKUP(A2904,'[1]תקציב 2026'!$A$1:$M$65536,9,0)</f>
        <v>5663000</v>
      </c>
      <c r="K2904" s="49">
        <v>0</v>
      </c>
      <c r="L2904" s="50">
        <f>VLOOKUP(A2904,[2]data1761205830331!$A$1:$J$65536,10,0)</f>
        <v>0</v>
      </c>
    </row>
    <row r="2905" spans="1:12" ht="15.6" outlineLevel="1">
      <c r="A2905" s="11">
        <v>1815830119</v>
      </c>
      <c r="B2905" s="40">
        <v>119</v>
      </c>
      <c r="C2905" s="109">
        <v>815830</v>
      </c>
      <c r="D2905" s="42">
        <v>1</v>
      </c>
      <c r="E2905" s="43"/>
      <c r="F2905" s="44" t="s">
        <v>23</v>
      </c>
      <c r="G2905" s="45" t="s">
        <v>22</v>
      </c>
      <c r="H2905" s="51">
        <f>J2905/K2905-1</f>
        <v>0.86881394467601369</v>
      </c>
      <c r="I2905" s="47"/>
      <c r="J2905" s="48">
        <f>VLOOKUP(A2905,'[1]תקציב 2026'!$A$1:$M$65536,9,0)</f>
        <v>986360</v>
      </c>
      <c r="K2905" s="49">
        <f>395800+132000</f>
        <v>527800</v>
      </c>
      <c r="L2905" s="50">
        <f>VLOOKUP(A2905,[2]data1761205830331!$A$1:$J$65536,10,0)</f>
        <v>218925.74</v>
      </c>
    </row>
    <row r="2906" spans="1:12" ht="15.6" outlineLevel="1">
      <c r="A2906" s="11">
        <v>1815830122</v>
      </c>
      <c r="B2906" s="40">
        <v>122</v>
      </c>
      <c r="C2906" s="109">
        <v>815830</v>
      </c>
      <c r="D2906" s="42">
        <v>1</v>
      </c>
      <c r="E2906" s="43"/>
      <c r="F2906" s="44" t="s">
        <v>24</v>
      </c>
      <c r="G2906" s="45" t="s">
        <v>22</v>
      </c>
      <c r="H2906" s="51">
        <f>J2906/K2906-1</f>
        <v>4.0000000000000036E-3</v>
      </c>
      <c r="I2906" s="47"/>
      <c r="J2906" s="48">
        <f>VLOOKUP(A2906,'[1]תקציב 2026'!$A$1:$M$65536,9,0)</f>
        <v>5020</v>
      </c>
      <c r="K2906" s="49">
        <f>VLOOKUP(A2906,[3]גיליון1!$A$1:$C$7693,3,0)</f>
        <v>5000</v>
      </c>
      <c r="L2906" s="50">
        <f>VLOOKUP(A2906,[2]data1761205830331!$A$1:$J$65536,10,0)</f>
        <v>4349.3</v>
      </c>
    </row>
    <row r="2907" spans="1:12" ht="15.6" outlineLevel="1">
      <c r="A2907" s="11">
        <v>1815830126</v>
      </c>
      <c r="B2907" s="40">
        <v>126</v>
      </c>
      <c r="C2907" s="109">
        <v>815830</v>
      </c>
      <c r="D2907" s="42">
        <v>1</v>
      </c>
      <c r="E2907" s="43"/>
      <c r="F2907" s="44" t="s">
        <v>25</v>
      </c>
      <c r="G2907" s="45" t="s">
        <v>22</v>
      </c>
      <c r="H2907" s="51">
        <f>J2907/K2907-1</f>
        <v>3.529411764705781E-3</v>
      </c>
      <c r="I2907" s="47"/>
      <c r="J2907" s="48">
        <f>VLOOKUP(A2907,'[1]תקציב 2026'!$A$1:$M$65536,9,0)</f>
        <v>17060</v>
      </c>
      <c r="K2907" s="49">
        <f>VLOOKUP(A2907,[3]גיליון1!$A$1:$C$7693,3,0)</f>
        <v>17000</v>
      </c>
      <c r="L2907" s="50">
        <f>VLOOKUP(A2907,[2]data1761205830331!$A$1:$J$65536,10,0)</f>
        <v>7057.31</v>
      </c>
    </row>
    <row r="2908" spans="1:12" ht="15.6" outlineLevel="1">
      <c r="A2908" s="11">
        <v>1815830130</v>
      </c>
      <c r="B2908" s="40">
        <v>130</v>
      </c>
      <c r="C2908" s="109">
        <v>815830</v>
      </c>
      <c r="D2908" s="42">
        <v>1</v>
      </c>
      <c r="E2908" s="43"/>
      <c r="F2908" s="44" t="s">
        <v>26</v>
      </c>
      <c r="G2908" s="45" t="s">
        <v>22</v>
      </c>
      <c r="H2908" s="51">
        <v>1</v>
      </c>
      <c r="I2908" s="47" t="s">
        <v>86</v>
      </c>
      <c r="J2908" s="48">
        <f>VLOOKUP(A2908,'[1]תקציב 2026'!$A$1:$M$65536,9,0)</f>
        <v>0</v>
      </c>
      <c r="K2908" s="49">
        <v>0</v>
      </c>
      <c r="L2908" s="50">
        <v>0</v>
      </c>
    </row>
    <row r="2909" spans="1:12" ht="15.6" outlineLevel="1">
      <c r="A2909" s="11">
        <v>1815830140</v>
      </c>
      <c r="B2909" s="40">
        <v>140</v>
      </c>
      <c r="C2909" s="109">
        <v>815830</v>
      </c>
      <c r="D2909" s="42">
        <v>1</v>
      </c>
      <c r="E2909" s="43"/>
      <c r="F2909" s="44" t="s">
        <v>27</v>
      </c>
      <c r="G2909" s="45" t="s">
        <v>22</v>
      </c>
      <c r="H2909" s="51">
        <v>1</v>
      </c>
      <c r="I2909" s="47"/>
      <c r="J2909" s="48">
        <f>VLOOKUP(A2909,'[1]תקציב 2026'!$A$1:$M$65536,9,0)</f>
        <v>45200</v>
      </c>
      <c r="K2909" s="49">
        <v>0</v>
      </c>
      <c r="L2909" s="50">
        <f>VLOOKUP(A2909,[2]data1761205830331!$A$1:$J$65536,10,0)</f>
        <v>10176.39</v>
      </c>
    </row>
    <row r="2910" spans="1:12" ht="15.6" outlineLevel="1">
      <c r="A2910" s="11">
        <v>1815830420</v>
      </c>
      <c r="B2910" s="40">
        <v>420</v>
      </c>
      <c r="C2910" s="109">
        <v>815830</v>
      </c>
      <c r="D2910" s="42">
        <v>1</v>
      </c>
      <c r="E2910" s="43"/>
      <c r="F2910" s="44" t="s">
        <v>30</v>
      </c>
      <c r="G2910" s="45" t="s">
        <v>29</v>
      </c>
      <c r="H2910" s="51">
        <f t="shared" ref="H2910:H2975" si="46">J2910/K2910-1</f>
        <v>0</v>
      </c>
      <c r="I2910" s="47"/>
      <c r="J2910" s="48">
        <f>VLOOKUP(A2910,'[1]תקציב 2026'!$A$1:$M$65536,9,0)</f>
        <v>900</v>
      </c>
      <c r="K2910" s="49">
        <f>VLOOKUP(A2910,[3]גיליון1!$A$1:$C$7693,3,0)*0.9</f>
        <v>900</v>
      </c>
      <c r="L2910" s="50">
        <f>VLOOKUP(A2910,[2]data1761205830331!$A$1:$J$65536,10,0)</f>
        <v>0</v>
      </c>
    </row>
    <row r="2911" spans="1:12" ht="15.6" outlineLevel="1">
      <c r="A2911" s="11">
        <v>1815830431</v>
      </c>
      <c r="B2911" s="40">
        <v>431</v>
      </c>
      <c r="C2911" s="109">
        <v>815830</v>
      </c>
      <c r="D2911" s="42">
        <v>1</v>
      </c>
      <c r="E2911" s="43"/>
      <c r="F2911" s="44" t="s">
        <v>32</v>
      </c>
      <c r="G2911" s="45" t="s">
        <v>29</v>
      </c>
      <c r="H2911" s="51">
        <f t="shared" si="46"/>
        <v>0</v>
      </c>
      <c r="I2911" s="47"/>
      <c r="J2911" s="48">
        <f>VLOOKUP(A2911,'[1]תקציב 2026'!$A$1:$M$65536,9,0)</f>
        <v>45500</v>
      </c>
      <c r="K2911" s="49">
        <v>45500</v>
      </c>
      <c r="L2911" s="50">
        <f>VLOOKUP(A2911,[2]data1761205830331!$A$1:$J$65536,10,0)</f>
        <v>32785</v>
      </c>
    </row>
    <row r="2912" spans="1:12" ht="15.6" outlineLevel="1">
      <c r="A2912" s="11">
        <v>1815830432</v>
      </c>
      <c r="B2912" s="40">
        <v>432</v>
      </c>
      <c r="C2912" s="109">
        <v>815830</v>
      </c>
      <c r="D2912" s="42">
        <v>1</v>
      </c>
      <c r="E2912" s="43"/>
      <c r="F2912" s="44" t="s">
        <v>33</v>
      </c>
      <c r="G2912" s="45" t="s">
        <v>29</v>
      </c>
      <c r="H2912" s="51">
        <f t="shared" si="46"/>
        <v>0</v>
      </c>
      <c r="I2912" s="47"/>
      <c r="J2912" s="48">
        <f>VLOOKUP(A2912,'[1]תקציב 2026'!$A$1:$M$65536,9,0)</f>
        <v>20000</v>
      </c>
      <c r="K2912" s="49">
        <f>VLOOKUP(A2912,[3]גיליון1!$A$1:$C$7693,3,0)</f>
        <v>20000</v>
      </c>
      <c r="L2912" s="50">
        <f>VLOOKUP(A2912,[2]data1761205830331!$A$1:$J$65536,10,0)</f>
        <v>14521</v>
      </c>
    </row>
    <row r="2913" spans="1:12" ht="15.6" outlineLevel="1">
      <c r="A2913" s="11">
        <v>1815830450</v>
      </c>
      <c r="B2913" s="40">
        <v>450</v>
      </c>
      <c r="C2913" s="109">
        <v>815830</v>
      </c>
      <c r="D2913" s="42">
        <v>1</v>
      </c>
      <c r="E2913" s="43"/>
      <c r="F2913" s="44" t="s">
        <v>1487</v>
      </c>
      <c r="G2913" s="45" t="s">
        <v>37</v>
      </c>
      <c r="H2913" s="51">
        <f t="shared" si="46"/>
        <v>0.35802469135802473</v>
      </c>
      <c r="I2913" s="47"/>
      <c r="J2913" s="48">
        <f>VLOOKUP(A2913,'[1]תקציב 2026'!$A$1:$M$65536,9,0)</f>
        <v>11000</v>
      </c>
      <c r="K2913" s="49">
        <f>VLOOKUP(A2913,[3]גיליון1!$A$1:$C$7693,3,0)*0.9</f>
        <v>8100</v>
      </c>
      <c r="L2913" s="50">
        <f>VLOOKUP(A2913,[2]data1761205830331!$A$1:$J$65536,10,0)</f>
        <v>8065</v>
      </c>
    </row>
    <row r="2914" spans="1:12" ht="15.6" outlineLevel="1">
      <c r="A2914" s="11">
        <v>1815830451</v>
      </c>
      <c r="B2914" s="40">
        <v>451</v>
      </c>
      <c r="C2914" s="109">
        <v>815830</v>
      </c>
      <c r="D2914" s="42">
        <v>1</v>
      </c>
      <c r="E2914" s="43"/>
      <c r="F2914" s="244" t="s">
        <v>1384</v>
      </c>
      <c r="G2914" s="45" t="s">
        <v>29</v>
      </c>
      <c r="H2914" s="51">
        <v>1</v>
      </c>
      <c r="I2914" s="47" t="s">
        <v>86</v>
      </c>
      <c r="J2914" s="48">
        <f>VLOOKUP(A2914,'[1]תקציב 2026'!$A$1:$M$65536,9,0)</f>
        <v>100000</v>
      </c>
      <c r="K2914" s="49">
        <v>0</v>
      </c>
      <c r="L2914" s="50">
        <v>0</v>
      </c>
    </row>
    <row r="2915" spans="1:12" ht="15.6" outlineLevel="1">
      <c r="A2915" s="11">
        <v>1815830452</v>
      </c>
      <c r="B2915" s="40">
        <v>452</v>
      </c>
      <c r="C2915" s="109">
        <v>815830</v>
      </c>
      <c r="D2915" s="42">
        <v>1</v>
      </c>
      <c r="E2915" s="43"/>
      <c r="F2915" s="44" t="s">
        <v>381</v>
      </c>
      <c r="G2915" s="45" t="s">
        <v>37</v>
      </c>
      <c r="H2915" s="51">
        <v>1</v>
      </c>
      <c r="I2915" s="47" t="s">
        <v>86</v>
      </c>
      <c r="J2915" s="48">
        <f>VLOOKUP(A2915,'[1]תקציב 2026'!$A$1:$M$65536,9,0)</f>
        <v>120000</v>
      </c>
      <c r="K2915" s="49">
        <v>0</v>
      </c>
      <c r="L2915" s="50">
        <v>0</v>
      </c>
    </row>
    <row r="2916" spans="1:12" ht="15.6" outlineLevel="1">
      <c r="A2916" s="11">
        <v>1815830511</v>
      </c>
      <c r="B2916" s="40">
        <v>511</v>
      </c>
      <c r="C2916" s="109">
        <v>815830</v>
      </c>
      <c r="D2916" s="42">
        <v>1</v>
      </c>
      <c r="E2916" s="43"/>
      <c r="F2916" s="44" t="s">
        <v>72</v>
      </c>
      <c r="G2916" s="45" t="s">
        <v>37</v>
      </c>
      <c r="H2916" s="51">
        <f t="shared" si="46"/>
        <v>0.66666666666666674</v>
      </c>
      <c r="I2916" s="47"/>
      <c r="J2916" s="48">
        <f>VLOOKUP(A2916,'[1]תקציב 2026'!$A$1:$M$65536,9,0)</f>
        <v>3000</v>
      </c>
      <c r="K2916" s="49">
        <f>2000*0.9</f>
        <v>1800</v>
      </c>
      <c r="L2916" s="50">
        <f>VLOOKUP(A2916,[2]data1761205830331!$A$1:$J$65536,10,0)</f>
        <v>2432.36</v>
      </c>
    </row>
    <row r="2917" spans="1:12" ht="15.6" outlineLevel="1">
      <c r="A2917" s="11">
        <v>1815830742</v>
      </c>
      <c r="B2917" s="40">
        <v>742</v>
      </c>
      <c r="C2917" s="109">
        <v>815830</v>
      </c>
      <c r="D2917" s="42">
        <v>1</v>
      </c>
      <c r="E2917" s="43"/>
      <c r="F2917" s="44" t="s">
        <v>52</v>
      </c>
      <c r="G2917" s="45" t="s">
        <v>37</v>
      </c>
      <c r="H2917" s="51">
        <v>1</v>
      </c>
      <c r="I2917" s="47" t="s">
        <v>86</v>
      </c>
      <c r="J2917" s="48">
        <f>VLOOKUP(A2917,'[1]תקציב 2026'!$A$1:$M$65536,9,0)</f>
        <v>16200</v>
      </c>
      <c r="K2917" s="49">
        <v>0</v>
      </c>
      <c r="L2917" s="50">
        <v>0</v>
      </c>
    </row>
    <row r="2918" spans="1:12" ht="15.6" outlineLevel="1">
      <c r="A2918" s="11">
        <v>1815830750</v>
      </c>
      <c r="B2918" s="40">
        <v>750</v>
      </c>
      <c r="C2918" s="109">
        <v>815830</v>
      </c>
      <c r="D2918" s="42">
        <v>1</v>
      </c>
      <c r="E2918" s="43"/>
      <c r="F2918" s="44" t="s">
        <v>1351</v>
      </c>
      <c r="G2918" s="45" t="s">
        <v>37</v>
      </c>
      <c r="H2918" s="51">
        <f t="shared" si="46"/>
        <v>5.0864962561322002E-2</v>
      </c>
      <c r="I2918" s="47"/>
      <c r="J2918" s="48">
        <f>VLOOKUP(A2918,'[1]תקציב 2026'!$A$1:$M$65536,9,0)</f>
        <v>407000</v>
      </c>
      <c r="K2918" s="49">
        <v>387300</v>
      </c>
      <c r="L2918" s="50">
        <f>VLOOKUP(A2918,[2]data1761205830331!$A$1:$J$65536,10,0)</f>
        <v>230646</v>
      </c>
    </row>
    <row r="2919" spans="1:12" ht="15.6" outlineLevel="1">
      <c r="A2919" s="11">
        <v>1815830752</v>
      </c>
      <c r="B2919" s="40">
        <v>752</v>
      </c>
      <c r="C2919" s="109">
        <v>815830</v>
      </c>
      <c r="D2919" s="42">
        <v>1</v>
      </c>
      <c r="E2919" s="43"/>
      <c r="F2919" s="44" t="s">
        <v>54</v>
      </c>
      <c r="G2919" s="45" t="s">
        <v>29</v>
      </c>
      <c r="H2919" s="51">
        <f t="shared" si="46"/>
        <v>0.89977220956719828</v>
      </c>
      <c r="I2919" s="47"/>
      <c r="J2919" s="48">
        <f>VLOOKUP(A2919,'[1]תקציב 2026'!$A$1:$M$65536,9,0)</f>
        <v>667200</v>
      </c>
      <c r="K2919" s="49">
        <f>VLOOKUP(A2919,[3]גיליון1!$A$1:$C$7693,3,0)</f>
        <v>351200</v>
      </c>
      <c r="L2919" s="50">
        <f>VLOOKUP(A2919,[2]data1761205830331!$A$1:$J$65536,10,0)</f>
        <v>333699.18</v>
      </c>
    </row>
    <row r="2920" spans="1:12" ht="15.6" outlineLevel="1">
      <c r="A2920" s="11">
        <v>1815830759</v>
      </c>
      <c r="B2920" s="40">
        <v>759</v>
      </c>
      <c r="C2920" s="109">
        <v>815830</v>
      </c>
      <c r="D2920" s="42">
        <v>1</v>
      </c>
      <c r="E2920" s="43"/>
      <c r="F2920" s="44" t="s">
        <v>1332</v>
      </c>
      <c r="G2920" s="45" t="s">
        <v>29</v>
      </c>
      <c r="H2920" s="51">
        <f t="shared" si="46"/>
        <v>7.2841922156990702E-2</v>
      </c>
      <c r="I2920" s="47"/>
      <c r="J2920" s="48">
        <f>VLOOKUP(A2920,'[1]תקציב 2026'!$A$1:$M$65536,9,0)</f>
        <v>986800</v>
      </c>
      <c r="K2920" s="49">
        <v>919800</v>
      </c>
      <c r="L2920" s="50">
        <f>VLOOKUP(A2920,[2]data1761205830331!$A$1:$J$65536,10,0)</f>
        <v>779933.49</v>
      </c>
    </row>
    <row r="2921" spans="1:12" ht="15.6" outlineLevel="1">
      <c r="A2921" s="11">
        <v>1815830780</v>
      </c>
      <c r="B2921" s="40">
        <v>780</v>
      </c>
      <c r="C2921" s="109">
        <v>815830</v>
      </c>
      <c r="D2921" s="42">
        <v>1</v>
      </c>
      <c r="E2921" s="43"/>
      <c r="F2921" s="44" t="s">
        <v>1489</v>
      </c>
      <c r="G2921" s="45" t="s">
        <v>29</v>
      </c>
      <c r="H2921" s="51">
        <v>1</v>
      </c>
      <c r="I2921" s="47" t="s">
        <v>86</v>
      </c>
      <c r="J2921" s="48">
        <f>VLOOKUP(A2921,'[1]תקציב 2026'!$A$1:$M$65536,9,0)</f>
        <v>6000</v>
      </c>
      <c r="K2921" s="49">
        <v>0</v>
      </c>
      <c r="L2921" s="50">
        <v>0</v>
      </c>
    </row>
    <row r="2922" spans="1:12" ht="15.6" outlineLevel="1">
      <c r="A2922" s="11">
        <v>1815830810</v>
      </c>
      <c r="B2922" s="40">
        <v>810</v>
      </c>
      <c r="C2922" s="109">
        <v>815830</v>
      </c>
      <c r="D2922" s="42">
        <v>1</v>
      </c>
      <c r="E2922" s="43"/>
      <c r="F2922" s="44" t="s">
        <v>1490</v>
      </c>
      <c r="G2922" s="45" t="s">
        <v>29</v>
      </c>
      <c r="H2922" s="51">
        <f t="shared" si="46"/>
        <v>-0.30795847750865057</v>
      </c>
      <c r="I2922" s="47"/>
      <c r="J2922" s="48">
        <f>VLOOKUP(A2922,'[1]תקציב 2026'!$A$1:$M$65536,9,0)</f>
        <v>60000</v>
      </c>
      <c r="K2922" s="49">
        <v>86700</v>
      </c>
      <c r="L2922" s="50">
        <f>VLOOKUP(A2922,[2]data1761205830331!$A$1:$J$65536,10,0)</f>
        <v>0</v>
      </c>
    </row>
    <row r="2923" spans="1:12" ht="15.6" outlineLevel="1">
      <c r="A2923" s="11">
        <v>1815830812</v>
      </c>
      <c r="B2923" s="40">
        <v>812</v>
      </c>
      <c r="C2923" s="109">
        <v>815830</v>
      </c>
      <c r="D2923" s="42">
        <v>1</v>
      </c>
      <c r="E2923" s="43"/>
      <c r="F2923" s="44" t="s">
        <v>296</v>
      </c>
      <c r="G2923" s="45" t="s">
        <v>37</v>
      </c>
      <c r="H2923" s="51">
        <f t="shared" si="46"/>
        <v>0.67958656330749356</v>
      </c>
      <c r="I2923" s="47"/>
      <c r="J2923" s="48">
        <f>VLOOKUP(A2923,'[1]תקציב 2026'!$A$1:$M$65536,9,0)</f>
        <v>13000</v>
      </c>
      <c r="K2923" s="49">
        <f>VLOOKUP(A2923,[3]גיליון1!$A$1:$C$7693,3,0)*0.9</f>
        <v>7740</v>
      </c>
      <c r="L2923" s="50">
        <f>VLOOKUP(A2923,[2]data1761205830331!$A$1:$J$65536,10,0)</f>
        <v>10032</v>
      </c>
    </row>
    <row r="2924" spans="1:12" ht="15.6" outlineLevel="1">
      <c r="A2924" s="11">
        <v>1815830953</v>
      </c>
      <c r="B2924" s="40">
        <v>953</v>
      </c>
      <c r="C2924" s="109">
        <v>815830</v>
      </c>
      <c r="D2924" s="42">
        <v>1</v>
      </c>
      <c r="E2924" s="43"/>
      <c r="F2924" s="44" t="s">
        <v>277</v>
      </c>
      <c r="G2924" s="45" t="s">
        <v>29</v>
      </c>
      <c r="H2924" s="51">
        <v>1</v>
      </c>
      <c r="I2924" s="47" t="s">
        <v>86</v>
      </c>
      <c r="J2924" s="48">
        <f>VLOOKUP(A2924,'[1]תקציב 2026'!$A$1:$M$65536,9,0)</f>
        <v>463000</v>
      </c>
      <c r="K2924" s="49">
        <v>0</v>
      </c>
      <c r="L2924" s="50">
        <v>0</v>
      </c>
    </row>
    <row r="2925" spans="1:12" ht="16.2" outlineLevel="1" thickBot="1">
      <c r="A2925" s="11">
        <v>1815830989</v>
      </c>
      <c r="B2925" s="40">
        <v>989</v>
      </c>
      <c r="C2925" s="109">
        <v>815830</v>
      </c>
      <c r="D2925" s="42">
        <v>1</v>
      </c>
      <c r="E2925" s="43"/>
      <c r="F2925" s="44" t="s">
        <v>1491</v>
      </c>
      <c r="G2925" s="45" t="s">
        <v>29</v>
      </c>
      <c r="H2925" s="51">
        <f t="shared" si="46"/>
        <v>3.0507952077348843</v>
      </c>
      <c r="I2925" s="47"/>
      <c r="J2925" s="48">
        <f>VLOOKUP(A2925,'[1]תקציב 2026'!$A$1:$M$65536,9,0)</f>
        <v>578170</v>
      </c>
      <c r="K2925" s="49">
        <v>142730</v>
      </c>
      <c r="L2925" s="50">
        <f>VLOOKUP(A2925,[2]data1761205830331!$A$1:$J$65536,10,0)</f>
        <v>98731</v>
      </c>
    </row>
    <row r="2926" spans="1:12" ht="16.2" thickBot="1">
      <c r="A2926" s="11" t="e">
        <v>#VALUE!</v>
      </c>
      <c r="B2926" s="53" t="s">
        <v>1531</v>
      </c>
      <c r="C2926" s="223"/>
      <c r="D2926" s="55"/>
      <c r="E2926" s="56"/>
      <c r="F2926" s="116" t="s">
        <v>418</v>
      </c>
      <c r="G2926" s="58"/>
      <c r="H2926" s="71">
        <f>J2926/K2926-1</f>
        <v>3.0508135804280663</v>
      </c>
      <c r="I2926" s="72"/>
      <c r="J2926" s="74">
        <f>SUBTOTAL(9,J2904:J2925)</f>
        <v>10214410</v>
      </c>
      <c r="K2926" s="74">
        <f>SUBTOTAL(9,K2904:K2925)</f>
        <v>2521570</v>
      </c>
      <c r="L2926" s="75">
        <f>SUBTOTAL(9,L2904:L2925)</f>
        <v>1751353.77</v>
      </c>
    </row>
    <row r="2927" spans="1:12" ht="15.6" outlineLevel="1">
      <c r="A2927" s="11">
        <v>18154000</v>
      </c>
      <c r="B2927" s="245" t="s">
        <v>17</v>
      </c>
      <c r="C2927" s="169" t="s">
        <v>1532</v>
      </c>
      <c r="D2927" s="121">
        <v>1</v>
      </c>
      <c r="E2927" s="201"/>
      <c r="F2927" s="122" t="s">
        <v>423</v>
      </c>
      <c r="G2927" s="153"/>
      <c r="H2927" s="51"/>
      <c r="I2927" s="160"/>
      <c r="J2927" s="48"/>
      <c r="K2927" s="172"/>
      <c r="L2927" s="50"/>
    </row>
    <row r="2928" spans="1:12" ht="15.6" outlineLevel="1">
      <c r="A2928" s="11">
        <v>1815840118</v>
      </c>
      <c r="B2928" s="246" t="s">
        <v>1533</v>
      </c>
      <c r="C2928" s="41" t="s">
        <v>1532</v>
      </c>
      <c r="D2928" s="42">
        <v>1</v>
      </c>
      <c r="E2928" s="43"/>
      <c r="F2928" s="44" t="s">
        <v>1483</v>
      </c>
      <c r="G2928" s="45" t="s">
        <v>22</v>
      </c>
      <c r="H2928" s="51">
        <f t="shared" si="46"/>
        <v>9.1874999999999929E-2</v>
      </c>
      <c r="I2928" s="47"/>
      <c r="J2928" s="48">
        <f>VLOOKUP(A2928,'[1]תקציב 2026'!$A$1:$M$65536,9,0)</f>
        <v>1747000</v>
      </c>
      <c r="K2928" s="176">
        <v>1600000</v>
      </c>
      <c r="L2928" s="50">
        <f>VLOOKUP(A2928,[2]data1761205830331!$A$1:$J$65536,10,0)</f>
        <v>255905.43</v>
      </c>
    </row>
    <row r="2929" spans="1:12" ht="15.6" outlineLevel="1">
      <c r="A2929" s="11">
        <v>1815840431</v>
      </c>
      <c r="B2929" s="246" t="s">
        <v>1534</v>
      </c>
      <c r="C2929" s="41" t="s">
        <v>1532</v>
      </c>
      <c r="D2929" s="42">
        <v>1</v>
      </c>
      <c r="E2929" s="43"/>
      <c r="F2929" s="44" t="s">
        <v>32</v>
      </c>
      <c r="G2929" s="45" t="s">
        <v>29</v>
      </c>
      <c r="H2929" s="51">
        <f t="shared" si="46"/>
        <v>0</v>
      </c>
      <c r="I2929" s="47"/>
      <c r="J2929" s="48">
        <f>VLOOKUP(A2929,'[1]תקציב 2026'!$A$1:$M$65536,9,0)</f>
        <v>20000</v>
      </c>
      <c r="K2929" s="176">
        <v>20000</v>
      </c>
      <c r="L2929" s="50">
        <f>VLOOKUP(A2929,[2]data1761205830331!$A$1:$J$65536,10,0)</f>
        <v>0</v>
      </c>
    </row>
    <row r="2930" spans="1:12" ht="15.6" outlineLevel="1">
      <c r="A2930" s="11">
        <v>1815840432</v>
      </c>
      <c r="B2930" s="246" t="s">
        <v>1535</v>
      </c>
      <c r="C2930" s="41" t="s">
        <v>1532</v>
      </c>
      <c r="D2930" s="42">
        <v>1</v>
      </c>
      <c r="E2930" s="43"/>
      <c r="F2930" s="44" t="s">
        <v>33</v>
      </c>
      <c r="G2930" s="45" t="s">
        <v>29</v>
      </c>
      <c r="H2930" s="51">
        <f t="shared" si="46"/>
        <v>0</v>
      </c>
      <c r="I2930" s="47"/>
      <c r="J2930" s="48">
        <f>VLOOKUP(A2930,'[1]תקציב 2026'!$A$1:$M$65536,9,0)</f>
        <v>10000</v>
      </c>
      <c r="K2930" s="176">
        <v>10000</v>
      </c>
      <c r="L2930" s="50">
        <f>VLOOKUP(A2930,[2]data1761205830331!$A$1:$J$65536,10,0)</f>
        <v>0</v>
      </c>
    </row>
    <row r="2931" spans="1:12" ht="15.6" outlineLevel="1">
      <c r="A2931" s="11">
        <v>1815840440</v>
      </c>
      <c r="B2931" s="246" t="s">
        <v>425</v>
      </c>
      <c r="C2931" s="41" t="s">
        <v>1532</v>
      </c>
      <c r="D2931" s="42">
        <v>1</v>
      </c>
      <c r="E2931" s="43"/>
      <c r="F2931" s="44" t="s">
        <v>323</v>
      </c>
      <c r="G2931" s="45" t="s">
        <v>37</v>
      </c>
      <c r="H2931" s="51">
        <v>1</v>
      </c>
      <c r="I2931" s="47" t="s">
        <v>86</v>
      </c>
      <c r="J2931" s="48">
        <f>VLOOKUP(A2931,'[1]תקציב 2026'!$A$1:$M$65536,9,0)</f>
        <v>10000</v>
      </c>
      <c r="K2931" s="176">
        <v>0</v>
      </c>
      <c r="L2931" s="50">
        <v>0</v>
      </c>
    </row>
    <row r="2932" spans="1:12" ht="15.6" outlineLevel="1">
      <c r="A2932" s="11">
        <v>1815840450</v>
      </c>
      <c r="B2932" s="246" t="s">
        <v>1536</v>
      </c>
      <c r="C2932" s="41" t="s">
        <v>1532</v>
      </c>
      <c r="D2932" s="42">
        <v>1</v>
      </c>
      <c r="E2932" s="43"/>
      <c r="F2932" s="44" t="s">
        <v>1487</v>
      </c>
      <c r="G2932" s="45" t="s">
        <v>37</v>
      </c>
      <c r="H2932" s="51">
        <f t="shared" si="46"/>
        <v>-0.11111111111111116</v>
      </c>
      <c r="I2932" s="47"/>
      <c r="J2932" s="48">
        <f>VLOOKUP(A2932,'[1]תקציב 2026'!$A$1:$M$65536,9,0)</f>
        <v>1600</v>
      </c>
      <c r="K2932" s="176">
        <f>2000*0.9</f>
        <v>1800</v>
      </c>
      <c r="L2932" s="50">
        <f>VLOOKUP(A2932,[2]data1761205830331!$A$1:$J$65536,10,0)</f>
        <v>0</v>
      </c>
    </row>
    <row r="2933" spans="1:12" ht="15.6" outlineLevel="1">
      <c r="A2933" s="11">
        <v>1815840452</v>
      </c>
      <c r="B2933" s="246" t="s">
        <v>426</v>
      </c>
      <c r="C2933" s="41" t="s">
        <v>1532</v>
      </c>
      <c r="D2933" s="42">
        <v>1</v>
      </c>
      <c r="E2933" s="43"/>
      <c r="F2933" s="44" t="s">
        <v>381</v>
      </c>
      <c r="G2933" s="45" t="s">
        <v>37</v>
      </c>
      <c r="H2933" s="51">
        <v>1</v>
      </c>
      <c r="I2933" s="47" t="s">
        <v>86</v>
      </c>
      <c r="J2933" s="48">
        <f>VLOOKUP(A2933,'[1]תקציב 2026'!$A$1:$M$65536,9,0)</f>
        <v>6800</v>
      </c>
      <c r="K2933" s="176">
        <v>0</v>
      </c>
      <c r="L2933" s="50">
        <v>0</v>
      </c>
    </row>
    <row r="2934" spans="1:12" ht="15.6" outlineLevel="1">
      <c r="A2934" s="11">
        <v>1815840511</v>
      </c>
      <c r="B2934" s="246" t="s">
        <v>1537</v>
      </c>
      <c r="C2934" s="41" t="s">
        <v>1532</v>
      </c>
      <c r="D2934" s="42">
        <v>1</v>
      </c>
      <c r="E2934" s="43"/>
      <c r="F2934" s="44" t="s">
        <v>72</v>
      </c>
      <c r="G2934" s="45" t="s">
        <v>37</v>
      </c>
      <c r="H2934" s="51">
        <f t="shared" si="46"/>
        <v>0.11111111111111116</v>
      </c>
      <c r="I2934" s="47"/>
      <c r="J2934" s="48">
        <f>VLOOKUP(A2934,'[1]תקציב 2026'!$A$1:$M$65536,9,0)</f>
        <v>1000</v>
      </c>
      <c r="K2934" s="176">
        <f>1000*0.9</f>
        <v>900</v>
      </c>
      <c r="L2934" s="50">
        <f>VLOOKUP(A2934,[2]data1761205830331!$A$1:$J$65536,10,0)</f>
        <v>0</v>
      </c>
    </row>
    <row r="2935" spans="1:12" ht="15.6" outlineLevel="1">
      <c r="A2935" s="11">
        <v>1815840742</v>
      </c>
      <c r="B2935" s="246" t="s">
        <v>1538</v>
      </c>
      <c r="C2935" s="41" t="s">
        <v>1532</v>
      </c>
      <c r="D2935" s="42">
        <v>1</v>
      </c>
      <c r="E2935" s="43"/>
      <c r="F2935" s="44" t="s">
        <v>52</v>
      </c>
      <c r="G2935" s="45" t="s">
        <v>37</v>
      </c>
      <c r="H2935" s="51">
        <v>1</v>
      </c>
      <c r="I2935" s="47" t="s">
        <v>86</v>
      </c>
      <c r="J2935" s="48">
        <f>VLOOKUP(A2935,'[1]תקציב 2026'!$A$1:$M$65536,9,0)</f>
        <v>600</v>
      </c>
      <c r="K2935" s="176">
        <v>0</v>
      </c>
      <c r="L2935" s="50">
        <v>0</v>
      </c>
    </row>
    <row r="2936" spans="1:12" ht="15.6" outlineLevel="1">
      <c r="A2936" s="11">
        <v>1815840780</v>
      </c>
      <c r="B2936" s="247" t="s">
        <v>1539</v>
      </c>
      <c r="C2936" s="248" t="s">
        <v>1532</v>
      </c>
      <c r="D2936" s="139">
        <v>1</v>
      </c>
      <c r="E2936" s="200"/>
      <c r="F2936" s="134" t="s">
        <v>1489</v>
      </c>
      <c r="G2936" s="203" t="s">
        <v>29</v>
      </c>
      <c r="H2936" s="51">
        <f t="shared" si="46"/>
        <v>-0.6</v>
      </c>
      <c r="I2936" s="52"/>
      <c r="J2936" s="48">
        <f>VLOOKUP(A2936,'[1]תקציב 2026'!$A$1:$M$65536,9,0)</f>
        <v>2000</v>
      </c>
      <c r="K2936" s="249">
        <v>5000</v>
      </c>
      <c r="L2936" s="50">
        <f>VLOOKUP(A2936,[2]data1761205830331!$A$1:$J$65536,10,0)</f>
        <v>0</v>
      </c>
    </row>
    <row r="2937" spans="1:12" ht="15.6" outlineLevel="1">
      <c r="A2937" s="11">
        <v>1815840812</v>
      </c>
      <c r="B2937" s="250" t="s">
        <v>1540</v>
      </c>
      <c r="C2937" s="251" t="s">
        <v>1532</v>
      </c>
      <c r="D2937" s="139">
        <v>1</v>
      </c>
      <c r="E2937" s="200"/>
      <c r="F2937" s="134" t="s">
        <v>296</v>
      </c>
      <c r="G2937" s="203" t="s">
        <v>37</v>
      </c>
      <c r="H2937" s="51">
        <v>1</v>
      </c>
      <c r="I2937" s="52" t="s">
        <v>86</v>
      </c>
      <c r="J2937" s="48">
        <f>VLOOKUP(A2937,'[1]תקציב 2026'!$A$1:$M$65536,9,0)</f>
        <v>2000</v>
      </c>
      <c r="K2937" s="249">
        <v>0</v>
      </c>
      <c r="L2937" s="50">
        <v>0</v>
      </c>
    </row>
    <row r="2938" spans="1:12" ht="15.6" outlineLevel="1">
      <c r="A2938" s="11">
        <v>1815840953</v>
      </c>
      <c r="B2938" s="250" t="s">
        <v>434</v>
      </c>
      <c r="C2938" s="251" t="s">
        <v>1532</v>
      </c>
      <c r="D2938" s="139">
        <v>1</v>
      </c>
      <c r="E2938" s="200"/>
      <c r="F2938" s="134" t="s">
        <v>277</v>
      </c>
      <c r="G2938" s="203" t="s">
        <v>29</v>
      </c>
      <c r="H2938" s="51">
        <v>1</v>
      </c>
      <c r="I2938" s="52" t="s">
        <v>86</v>
      </c>
      <c r="J2938" s="48">
        <f>VLOOKUP(A2938,'[1]תקציב 2026'!$A$1:$M$65536,9,0)</f>
        <v>31000</v>
      </c>
      <c r="K2938" s="249">
        <v>0</v>
      </c>
      <c r="L2938" s="50">
        <v>0</v>
      </c>
    </row>
    <row r="2939" spans="1:12" ht="16.2" outlineLevel="1" thickBot="1">
      <c r="A2939" s="11">
        <v>1815840989</v>
      </c>
      <c r="B2939" s="252" t="s">
        <v>1541</v>
      </c>
      <c r="C2939" s="253" t="s">
        <v>1532</v>
      </c>
      <c r="D2939" s="189">
        <v>1</v>
      </c>
      <c r="E2939" s="197"/>
      <c r="F2939" s="191" t="s">
        <v>1524</v>
      </c>
      <c r="G2939" s="198" t="s">
        <v>29</v>
      </c>
      <c r="H2939" s="51">
        <f t="shared" si="46"/>
        <v>-0.99888097660223807</v>
      </c>
      <c r="I2939" s="238"/>
      <c r="J2939" s="48">
        <f>VLOOKUP(A2939,'[1]תקציב 2026'!$A$1:$M$65536,9,0)</f>
        <v>110</v>
      </c>
      <c r="K2939" s="254">
        <v>98300</v>
      </c>
      <c r="L2939" s="50">
        <f>VLOOKUP(A2939,[2]data1761205830331!$A$1:$J$65536,10,0)</f>
        <v>15288</v>
      </c>
    </row>
    <row r="2940" spans="1:12" ht="16.2" thickBot="1">
      <c r="A2940" s="11" t="e">
        <v>#VALUE!</v>
      </c>
      <c r="B2940" s="315" t="s">
        <v>1542</v>
      </c>
      <c r="C2940" s="316"/>
      <c r="D2940" s="55"/>
      <c r="E2940" s="56"/>
      <c r="F2940" s="116" t="s">
        <v>423</v>
      </c>
      <c r="G2940" s="58"/>
      <c r="H2940" s="71">
        <f>J2940/K2940-1</f>
        <v>5.5362903225806503E-2</v>
      </c>
      <c r="I2940" s="72"/>
      <c r="J2940" s="74">
        <f>SUBTOTAL(9,J2928:J2939)</f>
        <v>1832110</v>
      </c>
      <c r="K2940" s="92">
        <f>SUBTOTAL(9,K2928:K2939)</f>
        <v>1736000</v>
      </c>
      <c r="L2940" s="75">
        <f>SUBTOTAL(9,L2928:L2939)</f>
        <v>271193.43</v>
      </c>
    </row>
    <row r="2941" spans="1:12" ht="15.6" outlineLevel="1">
      <c r="A2941" s="11">
        <v>18172100</v>
      </c>
      <c r="B2941" s="64">
        <v>0</v>
      </c>
      <c r="C2941" s="131">
        <v>817210</v>
      </c>
      <c r="D2941" s="66">
        <v>1</v>
      </c>
      <c r="E2941" s="67"/>
      <c r="F2941" s="68" t="s">
        <v>447</v>
      </c>
      <c r="G2941" s="69" t="s">
        <v>15</v>
      </c>
      <c r="H2941" s="51"/>
      <c r="I2941" s="47"/>
      <c r="J2941" s="48"/>
      <c r="K2941" s="49"/>
      <c r="L2941" s="50"/>
    </row>
    <row r="2942" spans="1:12" ht="15.6" outlineLevel="1">
      <c r="A2942" s="11">
        <v>1817210110</v>
      </c>
      <c r="B2942" s="40">
        <v>110</v>
      </c>
      <c r="C2942" s="109">
        <v>817210</v>
      </c>
      <c r="D2942" s="42">
        <v>1</v>
      </c>
      <c r="E2942" s="43"/>
      <c r="F2942" s="44" t="s">
        <v>21</v>
      </c>
      <c r="G2942" s="45" t="s">
        <v>22</v>
      </c>
      <c r="H2942" s="51">
        <f t="shared" si="46"/>
        <v>2.5039999999999951E-2</v>
      </c>
      <c r="I2942" s="47"/>
      <c r="J2942" s="48">
        <f>VLOOKUP(A2942,'[1]תקציב 2026'!$A$1:$M$65536,9,0)</f>
        <v>128129.99999999999</v>
      </c>
      <c r="K2942" s="49">
        <f>VLOOKUP(A2942,[3]גיליון1!$A$1:$C$7693,3,0)</f>
        <v>125000</v>
      </c>
      <c r="L2942" s="50">
        <f>VLOOKUP(A2942,[2]data1761205830331!$A$1:$J$65536,10,0)</f>
        <v>110023.31</v>
      </c>
    </row>
    <row r="2943" spans="1:12" ht="15.6" outlineLevel="1">
      <c r="A2943" s="11">
        <v>1817210119</v>
      </c>
      <c r="B2943" s="40">
        <v>119</v>
      </c>
      <c r="C2943" s="109">
        <v>817210</v>
      </c>
      <c r="D2943" s="42">
        <v>1</v>
      </c>
      <c r="E2943" s="43"/>
      <c r="F2943" s="44" t="s">
        <v>23</v>
      </c>
      <c r="G2943" s="45" t="s">
        <v>22</v>
      </c>
      <c r="H2943" s="51">
        <f t="shared" si="46"/>
        <v>2.501529051987772E-2</v>
      </c>
      <c r="I2943" s="47"/>
      <c r="J2943" s="48">
        <f>VLOOKUP(A2943,'[1]תקציב 2026'!$A$1:$M$65536,9,0)</f>
        <v>335180</v>
      </c>
      <c r="K2943" s="49">
        <v>327000</v>
      </c>
      <c r="L2943" s="50">
        <f>VLOOKUP(A2943,[2]data1761205830331!$A$1:$J$65536,10,0)</f>
        <v>212389.59</v>
      </c>
    </row>
    <row r="2944" spans="1:12" ht="15.6" outlineLevel="1">
      <c r="A2944" s="11">
        <v>1817210122</v>
      </c>
      <c r="B2944" s="40">
        <v>122</v>
      </c>
      <c r="C2944" s="109">
        <v>817210</v>
      </c>
      <c r="D2944" s="42">
        <v>1</v>
      </c>
      <c r="E2944" s="43"/>
      <c r="F2944" s="44" t="s">
        <v>24</v>
      </c>
      <c r="G2944" s="45" t="s">
        <v>22</v>
      </c>
      <c r="H2944" s="51">
        <f t="shared" si="46"/>
        <v>0</v>
      </c>
      <c r="I2944" s="47"/>
      <c r="J2944" s="48">
        <f>VLOOKUP(A2944,'[1]תקציב 2026'!$A$1:$M$65536,9,0)</f>
        <v>5800</v>
      </c>
      <c r="K2944" s="49">
        <f>VLOOKUP(A2944,[3]גיליון1!$A$1:$C$7693,3,0)</f>
        <v>5800</v>
      </c>
      <c r="L2944" s="50">
        <f>VLOOKUP(A2944,[2]data1761205830331!$A$1:$J$65536,10,0)</f>
        <v>5260.3</v>
      </c>
    </row>
    <row r="2945" spans="1:12" ht="15.6" outlineLevel="1">
      <c r="A2945" s="11">
        <v>1817210126</v>
      </c>
      <c r="B2945" s="40">
        <v>126</v>
      </c>
      <c r="C2945" s="109">
        <v>817210</v>
      </c>
      <c r="D2945" s="42">
        <v>1</v>
      </c>
      <c r="E2945" s="43"/>
      <c r="F2945" s="44" t="s">
        <v>25</v>
      </c>
      <c r="G2945" s="45" t="s">
        <v>22</v>
      </c>
      <c r="H2945" s="51">
        <f t="shared" si="46"/>
        <v>0</v>
      </c>
      <c r="I2945" s="47"/>
      <c r="J2945" s="48">
        <f>VLOOKUP(A2945,'[1]תקציב 2026'!$A$1:$M$65536,9,0)</f>
        <v>13500</v>
      </c>
      <c r="K2945" s="49">
        <f>VLOOKUP(A2945,[3]גיליון1!$A$1:$C$7693,3,0)</f>
        <v>13500</v>
      </c>
      <c r="L2945" s="50">
        <f>VLOOKUP(A2945,[2]data1761205830331!$A$1:$J$65536,10,0)</f>
        <v>12225.56</v>
      </c>
    </row>
    <row r="2946" spans="1:12" ht="15.6" outlineLevel="1">
      <c r="A2946" s="11">
        <v>1817210130</v>
      </c>
      <c r="B2946" s="40">
        <v>130</v>
      </c>
      <c r="C2946" s="109">
        <v>817210</v>
      </c>
      <c r="D2946" s="42">
        <v>1</v>
      </c>
      <c r="E2946" s="43"/>
      <c r="F2946" s="44" t="s">
        <v>26</v>
      </c>
      <c r="G2946" s="45" t="s">
        <v>22</v>
      </c>
      <c r="H2946" s="51">
        <f t="shared" si="46"/>
        <v>0</v>
      </c>
      <c r="I2946" s="47"/>
      <c r="J2946" s="48">
        <f>VLOOKUP(A2946,'[1]תקציב 2026'!$A$1:$M$65536,9,0)</f>
        <v>1720</v>
      </c>
      <c r="K2946" s="49">
        <f>VLOOKUP(A2946,[3]גיליון1!$A$1:$C$7693,3,0)*0.86</f>
        <v>1720</v>
      </c>
      <c r="L2946" s="50">
        <f>VLOOKUP(A2946,[2]data1761205830331!$A$1:$J$65536,10,0)</f>
        <v>0</v>
      </c>
    </row>
    <row r="2947" spans="1:12" ht="15.6" outlineLevel="1">
      <c r="A2947" s="11">
        <v>1817210140</v>
      </c>
      <c r="B2947" s="40">
        <v>140</v>
      </c>
      <c r="C2947" s="109">
        <v>817210</v>
      </c>
      <c r="D2947" s="42">
        <v>1</v>
      </c>
      <c r="E2947" s="43"/>
      <c r="F2947" s="44" t="s">
        <v>27</v>
      </c>
      <c r="G2947" s="45" t="s">
        <v>22</v>
      </c>
      <c r="H2947" s="51">
        <f t="shared" si="46"/>
        <v>0</v>
      </c>
      <c r="I2947" s="47"/>
      <c r="J2947" s="48">
        <f>VLOOKUP(A2947,'[1]תקציב 2026'!$A$1:$M$65536,9,0)</f>
        <v>18450</v>
      </c>
      <c r="K2947" s="49">
        <f>VLOOKUP(A2947,[3]גיליון1!$A$1:$C$7693,3,0)*0.9</f>
        <v>18450</v>
      </c>
      <c r="L2947" s="50">
        <f>VLOOKUP(A2947,[2]data1761205830331!$A$1:$J$65536,10,0)</f>
        <v>38731.86</v>
      </c>
    </row>
    <row r="2948" spans="1:12" ht="15.6" outlineLevel="1">
      <c r="A2948" s="11">
        <v>1817210423</v>
      </c>
      <c r="B2948" s="40">
        <v>423</v>
      </c>
      <c r="C2948" s="109">
        <v>817210</v>
      </c>
      <c r="D2948" s="42">
        <v>1</v>
      </c>
      <c r="E2948" s="43"/>
      <c r="F2948" s="44" t="s">
        <v>31</v>
      </c>
      <c r="G2948" s="45" t="s">
        <v>29</v>
      </c>
      <c r="H2948" s="51">
        <f t="shared" si="46"/>
        <v>1.5333333333333332</v>
      </c>
      <c r="I2948" s="47"/>
      <c r="J2948" s="48">
        <f>VLOOKUP(A2948,'[1]תקציב 2026'!$A$1:$M$65536,9,0)</f>
        <v>3800</v>
      </c>
      <c r="K2948" s="49">
        <v>1500</v>
      </c>
      <c r="L2948" s="50">
        <f>VLOOKUP(A2948,[2]data1761205830331!$A$1:$J$65536,10,0)</f>
        <v>900</v>
      </c>
    </row>
    <row r="2949" spans="1:12" ht="15.6" outlineLevel="1">
      <c r="A2949" s="11">
        <v>1817210750</v>
      </c>
      <c r="B2949" s="40">
        <v>750</v>
      </c>
      <c r="C2949" s="109">
        <v>817210</v>
      </c>
      <c r="D2949" s="42">
        <v>1</v>
      </c>
      <c r="E2949" s="43"/>
      <c r="F2949" s="44" t="s">
        <v>1351</v>
      </c>
      <c r="G2949" s="45" t="s">
        <v>29</v>
      </c>
      <c r="H2949" s="51">
        <f t="shared" si="46"/>
        <v>2.405498281786933E-2</v>
      </c>
      <c r="I2949" s="47"/>
      <c r="J2949" s="48">
        <f>VLOOKUP(A2949,'[1]תקציב 2026'!$A$1:$M$65536,9,0)</f>
        <v>268200</v>
      </c>
      <c r="K2949" s="49">
        <v>261900</v>
      </c>
      <c r="L2949" s="50">
        <f>VLOOKUP(A2949,[2]data1761205830331!$A$1:$J$65536,10,0)</f>
        <v>164237</v>
      </c>
    </row>
    <row r="2950" spans="1:12" ht="15.6" outlineLevel="1">
      <c r="A2950" s="11">
        <v>1817210751</v>
      </c>
      <c r="B2950" s="40">
        <v>751</v>
      </c>
      <c r="C2950" s="109">
        <v>817210</v>
      </c>
      <c r="D2950" s="42">
        <v>1</v>
      </c>
      <c r="E2950" s="43"/>
      <c r="F2950" s="44" t="s">
        <v>53</v>
      </c>
      <c r="G2950" s="45" t="s">
        <v>37</v>
      </c>
      <c r="H2950" s="51">
        <v>0</v>
      </c>
      <c r="I2950" s="47"/>
      <c r="J2950" s="48">
        <f>VLOOKUP(A2950,'[1]תקציב 2026'!$A$1:$M$65536,9,0)</f>
        <v>0</v>
      </c>
      <c r="K2950" s="49">
        <v>0</v>
      </c>
      <c r="L2950" s="50">
        <f>VLOOKUP(A2950,[2]data1761205830331!$A$1:$J$65536,10,0)</f>
        <v>1639</v>
      </c>
    </row>
    <row r="2951" spans="1:12" ht="15.6" outlineLevel="1">
      <c r="A2951" s="11">
        <v>1817210752</v>
      </c>
      <c r="B2951" s="40">
        <v>752</v>
      </c>
      <c r="C2951" s="109">
        <v>817210</v>
      </c>
      <c r="D2951" s="42">
        <v>1</v>
      </c>
      <c r="E2951" s="43"/>
      <c r="F2951" s="44" t="s">
        <v>54</v>
      </c>
      <c r="G2951" s="45" t="s">
        <v>29</v>
      </c>
      <c r="H2951" s="51">
        <f t="shared" si="46"/>
        <v>-4.7391304347826124E-2</v>
      </c>
      <c r="I2951" s="47"/>
      <c r="J2951" s="48">
        <f>VLOOKUP(A2951,'[1]תקציב 2026'!$A$1:$M$65536,9,0)</f>
        <v>219100</v>
      </c>
      <c r="K2951" s="49">
        <f>VLOOKUP(A2951,[3]גיליון1!$A$1:$C$7693,3,0)</f>
        <v>230000</v>
      </c>
      <c r="L2951" s="50">
        <f>VLOOKUP(A2951,[2]data1761205830331!$A$1:$J$65536,10,0)</f>
        <v>350043.19</v>
      </c>
    </row>
    <row r="2952" spans="1:12" ht="15.6" outlineLevel="1">
      <c r="A2952" s="11">
        <v>1817210780</v>
      </c>
      <c r="B2952" s="40">
        <v>780</v>
      </c>
      <c r="C2952" s="109">
        <v>817210</v>
      </c>
      <c r="D2952" s="42">
        <v>1</v>
      </c>
      <c r="E2952" s="43"/>
      <c r="F2952" s="44" t="s">
        <v>1543</v>
      </c>
      <c r="G2952" s="45" t="s">
        <v>37</v>
      </c>
      <c r="H2952" s="51">
        <f t="shared" si="46"/>
        <v>-1.5895724050229987E-4</v>
      </c>
      <c r="I2952" s="47"/>
      <c r="J2952" s="48">
        <f>VLOOKUP(A2952,'[1]תקציב 2026'!$A$1:$M$65536,9,0)</f>
        <v>62900</v>
      </c>
      <c r="K2952" s="49">
        <f>VLOOKUP(A2952,[3]גיליון1!$A$1:$C$7693,3,0)*0.9</f>
        <v>62910</v>
      </c>
      <c r="L2952" s="50">
        <f>VLOOKUP(A2952,[2]data1761205830331!$A$1:$J$65536,10,0)</f>
        <v>69900</v>
      </c>
    </row>
    <row r="2953" spans="1:12" ht="16.2" outlineLevel="1" thickBot="1">
      <c r="A2953" s="11">
        <v>1817210783</v>
      </c>
      <c r="B2953" s="40">
        <v>783</v>
      </c>
      <c r="C2953" s="109">
        <v>817210</v>
      </c>
      <c r="D2953" s="42">
        <v>1</v>
      </c>
      <c r="E2953" s="43"/>
      <c r="F2953" s="44" t="s">
        <v>1544</v>
      </c>
      <c r="G2953" s="45" t="s">
        <v>29</v>
      </c>
      <c r="H2953" s="51">
        <f t="shared" si="46"/>
        <v>0.11111111111111116</v>
      </c>
      <c r="I2953" s="47"/>
      <c r="J2953" s="48">
        <f>VLOOKUP(A2953,'[1]תקציב 2026'!$A$1:$M$65536,9,0)</f>
        <v>15000</v>
      </c>
      <c r="K2953" s="49">
        <f>15000*0.9</f>
        <v>13500</v>
      </c>
      <c r="L2953" s="50">
        <f>VLOOKUP(A2953,[2]data1761205830331!$A$1:$J$65536,10,0)</f>
        <v>5408</v>
      </c>
    </row>
    <row r="2954" spans="1:12" ht="16.2" thickBot="1">
      <c r="A2954" s="11" t="e">
        <v>#VALUE!</v>
      </c>
      <c r="B2954" s="53" t="s">
        <v>1545</v>
      </c>
      <c r="C2954" s="223"/>
      <c r="D2954" s="55"/>
      <c r="E2954" s="56"/>
      <c r="F2954" s="116" t="s">
        <v>447</v>
      </c>
      <c r="G2954" s="58"/>
      <c r="H2954" s="166">
        <f>J2954/K2954-1</f>
        <v>9.8937132519221205E-3</v>
      </c>
      <c r="I2954" s="72"/>
      <c r="J2954" s="74">
        <f>SUBTOTAL(9,J2942:J2953)</f>
        <v>1071780</v>
      </c>
      <c r="K2954" s="92">
        <f>SUBTOTAL(9,K2942:K2953)</f>
        <v>1061280</v>
      </c>
      <c r="L2954" s="75">
        <f>SUBTOTAL(9,L2942:L2953)</f>
        <v>970757.81</v>
      </c>
    </row>
    <row r="2955" spans="1:12" ht="15.6" outlineLevel="1">
      <c r="A2955" s="11">
        <v>18173000</v>
      </c>
      <c r="B2955" s="40">
        <v>0</v>
      </c>
      <c r="C2955" s="109">
        <v>817300</v>
      </c>
      <c r="D2955" s="42">
        <v>1</v>
      </c>
      <c r="E2955" s="43"/>
      <c r="F2955" s="44" t="s">
        <v>450</v>
      </c>
      <c r="G2955" s="45" t="s">
        <v>15</v>
      </c>
      <c r="H2955" s="51"/>
      <c r="I2955" s="47"/>
      <c r="J2955" s="48"/>
      <c r="K2955" s="49"/>
      <c r="L2955" s="50"/>
    </row>
    <row r="2956" spans="1:12" ht="15.6" outlineLevel="1">
      <c r="A2956" s="11">
        <v>1817300110</v>
      </c>
      <c r="B2956" s="40">
        <v>110</v>
      </c>
      <c r="C2956" s="109">
        <v>817300</v>
      </c>
      <c r="D2956" s="42">
        <v>1</v>
      </c>
      <c r="E2956" s="43"/>
      <c r="F2956" s="44" t="s">
        <v>21</v>
      </c>
      <c r="G2956" s="45" t="s">
        <v>22</v>
      </c>
      <c r="H2956" s="51">
        <f t="shared" si="46"/>
        <v>2.4992666471105762E-2</v>
      </c>
      <c r="I2956" s="47"/>
      <c r="J2956" s="48">
        <f>VLOOKUP(A2956,'[1]תקציב 2026'!$A$1:$M$65536,9,0)</f>
        <v>349419.99999999994</v>
      </c>
      <c r="K2956" s="49">
        <v>340900</v>
      </c>
      <c r="L2956" s="50">
        <f>VLOOKUP(A2956,[2]data1761205830331!$A$1:$J$65536,10,0)</f>
        <v>389753.21</v>
      </c>
    </row>
    <row r="2957" spans="1:12" ht="15.6" outlineLevel="1">
      <c r="A2957" s="11">
        <v>1817300119</v>
      </c>
      <c r="B2957" s="40">
        <v>119</v>
      </c>
      <c r="C2957" s="109">
        <v>817300</v>
      </c>
      <c r="D2957" s="42">
        <v>1</v>
      </c>
      <c r="E2957" s="43"/>
      <c r="F2957" s="44" t="s">
        <v>23</v>
      </c>
      <c r="G2957" s="45" t="s">
        <v>22</v>
      </c>
      <c r="H2957" s="51">
        <f t="shared" si="46"/>
        <v>3.2428738571768756E-2</v>
      </c>
      <c r="I2957" s="47"/>
      <c r="J2957" s="48">
        <v>9971300</v>
      </c>
      <c r="K2957" s="49">
        <v>9658100</v>
      </c>
      <c r="L2957" s="50">
        <f>VLOOKUP(A2957,[2]data1761205830331!$A$1:$J$65536,10,0)</f>
        <v>10966845.76</v>
      </c>
    </row>
    <row r="2958" spans="1:12" ht="15.6" outlineLevel="1">
      <c r="A2958" s="11">
        <v>1817300122</v>
      </c>
      <c r="B2958" s="40">
        <v>122</v>
      </c>
      <c r="C2958" s="109">
        <v>817300</v>
      </c>
      <c r="D2958" s="42">
        <v>1</v>
      </c>
      <c r="E2958" s="43"/>
      <c r="F2958" s="44" t="s">
        <v>24</v>
      </c>
      <c r="G2958" s="45" t="s">
        <v>22</v>
      </c>
      <c r="H2958" s="51">
        <f t="shared" si="46"/>
        <v>4.9691629955947114E-2</v>
      </c>
      <c r="I2958" s="47"/>
      <c r="J2958" s="48">
        <v>119140</v>
      </c>
      <c r="K2958" s="49">
        <f>VLOOKUP(A2958,[3]גיליון1!$A$1:$C$7693,3,0)</f>
        <v>113500</v>
      </c>
      <c r="L2958" s="50">
        <f>VLOOKUP(A2958,[2]data1761205830331!$A$1:$J$65536,10,0)</f>
        <v>127859.19</v>
      </c>
    </row>
    <row r="2959" spans="1:12" ht="15.6" outlineLevel="1">
      <c r="A2959" s="11">
        <v>1817300126</v>
      </c>
      <c r="B2959" s="40">
        <v>126</v>
      </c>
      <c r="C2959" s="109">
        <v>817300</v>
      </c>
      <c r="D2959" s="42">
        <v>1</v>
      </c>
      <c r="E2959" s="43"/>
      <c r="F2959" s="44" t="s">
        <v>25</v>
      </c>
      <c r="G2959" s="45" t="s">
        <v>22</v>
      </c>
      <c r="H2959" s="51">
        <f t="shared" si="46"/>
        <v>4.9714285714285822E-2</v>
      </c>
      <c r="I2959" s="47"/>
      <c r="J2959" s="48">
        <v>257180</v>
      </c>
      <c r="K2959" s="49">
        <f>VLOOKUP(A2959,[3]גיליון1!$A$1:$C$7693,3,0)</f>
        <v>245000</v>
      </c>
      <c r="L2959" s="50">
        <f>VLOOKUP(A2959,[2]data1761205830331!$A$1:$J$65536,10,0)</f>
        <v>255702.8</v>
      </c>
    </row>
    <row r="2960" spans="1:12" ht="15.6" outlineLevel="1">
      <c r="A2960" s="11">
        <v>1817300130</v>
      </c>
      <c r="B2960" s="40">
        <v>130</v>
      </c>
      <c r="C2960" s="109">
        <v>817300</v>
      </c>
      <c r="D2960" s="42">
        <v>1</v>
      </c>
      <c r="E2960" s="43"/>
      <c r="F2960" s="44" t="s">
        <v>26</v>
      </c>
      <c r="G2960" s="45" t="s">
        <v>22</v>
      </c>
      <c r="H2960" s="51">
        <f t="shared" si="46"/>
        <v>0</v>
      </c>
      <c r="I2960" s="47"/>
      <c r="J2960" s="48">
        <f>VLOOKUP(A2960,'[1]תקציב 2026'!$A$1:$M$65536,9,0)</f>
        <v>17200</v>
      </c>
      <c r="K2960" s="49">
        <f>VLOOKUP(A2960,[3]גיליון1!$A$1:$C$7693,3,0)*0.86</f>
        <v>17200</v>
      </c>
      <c r="L2960" s="50">
        <f>VLOOKUP(A2960,[2]data1761205830331!$A$1:$J$65536,10,0)</f>
        <v>169940.73</v>
      </c>
    </row>
    <row r="2961" spans="1:12" ht="15.6" outlineLevel="1">
      <c r="A2961" s="11">
        <v>1817300140</v>
      </c>
      <c r="B2961" s="40">
        <v>140</v>
      </c>
      <c r="C2961" s="109">
        <v>817300</v>
      </c>
      <c r="D2961" s="42">
        <v>1</v>
      </c>
      <c r="E2961" s="43"/>
      <c r="F2961" s="44" t="s">
        <v>27</v>
      </c>
      <c r="G2961" s="45" t="s">
        <v>22</v>
      </c>
      <c r="H2961" s="51">
        <f t="shared" si="46"/>
        <v>0</v>
      </c>
      <c r="I2961" s="47"/>
      <c r="J2961" s="48">
        <f>VLOOKUP(A2961,'[1]תקציב 2026'!$A$1:$M$65536,9,0)</f>
        <v>795000</v>
      </c>
      <c r="K2961" s="49">
        <f>VLOOKUP(A2961,[3]גיליון1!$A$1:$C$7693,3,0)</f>
        <v>795000</v>
      </c>
      <c r="L2961" s="50">
        <f>VLOOKUP(A2961,[2]data1761205830331!$A$1:$J$65536,10,0)</f>
        <v>883197.6</v>
      </c>
    </row>
    <row r="2962" spans="1:12" ht="15.6" outlineLevel="1">
      <c r="A2962" s="11">
        <v>1817300212</v>
      </c>
      <c r="B2962" s="40">
        <v>212</v>
      </c>
      <c r="C2962" s="109">
        <v>817300</v>
      </c>
      <c r="D2962" s="42">
        <v>1</v>
      </c>
      <c r="E2962" s="43"/>
      <c r="F2962" s="44" t="s">
        <v>1546</v>
      </c>
      <c r="G2962" s="45" t="s">
        <v>22</v>
      </c>
      <c r="H2962" s="51">
        <f t="shared" si="46"/>
        <v>-1</v>
      </c>
      <c r="I2962" s="47"/>
      <c r="J2962" s="48">
        <f>VLOOKUP(A2962,'[1]תקציב 2026'!$A$1:$M$65536,9,0)</f>
        <v>0</v>
      </c>
      <c r="K2962" s="49">
        <v>30000</v>
      </c>
      <c r="L2962" s="50">
        <f>VLOOKUP(A2962,[2]data1761205830331!$A$1:$J$65536,10,0)</f>
        <v>29895</v>
      </c>
    </row>
    <row r="2963" spans="1:12" ht="15.6" outlineLevel="1">
      <c r="A2963" s="11">
        <v>1817300420</v>
      </c>
      <c r="B2963" s="40">
        <v>420</v>
      </c>
      <c r="C2963" s="109">
        <v>817300</v>
      </c>
      <c r="D2963" s="42">
        <v>1</v>
      </c>
      <c r="E2963" s="43"/>
      <c r="F2963" s="44" t="s">
        <v>30</v>
      </c>
      <c r="G2963" s="45" t="s">
        <v>29</v>
      </c>
      <c r="H2963" s="51">
        <f t="shared" si="46"/>
        <v>0</v>
      </c>
      <c r="I2963" s="47"/>
      <c r="J2963" s="48">
        <f>VLOOKUP(A2963,'[1]תקציב 2026'!$A$1:$M$65536,9,0)</f>
        <v>2700</v>
      </c>
      <c r="K2963" s="49">
        <f>VLOOKUP(A2963,[3]גיליון1!$A$1:$C$7693,3,0)*0.9</f>
        <v>2700</v>
      </c>
      <c r="L2963" s="50">
        <f>VLOOKUP(A2963,[2]data1761205830331!$A$1:$J$65536,10,0)</f>
        <v>1906.4</v>
      </c>
    </row>
    <row r="2964" spans="1:12" ht="15.6" outlineLevel="1">
      <c r="A2964" s="11">
        <v>1817300423</v>
      </c>
      <c r="B2964" s="40">
        <v>423</v>
      </c>
      <c r="C2964" s="109">
        <v>817300</v>
      </c>
      <c r="D2964" s="42">
        <v>1</v>
      </c>
      <c r="E2964" s="43"/>
      <c r="F2964" s="44" t="s">
        <v>31</v>
      </c>
      <c r="G2964" s="45" t="s">
        <v>29</v>
      </c>
      <c r="H2964" s="51">
        <f t="shared" si="46"/>
        <v>0.21568627450980382</v>
      </c>
      <c r="I2964" s="47"/>
      <c r="J2964" s="48">
        <f>VLOOKUP(A2964,'[1]תקציב 2026'!$A$1:$M$65536,9,0)</f>
        <v>6200</v>
      </c>
      <c r="K2964" s="49">
        <v>5100</v>
      </c>
      <c r="L2964" s="50">
        <f>VLOOKUP(A2964,[2]data1761205830331!$A$1:$J$65536,10,0)</f>
        <v>4600</v>
      </c>
    </row>
    <row r="2965" spans="1:12" ht="15.6" outlineLevel="1">
      <c r="A2965" s="11">
        <v>1817300431</v>
      </c>
      <c r="B2965" s="40">
        <v>431</v>
      </c>
      <c r="C2965" s="109">
        <v>817300</v>
      </c>
      <c r="D2965" s="42">
        <v>1</v>
      </c>
      <c r="E2965" s="43"/>
      <c r="F2965" s="44" t="s">
        <v>32</v>
      </c>
      <c r="G2965" s="45" t="s">
        <v>29</v>
      </c>
      <c r="H2965" s="51">
        <f t="shared" si="46"/>
        <v>0</v>
      </c>
      <c r="I2965" s="47"/>
      <c r="J2965" s="48">
        <f>VLOOKUP(A2965,'[1]תקציב 2026'!$A$1:$M$65536,9,0)</f>
        <v>6700</v>
      </c>
      <c r="K2965" s="49">
        <v>6700</v>
      </c>
      <c r="L2965" s="50">
        <f>VLOOKUP(A2965,[2]data1761205830331!$A$1:$J$65536,10,0)</f>
        <v>0</v>
      </c>
    </row>
    <row r="2966" spans="1:12" ht="15.6" outlineLevel="1">
      <c r="A2966" s="11">
        <v>1817300433</v>
      </c>
      <c r="B2966" s="40">
        <v>433</v>
      </c>
      <c r="C2966" s="109">
        <v>817300</v>
      </c>
      <c r="D2966" s="42">
        <v>1</v>
      </c>
      <c r="E2966" s="43"/>
      <c r="F2966" s="44" t="s">
        <v>34</v>
      </c>
      <c r="G2966" s="45" t="s">
        <v>37</v>
      </c>
      <c r="H2966" s="51">
        <f t="shared" si="46"/>
        <v>0.57971014492753614</v>
      </c>
      <c r="I2966" s="47"/>
      <c r="J2966" s="48">
        <f>VLOOKUP(A2966,'[1]תקציב 2026'!$A$1:$M$65536,9,0)</f>
        <v>6540</v>
      </c>
      <c r="K2966" s="49">
        <f>VLOOKUP(A2966,[3]גיליון1!$A$1:$C$7693,3,0)*0.9</f>
        <v>4140</v>
      </c>
      <c r="L2966" s="50">
        <f>VLOOKUP(A2966,[2]data1761205830331!$A$1:$J$65536,10,0)</f>
        <v>4070.83</v>
      </c>
    </row>
    <row r="2967" spans="1:12" ht="15.6" outlineLevel="1">
      <c r="A2967" s="11">
        <v>1817300437</v>
      </c>
      <c r="B2967" s="40">
        <v>437</v>
      </c>
      <c r="C2967" s="109">
        <v>817300</v>
      </c>
      <c r="D2967" s="42">
        <v>1</v>
      </c>
      <c r="E2967" s="43"/>
      <c r="F2967" s="44" t="s">
        <v>38</v>
      </c>
      <c r="G2967" s="45" t="s">
        <v>29</v>
      </c>
      <c r="H2967" s="51">
        <f t="shared" si="46"/>
        <v>0</v>
      </c>
      <c r="I2967" s="47"/>
      <c r="J2967" s="48">
        <f>VLOOKUP(A2967,'[1]תקציב 2026'!$A$1:$M$65536,9,0)</f>
        <v>2500</v>
      </c>
      <c r="K2967" s="49">
        <f>VLOOKUP(A2967,[3]גיליון1!$A$1:$C$7693,3,0)</f>
        <v>2500</v>
      </c>
      <c r="L2967" s="50">
        <f>VLOOKUP(A2967,[2]data1761205830331!$A$1:$J$65536,10,0)</f>
        <v>2442.96</v>
      </c>
    </row>
    <row r="2968" spans="1:12" ht="15.6" outlineLevel="1">
      <c r="A2968" s="11">
        <v>1817300450</v>
      </c>
      <c r="B2968" s="40">
        <v>450</v>
      </c>
      <c r="C2968" s="109">
        <v>817300</v>
      </c>
      <c r="D2968" s="42">
        <v>1</v>
      </c>
      <c r="E2968" s="43"/>
      <c r="F2968" s="11" t="s">
        <v>41</v>
      </c>
      <c r="G2968" s="45" t="s">
        <v>29</v>
      </c>
      <c r="H2968" s="51">
        <f t="shared" si="46"/>
        <v>0</v>
      </c>
      <c r="I2968" s="47"/>
      <c r="J2968" s="48">
        <f>VLOOKUP(A2968,'[1]תקציב 2026'!$A$1:$M$65536,9,0)</f>
        <v>1300</v>
      </c>
      <c r="K2968" s="49">
        <f>VLOOKUP(A2968,[3]גיליון1!$A$1:$C$7693,3,0)</f>
        <v>1300</v>
      </c>
      <c r="L2968" s="50">
        <f>VLOOKUP(A2968,[2]data1761205830331!$A$1:$J$65536,10,0)</f>
        <v>0</v>
      </c>
    </row>
    <row r="2969" spans="1:12" ht="15.6" outlineLevel="1">
      <c r="A2969" s="11">
        <v>1817300470</v>
      </c>
      <c r="B2969" s="40">
        <v>470</v>
      </c>
      <c r="C2969" s="109">
        <v>817300</v>
      </c>
      <c r="D2969" s="42">
        <v>1</v>
      </c>
      <c r="E2969" s="43"/>
      <c r="F2969" s="44" t="s">
        <v>43</v>
      </c>
      <c r="G2969" s="45" t="s">
        <v>37</v>
      </c>
      <c r="H2969" s="51">
        <f t="shared" si="46"/>
        <v>1.3071895424836555E-2</v>
      </c>
      <c r="I2969" s="47"/>
      <c r="J2969" s="48">
        <f>VLOOKUP(A2969,'[1]תקציב 2026'!$A$1:$M$65536,9,0)</f>
        <v>3100</v>
      </c>
      <c r="K2969" s="49">
        <f>VLOOKUP(A2969,[3]גיליון1!$A$1:$C$7693,3,0)*0.9</f>
        <v>3060</v>
      </c>
      <c r="L2969" s="50">
        <f>VLOOKUP(A2969,[2]data1761205830331!$A$1:$J$65536,10,0)</f>
        <v>256.64999999999998</v>
      </c>
    </row>
    <row r="2970" spans="1:12" ht="15.6" outlineLevel="1">
      <c r="A2970" s="11">
        <v>1817300471</v>
      </c>
      <c r="B2970" s="40">
        <v>471</v>
      </c>
      <c r="C2970" s="109">
        <v>817300</v>
      </c>
      <c r="D2970" s="42">
        <v>1</v>
      </c>
      <c r="E2970" s="43"/>
      <c r="F2970" s="44" t="s">
        <v>71</v>
      </c>
      <c r="G2970" s="45" t="s">
        <v>37</v>
      </c>
      <c r="H2970" s="51">
        <f t="shared" si="46"/>
        <v>1.8993352326686086E-3</v>
      </c>
      <c r="I2970" s="47"/>
      <c r="J2970" s="48">
        <f>VLOOKUP(A2970,'[1]תקציב 2026'!$A$1:$M$65536,9,0)</f>
        <v>21100</v>
      </c>
      <c r="K2970" s="49">
        <f>VLOOKUP(A2970,[3]גיליון1!$A$1:$C$7693,3,0)*0.9</f>
        <v>21060</v>
      </c>
      <c r="L2970" s="50">
        <f>VLOOKUP(A2970,[2]data1761205830331!$A$1:$J$65536,10,0)</f>
        <v>9940.07</v>
      </c>
    </row>
    <row r="2971" spans="1:12" ht="15.6" outlineLevel="1">
      <c r="A2971" s="11">
        <v>1817300511</v>
      </c>
      <c r="B2971" s="40">
        <v>511</v>
      </c>
      <c r="C2971" s="109">
        <v>817300</v>
      </c>
      <c r="D2971" s="42">
        <v>1</v>
      </c>
      <c r="E2971" s="43"/>
      <c r="F2971" s="44" t="s">
        <v>72</v>
      </c>
      <c r="G2971" s="45" t="s">
        <v>37</v>
      </c>
      <c r="H2971" s="51">
        <f t="shared" si="46"/>
        <v>3.3670033670034627E-3</v>
      </c>
      <c r="I2971" s="47"/>
      <c r="J2971" s="48">
        <f>VLOOKUP(A2971,'[1]תקציב 2026'!$A$1:$M$65536,9,0)</f>
        <v>14900</v>
      </c>
      <c r="K2971" s="49">
        <f>16500*0.9</f>
        <v>14850</v>
      </c>
      <c r="L2971" s="50">
        <f>VLOOKUP(A2971,[2]data1761205830331!$A$1:$J$65536,10,0)</f>
        <v>9817.5300000000007</v>
      </c>
    </row>
    <row r="2972" spans="1:12" ht="15.6" outlineLevel="1">
      <c r="A2972" s="11">
        <v>1817300522</v>
      </c>
      <c r="B2972" s="40">
        <v>522</v>
      </c>
      <c r="C2972" s="109">
        <v>817300</v>
      </c>
      <c r="D2972" s="42">
        <v>1</v>
      </c>
      <c r="E2972" s="43"/>
      <c r="F2972" s="44" t="s">
        <v>90</v>
      </c>
      <c r="G2972" s="45" t="s">
        <v>37</v>
      </c>
      <c r="H2972" s="51">
        <f t="shared" si="46"/>
        <v>7.7519379844961378E-3</v>
      </c>
      <c r="I2972" s="47"/>
      <c r="J2972" s="48">
        <f>VLOOKUP(A2972,'[1]תקציב 2026'!$A$1:$M$65536,9,0)</f>
        <v>7800</v>
      </c>
      <c r="K2972" s="49">
        <f>VLOOKUP(A2972,[3]גיליון1!$A$1:$C$7693,3,0)*0.9</f>
        <v>7740</v>
      </c>
      <c r="L2972" s="50">
        <f>VLOOKUP(A2972,[2]data1761205830331!$A$1:$J$65536,10,0)</f>
        <v>8539.75</v>
      </c>
    </row>
    <row r="2973" spans="1:12" ht="15.6" outlineLevel="1">
      <c r="A2973" s="11">
        <v>1817300540</v>
      </c>
      <c r="B2973" s="40">
        <v>540</v>
      </c>
      <c r="C2973" s="109">
        <v>817300</v>
      </c>
      <c r="D2973" s="42">
        <v>1</v>
      </c>
      <c r="E2973" s="43"/>
      <c r="F2973" s="44" t="s">
        <v>47</v>
      </c>
      <c r="G2973" s="45" t="s">
        <v>29</v>
      </c>
      <c r="H2973" s="51">
        <f t="shared" si="46"/>
        <v>0.56666666666666665</v>
      </c>
      <c r="I2973" s="47"/>
      <c r="J2973" s="48">
        <f>VLOOKUP(A2973,'[1]תקציב 2026'!$A$1:$M$65536,9,0)</f>
        <v>4700</v>
      </c>
      <c r="K2973" s="49">
        <f>VLOOKUP(A2973,[3]גיליון1!$A$1:$C$7693,3,0)</f>
        <v>3000</v>
      </c>
      <c r="L2973" s="50">
        <f>VLOOKUP(A2973,[2]data1761205830331!$A$1:$J$65536,10,0)</f>
        <v>4679.9799999999996</v>
      </c>
    </row>
    <row r="2974" spans="1:12" ht="15.6" outlineLevel="1">
      <c r="A2974" s="11">
        <v>1817300562</v>
      </c>
      <c r="B2974" s="40">
        <v>562</v>
      </c>
      <c r="C2974" s="109">
        <v>817300</v>
      </c>
      <c r="D2974" s="42">
        <v>1</v>
      </c>
      <c r="E2974" s="43"/>
      <c r="F2974" s="44" t="s">
        <v>748</v>
      </c>
      <c r="G2974" s="45" t="s">
        <v>37</v>
      </c>
      <c r="H2974" s="51">
        <f t="shared" si="46"/>
        <v>1.3071895424836555E-2</v>
      </c>
      <c r="I2974" s="47"/>
      <c r="J2974" s="48">
        <f>VLOOKUP(A2974,'[1]תקציב 2026'!$A$1:$M$65536,9,0)</f>
        <v>3100</v>
      </c>
      <c r="K2974" s="49">
        <f>VLOOKUP(A2974,[3]גיליון1!$A$1:$C$7693,3,0)*0.9</f>
        <v>3060</v>
      </c>
      <c r="L2974" s="50">
        <f>VLOOKUP(A2974,[2]data1761205830331!$A$1:$J$65536,10,0)</f>
        <v>3327</v>
      </c>
    </row>
    <row r="2975" spans="1:12" ht="15.6" outlineLevel="1">
      <c r="A2975" s="11">
        <v>1817300571</v>
      </c>
      <c r="B2975" s="40">
        <v>571</v>
      </c>
      <c r="C2975" s="109">
        <v>817300</v>
      </c>
      <c r="D2975" s="42">
        <v>1</v>
      </c>
      <c r="E2975" s="43"/>
      <c r="F2975" s="44" t="s">
        <v>75</v>
      </c>
      <c r="G2975" s="45" t="s">
        <v>29</v>
      </c>
      <c r="H2975" s="51">
        <f t="shared" si="46"/>
        <v>0.30052493438320216</v>
      </c>
      <c r="I2975" s="47"/>
      <c r="J2975" s="48">
        <f>VLOOKUP(A2975,'[1]תקציב 2026'!$A$1:$M$65536,9,0)</f>
        <v>99100</v>
      </c>
      <c r="K2975" s="49">
        <v>76200</v>
      </c>
      <c r="L2975" s="50">
        <f>VLOOKUP(A2975,[2]data1761205830331!$A$1:$J$65536,10,0)</f>
        <v>69200</v>
      </c>
    </row>
    <row r="2976" spans="1:12" ht="15.6" outlineLevel="1">
      <c r="A2976" s="11">
        <v>1817300583</v>
      </c>
      <c r="B2976" s="40">
        <v>583</v>
      </c>
      <c r="C2976" s="109">
        <v>817300</v>
      </c>
      <c r="D2976" s="42">
        <v>1</v>
      </c>
      <c r="E2976" s="43"/>
      <c r="F2976" s="44" t="s">
        <v>1547</v>
      </c>
      <c r="G2976" s="45" t="s">
        <v>29</v>
      </c>
      <c r="H2976" s="51">
        <f t="shared" ref="H2976:H3034" si="47">J2976/K2976-1</f>
        <v>6.8760027504000121E-4</v>
      </c>
      <c r="I2976" s="47"/>
      <c r="J2976" s="48">
        <f>VLOOKUP(A2976,'[1]תקציב 2026'!$A$1:$M$65536,9,0)</f>
        <v>436600</v>
      </c>
      <c r="K2976" s="49">
        <f>VLOOKUP(A2976,[3]גיליון1!$A$1:$C$7693,3,0)</f>
        <v>436300</v>
      </c>
      <c r="L2976" s="50">
        <f>VLOOKUP(A2976,[2]data1761205830331!$A$1:$J$65536,10,0)</f>
        <v>236348.85</v>
      </c>
    </row>
    <row r="2977" spans="1:12" ht="15.6" outlineLevel="1">
      <c r="A2977" s="11">
        <v>1817300742</v>
      </c>
      <c r="B2977" s="40">
        <v>742</v>
      </c>
      <c r="C2977" s="109">
        <v>817300</v>
      </c>
      <c r="D2977" s="42">
        <v>1</v>
      </c>
      <c r="E2977" s="43"/>
      <c r="F2977" s="44" t="s">
        <v>52</v>
      </c>
      <c r="G2977" s="45" t="s">
        <v>37</v>
      </c>
      <c r="H2977" s="51">
        <f t="shared" si="47"/>
        <v>0.61904761904761907</v>
      </c>
      <c r="I2977" s="47"/>
      <c r="J2977" s="48">
        <f>VLOOKUP(A2977,'[1]תקציב 2026'!$A$1:$M$65536,9,0)</f>
        <v>5100</v>
      </c>
      <c r="K2977" s="49">
        <f>VLOOKUP(A2977,[3]גיליון1!$A$1:$C$7693,3,0)*0.9</f>
        <v>3150</v>
      </c>
      <c r="L2977" s="50">
        <f>VLOOKUP(A2977,[2]data1761205830331!$A$1:$J$65536,10,0)</f>
        <v>2483.87</v>
      </c>
    </row>
    <row r="2978" spans="1:12" ht="15.6" outlineLevel="1">
      <c r="A2978" s="11">
        <v>1817300751</v>
      </c>
      <c r="B2978" s="40">
        <v>751</v>
      </c>
      <c r="C2978" s="109">
        <v>817300</v>
      </c>
      <c r="D2978" s="42">
        <v>1</v>
      </c>
      <c r="E2978" s="43"/>
      <c r="F2978" s="44" t="s">
        <v>53</v>
      </c>
      <c r="G2978" s="45" t="s">
        <v>37</v>
      </c>
      <c r="H2978" s="51">
        <v>0</v>
      </c>
      <c r="I2978" s="47"/>
      <c r="J2978" s="48">
        <f>VLOOKUP(A2978,'[1]תקציב 2026'!$A$1:$M$65536,9,0)</f>
        <v>0</v>
      </c>
      <c r="K2978" s="49">
        <v>0</v>
      </c>
      <c r="L2978" s="50">
        <f>VLOOKUP(A2978,[2]data1761205830331!$A$1:$J$65536,10,0)</f>
        <v>1932</v>
      </c>
    </row>
    <row r="2979" spans="1:12" ht="15.6" outlineLevel="1">
      <c r="A2979" s="11">
        <v>1817300752</v>
      </c>
      <c r="B2979" s="40">
        <v>752</v>
      </c>
      <c r="C2979" s="109">
        <v>817300</v>
      </c>
      <c r="D2979" s="42">
        <v>1</v>
      </c>
      <c r="E2979" s="43"/>
      <c r="F2979" s="44" t="s">
        <v>54</v>
      </c>
      <c r="G2979" s="45" t="s">
        <v>29</v>
      </c>
      <c r="H2979" s="51">
        <f t="shared" si="47"/>
        <v>-1</v>
      </c>
      <c r="I2979" s="47"/>
      <c r="J2979" s="48">
        <f>VLOOKUP(A2979,'[1]תקציב 2026'!$A$1:$M$65536,9,0)</f>
        <v>0</v>
      </c>
      <c r="K2979" s="49">
        <f>VLOOKUP(A2979,[3]גיליון1!$A$1:$C$7693,3,0)</f>
        <v>64000</v>
      </c>
      <c r="L2979" s="50">
        <f>VLOOKUP(A2979,[2]data1761205830331!$A$1:$J$65536,10,0)</f>
        <v>0</v>
      </c>
    </row>
    <row r="2980" spans="1:12" ht="15.6" outlineLevel="1">
      <c r="A2980" s="11">
        <v>1817300756</v>
      </c>
      <c r="B2980" s="40">
        <v>756</v>
      </c>
      <c r="C2980" s="109">
        <v>817300</v>
      </c>
      <c r="D2980" s="42">
        <v>1</v>
      </c>
      <c r="E2980" s="43"/>
      <c r="F2980" s="44" t="s">
        <v>1548</v>
      </c>
      <c r="G2980" s="45" t="s">
        <v>29</v>
      </c>
      <c r="H2980" s="51">
        <f t="shared" si="47"/>
        <v>-0.19999999999999996</v>
      </c>
      <c r="I2980" s="47"/>
      <c r="J2980" s="48">
        <f>VLOOKUP(A2980,'[1]תקציב 2026'!$A$1:$M$65536,9,0)</f>
        <v>160000</v>
      </c>
      <c r="K2980" s="49">
        <f>VLOOKUP(A2980,[3]גיליון1!$A$1:$C$7693,3,0)</f>
        <v>200000</v>
      </c>
      <c r="L2980" s="50">
        <f>VLOOKUP(A2980,[2]data1761205830331!$A$1:$J$65536,10,0)</f>
        <v>156949.1</v>
      </c>
    </row>
    <row r="2981" spans="1:12" ht="15.6" outlineLevel="1">
      <c r="A2981" s="11">
        <v>1817300780</v>
      </c>
      <c r="B2981" s="40">
        <v>780</v>
      </c>
      <c r="C2981" s="109">
        <v>817300</v>
      </c>
      <c r="D2981" s="42">
        <v>1</v>
      </c>
      <c r="E2981" s="43"/>
      <c r="F2981" s="44" t="s">
        <v>1314</v>
      </c>
      <c r="G2981" s="45" t="s">
        <v>37</v>
      </c>
      <c r="H2981" s="51">
        <v>1</v>
      </c>
      <c r="I2981" s="47" t="s">
        <v>86</v>
      </c>
      <c r="J2981" s="48">
        <f>VLOOKUP(A2981,'[1]תקציב 2026'!$A$1:$M$65536,9,0)</f>
        <v>30000</v>
      </c>
      <c r="K2981" s="49">
        <v>0</v>
      </c>
      <c r="L2981" s="50">
        <v>0</v>
      </c>
    </row>
    <row r="2982" spans="1:12" ht="15.6" outlineLevel="1">
      <c r="A2982" s="11">
        <v>1817300782</v>
      </c>
      <c r="B2982" s="40">
        <v>782</v>
      </c>
      <c r="C2982" s="109">
        <v>817300</v>
      </c>
      <c r="D2982" s="42">
        <v>1</v>
      </c>
      <c r="E2982" s="43"/>
      <c r="F2982" s="44" t="s">
        <v>1549</v>
      </c>
      <c r="G2982" s="45" t="s">
        <v>29</v>
      </c>
      <c r="H2982" s="51">
        <f t="shared" si="47"/>
        <v>0</v>
      </c>
      <c r="I2982" s="47"/>
      <c r="J2982" s="48">
        <f>VLOOKUP(A2982,'[1]תקציב 2026'!$A$1:$M$65536,9,0)</f>
        <v>30000</v>
      </c>
      <c r="K2982" s="49">
        <f>VLOOKUP(A2982,[3]גיליון1!$A$1:$C$7693,3,0)</f>
        <v>30000</v>
      </c>
      <c r="L2982" s="50">
        <f>VLOOKUP(A2982,[2]data1761205830331!$A$1:$J$65536,10,0)</f>
        <v>28420</v>
      </c>
    </row>
    <row r="2983" spans="1:12" ht="15.6" outlineLevel="1">
      <c r="A2983" s="11">
        <v>1817300783</v>
      </c>
      <c r="B2983" s="40">
        <v>783</v>
      </c>
      <c r="C2983" s="109">
        <v>817300</v>
      </c>
      <c r="D2983" s="42">
        <v>1</v>
      </c>
      <c r="E2983" s="43"/>
      <c r="F2983" s="44" t="s">
        <v>1550</v>
      </c>
      <c r="G2983" s="45" t="s">
        <v>29</v>
      </c>
      <c r="H2983" s="51">
        <f t="shared" si="47"/>
        <v>0.22222222222222232</v>
      </c>
      <c r="I2983" s="47"/>
      <c r="J2983" s="48">
        <f>VLOOKUP(A2983,'[1]תקציב 2026'!$A$1:$M$65536,9,0)</f>
        <v>550000</v>
      </c>
      <c r="K2983" s="49">
        <f>VLOOKUP(A2983,[3]גיליון1!$A$1:$C$7693,3,0)</f>
        <v>450000</v>
      </c>
      <c r="L2983" s="50">
        <f>VLOOKUP(A2983,[2]data1761205830331!$A$1:$J$65536,10,0)</f>
        <v>422362</v>
      </c>
    </row>
    <row r="2984" spans="1:12" ht="15.6" outlineLevel="1">
      <c r="A2984" s="11">
        <v>1817300784</v>
      </c>
      <c r="B2984" s="40">
        <v>784</v>
      </c>
      <c r="C2984" s="109">
        <v>817300</v>
      </c>
      <c r="D2984" s="42">
        <v>1</v>
      </c>
      <c r="E2984" s="231"/>
      <c r="F2984" s="44" t="s">
        <v>453</v>
      </c>
      <c r="G2984" s="45" t="s">
        <v>29</v>
      </c>
      <c r="H2984" s="51">
        <f t="shared" si="47"/>
        <v>0.19999999999999996</v>
      </c>
      <c r="I2984" s="47"/>
      <c r="J2984" s="48">
        <f>VLOOKUP(A2984,'[1]תקציב 2026'!$A$1:$M$65536,9,0)</f>
        <v>600000</v>
      </c>
      <c r="K2984" s="49">
        <f>VLOOKUP(A2984,[3]גיליון1!$A$1:$C$7693,3,0)</f>
        <v>500000</v>
      </c>
      <c r="L2984" s="50">
        <f>VLOOKUP(A2984,[2]data1761205830331!$A$1:$J$65536,10,0)</f>
        <v>410997</v>
      </c>
    </row>
    <row r="2985" spans="1:12" ht="15.6" outlineLevel="1">
      <c r="A2985" s="11">
        <v>1817300785</v>
      </c>
      <c r="B2985" s="40">
        <v>785</v>
      </c>
      <c r="C2985" s="109">
        <v>817300</v>
      </c>
      <c r="D2985" s="42">
        <v>1</v>
      </c>
      <c r="E2985" s="231"/>
      <c r="F2985" s="44" t="s">
        <v>1551</v>
      </c>
      <c r="G2985" s="45" t="s">
        <v>29</v>
      </c>
      <c r="H2985" s="51">
        <f t="shared" si="47"/>
        <v>0</v>
      </c>
      <c r="I2985" s="47"/>
      <c r="J2985" s="48">
        <f>VLOOKUP(A2985,'[1]תקציב 2026'!$A$1:$M$65536,9,0)</f>
        <v>280000</v>
      </c>
      <c r="K2985" s="49">
        <f>VLOOKUP(A2985,[3]גיליון1!$A$1:$C$7693,3,0)</f>
        <v>280000</v>
      </c>
      <c r="L2985" s="50">
        <f>VLOOKUP(A2985,[2]data1761205830331!$A$1:$J$65536,10,0)</f>
        <v>266433</v>
      </c>
    </row>
    <row r="2986" spans="1:12" ht="15.6" outlineLevel="1">
      <c r="A2986" s="11">
        <v>1817300786</v>
      </c>
      <c r="B2986" s="40">
        <v>786</v>
      </c>
      <c r="C2986" s="109">
        <v>817300</v>
      </c>
      <c r="D2986" s="42">
        <v>1</v>
      </c>
      <c r="E2986" s="43"/>
      <c r="F2986" s="44" t="s">
        <v>1552</v>
      </c>
      <c r="G2986" s="45" t="s">
        <v>37</v>
      </c>
      <c r="H2986" s="51">
        <f t="shared" si="47"/>
        <v>0.11111111111111116</v>
      </c>
      <c r="I2986" s="47"/>
      <c r="J2986" s="48">
        <f>VLOOKUP(A2986,'[1]תקציב 2026'!$A$1:$M$65536,9,0)</f>
        <v>60000</v>
      </c>
      <c r="K2986" s="49">
        <f>VLOOKUP(A2986,[3]גיליון1!$A$1:$C$7693,3,0)*0.9</f>
        <v>54000</v>
      </c>
      <c r="L2986" s="50">
        <f>VLOOKUP(A2986,[2]data1761205830331!$A$1:$J$65536,10,0)</f>
        <v>57037</v>
      </c>
    </row>
    <row r="2987" spans="1:12" ht="15.6" outlineLevel="1">
      <c r="A2987" s="11">
        <v>1817300788</v>
      </c>
      <c r="B2987" s="40">
        <v>788</v>
      </c>
      <c r="C2987" s="109">
        <v>817300</v>
      </c>
      <c r="D2987" s="42">
        <v>1</v>
      </c>
      <c r="E2987" s="43"/>
      <c r="F2987" s="44" t="s">
        <v>1553</v>
      </c>
      <c r="G2987" s="45" t="s">
        <v>37</v>
      </c>
      <c r="H2987" s="51">
        <f t="shared" si="47"/>
        <v>0.32535419219049411</v>
      </c>
      <c r="I2987" s="47"/>
      <c r="J2987" s="48">
        <f>VLOOKUP(A2987,'[1]תקציב 2026'!$A$1:$M$65536,9,0)</f>
        <v>843800</v>
      </c>
      <c r="K2987" s="49">
        <f>707400*0.9</f>
        <v>636660</v>
      </c>
      <c r="L2987" s="50">
        <f>VLOOKUP(A2987,[2]data1761205830331!$A$1:$J$65536,10,0)</f>
        <v>112178</v>
      </c>
    </row>
    <row r="2988" spans="1:12" ht="15.6" outlineLevel="1">
      <c r="A2988" s="11">
        <v>1817300789</v>
      </c>
      <c r="B2988" s="40">
        <v>789</v>
      </c>
      <c r="C2988" s="109">
        <v>817300</v>
      </c>
      <c r="D2988" s="42">
        <v>1</v>
      </c>
      <c r="E2988" s="43"/>
      <c r="F2988" s="44" t="s">
        <v>1554</v>
      </c>
      <c r="G2988" s="45" t="s">
        <v>37</v>
      </c>
      <c r="H2988" s="51">
        <v>1</v>
      </c>
      <c r="I2988" s="47" t="s">
        <v>86</v>
      </c>
      <c r="J2988" s="48">
        <f>VLOOKUP(A2988,'[1]תקציב 2026'!$A$1:$M$65536,9,0)</f>
        <v>0</v>
      </c>
      <c r="K2988" s="49">
        <v>0</v>
      </c>
      <c r="L2988" s="50">
        <v>0</v>
      </c>
    </row>
    <row r="2989" spans="1:12" ht="16.5" customHeight="1" outlineLevel="1">
      <c r="A2989" s="11">
        <v>1817300931</v>
      </c>
      <c r="B2989" s="40">
        <v>931</v>
      </c>
      <c r="C2989" s="109">
        <v>817300</v>
      </c>
      <c r="D2989" s="42">
        <v>1</v>
      </c>
      <c r="E2989" s="43"/>
      <c r="F2989" s="44" t="s">
        <v>1555</v>
      </c>
      <c r="G2989" s="45" t="s">
        <v>37</v>
      </c>
      <c r="H2989" s="51">
        <f t="shared" si="47"/>
        <v>1.0576131687242798</v>
      </c>
      <c r="I2989" s="47"/>
      <c r="J2989" s="48">
        <f>VLOOKUP(A2989,'[1]תקציב 2026'!$A$1:$M$65536,9,0)</f>
        <v>50000</v>
      </c>
      <c r="K2989" s="49">
        <f>VLOOKUP(A2989,[3]גיליון1!$A$1:$C$7693,3,0)*0.9</f>
        <v>24300</v>
      </c>
      <c r="L2989" s="50">
        <f>VLOOKUP(A2989,[2]data1761205830331!$A$1:$J$65536,10,0)</f>
        <v>27121.26</v>
      </c>
    </row>
    <row r="2990" spans="1:12" ht="16.2" outlineLevel="1" thickBot="1">
      <c r="A2990" s="11">
        <v>1817300961</v>
      </c>
      <c r="B2990" s="40">
        <v>961</v>
      </c>
      <c r="C2990" s="109">
        <v>817300</v>
      </c>
      <c r="D2990" s="42">
        <v>1</v>
      </c>
      <c r="E2990" s="43"/>
      <c r="F2990" s="155" t="s">
        <v>1556</v>
      </c>
      <c r="G2990" s="45" t="s">
        <v>29</v>
      </c>
      <c r="H2990" s="51">
        <f t="shared" si="47"/>
        <v>0.11111111111111116</v>
      </c>
      <c r="I2990" s="47"/>
      <c r="J2990" s="48">
        <f>VLOOKUP(A2990,'[1]תקציב 2026'!$A$1:$M$65536,9,0)</f>
        <v>560000</v>
      </c>
      <c r="K2990" s="49">
        <f>VLOOKUP(A2990,[3]גיליון1!$A$1:$C$7693,3,0)*0.9</f>
        <v>504000</v>
      </c>
      <c r="L2990" s="50">
        <f>VLOOKUP(A2990,[2]data1761205830331!$A$1:$J$65536,10,0)</f>
        <v>729810.36</v>
      </c>
    </row>
    <row r="2991" spans="1:12" ht="16.2" thickBot="1">
      <c r="A2991" s="11" t="e">
        <v>#VALUE!</v>
      </c>
      <c r="B2991" s="53" t="s">
        <v>1557</v>
      </c>
      <c r="C2991" s="223"/>
      <c r="D2991" s="55"/>
      <c r="E2991" s="56"/>
      <c r="F2991" s="116" t="s">
        <v>450</v>
      </c>
      <c r="G2991" s="58"/>
      <c r="H2991" s="166">
        <f>J2991/K2991-1</f>
        <v>5.2358960527112419E-2</v>
      </c>
      <c r="I2991" s="72"/>
      <c r="J2991" s="74">
        <f>SUBTOTAL(9,J2956:J2990)</f>
        <v>15294480</v>
      </c>
      <c r="K2991" s="92">
        <f>SUBTOTAL(9,K2956:K2990)</f>
        <v>14533520</v>
      </c>
      <c r="L2991" s="75">
        <f>SUBTOTAL(9,L2956:L2990)</f>
        <v>15394047.9</v>
      </c>
    </row>
    <row r="2992" spans="1:12" ht="15.6" outlineLevel="1">
      <c r="A2992" s="11">
        <v>18176000</v>
      </c>
      <c r="B2992" s="64">
        <v>0</v>
      </c>
      <c r="C2992" s="131">
        <v>817600</v>
      </c>
      <c r="D2992" s="66">
        <v>1</v>
      </c>
      <c r="E2992" s="67"/>
      <c r="F2992" s="68" t="s">
        <v>461</v>
      </c>
      <c r="G2992" s="69" t="s">
        <v>15</v>
      </c>
      <c r="H2992" s="51"/>
      <c r="I2992" s="47"/>
      <c r="J2992" s="48"/>
      <c r="K2992" s="49"/>
      <c r="L2992" s="50"/>
    </row>
    <row r="2993" spans="1:12" ht="15.6" outlineLevel="1">
      <c r="A2993" s="11">
        <v>1817600119</v>
      </c>
      <c r="B2993" s="40">
        <v>119</v>
      </c>
      <c r="C2993" s="109">
        <v>817600</v>
      </c>
      <c r="D2993" s="42">
        <v>1</v>
      </c>
      <c r="E2993" s="43"/>
      <c r="F2993" s="44" t="s">
        <v>23</v>
      </c>
      <c r="G2993" s="45" t="s">
        <v>22</v>
      </c>
      <c r="H2993" s="51">
        <f t="shared" si="47"/>
        <v>2.4999999999999911E-2</v>
      </c>
      <c r="I2993" s="47"/>
      <c r="J2993" s="48">
        <f>VLOOKUP(A2993,'[1]תקציב 2026'!$A$1:$M$65536,9,0)</f>
        <v>421069.99999999994</v>
      </c>
      <c r="K2993" s="49">
        <v>410800</v>
      </c>
      <c r="L2993" s="50">
        <f>VLOOKUP(A2993,[2]data1761205830331!$A$1:$J$65536,10,0)</f>
        <v>123784.38</v>
      </c>
    </row>
    <row r="2994" spans="1:12" ht="15.6" outlineLevel="1">
      <c r="A2994" s="11">
        <v>1817600122</v>
      </c>
      <c r="B2994" s="40">
        <v>122</v>
      </c>
      <c r="C2994" s="109">
        <v>817600</v>
      </c>
      <c r="D2994" s="42">
        <v>1</v>
      </c>
      <c r="E2994" s="43"/>
      <c r="F2994" s="44" t="s">
        <v>24</v>
      </c>
      <c r="G2994" s="45" t="s">
        <v>22</v>
      </c>
      <c r="H2994" s="51">
        <f t="shared" si="47"/>
        <v>0</v>
      </c>
      <c r="I2994" s="47"/>
      <c r="J2994" s="48">
        <f>VLOOKUP(A2994,'[1]תקציב 2026'!$A$1:$M$65536,9,0)</f>
        <v>1900</v>
      </c>
      <c r="K2994" s="49">
        <f>VLOOKUP(A2994,[3]גיליון1!$A$1:$C$7693,3,0)</f>
        <v>1900</v>
      </c>
      <c r="L2994" s="50">
        <f>VLOOKUP(A2994,[2]data1761205830331!$A$1:$J$65536,10,0)</f>
        <v>1724</v>
      </c>
    </row>
    <row r="2995" spans="1:12" ht="15.6" outlineLevel="1">
      <c r="A2995" s="11">
        <v>1817600126</v>
      </c>
      <c r="B2995" s="40">
        <v>126</v>
      </c>
      <c r="C2995" s="109">
        <v>817600</v>
      </c>
      <c r="D2995" s="42">
        <v>1</v>
      </c>
      <c r="E2995" s="43"/>
      <c r="F2995" s="44" t="s">
        <v>25</v>
      </c>
      <c r="G2995" s="45" t="s">
        <v>22</v>
      </c>
      <c r="H2995" s="51">
        <f t="shared" si="47"/>
        <v>0</v>
      </c>
      <c r="I2995" s="47"/>
      <c r="J2995" s="48">
        <f>VLOOKUP(A2995,'[1]תקציב 2026'!$A$1:$M$65536,9,0)</f>
        <v>5600</v>
      </c>
      <c r="K2995" s="49">
        <f>VLOOKUP(A2995,[3]גיליון1!$A$1:$C$7693,3,0)</f>
        <v>5600</v>
      </c>
      <c r="L2995" s="50">
        <f>VLOOKUP(A2995,[2]data1761205830331!$A$1:$J$65536,10,0)</f>
        <v>5185.3999999999996</v>
      </c>
    </row>
    <row r="2996" spans="1:12" ht="15.6" outlineLevel="1">
      <c r="A2996" s="11">
        <v>1817600130</v>
      </c>
      <c r="B2996" s="40">
        <v>130</v>
      </c>
      <c r="C2996" s="109">
        <v>817600</v>
      </c>
      <c r="D2996" s="42">
        <v>1</v>
      </c>
      <c r="E2996" s="43"/>
      <c r="F2996" s="44" t="s">
        <v>26</v>
      </c>
      <c r="G2996" s="45" t="s">
        <v>22</v>
      </c>
      <c r="H2996" s="51">
        <f t="shared" si="47"/>
        <v>0</v>
      </c>
      <c r="I2996" s="47"/>
      <c r="J2996" s="48">
        <f>VLOOKUP(A2996,'[1]תקציב 2026'!$A$1:$M$65536,9,0)</f>
        <v>13760</v>
      </c>
      <c r="K2996" s="49">
        <f>VLOOKUP(A2996,[3]גיליון1!$A$1:$C$7693,3,0)*0.86</f>
        <v>13760</v>
      </c>
      <c r="L2996" s="50">
        <f>VLOOKUP(A2996,[2]data1761205830331!$A$1:$J$65536,10,0)</f>
        <v>0</v>
      </c>
    </row>
    <row r="2997" spans="1:12" ht="15.6" outlineLevel="1">
      <c r="A2997" s="11">
        <v>1817600140</v>
      </c>
      <c r="B2997" s="40">
        <v>140</v>
      </c>
      <c r="C2997" s="109">
        <v>817600</v>
      </c>
      <c r="D2997" s="42">
        <v>1</v>
      </c>
      <c r="E2997" s="43"/>
      <c r="F2997" s="44" t="s">
        <v>27</v>
      </c>
      <c r="G2997" s="45" t="s">
        <v>22</v>
      </c>
      <c r="H2997" s="51">
        <f t="shared" si="47"/>
        <v>0</v>
      </c>
      <c r="I2997" s="47"/>
      <c r="J2997" s="48">
        <f>VLOOKUP(A2997,'[1]תקציב 2026'!$A$1:$M$65536,9,0)</f>
        <v>38500</v>
      </c>
      <c r="K2997" s="49">
        <f>VLOOKUP(A2997,[3]גיליון1!$A$1:$C$7693,3,0)</f>
        <v>38500</v>
      </c>
      <c r="L2997" s="50">
        <f>VLOOKUP(A2997,[2]data1761205830331!$A$1:$J$65536,10,0)</f>
        <v>0</v>
      </c>
    </row>
    <row r="2998" spans="1:12" ht="15.6" outlineLevel="1">
      <c r="A2998" s="11">
        <v>1817600571</v>
      </c>
      <c r="B2998" s="40">
        <v>571</v>
      </c>
      <c r="C2998" s="109">
        <v>817600</v>
      </c>
      <c r="D2998" s="42">
        <v>1</v>
      </c>
      <c r="E2998" s="43"/>
      <c r="F2998" s="44" t="s">
        <v>75</v>
      </c>
      <c r="G2998" s="45" t="s">
        <v>29</v>
      </c>
      <c r="H2998" s="51">
        <f t="shared" si="47"/>
        <v>1.3417266187050361</v>
      </c>
      <c r="I2998" s="47"/>
      <c r="J2998" s="48">
        <f>VLOOKUP(A2998,'[1]תקציב 2026'!$A$1:$M$65536,9,0)</f>
        <v>65100</v>
      </c>
      <c r="K2998" s="49">
        <v>27800</v>
      </c>
      <c r="L2998" s="50">
        <f>VLOOKUP(A2998,[2]data1761205830331!$A$1:$J$65536,10,0)</f>
        <v>18600</v>
      </c>
    </row>
    <row r="2999" spans="1:12" ht="16.2" outlineLevel="1" thickBot="1">
      <c r="A2999" s="11">
        <v>1817600782</v>
      </c>
      <c r="B2999" s="40">
        <v>782</v>
      </c>
      <c r="C2999" s="109">
        <v>817600</v>
      </c>
      <c r="D2999" s="42">
        <v>1</v>
      </c>
      <c r="E2999" s="43"/>
      <c r="F2999" s="44" t="s">
        <v>1558</v>
      </c>
      <c r="G2999" s="45" t="s">
        <v>29</v>
      </c>
      <c r="H2999" s="51">
        <f t="shared" si="47"/>
        <v>0</v>
      </c>
      <c r="I2999" s="47"/>
      <c r="J2999" s="48">
        <f>VLOOKUP(A2999,'[1]תקציב 2026'!$A$1:$M$65536,9,0)</f>
        <v>50000</v>
      </c>
      <c r="K2999" s="49">
        <v>50000</v>
      </c>
      <c r="L2999" s="50">
        <f>VLOOKUP(A2999,[2]data1761205830331!$A$1:$J$65536,10,0)</f>
        <v>44378.96</v>
      </c>
    </row>
    <row r="3000" spans="1:12" ht="16.2" thickBot="1">
      <c r="A3000" s="11" t="e">
        <v>#VALUE!</v>
      </c>
      <c r="B3000" s="53" t="s">
        <v>1559</v>
      </c>
      <c r="C3000" s="223"/>
      <c r="D3000" s="55"/>
      <c r="E3000" s="56"/>
      <c r="F3000" s="116" t="s">
        <v>461</v>
      </c>
      <c r="G3000" s="58"/>
      <c r="H3000" s="166">
        <f>J3000/K3000-1</f>
        <v>8.6749580567510476E-2</v>
      </c>
      <c r="I3000" s="72"/>
      <c r="J3000" s="74">
        <f>SUBTOTAL(9,J2993:J2999)</f>
        <v>595930</v>
      </c>
      <c r="K3000" s="92">
        <f>SUBTOTAL(9,K2993:K2999)</f>
        <v>548360</v>
      </c>
      <c r="L3000" s="75">
        <f>SUBTOTAL(9,L2993:L2999)</f>
        <v>193672.74</v>
      </c>
    </row>
    <row r="3001" spans="1:12" ht="15.6" outlineLevel="1">
      <c r="A3001" s="11">
        <v>18178000</v>
      </c>
      <c r="B3001" s="40">
        <v>0</v>
      </c>
      <c r="C3001" s="109">
        <v>817800</v>
      </c>
      <c r="D3001" s="42">
        <v>1</v>
      </c>
      <c r="E3001" s="43"/>
      <c r="F3001" s="44" t="s">
        <v>1429</v>
      </c>
      <c r="G3001" s="45" t="s">
        <v>15</v>
      </c>
      <c r="H3001" s="51"/>
      <c r="I3001" s="47"/>
      <c r="J3001" s="48"/>
      <c r="K3001" s="49"/>
      <c r="L3001" s="50"/>
    </row>
    <row r="3002" spans="1:12" ht="15.6" outlineLevel="1">
      <c r="A3002" s="11">
        <v>1817800710</v>
      </c>
      <c r="B3002" s="40">
        <v>710</v>
      </c>
      <c r="C3002" s="109">
        <v>817800</v>
      </c>
      <c r="D3002" s="42">
        <v>1</v>
      </c>
      <c r="E3002" s="43"/>
      <c r="F3002" s="44" t="s">
        <v>1560</v>
      </c>
      <c r="G3002" s="45" t="s">
        <v>29</v>
      </c>
      <c r="H3002" s="51">
        <f t="shared" si="47"/>
        <v>0</v>
      </c>
      <c r="I3002" s="47"/>
      <c r="J3002" s="48">
        <f>VLOOKUP(A3002,'[1]תקציב 2026'!$A$1:$M$65536,9,0)</f>
        <v>49000000</v>
      </c>
      <c r="K3002" s="49">
        <f>VLOOKUP(A3002,[3]גיליון1!$A$1:$C$7693,3,0)</f>
        <v>49000000</v>
      </c>
      <c r="L3002" s="50">
        <f>VLOOKUP(A3002,[2]data1761205830331!$A$1:$J$65536,10,0)</f>
        <v>48044739.700000003</v>
      </c>
    </row>
    <row r="3003" spans="1:12" ht="15.6" outlineLevel="1">
      <c r="A3003" s="11">
        <v>1817800711</v>
      </c>
      <c r="B3003" s="40">
        <v>711</v>
      </c>
      <c r="C3003" s="109">
        <v>817800</v>
      </c>
      <c r="D3003" s="42">
        <v>1</v>
      </c>
      <c r="E3003" s="43"/>
      <c r="F3003" s="44" t="s">
        <v>1561</v>
      </c>
      <c r="G3003" s="45" t="s">
        <v>29</v>
      </c>
      <c r="H3003" s="51">
        <f t="shared" si="47"/>
        <v>0</v>
      </c>
      <c r="I3003" s="47"/>
      <c r="J3003" s="48">
        <f>VLOOKUP(A3003,'[1]תקציב 2026'!$A$1:$M$65536,9,0)</f>
        <v>600000</v>
      </c>
      <c r="K3003" s="49">
        <f>VLOOKUP(A3003,[3]גיליון1!$A$1:$C$7693,3,0)</f>
        <v>600000</v>
      </c>
      <c r="L3003" s="50">
        <f>VLOOKUP(A3003,[2]data1761205830331!$A$1:$J$65536,10,0)</f>
        <v>549999.19999999995</v>
      </c>
    </row>
    <row r="3004" spans="1:12" ht="15.6" outlineLevel="1">
      <c r="A3004" s="11">
        <v>1817800713</v>
      </c>
      <c r="B3004" s="206">
        <v>713</v>
      </c>
      <c r="C3004" s="207">
        <v>817800</v>
      </c>
      <c r="D3004" s="208">
        <v>1</v>
      </c>
      <c r="E3004" s="229"/>
      <c r="F3004" s="210" t="s">
        <v>1562</v>
      </c>
      <c r="G3004" s="45" t="s">
        <v>29</v>
      </c>
      <c r="H3004" s="51">
        <f t="shared" si="47"/>
        <v>0.11111111111111116</v>
      </c>
      <c r="I3004" s="47"/>
      <c r="J3004" s="48">
        <f>VLOOKUP(A3004,'[1]תקציב 2026'!$A$1:$M$65536,9,0)</f>
        <v>1250000</v>
      </c>
      <c r="K3004" s="49">
        <f>VLOOKUP(A3004,[3]גיליון1!$A$1:$C$7693,3,0)*0.9</f>
        <v>1125000</v>
      </c>
      <c r="L3004" s="50">
        <f>VLOOKUP(A3004,[2]data1761205830331!$A$1:$J$65536,10,0)</f>
        <v>1183341</v>
      </c>
    </row>
    <row r="3005" spans="1:12" ht="16.2" outlineLevel="1" thickBot="1">
      <c r="A3005" s="11">
        <v>1817800759</v>
      </c>
      <c r="B3005" s="40">
        <v>759</v>
      </c>
      <c r="C3005" s="109">
        <v>817800</v>
      </c>
      <c r="D3005" s="42">
        <v>1</v>
      </c>
      <c r="E3005" s="43"/>
      <c r="F3005" s="44" t="s">
        <v>1563</v>
      </c>
      <c r="G3005" s="45" t="s">
        <v>22</v>
      </c>
      <c r="H3005" s="51">
        <f t="shared" si="47"/>
        <v>4.3707444118890049E-3</v>
      </c>
      <c r="I3005" s="47"/>
      <c r="J3005" s="48">
        <f>VLOOKUP(A3005,'[1]תקציב 2026'!$A$1:$M$65536,9,0)</f>
        <v>43500000</v>
      </c>
      <c r="K3005" s="49">
        <v>43310700</v>
      </c>
      <c r="L3005" s="50">
        <f>VLOOKUP(A3005,[2]data1761205830331!$A$1:$J$65536,10,0)</f>
        <v>40881893.759999998</v>
      </c>
    </row>
    <row r="3006" spans="1:12" ht="16.2" thickBot="1">
      <c r="A3006" s="11" t="e">
        <v>#VALUE!</v>
      </c>
      <c r="B3006" s="53" t="s">
        <v>1564</v>
      </c>
      <c r="C3006" s="223"/>
      <c r="D3006" s="55"/>
      <c r="E3006" s="56"/>
      <c r="F3006" s="116" t="s">
        <v>1429</v>
      </c>
      <c r="G3006" s="58"/>
      <c r="H3006" s="166">
        <f>J3006/K3006-1</f>
        <v>3.3423476403111607E-3</v>
      </c>
      <c r="I3006" s="72"/>
      <c r="J3006" s="74">
        <f>SUBTOTAL(9,J3002:J3005)</f>
        <v>94350000</v>
      </c>
      <c r="K3006" s="92">
        <f>SUBTOTAL(9,K3002:K3005)</f>
        <v>94035700</v>
      </c>
      <c r="L3006" s="75">
        <f>SUBTOTAL(9,L3002:L3005)</f>
        <v>90659973.659999996</v>
      </c>
    </row>
    <row r="3007" spans="1:12" ht="15.6" outlineLevel="1">
      <c r="A3007" s="11">
        <v>18179100</v>
      </c>
      <c r="B3007" s="40">
        <v>0</v>
      </c>
      <c r="C3007" s="109">
        <v>817910</v>
      </c>
      <c r="D3007" s="42">
        <v>1</v>
      </c>
      <c r="E3007" s="43"/>
      <c r="F3007" s="44" t="s">
        <v>1565</v>
      </c>
      <c r="G3007" s="45" t="s">
        <v>15</v>
      </c>
      <c r="H3007" s="51"/>
      <c r="I3007" s="47"/>
      <c r="J3007" s="48"/>
      <c r="K3007" s="49"/>
      <c r="L3007" s="50"/>
    </row>
    <row r="3008" spans="1:12" ht="15.6" outlineLevel="1">
      <c r="A3008" s="11">
        <v>1817910441</v>
      </c>
      <c r="B3008" s="40">
        <v>441</v>
      </c>
      <c r="C3008" s="109">
        <v>817910</v>
      </c>
      <c r="D3008" s="42">
        <v>1</v>
      </c>
      <c r="E3008" s="43"/>
      <c r="F3008" s="44" t="s">
        <v>1566</v>
      </c>
      <c r="G3008" s="45" t="s">
        <v>29</v>
      </c>
      <c r="H3008" s="51">
        <f t="shared" si="47"/>
        <v>0</v>
      </c>
      <c r="I3008" s="47"/>
      <c r="J3008" s="48">
        <f>VLOOKUP(A3008,'[1]תקציב 2026'!$A$1:$M$65536,9,0)</f>
        <v>2600000</v>
      </c>
      <c r="K3008" s="49">
        <f>VLOOKUP(A3008,[3]גיליון1!$A$1:$C$7693,3,0)</f>
        <v>2600000</v>
      </c>
      <c r="L3008" s="50">
        <f>VLOOKUP(A3008,[2]data1761205830331!$A$1:$J$65536,10,0)</f>
        <v>2452329</v>
      </c>
    </row>
    <row r="3009" spans="1:12" ht="15.6" outlineLevel="1">
      <c r="A3009" s="11">
        <v>1817910723</v>
      </c>
      <c r="B3009" s="40">
        <v>723</v>
      </c>
      <c r="C3009" s="109">
        <v>817910</v>
      </c>
      <c r="D3009" s="42">
        <v>1</v>
      </c>
      <c r="E3009" s="43"/>
      <c r="F3009" s="44" t="s">
        <v>1567</v>
      </c>
      <c r="G3009" s="45" t="s">
        <v>29</v>
      </c>
      <c r="H3009" s="51">
        <v>0</v>
      </c>
      <c r="I3009" s="47"/>
      <c r="J3009" s="48">
        <f>VLOOKUP(A3009,'[1]תקציב 2026'!$A$1:$M$65536,9,0)</f>
        <v>0</v>
      </c>
      <c r="K3009" s="49">
        <f>VLOOKUP(A3009,[3]גיליון1!$A$1:$C$7693,3,0)</f>
        <v>0</v>
      </c>
      <c r="L3009" s="50">
        <f>VLOOKUP(A3009,[2]data1761205830331!$A$1:$J$65536,10,0)</f>
        <v>22383.51</v>
      </c>
    </row>
    <row r="3010" spans="1:12" s="204" customFormat="1" ht="17.25" customHeight="1" outlineLevel="1">
      <c r="A3010" s="11">
        <v>1817910742</v>
      </c>
      <c r="B3010" s="40">
        <v>742</v>
      </c>
      <c r="C3010" s="109">
        <v>817910</v>
      </c>
      <c r="D3010" s="42">
        <v>1</v>
      </c>
      <c r="E3010" s="43"/>
      <c r="F3010" s="44" t="s">
        <v>1568</v>
      </c>
      <c r="G3010" s="45" t="s">
        <v>29</v>
      </c>
      <c r="H3010" s="51">
        <f t="shared" si="47"/>
        <v>0</v>
      </c>
      <c r="I3010" s="51"/>
      <c r="J3010" s="48">
        <f>VLOOKUP(A3010,'[1]תקציב 2026'!$A$1:$M$65536,9,0)</f>
        <v>4300000</v>
      </c>
      <c r="K3010" s="49">
        <f>VLOOKUP(A3010,[3]גיליון1!$A$1:$C$7693,3,0)</f>
        <v>4300000</v>
      </c>
      <c r="L3010" s="50">
        <f>VLOOKUP(A3010,[2]data1761205830331!$A$1:$J$65536,10,0)</f>
        <v>3875395.31</v>
      </c>
    </row>
    <row r="3011" spans="1:12" ht="15.6" outlineLevel="1">
      <c r="A3011" s="11">
        <v>1817910756</v>
      </c>
      <c r="B3011" s="40">
        <v>756</v>
      </c>
      <c r="C3011" s="109">
        <v>817910</v>
      </c>
      <c r="D3011" s="42">
        <v>1</v>
      </c>
      <c r="E3011" s="43"/>
      <c r="F3011" s="44" t="s">
        <v>1569</v>
      </c>
      <c r="G3011" s="45" t="s">
        <v>29</v>
      </c>
      <c r="H3011" s="51">
        <f t="shared" si="47"/>
        <v>4.3478260869565188E-2</v>
      </c>
      <c r="I3011" s="47"/>
      <c r="J3011" s="48">
        <f>VLOOKUP(A3011,'[1]תקציב 2026'!$A$1:$M$65536,9,0)</f>
        <v>24000000</v>
      </c>
      <c r="K3011" s="49">
        <f>VLOOKUP(A3011,[3]גיליון1!$A$1:$C$7693,3,0)</f>
        <v>23000000</v>
      </c>
      <c r="L3011" s="50">
        <f>VLOOKUP(A3011,[2]data1761205830331!$A$1:$J$65536,10,0)</f>
        <v>23657065.870000001</v>
      </c>
    </row>
    <row r="3012" spans="1:12" ht="15.6" outlineLevel="1">
      <c r="A3012" s="11">
        <v>1817910782</v>
      </c>
      <c r="B3012" s="40">
        <v>782</v>
      </c>
      <c r="C3012" s="109">
        <v>817910</v>
      </c>
      <c r="D3012" s="42">
        <v>1</v>
      </c>
      <c r="E3012" s="43"/>
      <c r="F3012" s="44" t="s">
        <v>443</v>
      </c>
      <c r="G3012" s="45" t="s">
        <v>29</v>
      </c>
      <c r="H3012" s="51">
        <f t="shared" si="47"/>
        <v>-0.42528735632183912</v>
      </c>
      <c r="I3012" s="47"/>
      <c r="J3012" s="48">
        <f>VLOOKUP(A3012,'[1]תקציב 2026'!$A$1:$M$65536,9,0)</f>
        <v>100000</v>
      </c>
      <c r="K3012" s="49">
        <v>174000</v>
      </c>
      <c r="L3012" s="50">
        <f>VLOOKUP(A3012,[2]data1761205830331!$A$1:$J$65536,10,0)</f>
        <v>90027.99</v>
      </c>
    </row>
    <row r="3013" spans="1:12" ht="15.6" outlineLevel="1">
      <c r="A3013" s="11">
        <v>1817910783</v>
      </c>
      <c r="B3013" s="40">
        <v>783</v>
      </c>
      <c r="C3013" s="109">
        <v>817910</v>
      </c>
      <c r="D3013" s="42">
        <v>1</v>
      </c>
      <c r="E3013" s="43"/>
      <c r="F3013" s="44" t="s">
        <v>1570</v>
      </c>
      <c r="G3013" s="45" t="s">
        <v>29</v>
      </c>
      <c r="H3013" s="51">
        <v>0</v>
      </c>
      <c r="I3013" s="47"/>
      <c r="J3013" s="48">
        <f>VLOOKUP(A3013,'[1]תקציב 2026'!$A$1:$M$65536,9,0)</f>
        <v>0</v>
      </c>
      <c r="K3013" s="49">
        <f>VLOOKUP(A3013,[3]גיליון1!$A$1:$C$7693,3,0)</f>
        <v>0</v>
      </c>
      <c r="L3013" s="50">
        <f>VLOOKUP(A3013,[2]data1761205830331!$A$1:$J$65536,10,0)</f>
        <v>112168.36</v>
      </c>
    </row>
    <row r="3014" spans="1:12" ht="15.6" outlineLevel="1">
      <c r="A3014" s="11">
        <v>1817910785</v>
      </c>
      <c r="B3014" s="40">
        <v>785</v>
      </c>
      <c r="C3014" s="109">
        <v>817910</v>
      </c>
      <c r="D3014" s="42">
        <v>1</v>
      </c>
      <c r="E3014" s="43"/>
      <c r="F3014" s="44" t="s">
        <v>1571</v>
      </c>
      <c r="G3014" s="45" t="s">
        <v>29</v>
      </c>
      <c r="H3014" s="51">
        <f t="shared" si="47"/>
        <v>-1</v>
      </c>
      <c r="I3014" s="47"/>
      <c r="J3014" s="48">
        <f>VLOOKUP(A3014,'[1]תקציב 2026'!$A$1:$M$65536,9,0)</f>
        <v>0</v>
      </c>
      <c r="K3014" s="49">
        <v>40000</v>
      </c>
      <c r="L3014" s="50">
        <f>VLOOKUP(A3014,[2]data1761205830331!$A$1:$J$65536,10,0)</f>
        <v>40808</v>
      </c>
    </row>
    <row r="3015" spans="1:12" ht="16.2" outlineLevel="1" thickBot="1">
      <c r="A3015" s="11">
        <v>1817910794</v>
      </c>
      <c r="B3015" s="40">
        <v>794</v>
      </c>
      <c r="C3015" s="109">
        <v>817910</v>
      </c>
      <c r="D3015" s="42">
        <v>1</v>
      </c>
      <c r="E3015" s="43"/>
      <c r="F3015" s="44" t="s">
        <v>58</v>
      </c>
      <c r="G3015" s="45" t="s">
        <v>29</v>
      </c>
      <c r="H3015" s="51">
        <f t="shared" si="47"/>
        <v>0.38235294117647056</v>
      </c>
      <c r="I3015" s="47"/>
      <c r="J3015" s="48">
        <f>VLOOKUP(A3015,'[1]תקציב 2026'!$A$1:$M$65536,9,0)</f>
        <v>9400</v>
      </c>
      <c r="K3015" s="49">
        <v>6800</v>
      </c>
      <c r="L3015" s="50">
        <f>VLOOKUP(A3015,[2]data1761205830331!$A$1:$J$65536,10,0)</f>
        <v>7634</v>
      </c>
    </row>
    <row r="3016" spans="1:12" ht="16.2" thickBot="1">
      <c r="A3016" s="11" t="e">
        <v>#VALUE!</v>
      </c>
      <c r="B3016" s="53" t="s">
        <v>1572</v>
      </c>
      <c r="C3016" s="223"/>
      <c r="D3016" s="55"/>
      <c r="E3016" s="56"/>
      <c r="F3016" s="116" t="s">
        <v>1565</v>
      </c>
      <c r="G3016" s="58"/>
      <c r="H3016" s="166">
        <f>J3016/K3016-1</f>
        <v>2.9501208467238582E-2</v>
      </c>
      <c r="I3016" s="72"/>
      <c r="J3016" s="74">
        <f>SUBTOTAL(9,J3008:J3015)</f>
        <v>31009400</v>
      </c>
      <c r="K3016" s="92">
        <f>SUBTOTAL(9,K3008:K3015)</f>
        <v>30120800</v>
      </c>
      <c r="L3016" s="75">
        <f>SUBTOTAL(9,L3008:L3015)</f>
        <v>30257812.039999999</v>
      </c>
    </row>
    <row r="3017" spans="1:12" ht="15.6" outlineLevel="1">
      <c r="A3017" s="11">
        <v>18179200</v>
      </c>
      <c r="B3017" s="40">
        <v>0</v>
      </c>
      <c r="C3017" s="109">
        <v>817920</v>
      </c>
      <c r="D3017" s="42">
        <v>1</v>
      </c>
      <c r="E3017" s="43"/>
      <c r="F3017" s="44" t="s">
        <v>1573</v>
      </c>
      <c r="G3017" s="45" t="s">
        <v>15</v>
      </c>
      <c r="H3017" s="51"/>
      <c r="I3017" s="47"/>
      <c r="J3017" s="48"/>
      <c r="K3017" s="49"/>
      <c r="L3017" s="50"/>
    </row>
    <row r="3018" spans="1:12" ht="15.6" outlineLevel="1">
      <c r="A3018" s="11">
        <v>1817920119</v>
      </c>
      <c r="B3018" s="40">
        <v>119</v>
      </c>
      <c r="C3018" s="109">
        <v>817920</v>
      </c>
      <c r="D3018" s="42">
        <v>1</v>
      </c>
      <c r="E3018" s="43"/>
      <c r="F3018" s="44" t="s">
        <v>23</v>
      </c>
      <c r="G3018" s="45" t="s">
        <v>22</v>
      </c>
      <c r="H3018" s="51">
        <f t="shared" si="47"/>
        <v>2.4999999999999911E-2</v>
      </c>
      <c r="I3018" s="47"/>
      <c r="J3018" s="48">
        <f>VLOOKUP(A3018,'[1]תקציב 2026'!$A$1:$M$65536,9,0)</f>
        <v>114799.99999999999</v>
      </c>
      <c r="K3018" s="49">
        <f>VLOOKUP(A3018,[3]גיליון1!$A$1:$C$7693,3,0)</f>
        <v>112000</v>
      </c>
      <c r="L3018" s="50">
        <f>VLOOKUP(A3018,[2]data1761205830331!$A$1:$J$65536,10,0)</f>
        <v>112364.84</v>
      </c>
    </row>
    <row r="3019" spans="1:12" ht="15.6" outlineLevel="1">
      <c r="A3019" s="11">
        <v>1817920122</v>
      </c>
      <c r="B3019" s="40">
        <v>122</v>
      </c>
      <c r="C3019" s="109">
        <v>817920</v>
      </c>
      <c r="D3019" s="42">
        <v>1</v>
      </c>
      <c r="E3019" s="43"/>
      <c r="F3019" s="44" t="s">
        <v>24</v>
      </c>
      <c r="G3019" s="45" t="s">
        <v>22</v>
      </c>
      <c r="H3019" s="51">
        <f t="shared" si="47"/>
        <v>0</v>
      </c>
      <c r="I3019" s="47"/>
      <c r="J3019" s="48">
        <f>VLOOKUP(A3019,'[1]תקציב 2026'!$A$1:$M$65536,9,0)</f>
        <v>1100</v>
      </c>
      <c r="K3019" s="49">
        <f>VLOOKUP(A3019,[3]גיליון1!$A$1:$C$7693,3,0)</f>
        <v>1100</v>
      </c>
      <c r="L3019" s="50">
        <f>VLOOKUP(A3019,[2]data1761205830331!$A$1:$J$65536,10,0)</f>
        <v>1003.23</v>
      </c>
    </row>
    <row r="3020" spans="1:12" ht="15.6" outlineLevel="1">
      <c r="A3020" s="11">
        <v>1817920126</v>
      </c>
      <c r="B3020" s="40">
        <v>126</v>
      </c>
      <c r="C3020" s="109">
        <v>817920</v>
      </c>
      <c r="D3020" s="42">
        <v>1</v>
      </c>
      <c r="E3020" s="43"/>
      <c r="F3020" s="44" t="s">
        <v>25</v>
      </c>
      <c r="G3020" s="45" t="s">
        <v>22</v>
      </c>
      <c r="H3020" s="51">
        <f t="shared" si="47"/>
        <v>0</v>
      </c>
      <c r="I3020" s="47"/>
      <c r="J3020" s="48">
        <f>VLOOKUP(A3020,'[1]תקציב 2026'!$A$1:$M$65536,9,0)</f>
        <v>2900</v>
      </c>
      <c r="K3020" s="49">
        <f>VLOOKUP(A3020,[3]גיליון1!$A$1:$C$7693,3,0)</f>
        <v>2900</v>
      </c>
      <c r="L3020" s="50">
        <f>VLOOKUP(A3020,[2]data1761205830331!$A$1:$J$65536,10,0)</f>
        <v>2743.16</v>
      </c>
    </row>
    <row r="3021" spans="1:12" ht="16.2" outlineLevel="1" thickBot="1">
      <c r="A3021" s="11">
        <v>1817920130</v>
      </c>
      <c r="B3021" s="119">
        <v>130</v>
      </c>
      <c r="C3021" s="120">
        <v>817920</v>
      </c>
      <c r="D3021" s="121">
        <v>1</v>
      </c>
      <c r="E3021" s="201"/>
      <c r="F3021" s="122" t="s">
        <v>26</v>
      </c>
      <c r="G3021" s="153" t="s">
        <v>22</v>
      </c>
      <c r="H3021" s="51">
        <v>0</v>
      </c>
      <c r="I3021" s="160"/>
      <c r="J3021" s="48">
        <f>VLOOKUP(A3021,'[1]תקציב 2026'!$A$1:$M$65536,9,0)</f>
        <v>0</v>
      </c>
      <c r="K3021" s="162">
        <v>0</v>
      </c>
      <c r="L3021" s="50">
        <f>VLOOKUP(A3021,[2]data1761205830331!$A$1:$J$65536,10,0)</f>
        <v>552.37</v>
      </c>
    </row>
    <row r="3022" spans="1:12" ht="16.2" thickBot="1">
      <c r="A3022" s="11" t="e">
        <v>#VALUE!</v>
      </c>
      <c r="B3022" s="53" t="s">
        <v>1574</v>
      </c>
      <c r="C3022" s="223"/>
      <c r="D3022" s="55"/>
      <c r="E3022" s="56"/>
      <c r="F3022" s="116" t="s">
        <v>1573</v>
      </c>
      <c r="G3022" s="58"/>
      <c r="H3022" s="166">
        <f>J3022/K3022-1</f>
        <v>2.4137931034482696E-2</v>
      </c>
      <c r="I3022" s="72"/>
      <c r="J3022" s="74">
        <f>SUBTOTAL(9,J3018:J3021)</f>
        <v>118799.99999999999</v>
      </c>
      <c r="K3022" s="74">
        <f>SUBTOTAL(9,K3018:K3021)</f>
        <v>116000</v>
      </c>
      <c r="L3022" s="75">
        <f>SUBTOTAL(9,L3018:L3021)</f>
        <v>116663.59999999999</v>
      </c>
    </row>
    <row r="3023" spans="1:12" ht="15.6" outlineLevel="1">
      <c r="A3023" s="11">
        <v>18179300</v>
      </c>
      <c r="B3023" s="40">
        <v>0</v>
      </c>
      <c r="C3023" s="109">
        <v>817930</v>
      </c>
      <c r="D3023" s="42">
        <v>1</v>
      </c>
      <c r="E3023" s="43"/>
      <c r="F3023" s="44" t="s">
        <v>470</v>
      </c>
      <c r="G3023" s="45" t="s">
        <v>15</v>
      </c>
      <c r="H3023" s="51"/>
      <c r="I3023" s="47"/>
      <c r="J3023" s="48"/>
      <c r="K3023" s="49"/>
      <c r="L3023" s="50"/>
    </row>
    <row r="3024" spans="1:12" ht="15.6" outlineLevel="1">
      <c r="A3024" s="11">
        <v>1817930119</v>
      </c>
      <c r="B3024" s="40">
        <v>119</v>
      </c>
      <c r="C3024" s="109">
        <v>817930</v>
      </c>
      <c r="D3024" s="42">
        <v>1</v>
      </c>
      <c r="E3024" s="43"/>
      <c r="F3024" s="44" t="s">
        <v>23</v>
      </c>
      <c r="G3024" s="45" t="s">
        <v>22</v>
      </c>
      <c r="H3024" s="51">
        <f t="shared" si="47"/>
        <v>2.4994246260068964E-2</v>
      </c>
      <c r="I3024" s="47"/>
      <c r="J3024" s="48">
        <v>445360</v>
      </c>
      <c r="K3024" s="49">
        <v>434500</v>
      </c>
      <c r="L3024" s="50">
        <f>VLOOKUP(A3024,[2]data1761205830331!$A$1:$J$65536,10,0)</f>
        <v>301671.7</v>
      </c>
    </row>
    <row r="3025" spans="1:12" ht="15.6" outlineLevel="1">
      <c r="A3025" s="11">
        <v>1817930122</v>
      </c>
      <c r="B3025" s="40">
        <v>122</v>
      </c>
      <c r="C3025" s="109">
        <v>817930</v>
      </c>
      <c r="D3025" s="42">
        <v>1</v>
      </c>
      <c r="E3025" s="43"/>
      <c r="F3025" s="44" t="s">
        <v>24</v>
      </c>
      <c r="G3025" s="45" t="s">
        <v>22</v>
      </c>
      <c r="H3025" s="51">
        <f t="shared" si="47"/>
        <v>0</v>
      </c>
      <c r="I3025" s="47"/>
      <c r="J3025" s="48">
        <f>VLOOKUP(A3025,'[1]תקציב 2026'!$A$1:$M$65536,9,0)</f>
        <v>3800</v>
      </c>
      <c r="K3025" s="49">
        <f>VLOOKUP(A3025,[3]גיליון1!$A$1:$C$7693,3,0)</f>
        <v>3800</v>
      </c>
      <c r="L3025" s="50">
        <f>VLOOKUP(A3025,[2]data1761205830331!$A$1:$J$65536,10,0)</f>
        <v>3459.18</v>
      </c>
    </row>
    <row r="3026" spans="1:12" ht="15.6" outlineLevel="1">
      <c r="A3026" s="11">
        <v>1817930126</v>
      </c>
      <c r="B3026" s="40">
        <v>126</v>
      </c>
      <c r="C3026" s="109">
        <v>817930</v>
      </c>
      <c r="D3026" s="42">
        <v>1</v>
      </c>
      <c r="E3026" s="43"/>
      <c r="F3026" s="44" t="s">
        <v>25</v>
      </c>
      <c r="G3026" s="45" t="s">
        <v>22</v>
      </c>
      <c r="H3026" s="51">
        <f t="shared" si="47"/>
        <v>0</v>
      </c>
      <c r="I3026" s="47"/>
      <c r="J3026" s="48">
        <f>VLOOKUP(A3026,'[1]תקציב 2026'!$A$1:$M$65536,9,0)</f>
        <v>8900</v>
      </c>
      <c r="K3026" s="49">
        <f>VLOOKUP(A3026,[3]גיליון1!$A$1:$C$7693,3,0)</f>
        <v>8900</v>
      </c>
      <c r="L3026" s="50">
        <f>VLOOKUP(A3026,[2]data1761205830331!$A$1:$J$65536,10,0)</f>
        <v>8353.2000000000007</v>
      </c>
    </row>
    <row r="3027" spans="1:12" ht="15.6" outlineLevel="1">
      <c r="A3027" s="11">
        <v>1817930130</v>
      </c>
      <c r="B3027" s="40">
        <v>130</v>
      </c>
      <c r="C3027" s="109">
        <v>817930</v>
      </c>
      <c r="D3027" s="42">
        <v>1</v>
      </c>
      <c r="E3027" s="43"/>
      <c r="F3027" s="44" t="s">
        <v>26</v>
      </c>
      <c r="G3027" s="45" t="s">
        <v>22</v>
      </c>
      <c r="H3027" s="51">
        <f t="shared" si="47"/>
        <v>0</v>
      </c>
      <c r="I3027" s="47"/>
      <c r="J3027" s="48">
        <f>VLOOKUP(A3027,'[1]תקציב 2026'!$A$1:$M$65536,9,0)</f>
        <v>3440</v>
      </c>
      <c r="K3027" s="49">
        <f>VLOOKUP(A3027,[3]גיליון1!$A$1:$C$7693,3,0)*0.86</f>
        <v>3440</v>
      </c>
      <c r="L3027" s="50">
        <f>VLOOKUP(A3027,[2]data1761205830331!$A$1:$J$65536,10,0)</f>
        <v>837.23</v>
      </c>
    </row>
    <row r="3028" spans="1:12" ht="15.6" outlineLevel="1">
      <c r="A3028" s="11">
        <v>1817930140</v>
      </c>
      <c r="B3028" s="40">
        <v>140</v>
      </c>
      <c r="C3028" s="109">
        <v>817930</v>
      </c>
      <c r="D3028" s="42">
        <v>1</v>
      </c>
      <c r="E3028" s="43"/>
      <c r="F3028" s="44" t="s">
        <v>27</v>
      </c>
      <c r="G3028" s="45" t="s">
        <v>22</v>
      </c>
      <c r="H3028" s="51">
        <f t="shared" si="47"/>
        <v>0</v>
      </c>
      <c r="I3028" s="47"/>
      <c r="J3028" s="48">
        <f>VLOOKUP(A3028,'[1]תקציב 2026'!$A$1:$M$65536,9,0)</f>
        <v>43700</v>
      </c>
      <c r="K3028" s="49">
        <f>VLOOKUP(A3028,[3]גיליון1!$A$1:$C$7693,3,0)</f>
        <v>43700</v>
      </c>
      <c r="L3028" s="50">
        <f>VLOOKUP(A3028,[2]data1761205830331!$A$1:$J$65536,10,0)</f>
        <v>30526.55</v>
      </c>
    </row>
    <row r="3029" spans="1:12" ht="15.6" outlineLevel="1">
      <c r="A3029" s="11">
        <v>1817930471</v>
      </c>
      <c r="B3029" s="40">
        <v>471</v>
      </c>
      <c r="C3029" s="109">
        <v>817930</v>
      </c>
      <c r="D3029" s="42">
        <v>1</v>
      </c>
      <c r="E3029" s="43"/>
      <c r="F3029" s="44" t="s">
        <v>71</v>
      </c>
      <c r="G3029" s="45" t="s">
        <v>37</v>
      </c>
      <c r="H3029" s="51">
        <f t="shared" si="47"/>
        <v>0</v>
      </c>
      <c r="I3029" s="47"/>
      <c r="J3029" s="48">
        <f>VLOOKUP(A3029,'[1]תקציב 2026'!$A$1:$M$65536,9,0)</f>
        <v>3690</v>
      </c>
      <c r="K3029" s="49">
        <f>4100*0.9</f>
        <v>3690</v>
      </c>
      <c r="L3029" s="50">
        <f>VLOOKUP(A3029,[2]data1761205830331!$A$1:$J$65536,10,0)</f>
        <v>3912.35</v>
      </c>
    </row>
    <row r="3030" spans="1:12" ht="15.6" outlineLevel="1">
      <c r="A3030" s="11">
        <v>1817930571</v>
      </c>
      <c r="B3030" s="40">
        <v>571</v>
      </c>
      <c r="C3030" s="109">
        <v>817930</v>
      </c>
      <c r="D3030" s="42">
        <v>1</v>
      </c>
      <c r="E3030" s="43"/>
      <c r="F3030" s="44" t="s">
        <v>75</v>
      </c>
      <c r="G3030" s="45" t="s">
        <v>29</v>
      </c>
      <c r="H3030" s="51">
        <f t="shared" si="47"/>
        <v>1.072289156626506</v>
      </c>
      <c r="I3030" s="47"/>
      <c r="J3030" s="48">
        <f>VLOOKUP(A3030,'[1]תקציב 2026'!$A$1:$M$65536,9,0)</f>
        <v>51600</v>
      </c>
      <c r="K3030" s="49">
        <v>24900</v>
      </c>
      <c r="L3030" s="50">
        <f>VLOOKUP(A3030,[2]data1761205830331!$A$1:$J$65536,10,0)</f>
        <v>23600</v>
      </c>
    </row>
    <row r="3031" spans="1:12" ht="15.6" outlineLevel="1">
      <c r="A3031" s="11">
        <v>1817930782</v>
      </c>
      <c r="B3031" s="40">
        <v>782</v>
      </c>
      <c r="C3031" s="109">
        <v>817930</v>
      </c>
      <c r="D3031" s="42">
        <v>1</v>
      </c>
      <c r="E3031" s="43"/>
      <c r="F3031" s="44" t="s">
        <v>1575</v>
      </c>
      <c r="G3031" s="45" t="s">
        <v>29</v>
      </c>
      <c r="H3031" s="51">
        <f t="shared" si="47"/>
        <v>-0.31665983326499936</v>
      </c>
      <c r="I3031" s="47"/>
      <c r="J3031" s="48">
        <f>VLOOKUP(A3031,'[1]תקציב 2026'!$A$1:$M$65536,9,0)</f>
        <v>50000</v>
      </c>
      <c r="K3031" s="49">
        <f>VLOOKUP(A3031,[3]גיליון1!$A$1:$C$7693,3,0)*0.9</f>
        <v>73170</v>
      </c>
      <c r="L3031" s="50">
        <f>VLOOKUP(A3031,[2]data1761205830331!$A$1:$J$65536,10,0)</f>
        <v>43430</v>
      </c>
    </row>
    <row r="3032" spans="1:12" ht="16.2" outlineLevel="1" thickBot="1">
      <c r="A3032" s="11">
        <v>1817930783</v>
      </c>
      <c r="B3032" s="40">
        <v>783</v>
      </c>
      <c r="C3032" s="109">
        <v>817930</v>
      </c>
      <c r="D3032" s="42">
        <v>1</v>
      </c>
      <c r="E3032" s="43"/>
      <c r="F3032" s="44" t="s">
        <v>1576</v>
      </c>
      <c r="G3032" s="45" t="s">
        <v>29</v>
      </c>
      <c r="H3032" s="51">
        <f t="shared" si="47"/>
        <v>0</v>
      </c>
      <c r="I3032" s="47"/>
      <c r="J3032" s="48">
        <f>VLOOKUP(A3032,'[1]תקציב 2026'!$A$1:$M$65536,9,0)</f>
        <v>2000000</v>
      </c>
      <c r="K3032" s="49">
        <f>VLOOKUP(A3032,[3]גיליון1!$A$1:$C$7693,3,0)</f>
        <v>2000000</v>
      </c>
      <c r="L3032" s="50">
        <f>VLOOKUP(A3032,[2]data1761205830331!$A$1:$J$65536,10,0)</f>
        <v>1597194.52</v>
      </c>
    </row>
    <row r="3033" spans="1:12" ht="16.2" thickBot="1">
      <c r="A3033" s="11" t="e">
        <v>#VALUE!</v>
      </c>
      <c r="B3033" s="53" t="s">
        <v>1577</v>
      </c>
      <c r="C3033" s="223"/>
      <c r="D3033" s="55"/>
      <c r="E3033" s="56"/>
      <c r="F3033" s="116" t="s">
        <v>470</v>
      </c>
      <c r="G3033" s="58"/>
      <c r="H3033" s="71">
        <f>J3033/K3033-1</f>
        <v>5.542929779284389E-3</v>
      </c>
      <c r="I3033" s="72"/>
      <c r="J3033" s="74">
        <f>SUBTOTAL(9,J3024:J3032)</f>
        <v>2610490</v>
      </c>
      <c r="K3033" s="92">
        <f>SUBTOTAL(9,K3024:K3032)</f>
        <v>2596100</v>
      </c>
      <c r="L3033" s="75">
        <f>SUBTOTAL(9,L3024:L3032)</f>
        <v>2012984.73</v>
      </c>
    </row>
    <row r="3034" spans="1:12" ht="16.2" outlineLevel="1" thickBot="1">
      <c r="A3034" s="11">
        <v>1819999989</v>
      </c>
      <c r="B3034" s="40">
        <v>989</v>
      </c>
      <c r="C3034" s="109">
        <v>819999</v>
      </c>
      <c r="D3034" s="42">
        <v>1</v>
      </c>
      <c r="E3034" s="43"/>
      <c r="F3034" s="44" t="s">
        <v>1578</v>
      </c>
      <c r="G3034" s="45" t="s">
        <v>29</v>
      </c>
      <c r="H3034" s="51">
        <f t="shared" si="47"/>
        <v>-2.0079076229628234E-2</v>
      </c>
      <c r="I3034" s="47"/>
      <c r="J3034" s="48">
        <f>VLOOKUP(A3034,'[1]תקציב 2026'!$A$1:$M$65536,9,0)</f>
        <v>-13718060</v>
      </c>
      <c r="K3034" s="49">
        <v>-13999150</v>
      </c>
      <c r="L3034" s="50">
        <f>VLOOKUP(A3034,[2]data1761205830331!$A$1:$J$65536,10,0)</f>
        <v>-12922409</v>
      </c>
    </row>
    <row r="3035" spans="1:12" ht="16.2" thickBot="1">
      <c r="A3035" s="11" t="e">
        <v>#VALUE!</v>
      </c>
      <c r="B3035" s="53" t="s">
        <v>1579</v>
      </c>
      <c r="C3035" s="223"/>
      <c r="D3035" s="55"/>
      <c r="E3035" s="56"/>
      <c r="F3035" s="116" t="s">
        <v>1578</v>
      </c>
      <c r="G3035" s="58"/>
      <c r="H3035" s="71">
        <f>J3035/K3035-1</f>
        <v>-2.0079076229628234E-2</v>
      </c>
      <c r="I3035" s="72"/>
      <c r="J3035" s="74">
        <f>SUBTOTAL(9,J3034)</f>
        <v>-13718060</v>
      </c>
      <c r="K3035" s="92">
        <f>SUBTOTAL(9,K3034)</f>
        <v>-13999150</v>
      </c>
      <c r="L3035" s="75">
        <f>SUBTOTAL(9,L3034)</f>
        <v>-12922409</v>
      </c>
    </row>
    <row r="3036" spans="1:12" ht="15.6" outlineLevel="1">
      <c r="A3036" s="11">
        <v>18200000</v>
      </c>
      <c r="B3036" s="64">
        <v>0</v>
      </c>
      <c r="C3036" s="131">
        <v>820000</v>
      </c>
      <c r="D3036" s="66">
        <v>1</v>
      </c>
      <c r="E3036" s="67"/>
      <c r="F3036" s="68" t="s">
        <v>1580</v>
      </c>
      <c r="G3036" s="69" t="s">
        <v>15</v>
      </c>
      <c r="H3036" s="51"/>
      <c r="I3036" s="47"/>
      <c r="J3036" s="48"/>
      <c r="K3036" s="49"/>
      <c r="L3036" s="50"/>
    </row>
    <row r="3037" spans="1:12" ht="15.6" outlineLevel="1">
      <c r="A3037" s="11">
        <v>1822200119</v>
      </c>
      <c r="B3037" s="40">
        <v>119</v>
      </c>
      <c r="C3037" s="109">
        <v>822200</v>
      </c>
      <c r="D3037" s="42">
        <v>1</v>
      </c>
      <c r="E3037" s="43"/>
      <c r="F3037" s="44" t="s">
        <v>23</v>
      </c>
      <c r="G3037" s="45" t="s">
        <v>22</v>
      </c>
      <c r="H3037" s="51">
        <f t="shared" ref="H3037:H3089" si="48">J3037/K3037-1</f>
        <v>-1</v>
      </c>
      <c r="I3037" s="47"/>
      <c r="J3037" s="48">
        <f>VLOOKUP(A3037,'[1]תקציב 2026'!$A$1:$M$65536,9,0)</f>
        <v>0</v>
      </c>
      <c r="K3037" s="49">
        <v>196000</v>
      </c>
      <c r="L3037" s="50">
        <f>VLOOKUP(A3037,[2]data1761205830331!$A$1:$J$65536,10,0)</f>
        <v>0</v>
      </c>
    </row>
    <row r="3038" spans="1:12" ht="15.6" outlineLevel="1">
      <c r="A3038" s="11">
        <v>1822200122</v>
      </c>
      <c r="B3038" s="40">
        <v>122</v>
      </c>
      <c r="C3038" s="109">
        <v>822200</v>
      </c>
      <c r="D3038" s="42">
        <v>1</v>
      </c>
      <c r="E3038" s="43"/>
      <c r="F3038" s="44" t="s">
        <v>24</v>
      </c>
      <c r="G3038" s="45" t="s">
        <v>22</v>
      </c>
      <c r="H3038" s="51">
        <f t="shared" si="48"/>
        <v>-1</v>
      </c>
      <c r="I3038" s="47"/>
      <c r="J3038" s="48">
        <f>VLOOKUP(A3038,'[1]תקציב 2026'!$A$1:$M$65536,9,0)</f>
        <v>0</v>
      </c>
      <c r="K3038" s="49">
        <v>700</v>
      </c>
      <c r="L3038" s="50">
        <f>VLOOKUP(A3038,[2]data1761205830331!$A$1:$J$65536,10,0)</f>
        <v>0</v>
      </c>
    </row>
    <row r="3039" spans="1:12" ht="15.6" outlineLevel="1">
      <c r="A3039" s="11">
        <v>1822200126</v>
      </c>
      <c r="B3039" s="40">
        <v>126</v>
      </c>
      <c r="C3039" s="109">
        <v>822200</v>
      </c>
      <c r="D3039" s="42">
        <v>1</v>
      </c>
      <c r="E3039" s="43"/>
      <c r="F3039" s="44" t="s">
        <v>25</v>
      </c>
      <c r="G3039" s="45" t="s">
        <v>22</v>
      </c>
      <c r="H3039" s="51">
        <f t="shared" si="48"/>
        <v>-1</v>
      </c>
      <c r="I3039" s="47"/>
      <c r="J3039" s="48">
        <f>VLOOKUP(A3039,'[1]תקציב 2026'!$A$1:$M$65536,9,0)</f>
        <v>0</v>
      </c>
      <c r="K3039" s="49">
        <v>15000</v>
      </c>
      <c r="L3039" s="50">
        <f>VLOOKUP(A3039,[2]data1761205830331!$A$1:$J$65536,10,0)</f>
        <v>0</v>
      </c>
    </row>
    <row r="3040" spans="1:12" ht="15.6" outlineLevel="1">
      <c r="A3040" s="11">
        <v>1822200130</v>
      </c>
      <c r="B3040" s="40">
        <v>130</v>
      </c>
      <c r="C3040" s="109">
        <v>822200</v>
      </c>
      <c r="D3040" s="42">
        <v>1</v>
      </c>
      <c r="E3040" s="43"/>
      <c r="F3040" s="44" t="s">
        <v>26</v>
      </c>
      <c r="G3040" s="45" t="s">
        <v>22</v>
      </c>
      <c r="H3040" s="51">
        <f t="shared" si="48"/>
        <v>-1</v>
      </c>
      <c r="I3040" s="47"/>
      <c r="J3040" s="48">
        <f>VLOOKUP(A3040,'[1]תקציב 2026'!$A$1:$M$65536,9,0)</f>
        <v>0</v>
      </c>
      <c r="K3040" s="49">
        <v>17000</v>
      </c>
      <c r="L3040" s="50">
        <f>VLOOKUP(A3040,[2]data1761205830331!$A$1:$J$65536,10,0)</f>
        <v>0</v>
      </c>
    </row>
    <row r="3041" spans="1:12" ht="15.6" outlineLevel="1">
      <c r="A3041" s="11">
        <v>1822200140</v>
      </c>
      <c r="B3041" s="40">
        <v>140</v>
      </c>
      <c r="C3041" s="109">
        <v>822200</v>
      </c>
      <c r="D3041" s="42">
        <v>1</v>
      </c>
      <c r="E3041" s="43"/>
      <c r="F3041" s="44" t="s">
        <v>27</v>
      </c>
      <c r="G3041" s="45" t="s">
        <v>22</v>
      </c>
      <c r="H3041" s="51">
        <f t="shared" si="48"/>
        <v>-1</v>
      </c>
      <c r="I3041" s="47"/>
      <c r="J3041" s="48">
        <f>VLOOKUP(A3041,'[1]תקציב 2026'!$A$1:$M$65536,9,0)</f>
        <v>0</v>
      </c>
      <c r="K3041" s="49">
        <f>VLOOKUP(A3041,[3]גיליון1!$A$1:$C$7693,3,0)</f>
        <v>35700</v>
      </c>
      <c r="L3041" s="50">
        <f>VLOOKUP(A3041,[2]data1761205830331!$A$1:$J$65536,10,0)</f>
        <v>0</v>
      </c>
    </row>
    <row r="3042" spans="1:12" ht="15.6" outlineLevel="1">
      <c r="A3042" s="11">
        <v>1822200423</v>
      </c>
      <c r="B3042" s="40">
        <v>423</v>
      </c>
      <c r="C3042" s="109">
        <v>822200</v>
      </c>
      <c r="D3042" s="42">
        <v>1</v>
      </c>
      <c r="E3042" s="43"/>
      <c r="F3042" s="44" t="s">
        <v>31</v>
      </c>
      <c r="G3042" s="45" t="s">
        <v>29</v>
      </c>
      <c r="H3042" s="51">
        <f t="shared" si="48"/>
        <v>2.4444444444444446</v>
      </c>
      <c r="I3042" s="47"/>
      <c r="J3042" s="48">
        <f>VLOOKUP(A3042,'[1]תקציב 2026'!$A$1:$M$65536,9,0)</f>
        <v>3100</v>
      </c>
      <c r="K3042" s="49">
        <v>900</v>
      </c>
      <c r="L3042" s="50">
        <f>VLOOKUP(A3042,[2]data1761205830331!$A$1:$J$65536,10,0)</f>
        <v>900</v>
      </c>
    </row>
    <row r="3043" spans="1:12" ht="15.6" outlineLevel="1">
      <c r="A3043" s="11">
        <v>1822200431</v>
      </c>
      <c r="B3043" s="40">
        <v>431</v>
      </c>
      <c r="C3043" s="109">
        <v>822200</v>
      </c>
      <c r="D3043" s="42">
        <v>1</v>
      </c>
      <c r="E3043" s="43"/>
      <c r="F3043" s="44" t="s">
        <v>32</v>
      </c>
      <c r="G3043" s="45" t="s">
        <v>29</v>
      </c>
      <c r="H3043" s="51">
        <f t="shared" si="48"/>
        <v>0</v>
      </c>
      <c r="I3043" s="47"/>
      <c r="J3043" s="48">
        <f>VLOOKUP(A3043,'[1]תקציב 2026'!$A$1:$M$65536,9,0)</f>
        <v>8600</v>
      </c>
      <c r="K3043" s="49">
        <v>8600</v>
      </c>
      <c r="L3043" s="50">
        <f>VLOOKUP(A3043,[2]data1761205830331!$A$1:$J$65536,10,0)</f>
        <v>9635.0400000000009</v>
      </c>
    </row>
    <row r="3044" spans="1:12" ht="15.6" outlineLevel="1">
      <c r="A3044" s="11">
        <v>1822200540</v>
      </c>
      <c r="B3044" s="40">
        <v>540</v>
      </c>
      <c r="C3044" s="109">
        <v>822200</v>
      </c>
      <c r="D3044" s="42">
        <v>1</v>
      </c>
      <c r="E3044" s="43"/>
      <c r="F3044" s="44" t="s">
        <v>47</v>
      </c>
      <c r="G3044" s="45" t="s">
        <v>29</v>
      </c>
      <c r="H3044" s="51">
        <f t="shared" si="48"/>
        <v>-1</v>
      </c>
      <c r="I3044" s="47"/>
      <c r="J3044" s="48">
        <f>VLOOKUP(A3044,'[1]תקציב 2026'!$A$1:$M$65536,9,0)</f>
        <v>0</v>
      </c>
      <c r="K3044" s="49">
        <v>2000</v>
      </c>
      <c r="L3044" s="50">
        <f>VLOOKUP(A3044,[2]data1761205830331!$A$1:$J$65536,10,0)</f>
        <v>0</v>
      </c>
    </row>
    <row r="3045" spans="1:12" ht="15.6" outlineLevel="1">
      <c r="A3045" s="11">
        <v>1822200571</v>
      </c>
      <c r="B3045" s="40">
        <v>571</v>
      </c>
      <c r="C3045" s="109">
        <v>822200</v>
      </c>
      <c r="D3045" s="42">
        <v>1</v>
      </c>
      <c r="E3045" s="43"/>
      <c r="F3045" s="44" t="s">
        <v>75</v>
      </c>
      <c r="G3045" s="45" t="s">
        <v>29</v>
      </c>
      <c r="H3045" s="51">
        <f t="shared" si="48"/>
        <v>0.71381031613976709</v>
      </c>
      <c r="I3045" s="47"/>
      <c r="J3045" s="48">
        <f>VLOOKUP(A3045,'[1]תקציב 2026'!$A$1:$M$65536,9,0)</f>
        <v>103000</v>
      </c>
      <c r="K3045" s="49">
        <v>60100</v>
      </c>
      <c r="L3045" s="50">
        <f>VLOOKUP(A3045,[2]data1761205830331!$A$1:$J$65536,10,0)</f>
        <v>46000</v>
      </c>
    </row>
    <row r="3046" spans="1:12" ht="15.6" outlineLevel="1">
      <c r="A3046" s="11">
        <v>1822200721</v>
      </c>
      <c r="B3046" s="40">
        <v>721</v>
      </c>
      <c r="C3046" s="109">
        <v>822200</v>
      </c>
      <c r="D3046" s="42">
        <v>1</v>
      </c>
      <c r="E3046" s="43"/>
      <c r="F3046" s="44" t="s">
        <v>50</v>
      </c>
      <c r="G3046" s="45" t="s">
        <v>37</v>
      </c>
      <c r="H3046" s="51">
        <f t="shared" si="48"/>
        <v>-1</v>
      </c>
      <c r="I3046" s="47"/>
      <c r="J3046" s="48">
        <f>VLOOKUP(A3046,'[1]תקציב 2026'!$A$1:$M$65536,9,0)</f>
        <v>0</v>
      </c>
      <c r="K3046" s="49">
        <v>4500</v>
      </c>
      <c r="L3046" s="50">
        <f>VLOOKUP(A3046,[2]data1761205830331!$A$1:$J$65536,10,0)</f>
        <v>0</v>
      </c>
    </row>
    <row r="3047" spans="1:12" ht="15.6" outlineLevel="1">
      <c r="A3047" s="11">
        <v>1822200751</v>
      </c>
      <c r="B3047" s="40">
        <v>751</v>
      </c>
      <c r="C3047" s="109">
        <v>822200</v>
      </c>
      <c r="D3047" s="42">
        <v>1</v>
      </c>
      <c r="E3047" s="43"/>
      <c r="F3047" s="44" t="s">
        <v>53</v>
      </c>
      <c r="G3047" s="45" t="s">
        <v>37</v>
      </c>
      <c r="H3047" s="51">
        <f t="shared" si="48"/>
        <v>-1</v>
      </c>
      <c r="I3047" s="47"/>
      <c r="J3047" s="48">
        <f>VLOOKUP(A3047,'[1]תקציב 2026'!$A$1:$M$65536,9,0)</f>
        <v>0</v>
      </c>
      <c r="K3047" s="49">
        <v>6600</v>
      </c>
      <c r="L3047" s="50">
        <f>VLOOKUP(A3047,[2]data1761205830331!$A$1:$J$65536,10,0)</f>
        <v>687</v>
      </c>
    </row>
    <row r="3048" spans="1:12" ht="15.6" outlineLevel="1">
      <c r="A3048" s="11">
        <v>1822200780</v>
      </c>
      <c r="B3048" s="40">
        <v>780</v>
      </c>
      <c r="C3048" s="109">
        <v>822200</v>
      </c>
      <c r="D3048" s="42">
        <v>1</v>
      </c>
      <c r="E3048" s="43"/>
      <c r="F3048" s="44" t="s">
        <v>1581</v>
      </c>
      <c r="G3048" s="45" t="s">
        <v>37</v>
      </c>
      <c r="H3048" s="51">
        <f t="shared" si="48"/>
        <v>0</v>
      </c>
      <c r="I3048" s="47"/>
      <c r="J3048" s="48">
        <f>VLOOKUP(A3048,'[1]תקציב 2026'!$A$1:$M$65536,9,0)</f>
        <v>1371800</v>
      </c>
      <c r="K3048" s="49">
        <f>VLOOKUP(A3048,[3]גיליון1!$A$1:$C$7693,3,0)</f>
        <v>1371800</v>
      </c>
      <c r="L3048" s="50">
        <f>VLOOKUP(A3048,[2]data1761205830331!$A$1:$J$65536,10,0)</f>
        <v>1695025.7</v>
      </c>
    </row>
    <row r="3049" spans="1:12" ht="16.2" outlineLevel="1" thickBot="1">
      <c r="A3049" s="11">
        <v>1822200794</v>
      </c>
      <c r="B3049" s="40">
        <v>794</v>
      </c>
      <c r="C3049" s="109">
        <v>822200</v>
      </c>
      <c r="D3049" s="42">
        <v>1</v>
      </c>
      <c r="E3049" s="43"/>
      <c r="F3049" s="44" t="s">
        <v>58</v>
      </c>
      <c r="G3049" s="45" t="s">
        <v>29</v>
      </c>
      <c r="H3049" s="51">
        <f t="shared" si="48"/>
        <v>0</v>
      </c>
      <c r="I3049" s="47"/>
      <c r="J3049" s="48">
        <f>VLOOKUP(A3049,'[1]תקציב 2026'!$A$1:$M$65536,9,0)</f>
        <v>14500</v>
      </c>
      <c r="K3049" s="49">
        <v>14500</v>
      </c>
      <c r="L3049" s="50">
        <f>VLOOKUP(A3049,[2]data1761205830331!$A$1:$J$65536,10,0)</f>
        <v>16699</v>
      </c>
    </row>
    <row r="3050" spans="1:12" ht="16.2" thickBot="1">
      <c r="A3050" s="11" t="e">
        <v>#VALUE!</v>
      </c>
      <c r="B3050" s="53" t="s">
        <v>1582</v>
      </c>
      <c r="C3050" s="223"/>
      <c r="D3050" s="55"/>
      <c r="E3050" s="56"/>
      <c r="F3050" s="116" t="s">
        <v>478</v>
      </c>
      <c r="G3050" s="58"/>
      <c r="H3050" s="166">
        <f>J3050/K3050-1</f>
        <v>-0.13407176647052033</v>
      </c>
      <c r="I3050" s="72"/>
      <c r="J3050" s="74">
        <f>SUBTOTAL(9,J3037:J3049)</f>
        <v>1501000</v>
      </c>
      <c r="K3050" s="92">
        <f>SUBTOTAL(9,K3037:K3049)</f>
        <v>1733400</v>
      </c>
      <c r="L3050" s="75">
        <f>SUBTOTAL(9,L3037:L3049)</f>
        <v>1768946.74</v>
      </c>
    </row>
    <row r="3051" spans="1:12" ht="15.6" outlineLevel="1">
      <c r="A3051" s="11">
        <v>18227000</v>
      </c>
      <c r="B3051" s="40">
        <v>0</v>
      </c>
      <c r="C3051" s="109">
        <v>822700</v>
      </c>
      <c r="D3051" s="42">
        <v>1</v>
      </c>
      <c r="E3051" s="43"/>
      <c r="F3051" s="44" t="s">
        <v>1583</v>
      </c>
      <c r="G3051" s="45" t="s">
        <v>15</v>
      </c>
      <c r="H3051" s="51"/>
      <c r="I3051" s="47"/>
      <c r="J3051" s="48"/>
      <c r="K3051" s="49"/>
      <c r="L3051" s="50"/>
    </row>
    <row r="3052" spans="1:12" ht="15.6" outlineLevel="1">
      <c r="A3052" s="11">
        <v>1822700119</v>
      </c>
      <c r="B3052" s="40">
        <v>119</v>
      </c>
      <c r="C3052" s="109">
        <v>822700</v>
      </c>
      <c r="D3052" s="42">
        <v>1</v>
      </c>
      <c r="E3052" s="43"/>
      <c r="F3052" s="44" t="s">
        <v>23</v>
      </c>
      <c r="G3052" s="45" t="s">
        <v>22</v>
      </c>
      <c r="H3052" s="51">
        <f t="shared" si="48"/>
        <v>2.4999999999999911E-2</v>
      </c>
      <c r="I3052" s="47"/>
      <c r="J3052" s="48">
        <f>VLOOKUP(A3052,'[1]תקציב 2026'!$A$1:$M$65536,9,0)</f>
        <v>317750</v>
      </c>
      <c r="K3052" s="49">
        <v>310000</v>
      </c>
      <c r="L3052" s="50">
        <f>VLOOKUP(A3052,[2]data1761205830331!$A$1:$J$65536,10,0)</f>
        <v>165380.12</v>
      </c>
    </row>
    <row r="3053" spans="1:12" ht="15.6" outlineLevel="1">
      <c r="A3053" s="11">
        <v>1822700122</v>
      </c>
      <c r="B3053" s="40">
        <v>122</v>
      </c>
      <c r="C3053" s="109">
        <v>822700</v>
      </c>
      <c r="D3053" s="42">
        <v>1</v>
      </c>
      <c r="E3053" s="43"/>
      <c r="F3053" s="44" t="s">
        <v>24</v>
      </c>
      <c r="G3053" s="45" t="s">
        <v>22</v>
      </c>
      <c r="H3053" s="51">
        <f t="shared" si="48"/>
        <v>0</v>
      </c>
      <c r="I3053" s="47"/>
      <c r="J3053" s="48">
        <f>VLOOKUP(A3053,'[1]תקציב 2026'!$A$1:$M$65536,9,0)</f>
        <v>1800</v>
      </c>
      <c r="K3053" s="49">
        <f>VLOOKUP(A3053,[3]גיליון1!$A$1:$C$7693,3,0)</f>
        <v>1800</v>
      </c>
      <c r="L3053" s="50">
        <f>VLOOKUP(A3053,[2]data1761205830331!$A$1:$J$65536,10,0)</f>
        <v>1724</v>
      </c>
    </row>
    <row r="3054" spans="1:12" ht="15.6" outlineLevel="1">
      <c r="A3054" s="11">
        <v>1822700126</v>
      </c>
      <c r="B3054" s="40">
        <v>126</v>
      </c>
      <c r="C3054" s="109">
        <v>822700</v>
      </c>
      <c r="D3054" s="42">
        <v>1</v>
      </c>
      <c r="E3054" s="43"/>
      <c r="F3054" s="44" t="s">
        <v>25</v>
      </c>
      <c r="G3054" s="45" t="s">
        <v>22</v>
      </c>
      <c r="H3054" s="51">
        <f t="shared" si="48"/>
        <v>0</v>
      </c>
      <c r="I3054" s="47"/>
      <c r="J3054" s="48">
        <f>VLOOKUP(A3054,'[1]תקציב 2026'!$A$1:$M$65536,9,0)</f>
        <v>6000</v>
      </c>
      <c r="K3054" s="49">
        <f>VLOOKUP(A3054,[3]גיליון1!$A$1:$C$7693,3,0)</f>
        <v>6000</v>
      </c>
      <c r="L3054" s="50">
        <f>VLOOKUP(A3054,[2]data1761205830331!$A$1:$J$65536,10,0)</f>
        <v>5185.3999999999996</v>
      </c>
    </row>
    <row r="3055" spans="1:12" ht="15.6" outlineLevel="1">
      <c r="A3055" s="11">
        <v>1822700130</v>
      </c>
      <c r="B3055" s="40">
        <v>130</v>
      </c>
      <c r="C3055" s="109">
        <v>822700</v>
      </c>
      <c r="D3055" s="42">
        <v>1</v>
      </c>
      <c r="E3055" s="43"/>
      <c r="F3055" s="44" t="s">
        <v>26</v>
      </c>
      <c r="G3055" s="45" t="s">
        <v>22</v>
      </c>
      <c r="H3055" s="51">
        <f t="shared" si="48"/>
        <v>0</v>
      </c>
      <c r="I3055" s="47"/>
      <c r="J3055" s="48">
        <f>VLOOKUP(A3055,'[1]תקציב 2026'!$A$1:$M$65536,9,0)</f>
        <v>11180</v>
      </c>
      <c r="K3055" s="49">
        <f>VLOOKUP(A3055,[3]גיליון1!$A$1:$C$7693,3,0)*0.86</f>
        <v>11180</v>
      </c>
      <c r="L3055" s="50">
        <f>VLOOKUP(A3055,[2]data1761205830331!$A$1:$J$65536,10,0)</f>
        <v>0</v>
      </c>
    </row>
    <row r="3056" spans="1:12" ht="15.6" outlineLevel="1">
      <c r="A3056" s="11">
        <v>1822700140</v>
      </c>
      <c r="B3056" s="40">
        <v>140</v>
      </c>
      <c r="C3056" s="109">
        <v>822700</v>
      </c>
      <c r="D3056" s="42">
        <v>1</v>
      </c>
      <c r="E3056" s="43"/>
      <c r="F3056" s="44" t="s">
        <v>27</v>
      </c>
      <c r="G3056" s="45" t="s">
        <v>22</v>
      </c>
      <c r="H3056" s="51">
        <f t="shared" si="48"/>
        <v>0</v>
      </c>
      <c r="I3056" s="47"/>
      <c r="J3056" s="48">
        <f>VLOOKUP(A3056,'[1]תקציב 2026'!$A$1:$M$65536,9,0)</f>
        <v>27700</v>
      </c>
      <c r="K3056" s="49">
        <f>VLOOKUP(A3056,[3]גיליון1!$A$1:$C$7693,3,0)</f>
        <v>27700</v>
      </c>
      <c r="L3056" s="50">
        <f>VLOOKUP(A3056,[2]data1761205830331!$A$1:$J$65536,10,0)</f>
        <v>21814.03</v>
      </c>
    </row>
    <row r="3057" spans="1:12" ht="15.6" outlineLevel="1">
      <c r="A3057" s="11">
        <v>1822700571</v>
      </c>
      <c r="B3057" s="40">
        <v>571</v>
      </c>
      <c r="C3057" s="109">
        <v>822700</v>
      </c>
      <c r="D3057" s="42">
        <v>1</v>
      </c>
      <c r="E3057" s="43"/>
      <c r="F3057" s="44" t="s">
        <v>75</v>
      </c>
      <c r="G3057" s="45" t="s">
        <v>29</v>
      </c>
      <c r="H3057" s="51">
        <f t="shared" si="48"/>
        <v>0.30659025787965621</v>
      </c>
      <c r="I3057" s="47"/>
      <c r="J3057" s="48">
        <f>VLOOKUP(A3057,'[1]תקציב 2026'!$A$1:$M$65536,9,0)</f>
        <v>91200</v>
      </c>
      <c r="K3057" s="49">
        <v>69800</v>
      </c>
      <c r="L3057" s="50">
        <f>VLOOKUP(A3057,[2]data1761205830331!$A$1:$J$65536,10,0)</f>
        <v>51800</v>
      </c>
    </row>
    <row r="3058" spans="1:12" ht="16.2" outlineLevel="1" thickBot="1">
      <c r="A3058" s="11">
        <v>1822700794</v>
      </c>
      <c r="B3058" s="40">
        <v>794</v>
      </c>
      <c r="C3058" s="109">
        <v>822700</v>
      </c>
      <c r="D3058" s="42">
        <v>1</v>
      </c>
      <c r="E3058" s="43"/>
      <c r="F3058" s="44" t="s">
        <v>58</v>
      </c>
      <c r="G3058" s="45" t="s">
        <v>29</v>
      </c>
      <c r="H3058" s="51">
        <f t="shared" si="48"/>
        <v>1</v>
      </c>
      <c r="I3058" s="47"/>
      <c r="J3058" s="48">
        <f>VLOOKUP(A3058,'[1]תקציב 2026'!$A$1:$M$65536,9,0)</f>
        <v>4000</v>
      </c>
      <c r="K3058" s="49">
        <v>2000</v>
      </c>
      <c r="L3058" s="50">
        <f>VLOOKUP(A3058,[2]data1761205830331!$A$1:$J$65536,10,0)</f>
        <v>2386</v>
      </c>
    </row>
    <row r="3059" spans="1:12" ht="16.2" thickBot="1">
      <c r="A3059" s="11" t="e">
        <v>#VALUE!</v>
      </c>
      <c r="B3059" s="53" t="s">
        <v>1584</v>
      </c>
      <c r="C3059" s="223"/>
      <c r="D3059" s="55"/>
      <c r="E3059" s="56"/>
      <c r="F3059" s="116" t="s">
        <v>1583</v>
      </c>
      <c r="G3059" s="58"/>
      <c r="H3059" s="166">
        <f>J3059/K3059-1</f>
        <v>7.2698842419716136E-2</v>
      </c>
      <c r="I3059" s="72"/>
      <c r="J3059" s="74">
        <f>SUBTOTAL(9,J3052:J3058)</f>
        <v>459630</v>
      </c>
      <c r="K3059" s="92">
        <f>SUBTOTAL(9,K3052:K3058)</f>
        <v>428480</v>
      </c>
      <c r="L3059" s="75">
        <f>SUBTOTAL(9,L3052:L3058)</f>
        <v>248289.55</v>
      </c>
    </row>
    <row r="3060" spans="1:12" ht="15.6" outlineLevel="1">
      <c r="A3060" s="11">
        <v>18230000</v>
      </c>
      <c r="B3060" s="40">
        <v>0</v>
      </c>
      <c r="C3060" s="109">
        <v>823000</v>
      </c>
      <c r="D3060" s="42">
        <v>1</v>
      </c>
      <c r="E3060" s="43"/>
      <c r="F3060" s="44" t="s">
        <v>479</v>
      </c>
      <c r="G3060" s="45" t="s">
        <v>15</v>
      </c>
      <c r="H3060" s="51"/>
      <c r="I3060" s="47"/>
      <c r="J3060" s="48"/>
      <c r="K3060" s="49"/>
      <c r="L3060" s="50"/>
    </row>
    <row r="3061" spans="1:12" ht="15.6" outlineLevel="1">
      <c r="A3061" s="11">
        <v>1823000110</v>
      </c>
      <c r="B3061" s="40">
        <v>110</v>
      </c>
      <c r="C3061" s="109">
        <v>823000</v>
      </c>
      <c r="D3061" s="42">
        <v>1</v>
      </c>
      <c r="E3061" s="43"/>
      <c r="F3061" s="44" t="s">
        <v>21</v>
      </c>
      <c r="G3061" s="45" t="s">
        <v>22</v>
      </c>
      <c r="H3061" s="51">
        <f t="shared" si="48"/>
        <v>-6.6340339763892864E-2</v>
      </c>
      <c r="I3061" s="47"/>
      <c r="J3061" s="48">
        <v>648520</v>
      </c>
      <c r="K3061" s="49">
        <v>694600</v>
      </c>
      <c r="L3061" s="50">
        <f>VLOOKUP(A3061,[2]data1761205830331!$A$1:$J$65536,10,0)</f>
        <v>675254.57</v>
      </c>
    </row>
    <row r="3062" spans="1:12" ht="15.6" outlineLevel="1">
      <c r="A3062" s="11">
        <v>1823000122</v>
      </c>
      <c r="B3062" s="40">
        <v>122</v>
      </c>
      <c r="C3062" s="109">
        <v>823000</v>
      </c>
      <c r="D3062" s="42">
        <v>1</v>
      </c>
      <c r="E3062" s="43"/>
      <c r="F3062" s="44" t="s">
        <v>24</v>
      </c>
      <c r="G3062" s="45" t="s">
        <v>22</v>
      </c>
      <c r="H3062" s="51">
        <f t="shared" si="48"/>
        <v>0</v>
      </c>
      <c r="I3062" s="47"/>
      <c r="J3062" s="48">
        <f>VLOOKUP(A3062,'[1]תקציב 2026'!$A$1:$M$65536,9,0)</f>
        <v>5000</v>
      </c>
      <c r="K3062" s="49">
        <f>VLOOKUP(A3062,[3]גיליון1!$A$1:$C$7693,3,0)</f>
        <v>5000</v>
      </c>
      <c r="L3062" s="50">
        <f>VLOOKUP(A3062,[2]data1761205830331!$A$1:$J$65536,10,0)</f>
        <v>4755.21</v>
      </c>
    </row>
    <row r="3063" spans="1:12" ht="15.6" outlineLevel="1">
      <c r="A3063" s="11">
        <v>1823000126</v>
      </c>
      <c r="B3063" s="40">
        <v>126</v>
      </c>
      <c r="C3063" s="109">
        <v>823000</v>
      </c>
      <c r="D3063" s="42">
        <v>1</v>
      </c>
      <c r="E3063" s="43"/>
      <c r="F3063" s="44" t="s">
        <v>25</v>
      </c>
      <c r="G3063" s="45" t="s">
        <v>22</v>
      </c>
      <c r="H3063" s="51">
        <f t="shared" si="48"/>
        <v>0</v>
      </c>
      <c r="I3063" s="47"/>
      <c r="J3063" s="48">
        <f>VLOOKUP(A3063,'[1]תקציב 2026'!$A$1:$M$65536,9,0)</f>
        <v>26000</v>
      </c>
      <c r="K3063" s="49">
        <f>VLOOKUP(A3063,[3]גיליון1!$A$1:$C$7693,3,0)</f>
        <v>26000</v>
      </c>
      <c r="L3063" s="50">
        <f>VLOOKUP(A3063,[2]data1761205830331!$A$1:$J$65536,10,0)</f>
        <v>24436.91</v>
      </c>
    </row>
    <row r="3064" spans="1:12" ht="15.6" outlineLevel="1">
      <c r="A3064" s="11">
        <v>1823000130</v>
      </c>
      <c r="B3064" s="40">
        <v>130</v>
      </c>
      <c r="C3064" s="109">
        <v>823000</v>
      </c>
      <c r="D3064" s="42">
        <v>1</v>
      </c>
      <c r="E3064" s="43"/>
      <c r="F3064" s="44" t="s">
        <v>26</v>
      </c>
      <c r="G3064" s="45" t="s">
        <v>22</v>
      </c>
      <c r="H3064" s="51">
        <f t="shared" si="48"/>
        <v>0</v>
      </c>
      <c r="I3064" s="47"/>
      <c r="J3064" s="48">
        <f>VLOOKUP(A3064,'[1]תקציב 2026'!$A$1:$M$65536,9,0)</f>
        <v>86000</v>
      </c>
      <c r="K3064" s="49">
        <f>VLOOKUP(A3064,[3]גיליון1!$A$1:$C$7693,3,0)*0.86</f>
        <v>86000</v>
      </c>
      <c r="L3064" s="50">
        <f>VLOOKUP(A3064,[2]data1761205830331!$A$1:$J$65536,10,0)</f>
        <v>84208.14</v>
      </c>
    </row>
    <row r="3065" spans="1:12" ht="15.6" outlineLevel="1">
      <c r="A3065" s="11">
        <v>1823000140</v>
      </c>
      <c r="B3065" s="40">
        <v>140</v>
      </c>
      <c r="C3065" s="109">
        <v>823000</v>
      </c>
      <c r="D3065" s="42">
        <v>1</v>
      </c>
      <c r="E3065" s="43"/>
      <c r="F3065" s="44" t="s">
        <v>27</v>
      </c>
      <c r="G3065" s="45" t="s">
        <v>22</v>
      </c>
      <c r="H3065" s="51">
        <f t="shared" si="48"/>
        <v>0</v>
      </c>
      <c r="I3065" s="47"/>
      <c r="J3065" s="48">
        <f>VLOOKUP(A3065,'[1]תקציב 2026'!$A$1:$M$65536,9,0)</f>
        <v>21000</v>
      </c>
      <c r="K3065" s="49">
        <f>VLOOKUP(A3065,[3]גיליון1!$A$1:$C$7693,3,0)</f>
        <v>21000</v>
      </c>
      <c r="L3065" s="50">
        <f>VLOOKUP(A3065,[2]data1761205830331!$A$1:$J$65536,10,0)</f>
        <v>18836.939999999999</v>
      </c>
    </row>
    <row r="3066" spans="1:12" ht="15.6" outlineLevel="1">
      <c r="A3066" s="11">
        <v>1823000441</v>
      </c>
      <c r="B3066" s="40">
        <v>441</v>
      </c>
      <c r="C3066" s="109">
        <v>823000</v>
      </c>
      <c r="D3066" s="42">
        <v>1</v>
      </c>
      <c r="E3066" s="43"/>
      <c r="F3066" s="44" t="s">
        <v>1585</v>
      </c>
      <c r="G3066" s="45" t="s">
        <v>29</v>
      </c>
      <c r="H3066" s="51">
        <f t="shared" si="48"/>
        <v>0</v>
      </c>
      <c r="I3066" s="47"/>
      <c r="J3066" s="48">
        <f>VLOOKUP(A3066,'[1]תקציב 2026'!$A$1:$M$65536,9,0)</f>
        <v>50600</v>
      </c>
      <c r="K3066" s="49">
        <v>50600</v>
      </c>
      <c r="L3066" s="50">
        <f>VLOOKUP(A3066,[2]data1761205830331!$A$1:$J$65536,10,0)</f>
        <v>0</v>
      </c>
    </row>
    <row r="3067" spans="1:12" ht="15.6" outlineLevel="1">
      <c r="A3067" s="11">
        <v>1823000780</v>
      </c>
      <c r="B3067" s="40">
        <v>780</v>
      </c>
      <c r="C3067" s="109">
        <v>823000</v>
      </c>
      <c r="D3067" s="42">
        <v>1</v>
      </c>
      <c r="E3067" s="43"/>
      <c r="F3067" s="44" t="s">
        <v>1586</v>
      </c>
      <c r="G3067" s="45" t="s">
        <v>37</v>
      </c>
      <c r="H3067" s="51">
        <f t="shared" si="48"/>
        <v>-1</v>
      </c>
      <c r="I3067" s="47"/>
      <c r="J3067" s="48">
        <f>VLOOKUP(A3067,'[1]תקציב 2026'!$A$1:$M$65536,9,0)</f>
        <v>0</v>
      </c>
      <c r="K3067" s="49">
        <v>95000</v>
      </c>
      <c r="L3067" s="50">
        <f>VLOOKUP(A3067,[2]data1761205830331!$A$1:$J$65536,10,0)</f>
        <v>3394.5</v>
      </c>
    </row>
    <row r="3068" spans="1:12" ht="15.6" outlineLevel="1">
      <c r="A3068" s="11">
        <v>1823000782</v>
      </c>
      <c r="B3068" s="40">
        <v>782</v>
      </c>
      <c r="C3068" s="109">
        <v>823000</v>
      </c>
      <c r="D3068" s="42">
        <v>1</v>
      </c>
      <c r="E3068" s="43"/>
      <c r="F3068" s="44" t="s">
        <v>1587</v>
      </c>
      <c r="G3068" s="45" t="s">
        <v>29</v>
      </c>
      <c r="H3068" s="51">
        <v>1</v>
      </c>
      <c r="I3068" s="47" t="s">
        <v>137</v>
      </c>
      <c r="J3068" s="48">
        <f>VLOOKUP(A3068,'[1]תקציב 2026'!$A$1:$M$65536,9,0)</f>
        <v>5500000</v>
      </c>
      <c r="K3068" s="49">
        <v>0</v>
      </c>
      <c r="L3068" s="50">
        <v>0</v>
      </c>
    </row>
    <row r="3069" spans="1:12" ht="15.6" outlineLevel="1">
      <c r="A3069" s="11">
        <v>1823000783</v>
      </c>
      <c r="B3069" s="40">
        <v>783</v>
      </c>
      <c r="C3069" s="109">
        <v>823000</v>
      </c>
      <c r="D3069" s="42">
        <v>1</v>
      </c>
      <c r="E3069" s="43"/>
      <c r="F3069" s="44" t="s">
        <v>1588</v>
      </c>
      <c r="G3069" s="45" t="s">
        <v>37</v>
      </c>
      <c r="H3069" s="51">
        <v>1</v>
      </c>
      <c r="I3069" s="47" t="s">
        <v>137</v>
      </c>
      <c r="J3069" s="48">
        <f>VLOOKUP(A3069,'[1]תקציב 2026'!$A$1:$M$65536,9,0)</f>
        <v>996000</v>
      </c>
      <c r="K3069" s="49">
        <v>0</v>
      </c>
      <c r="L3069" s="50">
        <v>0</v>
      </c>
    </row>
    <row r="3070" spans="1:12" ht="15.6" outlineLevel="1">
      <c r="A3070" s="11">
        <v>1823000875</v>
      </c>
      <c r="B3070" s="40">
        <v>875</v>
      </c>
      <c r="C3070" s="109">
        <v>823000</v>
      </c>
      <c r="D3070" s="42">
        <v>1</v>
      </c>
      <c r="E3070" s="43"/>
      <c r="F3070" s="44" t="s">
        <v>1589</v>
      </c>
      <c r="G3070" s="45" t="s">
        <v>37</v>
      </c>
      <c r="H3070" s="51">
        <f t="shared" si="48"/>
        <v>0.37504454047930125</v>
      </c>
      <c r="I3070" s="47"/>
      <c r="J3070" s="48">
        <f>VLOOKUP(A3070,'[1]תקציב 2026'!$A$1:$M$65536,9,0)</f>
        <v>30100000</v>
      </c>
      <c r="K3070" s="49">
        <v>21890200</v>
      </c>
      <c r="L3070" s="50">
        <f>VLOOKUP(A3070,[2]data1761205830331!$A$1:$J$65536,10,0)</f>
        <v>8664736.7599999998</v>
      </c>
    </row>
    <row r="3071" spans="1:12" ht="15.6" outlineLevel="1">
      <c r="A3071" s="11">
        <v>1823000876</v>
      </c>
      <c r="B3071" s="40">
        <v>876</v>
      </c>
      <c r="C3071" s="109">
        <v>823000</v>
      </c>
      <c r="D3071" s="42">
        <v>1</v>
      </c>
      <c r="E3071" s="43"/>
      <c r="F3071" s="44" t="s">
        <v>1590</v>
      </c>
      <c r="G3071" s="45" t="s">
        <v>29</v>
      </c>
      <c r="H3071" s="51">
        <v>0</v>
      </c>
      <c r="I3071" s="47"/>
      <c r="J3071" s="48">
        <f>VLOOKUP(A3071,'[1]תקציב 2026'!$A$1:$M$65536,9,0)</f>
        <v>0</v>
      </c>
      <c r="K3071" s="49">
        <v>0</v>
      </c>
      <c r="L3071" s="50">
        <f>VLOOKUP(A3071,[2]data1761205830331!$A$1:$J$65536,10,0)</f>
        <v>5770099</v>
      </c>
    </row>
    <row r="3072" spans="1:12" ht="15.6" outlineLevel="1">
      <c r="A3072" s="11">
        <v>1823000877</v>
      </c>
      <c r="B3072" s="40">
        <v>877</v>
      </c>
      <c r="C3072" s="109">
        <v>823000</v>
      </c>
      <c r="D3072" s="42">
        <v>1</v>
      </c>
      <c r="E3072" s="43"/>
      <c r="F3072" s="44" t="s">
        <v>1591</v>
      </c>
      <c r="G3072" s="45" t="s">
        <v>37</v>
      </c>
      <c r="H3072" s="51">
        <v>0</v>
      </c>
      <c r="I3072" s="47"/>
      <c r="J3072" s="48">
        <f>VLOOKUP(A3072,'[1]תקציב 2026'!$A$1:$M$65536,9,0)</f>
        <v>0</v>
      </c>
      <c r="K3072" s="49">
        <v>0</v>
      </c>
      <c r="L3072" s="50">
        <f>VLOOKUP(A3072,[2]data1761205830331!$A$1:$J$65536,10,0)</f>
        <v>531600</v>
      </c>
    </row>
    <row r="3073" spans="1:12" ht="15.6" outlineLevel="1">
      <c r="A3073" s="11">
        <v>1823000878</v>
      </c>
      <c r="B3073" s="40">
        <v>878</v>
      </c>
      <c r="C3073" s="109">
        <v>823000</v>
      </c>
      <c r="D3073" s="42">
        <v>1</v>
      </c>
      <c r="E3073" s="43"/>
      <c r="F3073" s="44" t="s">
        <v>1592</v>
      </c>
      <c r="G3073" s="45" t="s">
        <v>29</v>
      </c>
      <c r="H3073" s="51">
        <f t="shared" si="48"/>
        <v>-1</v>
      </c>
      <c r="I3073" s="47"/>
      <c r="J3073" s="48">
        <f>VLOOKUP(A3073,'[1]תקציב 2026'!$A$1:$M$65536,9,0)</f>
        <v>0</v>
      </c>
      <c r="K3073" s="49">
        <v>2185700</v>
      </c>
      <c r="L3073" s="50">
        <f>VLOOKUP(A3073,[2]data1761205830331!$A$1:$J$65536,10,0)</f>
        <v>0</v>
      </c>
    </row>
    <row r="3074" spans="1:12" ht="15.6" outlineLevel="1">
      <c r="A3074" s="11">
        <v>1823000879</v>
      </c>
      <c r="B3074" s="40">
        <v>879</v>
      </c>
      <c r="C3074" s="109">
        <v>823000</v>
      </c>
      <c r="D3074" s="42">
        <v>1</v>
      </c>
      <c r="E3074" s="43"/>
      <c r="F3074" s="44" t="s">
        <v>1593</v>
      </c>
      <c r="G3074" s="45" t="s">
        <v>29</v>
      </c>
      <c r="H3074" s="51">
        <f t="shared" si="48"/>
        <v>0</v>
      </c>
      <c r="I3074" s="47"/>
      <c r="J3074" s="48">
        <f>VLOOKUP(A3074,'[1]תקציב 2026'!$A$1:$M$65536,9,0)</f>
        <v>20600</v>
      </c>
      <c r="K3074" s="49">
        <f>VLOOKUP(A3074,[3]גיליון1!$A$1:$C$7693,3,0)</f>
        <v>20600</v>
      </c>
      <c r="L3074" s="50">
        <f>VLOOKUP(A3074,[2]data1761205830331!$A$1:$J$65536,10,0)</f>
        <v>20600</v>
      </c>
    </row>
    <row r="3075" spans="1:12" ht="16.2" outlineLevel="1" thickBot="1">
      <c r="A3075" s="11">
        <v>1823000981</v>
      </c>
      <c r="B3075" s="119">
        <v>981</v>
      </c>
      <c r="C3075" s="120">
        <v>823000</v>
      </c>
      <c r="D3075" s="121">
        <v>1</v>
      </c>
      <c r="E3075" s="201"/>
      <c r="F3075" s="44" t="s">
        <v>1594</v>
      </c>
      <c r="G3075" s="153" t="s">
        <v>29</v>
      </c>
      <c r="H3075" s="51">
        <v>0</v>
      </c>
      <c r="I3075" s="160"/>
      <c r="J3075" s="48">
        <f>VLOOKUP(A3075,'[1]תקציב 2026'!$A$1:$M$65536,9,0)</f>
        <v>0</v>
      </c>
      <c r="K3075" s="162">
        <v>0</v>
      </c>
      <c r="L3075" s="50">
        <f>VLOOKUP(A3075,[2]data1761205830331!$A$1:$J$65536,10,0)</f>
        <v>896000</v>
      </c>
    </row>
    <row r="3076" spans="1:12" ht="16.2" thickBot="1">
      <c r="A3076" s="11" t="e">
        <v>#VALUE!</v>
      </c>
      <c r="B3076" s="53" t="s">
        <v>1595</v>
      </c>
      <c r="C3076" s="223"/>
      <c r="D3076" s="55"/>
      <c r="E3076" s="56"/>
      <c r="F3076" s="116" t="s">
        <v>479</v>
      </c>
      <c r="G3076" s="58"/>
      <c r="H3076" s="71">
        <f>J3076/K3076-1</f>
        <v>0.49368566722632767</v>
      </c>
      <c r="I3076" s="72"/>
      <c r="J3076" s="74">
        <f>SUBTOTAL(9,J3061:J3075)</f>
        <v>37453720</v>
      </c>
      <c r="K3076" s="74">
        <f>SUBTOTAL(9,K3061:K3075)</f>
        <v>25074700</v>
      </c>
      <c r="L3076" s="75">
        <f>SUBTOTAL(9,L3061:L3075)</f>
        <v>16693922.029999999</v>
      </c>
    </row>
    <row r="3077" spans="1:12" ht="15.6" outlineLevel="1">
      <c r="A3077" s="11">
        <v>18250000</v>
      </c>
      <c r="B3077" s="40">
        <v>0</v>
      </c>
      <c r="C3077" s="109">
        <v>825000</v>
      </c>
      <c r="D3077" s="42">
        <v>1</v>
      </c>
      <c r="E3077" s="43"/>
      <c r="F3077" s="44" t="s">
        <v>1596</v>
      </c>
      <c r="G3077" s="45" t="s">
        <v>15</v>
      </c>
      <c r="H3077" s="51"/>
      <c r="I3077" s="47"/>
      <c r="J3077" s="48"/>
      <c r="K3077" s="49"/>
      <c r="L3077" s="50"/>
    </row>
    <row r="3078" spans="1:12" ht="15.6" outlineLevel="1">
      <c r="A3078" s="11">
        <v>1825500782</v>
      </c>
      <c r="B3078" s="40">
        <v>782</v>
      </c>
      <c r="C3078" s="109">
        <v>825500</v>
      </c>
      <c r="D3078" s="42">
        <v>1</v>
      </c>
      <c r="E3078" s="43"/>
      <c r="F3078" s="44" t="s">
        <v>1597</v>
      </c>
      <c r="G3078" s="45" t="s">
        <v>37</v>
      </c>
      <c r="H3078" s="51">
        <v>1</v>
      </c>
      <c r="I3078" s="47"/>
      <c r="J3078" s="48">
        <f>VLOOKUP(A3078,'[1]תקציב 2026'!$A$1:$M$65536,9,0)</f>
        <v>189100</v>
      </c>
      <c r="K3078" s="49">
        <f>VLOOKUP(A3078,[3]גיליון1!$A$1:$C$7693,3,0)</f>
        <v>0</v>
      </c>
      <c r="L3078" s="50">
        <f>VLOOKUP(A3078,[2]data1761205830331!$A$1:$J$65536,10,0)</f>
        <v>232387.89</v>
      </c>
    </row>
    <row r="3079" spans="1:12" ht="15.6" outlineLevel="1">
      <c r="A3079" s="11">
        <v>1825500783</v>
      </c>
      <c r="B3079" s="40">
        <v>783</v>
      </c>
      <c r="C3079" s="109">
        <v>825500</v>
      </c>
      <c r="D3079" s="42">
        <v>1</v>
      </c>
      <c r="E3079" s="43"/>
      <c r="F3079" s="44" t="s">
        <v>1598</v>
      </c>
      <c r="G3079" s="45" t="s">
        <v>37</v>
      </c>
      <c r="H3079" s="51">
        <v>1</v>
      </c>
      <c r="I3079" s="47"/>
      <c r="J3079" s="48">
        <f>VLOOKUP(A3079,'[1]תקציב 2026'!$A$1:$M$65536,9,0)</f>
        <v>90000</v>
      </c>
      <c r="K3079" s="49">
        <f>VLOOKUP(A3079,[3]גיליון1!$A$1:$C$7693,3,0)</f>
        <v>0</v>
      </c>
      <c r="L3079" s="50">
        <f>VLOOKUP(A3079,[2]data1761205830331!$A$1:$J$65536,10,0)</f>
        <v>81300</v>
      </c>
    </row>
    <row r="3080" spans="1:12" ht="16.2" outlineLevel="1" thickBot="1">
      <c r="A3080" s="11">
        <v>1825500786</v>
      </c>
      <c r="B3080" s="40">
        <v>786</v>
      </c>
      <c r="C3080" s="109">
        <v>825500</v>
      </c>
      <c r="D3080" s="42">
        <v>1</v>
      </c>
      <c r="E3080" s="43"/>
      <c r="F3080" s="44" t="s">
        <v>1599</v>
      </c>
      <c r="G3080" s="45" t="s">
        <v>37</v>
      </c>
      <c r="H3080" s="51">
        <v>1</v>
      </c>
      <c r="I3080" s="47"/>
      <c r="J3080" s="48">
        <f>VLOOKUP(A3080,'[1]תקציב 2026'!$A$1:$M$65536,9,0)</f>
        <v>77900</v>
      </c>
      <c r="K3080" s="49">
        <f>VLOOKUP(A3080,[3]גיליון1!$A$1:$C$7693,3,0)</f>
        <v>0</v>
      </c>
      <c r="L3080" s="50">
        <f>VLOOKUP(A3080,[2]data1761205830331!$A$1:$J$65536,10,0)</f>
        <v>22900</v>
      </c>
    </row>
    <row r="3081" spans="1:12" ht="16.2" thickBot="1">
      <c r="A3081" s="11" t="e">
        <v>#VALUE!</v>
      </c>
      <c r="B3081" s="53" t="s">
        <v>1600</v>
      </c>
      <c r="C3081" s="223"/>
      <c r="D3081" s="55"/>
      <c r="E3081" s="56"/>
      <c r="F3081" s="116" t="s">
        <v>1601</v>
      </c>
      <c r="G3081" s="58"/>
      <c r="H3081" s="71">
        <v>1</v>
      </c>
      <c r="I3081" s="72"/>
      <c r="J3081" s="74">
        <f>SUBTOTAL(9,J3078:J3080)</f>
        <v>357000</v>
      </c>
      <c r="K3081" s="92">
        <f>SUBTOTAL(9,K3078:K3080)</f>
        <v>0</v>
      </c>
      <c r="L3081" s="75">
        <f>SUBTOTAL(9,L3078:L3080)</f>
        <v>336587.89</v>
      </c>
    </row>
    <row r="3082" spans="1:12" ht="15.6" outlineLevel="1">
      <c r="A3082" s="11">
        <v>18260000</v>
      </c>
      <c r="B3082" s="64">
        <v>0</v>
      </c>
      <c r="C3082" s="131">
        <v>826000</v>
      </c>
      <c r="D3082" s="66">
        <v>1</v>
      </c>
      <c r="E3082" s="67"/>
      <c r="F3082" s="68" t="s">
        <v>1602</v>
      </c>
      <c r="G3082" s="69" t="s">
        <v>15</v>
      </c>
      <c r="H3082" s="51"/>
      <c r="I3082" s="47"/>
      <c r="J3082" s="48"/>
      <c r="K3082" s="49"/>
      <c r="L3082" s="50"/>
    </row>
    <row r="3083" spans="1:12" ht="15.6" outlineLevel="1">
      <c r="A3083" s="11">
        <v>1826100431</v>
      </c>
      <c r="B3083" s="40">
        <v>431</v>
      </c>
      <c r="C3083" s="109">
        <v>826100</v>
      </c>
      <c r="D3083" s="42">
        <v>1</v>
      </c>
      <c r="E3083" s="43"/>
      <c r="F3083" s="44" t="s">
        <v>32</v>
      </c>
      <c r="G3083" s="45" t="s">
        <v>29</v>
      </c>
      <c r="H3083" s="51">
        <f t="shared" si="48"/>
        <v>0</v>
      </c>
      <c r="I3083" s="47"/>
      <c r="J3083" s="48">
        <f>VLOOKUP(A3083,'[1]תקציב 2026'!$A$1:$M$65536,9,0)</f>
        <v>2200</v>
      </c>
      <c r="K3083" s="49">
        <v>2200</v>
      </c>
      <c r="L3083" s="50">
        <f>VLOOKUP(A3083,[2]data1761205830331!$A$1:$J$65536,10,0)</f>
        <v>-105.57</v>
      </c>
    </row>
    <row r="3084" spans="1:12" ht="15.6" outlineLevel="1">
      <c r="A3084" s="11">
        <v>1826100441</v>
      </c>
      <c r="B3084" s="40">
        <v>441</v>
      </c>
      <c r="C3084" s="109">
        <v>826100</v>
      </c>
      <c r="D3084" s="42">
        <v>1</v>
      </c>
      <c r="E3084" s="43"/>
      <c r="F3084" s="44" t="s">
        <v>1585</v>
      </c>
      <c r="G3084" s="45" t="s">
        <v>29</v>
      </c>
      <c r="H3084" s="51">
        <f t="shared" si="48"/>
        <v>0</v>
      </c>
      <c r="I3084" s="47"/>
      <c r="J3084" s="48">
        <f>VLOOKUP(A3084,'[1]תקציב 2026'!$A$1:$M$65536,9,0)</f>
        <v>72200</v>
      </c>
      <c r="K3084" s="49">
        <f>VLOOKUP(A3084,[3]גיליון1!$A$1:$C$7693,3,0)</f>
        <v>72200</v>
      </c>
      <c r="L3084" s="50">
        <f>VLOOKUP(A3084,[2]data1761205830331!$A$1:$J$65536,10,0)</f>
        <v>0</v>
      </c>
    </row>
    <row r="3085" spans="1:12" ht="15.6" outlineLevel="1">
      <c r="A3085" s="11">
        <v>1826100870</v>
      </c>
      <c r="B3085" s="40">
        <v>870</v>
      </c>
      <c r="C3085" s="109">
        <v>826100</v>
      </c>
      <c r="D3085" s="42">
        <v>1</v>
      </c>
      <c r="E3085" s="43"/>
      <c r="F3085" s="44" t="s">
        <v>1199</v>
      </c>
      <c r="G3085" s="45" t="s">
        <v>37</v>
      </c>
      <c r="H3085" s="51">
        <v>0</v>
      </c>
      <c r="I3085" s="47"/>
      <c r="J3085" s="48">
        <f>VLOOKUP(A3085,'[1]תקציב 2026'!$A$1:$M$65536,9,0)</f>
        <v>0</v>
      </c>
      <c r="K3085" s="49">
        <v>0</v>
      </c>
      <c r="L3085" s="50">
        <f>VLOOKUP(A3085,[2]data1761205830331!$A$1:$J$65536,10,0)</f>
        <v>3931799.97</v>
      </c>
    </row>
    <row r="3086" spans="1:12" ht="15.6" outlineLevel="1">
      <c r="A3086" s="11">
        <v>1826100871</v>
      </c>
      <c r="B3086" s="40">
        <v>871</v>
      </c>
      <c r="C3086" s="109">
        <v>826100</v>
      </c>
      <c r="D3086" s="42">
        <v>1</v>
      </c>
      <c r="E3086" s="43"/>
      <c r="F3086" s="44" t="s">
        <v>1603</v>
      </c>
      <c r="G3086" s="45" t="s">
        <v>37</v>
      </c>
      <c r="H3086" s="51">
        <v>0</v>
      </c>
      <c r="I3086" s="47"/>
      <c r="J3086" s="48">
        <f>VLOOKUP(A3086,'[1]תקציב 2026'!$A$1:$M$65536,9,0)</f>
        <v>0</v>
      </c>
      <c r="K3086" s="49">
        <v>0</v>
      </c>
      <c r="L3086" s="50">
        <f>VLOOKUP(A3086,[2]data1761205830331!$A$1:$J$65536,10,0)</f>
        <v>1356100</v>
      </c>
    </row>
    <row r="3087" spans="1:12" ht="15.6" outlineLevel="1">
      <c r="A3087" s="11">
        <v>1826100876</v>
      </c>
      <c r="B3087" s="40">
        <v>876</v>
      </c>
      <c r="C3087" s="109">
        <v>826100</v>
      </c>
      <c r="D3087" s="42">
        <v>1</v>
      </c>
      <c r="E3087" s="231"/>
      <c r="F3087" s="44" t="s">
        <v>1604</v>
      </c>
      <c r="G3087" s="45" t="s">
        <v>37</v>
      </c>
      <c r="H3087" s="51">
        <v>1</v>
      </c>
      <c r="I3087" s="47"/>
      <c r="J3087" s="48">
        <f>VLOOKUP(A3087,'[1]תקציב 2026'!$A$1:$M$65536,9,0)</f>
        <v>649800</v>
      </c>
      <c r="K3087" s="49">
        <v>0</v>
      </c>
      <c r="L3087" s="50">
        <f>VLOOKUP(A3087,[2]data1761205830331!$A$1:$J$65536,10,0)</f>
        <v>649800</v>
      </c>
    </row>
    <row r="3088" spans="1:12" ht="17.25" customHeight="1" outlineLevel="1">
      <c r="A3088" s="11">
        <v>1826100878</v>
      </c>
      <c r="B3088" s="40">
        <v>878</v>
      </c>
      <c r="C3088" s="109">
        <v>826100</v>
      </c>
      <c r="D3088" s="42">
        <v>1</v>
      </c>
      <c r="E3088" s="43"/>
      <c r="F3088" s="44" t="s">
        <v>1605</v>
      </c>
      <c r="G3088" s="45" t="s">
        <v>29</v>
      </c>
      <c r="H3088" s="51">
        <f t="shared" si="48"/>
        <v>-1</v>
      </c>
      <c r="I3088" s="47"/>
      <c r="J3088" s="48">
        <f>VLOOKUP(A3088,'[1]תקציב 2026'!$A$1:$M$65536,9,0)</f>
        <v>0</v>
      </c>
      <c r="K3088" s="49">
        <v>600000</v>
      </c>
      <c r="L3088" s="50">
        <f>VLOOKUP(A3088,[2]data1761205830331!$A$1:$J$65536,10,0)</f>
        <v>0</v>
      </c>
    </row>
    <row r="3089" spans="1:12" ht="15.6" outlineLevel="1">
      <c r="A3089" s="11">
        <v>1826100879</v>
      </c>
      <c r="B3089" s="40">
        <v>879</v>
      </c>
      <c r="C3089" s="109">
        <v>826100</v>
      </c>
      <c r="D3089" s="42">
        <v>1</v>
      </c>
      <c r="E3089" s="43"/>
      <c r="F3089" s="44" t="s">
        <v>1606</v>
      </c>
      <c r="G3089" s="45" t="s">
        <v>29</v>
      </c>
      <c r="H3089" s="51">
        <f t="shared" si="48"/>
        <v>0</v>
      </c>
      <c r="I3089" s="47"/>
      <c r="J3089" s="48">
        <f>VLOOKUP(A3089,'[1]תקציב 2026'!$A$1:$M$65536,9,0)</f>
        <v>29400</v>
      </c>
      <c r="K3089" s="49">
        <f>VLOOKUP(A3089,[3]גיליון1!$A$1:$C$7693,3,0)</f>
        <v>29400</v>
      </c>
      <c r="L3089" s="50">
        <f>VLOOKUP(A3089,[2]data1761205830331!$A$1:$J$65536,10,0)</f>
        <v>29400</v>
      </c>
    </row>
    <row r="3090" spans="1:12" ht="16.2" outlineLevel="1" thickBot="1">
      <c r="A3090" s="11">
        <v>1826100981</v>
      </c>
      <c r="B3090" s="119">
        <v>981</v>
      </c>
      <c r="C3090" s="120">
        <v>826100</v>
      </c>
      <c r="D3090" s="121">
        <v>1</v>
      </c>
      <c r="E3090" s="201"/>
      <c r="F3090" s="44" t="s">
        <v>1594</v>
      </c>
      <c r="G3090" s="153" t="s">
        <v>29</v>
      </c>
      <c r="H3090" s="51">
        <v>0</v>
      </c>
      <c r="I3090" s="160"/>
      <c r="J3090" s="48">
        <f>VLOOKUP(A3090,'[1]תקציב 2026'!$A$1:$M$65536,9,0)</f>
        <v>0</v>
      </c>
      <c r="K3090" s="162">
        <v>0</v>
      </c>
      <c r="L3090" s="50">
        <f>VLOOKUP(A3090,[2]data1761205830331!$A$1:$J$65536,10,0)</f>
        <v>605400</v>
      </c>
    </row>
    <row r="3091" spans="1:12" ht="16.2" thickBot="1">
      <c r="A3091" s="11" t="e">
        <v>#VALUE!</v>
      </c>
      <c r="B3091" s="53" t="s">
        <v>1607</v>
      </c>
      <c r="C3091" s="223"/>
      <c r="D3091" s="55"/>
      <c r="E3091" s="56"/>
      <c r="F3091" s="116" t="s">
        <v>482</v>
      </c>
      <c r="G3091" s="58"/>
      <c r="H3091" s="71">
        <f>J3091/K3091-1</f>
        <v>7.0758738277919786E-2</v>
      </c>
      <c r="I3091" s="72"/>
      <c r="J3091" s="74">
        <f>SUBTOTAL(9,J3083:J3090)</f>
        <v>753600</v>
      </c>
      <c r="K3091" s="74">
        <f>SUBTOTAL(9,K3083:K3090)</f>
        <v>703800</v>
      </c>
      <c r="L3091" s="75">
        <f>SUBTOTAL(9,L3083:L3090)</f>
        <v>6572394.4000000004</v>
      </c>
    </row>
    <row r="3092" spans="1:12" ht="15.6" outlineLevel="1">
      <c r="A3092" s="11">
        <v>18261200</v>
      </c>
      <c r="B3092" s="40">
        <v>0</v>
      </c>
      <c r="C3092" s="109">
        <v>826120</v>
      </c>
      <c r="D3092" s="42">
        <v>1</v>
      </c>
      <c r="E3092" s="43"/>
      <c r="F3092" s="44" t="s">
        <v>1608</v>
      </c>
      <c r="G3092" s="45"/>
      <c r="H3092" s="51"/>
      <c r="I3092" s="47"/>
      <c r="J3092" s="48"/>
      <c r="K3092" s="49"/>
      <c r="L3092" s="50"/>
    </row>
    <row r="3093" spans="1:12" ht="16.2" outlineLevel="1" thickBot="1">
      <c r="A3093" s="11">
        <v>1826120872</v>
      </c>
      <c r="B3093" s="40">
        <v>872</v>
      </c>
      <c r="C3093" s="109">
        <v>826120</v>
      </c>
      <c r="D3093" s="42">
        <v>1</v>
      </c>
      <c r="E3093" s="43"/>
      <c r="F3093" s="44" t="s">
        <v>1609</v>
      </c>
      <c r="G3093" s="45" t="s">
        <v>37</v>
      </c>
      <c r="H3093" s="51">
        <v>0</v>
      </c>
      <c r="I3093" s="47"/>
      <c r="J3093" s="48">
        <f>VLOOKUP(A3093,'[1]תקציב 2026'!$A$1:$M$65536,9,0)</f>
        <v>0</v>
      </c>
      <c r="K3093" s="49">
        <v>0</v>
      </c>
      <c r="L3093" s="50">
        <f>VLOOKUP(A3093,[2]data1761205830331!$A$1:$J$65536,10,0)</f>
        <v>695000</v>
      </c>
    </row>
    <row r="3094" spans="1:12" ht="16.2" thickBot="1">
      <c r="A3094" s="11" t="e">
        <v>#VALUE!</v>
      </c>
      <c r="B3094" s="157" t="s">
        <v>1610</v>
      </c>
      <c r="C3094" s="223"/>
      <c r="D3094" s="55"/>
      <c r="E3094" s="56"/>
      <c r="F3094" s="116" t="s">
        <v>1608</v>
      </c>
      <c r="G3094" s="58"/>
      <c r="H3094" s="71">
        <v>0</v>
      </c>
      <c r="I3094" s="72"/>
      <c r="J3094" s="74">
        <f>SUBTOTAL(9,J3093:J3093)</f>
        <v>0</v>
      </c>
      <c r="K3094" s="92">
        <f>SUBTOTAL(9,K3093:K3093)</f>
        <v>0</v>
      </c>
      <c r="L3094" s="75">
        <f>SUBTOTAL(9,L3093:L3093)</f>
        <v>695000</v>
      </c>
    </row>
    <row r="3095" spans="1:12" ht="15.6" outlineLevel="1">
      <c r="A3095" s="11">
        <v>18262000</v>
      </c>
      <c r="B3095" s="40">
        <v>0</v>
      </c>
      <c r="C3095" s="109">
        <v>826200</v>
      </c>
      <c r="D3095" s="42">
        <v>1</v>
      </c>
      <c r="E3095" s="43"/>
      <c r="F3095" s="44" t="s">
        <v>1611</v>
      </c>
      <c r="G3095" s="45" t="s">
        <v>15</v>
      </c>
      <c r="H3095" s="51"/>
      <c r="I3095" s="47"/>
      <c r="J3095" s="48"/>
      <c r="K3095" s="49"/>
      <c r="L3095" s="50"/>
    </row>
    <row r="3096" spans="1:12" ht="15.6" outlineLevel="1">
      <c r="A3096" s="11">
        <v>1826200119</v>
      </c>
      <c r="B3096" s="40">
        <v>119</v>
      </c>
      <c r="C3096" s="109">
        <v>826200</v>
      </c>
      <c r="D3096" s="42">
        <v>1</v>
      </c>
      <c r="E3096" s="43"/>
      <c r="F3096" s="44" t="s">
        <v>1105</v>
      </c>
      <c r="G3096" s="45" t="s">
        <v>22</v>
      </c>
      <c r="H3096" s="51">
        <f t="shared" ref="H3096:H3157" si="49">J3096/K3096-1</f>
        <v>-1</v>
      </c>
      <c r="I3096" s="47"/>
      <c r="J3096" s="48">
        <f>VLOOKUP(A3096,'[1]תקציב 2026'!$A$1:$M$65536,9,0)</f>
        <v>0</v>
      </c>
      <c r="K3096" s="49">
        <v>135200</v>
      </c>
      <c r="L3096" s="50">
        <f>VLOOKUP(A3096,[2]data1761205830331!$A$1:$J$65536,10,0)</f>
        <v>292451.99</v>
      </c>
    </row>
    <row r="3097" spans="1:12" ht="15.6" outlineLevel="1">
      <c r="A3097" s="11">
        <v>1826200122</v>
      </c>
      <c r="B3097" s="40">
        <v>122</v>
      </c>
      <c r="C3097" s="109">
        <v>826200</v>
      </c>
      <c r="D3097" s="42">
        <v>1</v>
      </c>
      <c r="E3097" s="43"/>
      <c r="F3097" s="44" t="s">
        <v>24</v>
      </c>
      <c r="G3097" s="45" t="s">
        <v>22</v>
      </c>
      <c r="H3097" s="51">
        <f t="shared" si="49"/>
        <v>-1</v>
      </c>
      <c r="I3097" s="47"/>
      <c r="J3097" s="48">
        <f>VLOOKUP(A3097,'[1]תקציב 2026'!$A$1:$M$65536,9,0)</f>
        <v>0</v>
      </c>
      <c r="K3097" s="49">
        <f>VLOOKUP(A3097,[3]גיליון1!$A$1:$C$7693,3,0)</f>
        <v>4100</v>
      </c>
      <c r="L3097" s="50">
        <f>VLOOKUP(A3097,[2]data1761205830331!$A$1:$J$65536,10,0)</f>
        <v>3888.5</v>
      </c>
    </row>
    <row r="3098" spans="1:12" ht="15.6" outlineLevel="1">
      <c r="A3098" s="11">
        <v>1826200126</v>
      </c>
      <c r="B3098" s="40">
        <v>126</v>
      </c>
      <c r="C3098" s="109">
        <v>826200</v>
      </c>
      <c r="D3098" s="42">
        <v>1</v>
      </c>
      <c r="E3098" s="43"/>
      <c r="F3098" s="44" t="s">
        <v>25</v>
      </c>
      <c r="G3098" s="45" t="s">
        <v>22</v>
      </c>
      <c r="H3098" s="51">
        <f t="shared" si="49"/>
        <v>-1</v>
      </c>
      <c r="I3098" s="47"/>
      <c r="J3098" s="48">
        <f>VLOOKUP(A3098,'[1]תקציב 2026'!$A$1:$M$65536,9,0)</f>
        <v>0</v>
      </c>
      <c r="K3098" s="49">
        <f>VLOOKUP(A3098,[3]גיליון1!$A$1:$C$7693,3,0)</f>
        <v>10000</v>
      </c>
      <c r="L3098" s="50">
        <f>VLOOKUP(A3098,[2]data1761205830331!$A$1:$J$65536,10,0)</f>
        <v>8956.6</v>
      </c>
    </row>
    <row r="3099" spans="1:12" ht="15.6" outlineLevel="1">
      <c r="A3099" s="11">
        <v>1826200140</v>
      </c>
      <c r="B3099" s="40">
        <v>140</v>
      </c>
      <c r="C3099" s="109">
        <v>826200</v>
      </c>
      <c r="D3099" s="42">
        <v>1</v>
      </c>
      <c r="E3099" s="43"/>
      <c r="F3099" s="44" t="s">
        <v>27</v>
      </c>
      <c r="G3099" s="45" t="s">
        <v>22</v>
      </c>
      <c r="H3099" s="51">
        <f t="shared" si="49"/>
        <v>-1</v>
      </c>
      <c r="I3099" s="47"/>
      <c r="J3099" s="48">
        <f>VLOOKUP(A3099,'[1]תקציב 2026'!$A$1:$M$65536,9,0)</f>
        <v>0</v>
      </c>
      <c r="K3099" s="49">
        <f>VLOOKUP(A3099,[3]גיליון1!$A$1:$C$7693,3,0)</f>
        <v>35800</v>
      </c>
      <c r="L3099" s="50">
        <f>VLOOKUP(A3099,[2]data1761205830331!$A$1:$J$65536,10,0)</f>
        <v>46735.59</v>
      </c>
    </row>
    <row r="3100" spans="1:12" ht="15.6" outlineLevel="1">
      <c r="A3100" s="11">
        <v>1826200423</v>
      </c>
      <c r="B3100" s="206">
        <v>423</v>
      </c>
      <c r="C3100" s="109">
        <v>826200</v>
      </c>
      <c r="D3100" s="208">
        <v>1</v>
      </c>
      <c r="E3100" s="229"/>
      <c r="F3100" s="210" t="s">
        <v>31</v>
      </c>
      <c r="G3100" s="45" t="s">
        <v>29</v>
      </c>
      <c r="H3100" s="51">
        <f t="shared" si="49"/>
        <v>0.8</v>
      </c>
      <c r="I3100" s="47"/>
      <c r="J3100" s="48">
        <f>VLOOKUP(A3100,'[1]תקציב 2026'!$A$1:$M$65536,9,0)</f>
        <v>207000</v>
      </c>
      <c r="K3100" s="49">
        <v>115000</v>
      </c>
      <c r="L3100" s="50">
        <f>VLOOKUP(A3100,[2]data1761205830331!$A$1:$J$65536,10,0)</f>
        <v>193700</v>
      </c>
    </row>
    <row r="3101" spans="1:12" ht="15.6" outlineLevel="1">
      <c r="A3101" s="11">
        <v>1826200437</v>
      </c>
      <c r="B3101" s="40">
        <v>437</v>
      </c>
      <c r="C3101" s="109">
        <v>826200</v>
      </c>
      <c r="D3101" s="42">
        <v>1</v>
      </c>
      <c r="E3101" s="43"/>
      <c r="F3101" s="44" t="s">
        <v>38</v>
      </c>
      <c r="G3101" s="45" t="s">
        <v>29</v>
      </c>
      <c r="H3101" s="51">
        <f t="shared" si="49"/>
        <v>-1</v>
      </c>
      <c r="I3101" s="47"/>
      <c r="J3101" s="48">
        <f>VLOOKUP(A3101,'[1]תקציב 2026'!$A$1:$M$65536,9,0)</f>
        <v>0</v>
      </c>
      <c r="K3101" s="49">
        <f>VLOOKUP(A3101,[3]גיליון1!$A$1:$C$7693,3,0)</f>
        <v>3800</v>
      </c>
      <c r="L3101" s="50">
        <f>VLOOKUP(A3101,[2]data1761205830331!$A$1:$J$65536,10,0)</f>
        <v>3664.44</v>
      </c>
    </row>
    <row r="3102" spans="1:12" ht="15.6" outlineLevel="1">
      <c r="A3102" s="11">
        <v>1826200441</v>
      </c>
      <c r="B3102" s="40">
        <v>441</v>
      </c>
      <c r="C3102" s="109">
        <v>826200</v>
      </c>
      <c r="D3102" s="42">
        <v>1</v>
      </c>
      <c r="E3102" s="43"/>
      <c r="F3102" s="44" t="s">
        <v>794</v>
      </c>
      <c r="G3102" s="45" t="s">
        <v>29</v>
      </c>
      <c r="H3102" s="51">
        <f t="shared" si="49"/>
        <v>0.50862068965517238</v>
      </c>
      <c r="I3102" s="47"/>
      <c r="J3102" s="48">
        <f>VLOOKUP(A3102,'[1]תקציב 2026'!$A$1:$M$65536,9,0)</f>
        <v>17500</v>
      </c>
      <c r="K3102" s="49">
        <f>VLOOKUP(A3102,[3]גיליון1!$A$1:$C$7693,3,0)</f>
        <v>11600</v>
      </c>
      <c r="L3102" s="50">
        <f>VLOOKUP(A3102,[2]data1761205830331!$A$1:$J$65536,10,0)</f>
        <v>2175</v>
      </c>
    </row>
    <row r="3103" spans="1:12" ht="15.6" outlineLevel="1">
      <c r="A3103" s="11">
        <v>1826200450</v>
      </c>
      <c r="B3103" s="40">
        <v>450</v>
      </c>
      <c r="C3103" s="109">
        <v>826200</v>
      </c>
      <c r="D3103" s="42">
        <v>1</v>
      </c>
      <c r="E3103" s="43"/>
      <c r="F3103" s="11" t="s">
        <v>41</v>
      </c>
      <c r="G3103" s="45" t="s">
        <v>29</v>
      </c>
      <c r="H3103" s="51">
        <f t="shared" si="49"/>
        <v>-1</v>
      </c>
      <c r="I3103" s="47"/>
      <c r="J3103" s="48">
        <f>VLOOKUP(A3103,'[1]תקציב 2026'!$A$1:$M$65536,9,0)</f>
        <v>0</v>
      </c>
      <c r="K3103" s="49">
        <f>VLOOKUP(A3103,[3]גיליון1!$A$1:$C$7693,3,0)</f>
        <v>1000</v>
      </c>
      <c r="L3103" s="50">
        <f>VLOOKUP(A3103,[2]data1761205830331!$A$1:$J$65536,10,0)</f>
        <v>530</v>
      </c>
    </row>
    <row r="3104" spans="1:12" ht="15.6" outlineLevel="1">
      <c r="A3104" s="11">
        <v>1826200550</v>
      </c>
      <c r="B3104" s="40">
        <v>550</v>
      </c>
      <c r="C3104" s="109">
        <v>826200</v>
      </c>
      <c r="D3104" s="42">
        <v>1</v>
      </c>
      <c r="E3104" s="43"/>
      <c r="F3104" s="44" t="s">
        <v>73</v>
      </c>
      <c r="G3104" s="45" t="s">
        <v>37</v>
      </c>
      <c r="H3104" s="51">
        <v>0</v>
      </c>
      <c r="I3104" s="47"/>
      <c r="J3104" s="48">
        <f>VLOOKUP(A3104,'[1]תקציב 2026'!$A$1:$M$65536,9,0)</f>
        <v>0</v>
      </c>
      <c r="K3104" s="49">
        <v>0</v>
      </c>
      <c r="L3104" s="50">
        <f>VLOOKUP(A3104,[2]data1761205830331!$A$1:$J$65536,10,0)</f>
        <v>159679</v>
      </c>
    </row>
    <row r="3105" spans="1:12" ht="15.6" outlineLevel="1">
      <c r="A3105" s="11">
        <v>1826200710</v>
      </c>
      <c r="B3105" s="40">
        <v>710</v>
      </c>
      <c r="C3105" s="109">
        <v>826200</v>
      </c>
      <c r="D3105" s="42">
        <v>1</v>
      </c>
      <c r="E3105" s="43"/>
      <c r="F3105" s="44" t="s">
        <v>49</v>
      </c>
      <c r="G3105" s="45" t="s">
        <v>37</v>
      </c>
      <c r="H3105" s="51">
        <f t="shared" si="49"/>
        <v>-1</v>
      </c>
      <c r="I3105" s="47"/>
      <c r="J3105" s="48">
        <f>VLOOKUP(A3105,'[1]תקציב 2026'!$A$1:$M$65536,9,0)</f>
        <v>0</v>
      </c>
      <c r="K3105" s="49">
        <f>15000*0.9</f>
        <v>13500</v>
      </c>
      <c r="L3105" s="50">
        <f>VLOOKUP(A3105,[2]data1761205830331!$A$1:$J$65536,10,0)</f>
        <v>15551.3</v>
      </c>
    </row>
    <row r="3106" spans="1:12" ht="15.6" outlineLevel="1">
      <c r="A3106" s="11">
        <v>1826200751</v>
      </c>
      <c r="B3106" s="40">
        <v>751</v>
      </c>
      <c r="C3106" s="109">
        <v>826200</v>
      </c>
      <c r="D3106" s="42">
        <v>1</v>
      </c>
      <c r="E3106" s="43"/>
      <c r="F3106" s="44" t="s">
        <v>1612</v>
      </c>
      <c r="G3106" s="45" t="s">
        <v>37</v>
      </c>
      <c r="H3106" s="51">
        <f t="shared" si="49"/>
        <v>-1</v>
      </c>
      <c r="I3106" s="47"/>
      <c r="J3106" s="48">
        <f>VLOOKUP(A3106,'[1]תקציב 2026'!$A$1:$M$65536,9,0)</f>
        <v>0</v>
      </c>
      <c r="K3106" s="49">
        <f>VLOOKUP(A3106,[3]גיליון1!$A$1:$C$7693,3,0)*0.9</f>
        <v>7290</v>
      </c>
      <c r="L3106" s="50">
        <f>VLOOKUP(A3106,[2]data1761205830331!$A$1:$J$65536,10,0)</f>
        <v>5952</v>
      </c>
    </row>
    <row r="3107" spans="1:12" ht="15.6" outlineLevel="1">
      <c r="A3107" s="11">
        <v>1826200752</v>
      </c>
      <c r="B3107" s="40">
        <v>752</v>
      </c>
      <c r="C3107" s="109">
        <v>826200</v>
      </c>
      <c r="D3107" s="42">
        <v>1</v>
      </c>
      <c r="E3107" s="43"/>
      <c r="F3107" s="44" t="s">
        <v>54</v>
      </c>
      <c r="G3107" s="45" t="s">
        <v>29</v>
      </c>
      <c r="H3107" s="51">
        <f t="shared" si="49"/>
        <v>-1</v>
      </c>
      <c r="I3107" s="47"/>
      <c r="J3107" s="48">
        <f>VLOOKUP(A3107,'[1]תקציב 2026'!$A$1:$M$65536,9,0)</f>
        <v>0</v>
      </c>
      <c r="K3107" s="49">
        <v>25000</v>
      </c>
      <c r="L3107" s="50">
        <f>VLOOKUP(A3107,[2]data1761205830331!$A$1:$J$65536,10,0)</f>
        <v>39749.379999999997</v>
      </c>
    </row>
    <row r="3108" spans="1:12" ht="15.6" outlineLevel="1">
      <c r="A3108" s="11">
        <v>1826200756</v>
      </c>
      <c r="B3108" s="40">
        <v>756</v>
      </c>
      <c r="C3108" s="109">
        <v>826200</v>
      </c>
      <c r="D3108" s="42">
        <v>1</v>
      </c>
      <c r="E3108" s="43"/>
      <c r="F3108" s="44" t="s">
        <v>1548</v>
      </c>
      <c r="G3108" s="45" t="s">
        <v>29</v>
      </c>
      <c r="H3108" s="51">
        <f t="shared" si="49"/>
        <v>-1</v>
      </c>
      <c r="I3108" s="47"/>
      <c r="J3108" s="48">
        <f>VLOOKUP(A3108,'[1]תקציב 2026'!$A$1:$M$65536,9,0)</f>
        <v>0</v>
      </c>
      <c r="K3108" s="49">
        <f>VLOOKUP(A3108,[3]גיליון1!$A$1:$C$7693,3,0)</f>
        <v>150000</v>
      </c>
      <c r="L3108" s="50">
        <f>VLOOKUP(A3108,[2]data1761205830331!$A$1:$J$65536,10,0)</f>
        <v>106058.13</v>
      </c>
    </row>
    <row r="3109" spans="1:12" ht="15.6" outlineLevel="1">
      <c r="A3109" s="11">
        <v>1826200780</v>
      </c>
      <c r="B3109" s="40">
        <v>780</v>
      </c>
      <c r="C3109" s="109">
        <v>826200</v>
      </c>
      <c r="D3109" s="42">
        <v>1</v>
      </c>
      <c r="E3109" s="43"/>
      <c r="F3109" s="44" t="s">
        <v>1613</v>
      </c>
      <c r="G3109" s="45" t="s">
        <v>37</v>
      </c>
      <c r="H3109" s="51">
        <f t="shared" si="49"/>
        <v>-1</v>
      </c>
      <c r="I3109" s="47"/>
      <c r="J3109" s="48">
        <f>VLOOKUP(A3109,'[1]תקציב 2026'!$A$1:$M$65536,9,0)</f>
        <v>0</v>
      </c>
      <c r="K3109" s="49">
        <f>VLOOKUP(A3109,[3]גיליון1!$A$1:$C$7693,3,0)*0.9</f>
        <v>109710</v>
      </c>
      <c r="L3109" s="50">
        <f>VLOOKUP(A3109,[2]data1761205830331!$A$1:$J$65536,10,0)</f>
        <v>118542.07</v>
      </c>
    </row>
    <row r="3110" spans="1:12" ht="15.6" outlineLevel="1">
      <c r="A3110" s="11">
        <v>1826200781</v>
      </c>
      <c r="B3110" s="40">
        <v>781</v>
      </c>
      <c r="C3110" s="109">
        <v>826200</v>
      </c>
      <c r="D3110" s="42">
        <v>1</v>
      </c>
      <c r="E3110" s="43"/>
      <c r="F3110" s="44" t="s">
        <v>1614</v>
      </c>
      <c r="G3110" s="45" t="s">
        <v>37</v>
      </c>
      <c r="H3110" s="51">
        <f t="shared" si="49"/>
        <v>-1</v>
      </c>
      <c r="I3110" s="47"/>
      <c r="J3110" s="48">
        <f>VLOOKUP(A3110,'[1]תקציב 2026'!$A$1:$M$65536,9,0)</f>
        <v>0</v>
      </c>
      <c r="K3110" s="49">
        <f>100000*0.9</f>
        <v>90000</v>
      </c>
      <c r="L3110" s="50">
        <f>VLOOKUP(A3110,[2]data1761205830331!$A$1:$J$65536,10,0)</f>
        <v>19509.72</v>
      </c>
    </row>
    <row r="3111" spans="1:12" ht="15.6" outlineLevel="1">
      <c r="A3111" s="11">
        <v>1826200784</v>
      </c>
      <c r="B3111" s="40">
        <v>784</v>
      </c>
      <c r="C3111" s="109">
        <v>826200</v>
      </c>
      <c r="D3111" s="42">
        <v>1</v>
      </c>
      <c r="E3111" s="43"/>
      <c r="F3111" s="44" t="s">
        <v>1615</v>
      </c>
      <c r="G3111" s="45" t="s">
        <v>37</v>
      </c>
      <c r="H3111" s="51">
        <v>0</v>
      </c>
      <c r="I3111" s="47"/>
      <c r="J3111" s="48">
        <f>VLOOKUP(A3111,'[1]תקציב 2026'!$A$1:$M$65536,9,0)</f>
        <v>0</v>
      </c>
      <c r="K3111" s="49">
        <v>0</v>
      </c>
      <c r="L3111" s="50">
        <f>VLOOKUP(A3111,[2]data1761205830331!$A$1:$J$65536,10,0)</f>
        <v>23710</v>
      </c>
    </row>
    <row r="3112" spans="1:12" ht="15.6" outlineLevel="1">
      <c r="A3112" s="11">
        <v>1826200786</v>
      </c>
      <c r="B3112" s="40">
        <v>786</v>
      </c>
      <c r="C3112" s="109">
        <v>826200</v>
      </c>
      <c r="D3112" s="42">
        <v>1</v>
      </c>
      <c r="E3112" s="43"/>
      <c r="F3112" s="44" t="s">
        <v>1616</v>
      </c>
      <c r="G3112" s="45" t="s">
        <v>37</v>
      </c>
      <c r="H3112" s="51">
        <f t="shared" si="49"/>
        <v>-1</v>
      </c>
      <c r="I3112" s="47"/>
      <c r="J3112" s="48">
        <f>VLOOKUP(A3112,'[1]תקציב 2026'!$A$1:$M$65536,9,0)</f>
        <v>0</v>
      </c>
      <c r="K3112" s="49">
        <f>VLOOKUP(A3112,[3]גיליון1!$A$1:$C$7693,3,0)*0.9</f>
        <v>39420</v>
      </c>
      <c r="L3112" s="50">
        <f>VLOOKUP(A3112,[2]data1761205830331!$A$1:$J$65536,10,0)</f>
        <v>43248.72</v>
      </c>
    </row>
    <row r="3113" spans="1:12" ht="15.6" outlineLevel="1">
      <c r="A3113" s="11">
        <v>1826200788</v>
      </c>
      <c r="B3113" s="40">
        <v>788</v>
      </c>
      <c r="C3113" s="109">
        <v>826200</v>
      </c>
      <c r="D3113" s="42">
        <v>1</v>
      </c>
      <c r="E3113" s="43"/>
      <c r="F3113" s="44" t="s">
        <v>1617</v>
      </c>
      <c r="G3113" s="45" t="s">
        <v>37</v>
      </c>
      <c r="H3113" s="51">
        <v>0</v>
      </c>
      <c r="I3113" s="47"/>
      <c r="J3113" s="48">
        <f>VLOOKUP(A3113,'[1]תקציב 2026'!$A$1:$M$65536,9,0)</f>
        <v>0</v>
      </c>
      <c r="K3113" s="49">
        <v>0</v>
      </c>
      <c r="L3113" s="50">
        <f>VLOOKUP(A3113,[2]data1761205830331!$A$1:$J$65536,10,0)</f>
        <v>30948.5</v>
      </c>
    </row>
    <row r="3114" spans="1:12" ht="15.6" outlineLevel="1">
      <c r="A3114" s="11">
        <v>1826200791</v>
      </c>
      <c r="B3114" s="40">
        <v>791</v>
      </c>
      <c r="C3114" s="109">
        <v>826200</v>
      </c>
      <c r="D3114" s="42">
        <v>1</v>
      </c>
      <c r="E3114" s="43"/>
      <c r="F3114" s="44" t="s">
        <v>1618</v>
      </c>
      <c r="G3114" s="45" t="s">
        <v>29</v>
      </c>
      <c r="H3114" s="51">
        <f t="shared" si="49"/>
        <v>-1</v>
      </c>
      <c r="I3114" s="47"/>
      <c r="J3114" s="48">
        <f>VLOOKUP(A3114,'[1]תקציב 2026'!$A$1:$M$65536,9,0)</f>
        <v>0</v>
      </c>
      <c r="K3114" s="49">
        <f>VLOOKUP(A3114,[3]גיליון1!$A$1:$C$7693,3,0)*0.9</f>
        <v>44640</v>
      </c>
      <c r="L3114" s="50">
        <f>VLOOKUP(A3114,[2]data1761205830331!$A$1:$J$65536,10,0)</f>
        <v>25810</v>
      </c>
    </row>
    <row r="3115" spans="1:12" ht="15.6" outlineLevel="1">
      <c r="A3115" s="11">
        <v>1826200792</v>
      </c>
      <c r="B3115" s="40">
        <v>792</v>
      </c>
      <c r="C3115" s="109">
        <v>826200</v>
      </c>
      <c r="D3115" s="42">
        <v>1</v>
      </c>
      <c r="E3115" s="43"/>
      <c r="F3115" s="44" t="s">
        <v>1619</v>
      </c>
      <c r="G3115" s="45" t="s">
        <v>37</v>
      </c>
      <c r="H3115" s="51">
        <v>0</v>
      </c>
      <c r="I3115" s="47"/>
      <c r="J3115" s="48">
        <f>VLOOKUP(A3115,'[1]תקציב 2026'!$A$1:$M$65536,9,0)</f>
        <v>0</v>
      </c>
      <c r="K3115" s="49">
        <v>0</v>
      </c>
      <c r="L3115" s="50">
        <f>VLOOKUP(A3115,[2]data1761205830331!$A$1:$J$65536,10,0)</f>
        <v>4155.63</v>
      </c>
    </row>
    <row r="3116" spans="1:12" ht="16.2" outlineLevel="1" thickBot="1">
      <c r="A3116" s="11">
        <v>1826200796</v>
      </c>
      <c r="B3116" s="40">
        <v>796</v>
      </c>
      <c r="C3116" s="109">
        <v>826200</v>
      </c>
      <c r="D3116" s="42">
        <v>1</v>
      </c>
      <c r="E3116" s="43"/>
      <c r="F3116" s="44" t="s">
        <v>1620</v>
      </c>
      <c r="G3116" s="45" t="s">
        <v>37</v>
      </c>
      <c r="H3116" s="51">
        <f t="shared" si="49"/>
        <v>-1</v>
      </c>
      <c r="I3116" s="47"/>
      <c r="J3116" s="48">
        <f>VLOOKUP(A3116,'[1]תקציב 2026'!$A$1:$M$65536,9,0)</f>
        <v>0</v>
      </c>
      <c r="K3116" s="49">
        <f>VLOOKUP(A3116,[3]גיליון1!$A$1:$C$7693,3,0)*0.9</f>
        <v>43920</v>
      </c>
      <c r="L3116" s="50">
        <f>VLOOKUP(A3116,[2]data1761205830331!$A$1:$J$65536,10,0)</f>
        <v>26072.15</v>
      </c>
    </row>
    <row r="3117" spans="1:12" ht="16.2" thickBot="1">
      <c r="A3117" s="11" t="e">
        <v>#VALUE!</v>
      </c>
      <c r="B3117" s="53" t="s">
        <v>1621</v>
      </c>
      <c r="C3117" s="223"/>
      <c r="D3117" s="55"/>
      <c r="E3117" s="56"/>
      <c r="F3117" s="116" t="s">
        <v>1611</v>
      </c>
      <c r="G3117" s="58"/>
      <c r="H3117" s="166">
        <f>J3117/K3117-1</f>
        <v>-0.73273173170789785</v>
      </c>
      <c r="I3117" s="72"/>
      <c r="J3117" s="74">
        <f>SUBTOTAL(9,J3096:J3116)</f>
        <v>224500</v>
      </c>
      <c r="K3117" s="92">
        <f>SUBTOTAL(9,K3096:K3116)</f>
        <v>839980</v>
      </c>
      <c r="L3117" s="75">
        <f>SUBTOTAL(9,L3096:L3116)</f>
        <v>1171088.7199999997</v>
      </c>
    </row>
    <row r="3118" spans="1:12" ht="15.6" outlineLevel="1">
      <c r="A3118" s="11">
        <v>18263000</v>
      </c>
      <c r="B3118" s="40">
        <v>0</v>
      </c>
      <c r="C3118" s="109">
        <v>826300</v>
      </c>
      <c r="D3118" s="42">
        <v>1</v>
      </c>
      <c r="E3118" s="43"/>
      <c r="F3118" s="44" t="s">
        <v>1622</v>
      </c>
      <c r="G3118" s="45" t="s">
        <v>15</v>
      </c>
      <c r="H3118" s="51"/>
      <c r="I3118" s="47"/>
      <c r="J3118" s="48"/>
      <c r="K3118" s="49"/>
      <c r="L3118" s="50"/>
    </row>
    <row r="3119" spans="1:12" ht="16.5" customHeight="1" outlineLevel="1">
      <c r="A3119" s="11">
        <v>1826300441</v>
      </c>
      <c r="B3119" s="40">
        <v>441</v>
      </c>
      <c r="C3119" s="109">
        <v>826300</v>
      </c>
      <c r="D3119" s="42">
        <v>1</v>
      </c>
      <c r="E3119" s="231"/>
      <c r="F3119" s="44" t="s">
        <v>1585</v>
      </c>
      <c r="G3119" s="45" t="s">
        <v>29</v>
      </c>
      <c r="H3119" s="51">
        <f t="shared" si="49"/>
        <v>0</v>
      </c>
      <c r="I3119" s="47"/>
      <c r="J3119" s="48">
        <f>VLOOKUP(A3119,'[1]תקציב 2026'!$A$1:$M$65536,9,0)</f>
        <v>99500</v>
      </c>
      <c r="K3119" s="49">
        <f>VLOOKUP(A3119,[3]גיליון1!$A$1:$C$7693,3,0)</f>
        <v>99500</v>
      </c>
      <c r="L3119" s="50">
        <f>VLOOKUP(A3119,[2]data1761205830331!$A$1:$J$65536,10,0)</f>
        <v>0</v>
      </c>
    </row>
    <row r="3120" spans="1:12" ht="15.6" outlineLevel="1">
      <c r="A3120" s="11">
        <v>1826300870</v>
      </c>
      <c r="B3120" s="40">
        <v>870</v>
      </c>
      <c r="C3120" s="109">
        <v>826300</v>
      </c>
      <c r="D3120" s="42">
        <v>1</v>
      </c>
      <c r="E3120" s="43"/>
      <c r="F3120" s="44" t="s">
        <v>1623</v>
      </c>
      <c r="G3120" s="45" t="s">
        <v>37</v>
      </c>
      <c r="H3120" s="51">
        <v>0</v>
      </c>
      <c r="I3120" s="47"/>
      <c r="J3120" s="48">
        <f>VLOOKUP(A3120,'[1]תקציב 2026'!$A$1:$M$65536,9,0)</f>
        <v>0</v>
      </c>
      <c r="K3120" s="49">
        <v>0</v>
      </c>
      <c r="L3120" s="50">
        <f>VLOOKUP(A3120,[2]data1761205830331!$A$1:$J$65536,10,0)</f>
        <v>3361800</v>
      </c>
    </row>
    <row r="3121" spans="1:12" ht="15.6" outlineLevel="1">
      <c r="A3121" s="11">
        <v>1826300872</v>
      </c>
      <c r="B3121" s="40">
        <v>872</v>
      </c>
      <c r="C3121" s="109">
        <v>826300</v>
      </c>
      <c r="D3121" s="42">
        <v>1</v>
      </c>
      <c r="E3121" s="43"/>
      <c r="F3121" s="44" t="s">
        <v>1624</v>
      </c>
      <c r="G3121" s="45" t="s">
        <v>37</v>
      </c>
      <c r="H3121" s="51">
        <v>0</v>
      </c>
      <c r="I3121" s="47"/>
      <c r="J3121" s="48">
        <f>VLOOKUP(A3121,'[1]תקציב 2026'!$A$1:$M$65536,9,0)</f>
        <v>0</v>
      </c>
      <c r="K3121" s="49">
        <v>0</v>
      </c>
      <c r="L3121" s="50">
        <f>VLOOKUP(A3121,[2]data1761205830331!$A$1:$J$65536,10,0)</f>
        <v>757000</v>
      </c>
    </row>
    <row r="3122" spans="1:12" ht="15.6" outlineLevel="1">
      <c r="A3122" s="11">
        <v>1826300874</v>
      </c>
      <c r="B3122" s="40">
        <v>874</v>
      </c>
      <c r="C3122" s="109">
        <v>826300</v>
      </c>
      <c r="D3122" s="42">
        <v>1</v>
      </c>
      <c r="E3122" s="43"/>
      <c r="F3122" s="44" t="s">
        <v>1625</v>
      </c>
      <c r="G3122" s="45" t="s">
        <v>29</v>
      </c>
      <c r="H3122" s="51">
        <f t="shared" si="49"/>
        <v>0</v>
      </c>
      <c r="I3122" s="47"/>
      <c r="J3122" s="48">
        <f>VLOOKUP(A3122,'[1]תקציב 2026'!$A$1:$M$65536,9,0)</f>
        <v>40000</v>
      </c>
      <c r="K3122" s="49">
        <f>VLOOKUP(A3122,[3]גיליון1!$A$1:$C$7693,3,0)</f>
        <v>40000</v>
      </c>
      <c r="L3122" s="50">
        <f>VLOOKUP(A3122,[2]data1761205830331!$A$1:$J$65536,10,0)</f>
        <v>40000</v>
      </c>
    </row>
    <row r="3123" spans="1:12" ht="15.6" outlineLevel="1">
      <c r="A3123" s="11">
        <v>1826300876</v>
      </c>
      <c r="B3123" s="40">
        <v>876</v>
      </c>
      <c r="C3123" s="109">
        <v>826300</v>
      </c>
      <c r="D3123" s="42">
        <v>1</v>
      </c>
      <c r="E3123" s="43"/>
      <c r="F3123" s="44" t="s">
        <v>1626</v>
      </c>
      <c r="G3123" s="45" t="s">
        <v>37</v>
      </c>
      <c r="H3123" s="51">
        <v>0</v>
      </c>
      <c r="I3123" s="47"/>
      <c r="J3123" s="48">
        <f>VLOOKUP(A3123,'[1]תקציב 2026'!$A$1:$M$65536,9,0)</f>
        <v>0</v>
      </c>
      <c r="K3123" s="49">
        <v>0</v>
      </c>
      <c r="L3123" s="50">
        <f>VLOOKUP(A3123,[2]data1761205830331!$A$1:$J$65536,10,0)</f>
        <v>450000</v>
      </c>
    </row>
    <row r="3124" spans="1:12" ht="15.6" outlineLevel="1">
      <c r="A3124" s="11">
        <v>1826300877</v>
      </c>
      <c r="B3124" s="40">
        <v>877</v>
      </c>
      <c r="C3124" s="109">
        <v>826300</v>
      </c>
      <c r="D3124" s="42">
        <v>1</v>
      </c>
      <c r="E3124" s="43"/>
      <c r="F3124" s="44" t="s">
        <v>1627</v>
      </c>
      <c r="G3124" s="45" t="s">
        <v>37</v>
      </c>
      <c r="H3124" s="51">
        <v>0</v>
      </c>
      <c r="I3124" s="47"/>
      <c r="J3124" s="48">
        <f>VLOOKUP(A3124,'[1]תקציב 2026'!$A$1:$M$65536,9,0)</f>
        <v>0</v>
      </c>
      <c r="K3124" s="49">
        <v>0</v>
      </c>
      <c r="L3124" s="50">
        <f>VLOOKUP(A3124,[2]data1761205830331!$A$1:$J$65536,10,0)</f>
        <v>290800</v>
      </c>
    </row>
    <row r="3125" spans="1:12" ht="15.6" outlineLevel="1">
      <c r="A3125" s="11">
        <v>1826300878</v>
      </c>
      <c r="B3125" s="40">
        <v>878</v>
      </c>
      <c r="C3125" s="109">
        <v>826300</v>
      </c>
      <c r="D3125" s="42">
        <v>1</v>
      </c>
      <c r="E3125" s="43"/>
      <c r="F3125" s="44" t="s">
        <v>1628</v>
      </c>
      <c r="G3125" s="45" t="s">
        <v>29</v>
      </c>
      <c r="H3125" s="51">
        <f t="shared" si="49"/>
        <v>-1</v>
      </c>
      <c r="I3125" s="47"/>
      <c r="J3125" s="48">
        <f>VLOOKUP(A3125,'[1]תקציב 2026'!$A$1:$M$65536,9,0)</f>
        <v>0</v>
      </c>
      <c r="K3125" s="49">
        <v>1714300</v>
      </c>
      <c r="L3125" s="50">
        <f>VLOOKUP(A3125,[2]data1761205830331!$A$1:$J$65536,10,0)</f>
        <v>0</v>
      </c>
    </row>
    <row r="3126" spans="1:12" ht="15.6" outlineLevel="1">
      <c r="A3126" s="11">
        <v>1826300879</v>
      </c>
      <c r="B3126" s="40">
        <v>879</v>
      </c>
      <c r="C3126" s="109">
        <v>826300</v>
      </c>
      <c r="D3126" s="42">
        <v>1</v>
      </c>
      <c r="E3126" s="43"/>
      <c r="F3126" s="44" t="s">
        <v>1606</v>
      </c>
      <c r="G3126" s="45" t="s">
        <v>29</v>
      </c>
      <c r="H3126" s="51">
        <f t="shared" si="49"/>
        <v>0</v>
      </c>
      <c r="I3126" s="47"/>
      <c r="J3126" s="48">
        <f>VLOOKUP(A3126,'[1]תקציב 2026'!$A$1:$M$65536,9,0)</f>
        <v>40500</v>
      </c>
      <c r="K3126" s="49">
        <f>VLOOKUP(A3126,[3]גיליון1!$A$1:$C$7693,3,0)</f>
        <v>40500</v>
      </c>
      <c r="L3126" s="50">
        <f>VLOOKUP(A3126,[2]data1761205830331!$A$1:$J$65536,10,0)</f>
        <v>40500</v>
      </c>
    </row>
    <row r="3127" spans="1:12" ht="16.2" outlineLevel="1" thickBot="1">
      <c r="A3127" s="11">
        <v>1826300981</v>
      </c>
      <c r="B3127" s="119">
        <v>981</v>
      </c>
      <c r="C3127" s="120">
        <v>826300</v>
      </c>
      <c r="D3127" s="121">
        <v>1</v>
      </c>
      <c r="E3127" s="201"/>
      <c r="F3127" s="44" t="s">
        <v>1594</v>
      </c>
      <c r="G3127" s="153" t="s">
        <v>29</v>
      </c>
      <c r="H3127" s="51">
        <v>0</v>
      </c>
      <c r="I3127" s="160"/>
      <c r="J3127" s="48">
        <f>VLOOKUP(A3127,'[1]תקציב 2026'!$A$1:$M$65536,9,0)</f>
        <v>0</v>
      </c>
      <c r="K3127" s="162">
        <v>0</v>
      </c>
      <c r="L3127" s="50">
        <f>VLOOKUP(A3127,[2]data1761205830331!$A$1:$J$65536,10,0)</f>
        <v>1283600</v>
      </c>
    </row>
    <row r="3128" spans="1:12" ht="16.2" thickBot="1">
      <c r="A3128" s="11" t="e">
        <v>#VALUE!</v>
      </c>
      <c r="B3128" s="53" t="s">
        <v>1629</v>
      </c>
      <c r="C3128" s="223"/>
      <c r="D3128" s="55"/>
      <c r="E3128" s="56"/>
      <c r="F3128" s="116" t="s">
        <v>1622</v>
      </c>
      <c r="G3128" s="58"/>
      <c r="H3128" s="166">
        <f>J3128/K3128-1</f>
        <v>-0.90497809217125058</v>
      </c>
      <c r="I3128" s="72"/>
      <c r="J3128" s="74">
        <f>SUBTOTAL(9,J3119:J3127)</f>
        <v>180000</v>
      </c>
      <c r="K3128" s="74">
        <f>SUBTOTAL(9,K3119:K3127)</f>
        <v>1894300</v>
      </c>
      <c r="L3128" s="75">
        <f>SUBTOTAL(9,L3119:L3127)</f>
        <v>6223700</v>
      </c>
    </row>
    <row r="3129" spans="1:12" ht="15.6" outlineLevel="1">
      <c r="A3129" s="11">
        <v>18264000</v>
      </c>
      <c r="B3129" s="64">
        <v>0</v>
      </c>
      <c r="C3129" s="131">
        <v>826400</v>
      </c>
      <c r="D3129" s="66">
        <v>1</v>
      </c>
      <c r="E3129" s="67"/>
      <c r="F3129" s="68" t="s">
        <v>488</v>
      </c>
      <c r="G3129" s="69" t="s">
        <v>15</v>
      </c>
      <c r="H3129" s="51"/>
      <c r="I3129" s="47"/>
      <c r="J3129" s="48"/>
      <c r="K3129" s="49"/>
      <c r="L3129" s="50"/>
    </row>
    <row r="3130" spans="1:12" ht="15.6" outlineLevel="1">
      <c r="A3130" s="11">
        <v>1826400441</v>
      </c>
      <c r="B3130" s="40">
        <v>441</v>
      </c>
      <c r="C3130" s="109">
        <v>826400</v>
      </c>
      <c r="D3130" s="42">
        <v>1</v>
      </c>
      <c r="E3130" s="43"/>
      <c r="F3130" s="44" t="s">
        <v>1585</v>
      </c>
      <c r="G3130" s="45" t="s">
        <v>29</v>
      </c>
      <c r="H3130" s="51">
        <f t="shared" si="49"/>
        <v>0</v>
      </c>
      <c r="I3130" s="47"/>
      <c r="J3130" s="48">
        <f>VLOOKUP(A3130,'[1]תקציב 2026'!$A$1:$M$65536,9,0)</f>
        <v>33200</v>
      </c>
      <c r="K3130" s="49">
        <f>VLOOKUP(A3130,[3]גיליון1!$A$1:$C$7693,3,0)</f>
        <v>33200</v>
      </c>
      <c r="L3130" s="50">
        <f>VLOOKUP(A3130,[2]data1761205830331!$A$1:$J$65536,10,0)</f>
        <v>0</v>
      </c>
    </row>
    <row r="3131" spans="1:12" ht="15.6" outlineLevel="1">
      <c r="A3131" s="11">
        <v>1826400786</v>
      </c>
      <c r="B3131" s="40">
        <v>786</v>
      </c>
      <c r="C3131" s="109">
        <v>826400</v>
      </c>
      <c r="D3131" s="42">
        <v>1</v>
      </c>
      <c r="E3131" s="43"/>
      <c r="F3131" s="44" t="s">
        <v>1630</v>
      </c>
      <c r="G3131" s="45" t="s">
        <v>37</v>
      </c>
      <c r="H3131" s="51">
        <f t="shared" si="49"/>
        <v>0.11111111111111116</v>
      </c>
      <c r="I3131" s="47"/>
      <c r="J3131" s="48">
        <f>VLOOKUP(A3131,'[1]תקציב 2026'!$A$1:$M$65536,9,0)</f>
        <v>200000</v>
      </c>
      <c r="K3131" s="49">
        <f>200000*0.9</f>
        <v>180000</v>
      </c>
      <c r="L3131" s="50">
        <f>VLOOKUP(A3131,[2]data1761205830331!$A$1:$J$65536,10,0)</f>
        <v>100000</v>
      </c>
    </row>
    <row r="3132" spans="1:12" ht="15.6" outlineLevel="1">
      <c r="A3132" s="11">
        <v>1826400870</v>
      </c>
      <c r="B3132" s="40">
        <v>870</v>
      </c>
      <c r="C3132" s="109">
        <v>826400</v>
      </c>
      <c r="D3132" s="42">
        <v>1</v>
      </c>
      <c r="E3132" s="43"/>
      <c r="F3132" s="44" t="s">
        <v>1199</v>
      </c>
      <c r="G3132" s="45" t="s">
        <v>37</v>
      </c>
      <c r="H3132" s="51">
        <v>1</v>
      </c>
      <c r="I3132" s="47"/>
      <c r="J3132" s="48">
        <f>VLOOKUP(A3132,'[1]תקציב 2026'!$A$1:$M$65536,9,0)</f>
        <v>733100</v>
      </c>
      <c r="K3132" s="49">
        <f>VLOOKUP(A3132,[3]גיליון1!$A$1:$C$7693,3,0)</f>
        <v>0</v>
      </c>
      <c r="L3132" s="50">
        <f>VLOOKUP(A3132,[2]data1761205830331!$A$1:$J$65536,10,0)</f>
        <v>733100</v>
      </c>
    </row>
    <row r="3133" spans="1:12" ht="15.6" outlineLevel="1">
      <c r="A3133" s="11">
        <v>1826400875</v>
      </c>
      <c r="B3133" s="40">
        <v>875</v>
      </c>
      <c r="C3133" s="109">
        <v>826400</v>
      </c>
      <c r="D3133" s="42">
        <v>1</v>
      </c>
      <c r="E3133" s="43"/>
      <c r="F3133" s="154" t="s">
        <v>1631</v>
      </c>
      <c r="G3133" s="45" t="s">
        <v>29</v>
      </c>
      <c r="H3133" s="51">
        <v>1</v>
      </c>
      <c r="I3133" s="47"/>
      <c r="J3133" s="48">
        <f>VLOOKUP(A3133,'[1]תקציב 2026'!$A$1:$M$65536,9,0)</f>
        <v>243700</v>
      </c>
      <c r="K3133" s="49">
        <f>VLOOKUP(A3133,[3]גיליון1!$A$1:$C$7693,3,0)</f>
        <v>0</v>
      </c>
      <c r="L3133" s="50">
        <f>VLOOKUP(A3133,[2]data1761205830331!$A$1:$J$65536,10,0)</f>
        <v>243700</v>
      </c>
    </row>
    <row r="3134" spans="1:12" ht="15.6" outlineLevel="1">
      <c r="A3134" s="11">
        <v>1826400877</v>
      </c>
      <c r="B3134" s="40">
        <v>877</v>
      </c>
      <c r="C3134" s="109">
        <v>826400</v>
      </c>
      <c r="D3134" s="42">
        <v>1</v>
      </c>
      <c r="E3134" s="43"/>
      <c r="F3134" s="44" t="s">
        <v>32</v>
      </c>
      <c r="G3134" s="45" t="s">
        <v>29</v>
      </c>
      <c r="H3134" s="51">
        <v>1</v>
      </c>
      <c r="I3134" s="47"/>
      <c r="J3134" s="48">
        <f>VLOOKUP(A3134,'[1]תקציב 2026'!$A$1:$M$65536,9,0)</f>
        <v>130000</v>
      </c>
      <c r="K3134" s="49">
        <f>VLOOKUP(A3134,[3]גיליון1!$A$1:$C$7693,3,0)</f>
        <v>0</v>
      </c>
      <c r="L3134" s="50">
        <f>VLOOKUP(A3134,[2]data1761205830331!$A$1:$J$65536,10,0)</f>
        <v>51426.41</v>
      </c>
    </row>
    <row r="3135" spans="1:12" ht="16.2" outlineLevel="1" thickBot="1">
      <c r="A3135" s="11">
        <v>1826400879</v>
      </c>
      <c r="B3135" s="40">
        <v>879</v>
      </c>
      <c r="C3135" s="109">
        <v>826400</v>
      </c>
      <c r="D3135" s="42">
        <v>1</v>
      </c>
      <c r="E3135" s="43"/>
      <c r="F3135" s="44" t="s">
        <v>1606</v>
      </c>
      <c r="G3135" s="45" t="s">
        <v>29</v>
      </c>
      <c r="H3135" s="51">
        <f t="shared" si="49"/>
        <v>0</v>
      </c>
      <c r="I3135" s="47"/>
      <c r="J3135" s="48">
        <f>VLOOKUP(A3135,'[1]תקציב 2026'!$A$1:$M$65536,9,0)</f>
        <v>13500</v>
      </c>
      <c r="K3135" s="49">
        <f>VLOOKUP(A3135,[3]גיליון1!$A$1:$C$7693,3,0)</f>
        <v>13500</v>
      </c>
      <c r="L3135" s="50">
        <f>VLOOKUP(A3135,[2]data1761205830331!$A$1:$J$65536,10,0)</f>
        <v>13500</v>
      </c>
    </row>
    <row r="3136" spans="1:12" ht="16.2" thickBot="1">
      <c r="A3136" s="11" t="e">
        <v>#VALUE!</v>
      </c>
      <c r="B3136" s="53" t="s">
        <v>1632</v>
      </c>
      <c r="C3136" s="223"/>
      <c r="D3136" s="55"/>
      <c r="E3136" s="56"/>
      <c r="F3136" s="116" t="s">
        <v>488</v>
      </c>
      <c r="G3136" s="58"/>
      <c r="H3136" s="166">
        <f>J3136/K3136-1</f>
        <v>4.970445522717247</v>
      </c>
      <c r="I3136" s="72"/>
      <c r="J3136" s="74">
        <f>SUBTOTAL(9,J3130:J3135)</f>
        <v>1353500</v>
      </c>
      <c r="K3136" s="92">
        <f>SUBTOTAL(9,K3130:K3135)</f>
        <v>226700</v>
      </c>
      <c r="L3136" s="75">
        <f>SUBTOTAL(9,L3130:L3135)</f>
        <v>1141726.4099999999</v>
      </c>
    </row>
    <row r="3137" spans="1:12" ht="15.6" outlineLevel="1">
      <c r="A3137" s="11">
        <v>18265000</v>
      </c>
      <c r="B3137" s="40">
        <v>0</v>
      </c>
      <c r="C3137" s="109">
        <v>826500</v>
      </c>
      <c r="D3137" s="42">
        <v>1</v>
      </c>
      <c r="E3137" s="43"/>
      <c r="F3137" s="44" t="s">
        <v>1633</v>
      </c>
      <c r="G3137" s="45" t="s">
        <v>15</v>
      </c>
      <c r="H3137" s="51"/>
      <c r="I3137" s="47"/>
      <c r="J3137" s="48"/>
      <c r="K3137" s="49"/>
      <c r="L3137" s="50"/>
    </row>
    <row r="3138" spans="1:12" ht="15.6" outlineLevel="1">
      <c r="A3138" s="11">
        <v>1826500119</v>
      </c>
      <c r="B3138" s="40">
        <v>119</v>
      </c>
      <c r="C3138" s="109">
        <v>826500</v>
      </c>
      <c r="D3138" s="42">
        <v>1</v>
      </c>
      <c r="E3138" s="43"/>
      <c r="F3138" s="44" t="s">
        <v>23</v>
      </c>
      <c r="G3138" s="45" t="s">
        <v>22</v>
      </c>
      <c r="H3138" s="51">
        <f t="shared" si="49"/>
        <v>-1</v>
      </c>
      <c r="I3138" s="47"/>
      <c r="J3138" s="48">
        <f>VLOOKUP(A3138,'[1]תקציב 2026'!$A$1:$M$65536,9,0)</f>
        <v>0</v>
      </c>
      <c r="K3138" s="49">
        <f>667200+210000</f>
        <v>877200</v>
      </c>
      <c r="L3138" s="50">
        <f>VLOOKUP(A3138,[2]data1761205830331!$A$1:$J$65536,10,0)</f>
        <v>556039.05000000005</v>
      </c>
    </row>
    <row r="3139" spans="1:12" ht="15.6" outlineLevel="1">
      <c r="A3139" s="11">
        <v>1826500122</v>
      </c>
      <c r="B3139" s="40">
        <v>122</v>
      </c>
      <c r="C3139" s="109">
        <v>826500</v>
      </c>
      <c r="D3139" s="42">
        <v>1</v>
      </c>
      <c r="E3139" s="43"/>
      <c r="F3139" s="44" t="s">
        <v>24</v>
      </c>
      <c r="G3139" s="45" t="s">
        <v>22</v>
      </c>
      <c r="H3139" s="51">
        <f t="shared" si="49"/>
        <v>-1</v>
      </c>
      <c r="I3139" s="47"/>
      <c r="J3139" s="48">
        <f>VLOOKUP(A3139,'[1]תקציב 2026'!$A$1:$M$65536,9,0)</f>
        <v>0</v>
      </c>
      <c r="K3139" s="49">
        <f>VLOOKUP(A3139,[3]גיליון1!$A$1:$C$7693,3,0)</f>
        <v>5500</v>
      </c>
      <c r="L3139" s="50">
        <f>VLOOKUP(A3139,[2]data1761205830331!$A$1:$J$65536,10,0)</f>
        <v>5394.05</v>
      </c>
    </row>
    <row r="3140" spans="1:12" ht="15.6" outlineLevel="1">
      <c r="A3140" s="11">
        <v>1826500126</v>
      </c>
      <c r="B3140" s="40">
        <v>126</v>
      </c>
      <c r="C3140" s="109">
        <v>826500</v>
      </c>
      <c r="D3140" s="42">
        <v>1</v>
      </c>
      <c r="E3140" s="43"/>
      <c r="F3140" s="44" t="s">
        <v>25</v>
      </c>
      <c r="G3140" s="45" t="s">
        <v>22</v>
      </c>
      <c r="H3140" s="51">
        <f t="shared" si="49"/>
        <v>-1</v>
      </c>
      <c r="I3140" s="47"/>
      <c r="J3140" s="48">
        <f>VLOOKUP(A3140,'[1]תקציב 2026'!$A$1:$M$65536,9,0)</f>
        <v>0</v>
      </c>
      <c r="K3140" s="49">
        <f>VLOOKUP(A3140,[3]גיליון1!$A$1:$C$7693,3,0)</f>
        <v>12000</v>
      </c>
      <c r="L3140" s="50">
        <f>VLOOKUP(A3140,[2]data1761205830331!$A$1:$J$65536,10,0)</f>
        <v>10842.2</v>
      </c>
    </row>
    <row r="3141" spans="1:12" ht="15.6" outlineLevel="1">
      <c r="A3141" s="11">
        <v>1826500130</v>
      </c>
      <c r="B3141" s="40">
        <v>130</v>
      </c>
      <c r="C3141" s="109">
        <v>826500</v>
      </c>
      <c r="D3141" s="42">
        <v>1</v>
      </c>
      <c r="E3141" s="43"/>
      <c r="F3141" s="44" t="s">
        <v>26</v>
      </c>
      <c r="G3141" s="45" t="s">
        <v>22</v>
      </c>
      <c r="H3141" s="51">
        <f t="shared" si="49"/>
        <v>-1</v>
      </c>
      <c r="I3141" s="47"/>
      <c r="J3141" s="48">
        <f>VLOOKUP(A3141,'[1]תקציב 2026'!$A$1:$M$65536,9,0)</f>
        <v>0</v>
      </c>
      <c r="K3141" s="49">
        <f>VLOOKUP(A3141,[3]גיליון1!$A$1:$C$7693,3,0)*0.86-4</f>
        <v>25280</v>
      </c>
      <c r="L3141" s="50">
        <f>VLOOKUP(A3141,[2]data1761205830331!$A$1:$J$65536,10,0)</f>
        <v>30695.74</v>
      </c>
    </row>
    <row r="3142" spans="1:12" ht="15.6" outlineLevel="1">
      <c r="A3142" s="11">
        <v>1826500140</v>
      </c>
      <c r="B3142" s="40">
        <v>140</v>
      </c>
      <c r="C3142" s="109">
        <v>826500</v>
      </c>
      <c r="D3142" s="42">
        <v>1</v>
      </c>
      <c r="E3142" s="43"/>
      <c r="F3142" s="44" t="s">
        <v>27</v>
      </c>
      <c r="G3142" s="45" t="s">
        <v>22</v>
      </c>
      <c r="H3142" s="51">
        <f t="shared" si="49"/>
        <v>-1</v>
      </c>
      <c r="I3142" s="47"/>
      <c r="J3142" s="48">
        <f>VLOOKUP(A3142,'[1]תקציב 2026'!$A$1:$M$65536,9,0)</f>
        <v>0</v>
      </c>
      <c r="K3142" s="49">
        <f>VLOOKUP(A3142,[3]גיליון1!$A$1:$C$7693,3,0)</f>
        <v>45500</v>
      </c>
      <c r="L3142" s="50">
        <f>VLOOKUP(A3142,[2]data1761205830331!$A$1:$J$65536,10,0)</f>
        <v>25770.639999999999</v>
      </c>
    </row>
    <row r="3143" spans="1:12" ht="15.6" outlineLevel="1">
      <c r="A3143" s="11">
        <v>1826500210</v>
      </c>
      <c r="B3143" s="40">
        <v>210</v>
      </c>
      <c r="C3143" s="109">
        <v>826500</v>
      </c>
      <c r="D3143" s="42">
        <v>1</v>
      </c>
      <c r="E3143" s="43"/>
      <c r="F3143" s="44" t="s">
        <v>1276</v>
      </c>
      <c r="G3143" s="45" t="s">
        <v>22</v>
      </c>
      <c r="H3143" s="51">
        <f t="shared" si="49"/>
        <v>-1</v>
      </c>
      <c r="I3143" s="47"/>
      <c r="J3143" s="48">
        <f>VLOOKUP(A3143,'[1]תקציב 2026'!$A$1:$M$65536,9,0)</f>
        <v>0</v>
      </c>
      <c r="K3143" s="49">
        <v>24000</v>
      </c>
      <c r="L3143" s="50">
        <f>VLOOKUP(A3143,[2]data1761205830331!$A$1:$J$65536,10,0)</f>
        <v>17550.29</v>
      </c>
    </row>
    <row r="3144" spans="1:12" ht="15.6" outlineLevel="1">
      <c r="A3144" s="11">
        <v>1826500350</v>
      </c>
      <c r="B3144" s="40">
        <v>350</v>
      </c>
      <c r="C3144" s="109">
        <v>826500</v>
      </c>
      <c r="D3144" s="42">
        <v>1</v>
      </c>
      <c r="E3144" s="43"/>
      <c r="F3144" s="44" t="s">
        <v>1634</v>
      </c>
      <c r="G3144" s="45" t="s">
        <v>22</v>
      </c>
      <c r="H3144" s="51">
        <f t="shared" si="49"/>
        <v>-1</v>
      </c>
      <c r="I3144" s="47"/>
      <c r="J3144" s="48">
        <f>VLOOKUP(A3144,'[1]תקציב 2026'!$A$1:$M$65536,9,0)</f>
        <v>0</v>
      </c>
      <c r="K3144" s="49">
        <f>VLOOKUP(A3144,[3]גיליון1!$A$1:$C$7693,3,0)</f>
        <v>46000</v>
      </c>
      <c r="L3144" s="50">
        <f>VLOOKUP(A3144,[2]data1761205830331!$A$1:$J$65536,10,0)</f>
        <v>46050.96</v>
      </c>
    </row>
    <row r="3145" spans="1:12" ht="15.6" outlineLevel="1">
      <c r="A3145" s="11">
        <v>1826500351</v>
      </c>
      <c r="B3145" s="40">
        <v>351</v>
      </c>
      <c r="C3145" s="109">
        <v>826500</v>
      </c>
      <c r="D3145" s="42">
        <v>1</v>
      </c>
      <c r="E3145" s="43"/>
      <c r="F3145" s="44" t="s">
        <v>1635</v>
      </c>
      <c r="G3145" s="45" t="s">
        <v>22</v>
      </c>
      <c r="H3145" s="51">
        <f t="shared" si="49"/>
        <v>-1</v>
      </c>
      <c r="I3145" s="47"/>
      <c r="J3145" s="48">
        <f>VLOOKUP(A3145,'[1]תקציב 2026'!$A$1:$M$65536,9,0)</f>
        <v>0</v>
      </c>
      <c r="K3145" s="49">
        <f>VLOOKUP(A3145,[3]גיליון1!$A$1:$C$7693,3,0)</f>
        <v>30500</v>
      </c>
      <c r="L3145" s="50">
        <f>VLOOKUP(A3145,[2]data1761205830331!$A$1:$J$65536,10,0)</f>
        <v>35499.980000000003</v>
      </c>
    </row>
    <row r="3146" spans="1:12" ht="15.6" outlineLevel="1">
      <c r="A3146" s="11">
        <v>1826500471</v>
      </c>
      <c r="B3146" s="40">
        <v>471</v>
      </c>
      <c r="C3146" s="109">
        <v>826500</v>
      </c>
      <c r="D3146" s="42">
        <v>1</v>
      </c>
      <c r="E3146" s="43"/>
      <c r="F3146" s="44" t="s">
        <v>71</v>
      </c>
      <c r="G3146" s="45" t="s">
        <v>37</v>
      </c>
      <c r="H3146" s="51">
        <f t="shared" si="49"/>
        <v>-1</v>
      </c>
      <c r="I3146" s="47"/>
      <c r="J3146" s="48">
        <f>VLOOKUP(A3146,'[1]תקציב 2026'!$A$1:$M$65536,9,0)</f>
        <v>0</v>
      </c>
      <c r="K3146" s="49">
        <f>VLOOKUP(A3146,[3]גיליון1!$A$1:$C$7693,3,0)*0.9</f>
        <v>2160</v>
      </c>
      <c r="L3146" s="50">
        <f>VLOOKUP(A3146,[2]data1761205830331!$A$1:$J$65536,10,0)</f>
        <v>2215.39</v>
      </c>
    </row>
    <row r="3147" spans="1:12" ht="15.6" outlineLevel="1">
      <c r="A3147" s="11">
        <v>1826500511</v>
      </c>
      <c r="B3147" s="40">
        <v>511</v>
      </c>
      <c r="C3147" s="109">
        <v>826500</v>
      </c>
      <c r="D3147" s="42">
        <v>1</v>
      </c>
      <c r="E3147" s="43"/>
      <c r="F3147" s="44" t="s">
        <v>72</v>
      </c>
      <c r="G3147" s="45" t="s">
        <v>37</v>
      </c>
      <c r="H3147" s="51">
        <f t="shared" si="49"/>
        <v>-1</v>
      </c>
      <c r="I3147" s="47"/>
      <c r="J3147" s="48">
        <f>VLOOKUP(A3147,'[1]תקציב 2026'!$A$1:$M$65536,9,0)</f>
        <v>0</v>
      </c>
      <c r="K3147" s="49">
        <f>2000*0.9</f>
        <v>1800</v>
      </c>
      <c r="L3147" s="50">
        <f>VLOOKUP(A3147,[2]data1761205830331!$A$1:$J$65536,10,0)</f>
        <v>1120.03</v>
      </c>
    </row>
    <row r="3148" spans="1:12" ht="15.6" outlineLevel="1">
      <c r="A3148" s="11">
        <v>1826500571</v>
      </c>
      <c r="B3148" s="40">
        <v>571</v>
      </c>
      <c r="C3148" s="109">
        <v>826500</v>
      </c>
      <c r="D3148" s="42">
        <v>1</v>
      </c>
      <c r="E3148" s="43"/>
      <c r="F3148" s="44" t="s">
        <v>75</v>
      </c>
      <c r="G3148" s="45" t="s">
        <v>29</v>
      </c>
      <c r="H3148" s="51">
        <f t="shared" si="49"/>
        <v>1.6411290322580645</v>
      </c>
      <c r="I3148" s="47"/>
      <c r="J3148" s="48">
        <f>VLOOKUP(A3148,'[1]תקציב 2026'!$A$1:$M$65536,9,0)</f>
        <v>131000</v>
      </c>
      <c r="K3148" s="49">
        <v>49600</v>
      </c>
      <c r="L3148" s="50">
        <f>VLOOKUP(A3148,[2]data1761205830331!$A$1:$J$65536,10,0)</f>
        <v>43600</v>
      </c>
    </row>
    <row r="3149" spans="1:12" ht="15.6" outlineLevel="1">
      <c r="A3149" s="11">
        <v>1826500782</v>
      </c>
      <c r="B3149" s="40">
        <v>782</v>
      </c>
      <c r="C3149" s="109">
        <v>826500</v>
      </c>
      <c r="D3149" s="42">
        <v>1</v>
      </c>
      <c r="E3149" s="43"/>
      <c r="F3149" s="44" t="s">
        <v>1151</v>
      </c>
      <c r="G3149" s="45" t="s">
        <v>37</v>
      </c>
      <c r="H3149" s="51">
        <f t="shared" si="49"/>
        <v>0</v>
      </c>
      <c r="I3149" s="47"/>
      <c r="J3149" s="48">
        <f>VLOOKUP(A3149,'[1]תקציב 2026'!$A$1:$M$65536,9,0)</f>
        <v>5810000</v>
      </c>
      <c r="K3149" s="49">
        <v>5810000</v>
      </c>
      <c r="L3149" s="50">
        <f>VLOOKUP(A3149,[2]data1761205830331!$A$1:$J$65536,10,0)</f>
        <v>6449705.8700000001</v>
      </c>
    </row>
    <row r="3150" spans="1:12" ht="15.6" outlineLevel="1">
      <c r="A3150" s="11">
        <v>1826500783</v>
      </c>
      <c r="B3150" s="40">
        <v>783</v>
      </c>
      <c r="C3150" s="109">
        <v>826500</v>
      </c>
      <c r="D3150" s="42">
        <v>1</v>
      </c>
      <c r="E3150" s="43"/>
      <c r="F3150" s="44" t="s">
        <v>1636</v>
      </c>
      <c r="G3150" s="45" t="s">
        <v>37</v>
      </c>
      <c r="H3150" s="51">
        <f t="shared" si="49"/>
        <v>0</v>
      </c>
      <c r="I3150" s="47"/>
      <c r="J3150" s="48">
        <f>VLOOKUP(A3150,'[1]תקציב 2026'!$A$1:$M$65536,9,0)</f>
        <v>360000</v>
      </c>
      <c r="K3150" s="49">
        <f>VLOOKUP(A3150,[3]גיליון1!$A$1:$C$7693,3,0)*0.9</f>
        <v>360000</v>
      </c>
      <c r="L3150" s="50">
        <f>VLOOKUP(A3150,[2]data1761205830331!$A$1:$J$65536,10,0)</f>
        <v>394169.99</v>
      </c>
    </row>
    <row r="3151" spans="1:12" ht="15.6" outlineLevel="1">
      <c r="A3151" s="11">
        <v>1826500785</v>
      </c>
      <c r="B3151" s="40">
        <v>785</v>
      </c>
      <c r="C3151" s="109">
        <v>826500</v>
      </c>
      <c r="D3151" s="42">
        <v>1</v>
      </c>
      <c r="E3151" s="43"/>
      <c r="F3151" s="44" t="s">
        <v>1637</v>
      </c>
      <c r="G3151" s="45" t="s">
        <v>29</v>
      </c>
      <c r="H3151" s="51">
        <f t="shared" si="49"/>
        <v>-1</v>
      </c>
      <c r="I3151" s="47"/>
      <c r="J3151" s="48">
        <f>VLOOKUP(A3151,'[1]תקציב 2026'!$A$1:$M$65536,9,0)</f>
        <v>0</v>
      </c>
      <c r="K3151" s="49">
        <v>1000000</v>
      </c>
      <c r="L3151" s="50">
        <f>VLOOKUP(A3151,[2]data1761205830331!$A$1:$J$65536,10,0)</f>
        <v>0</v>
      </c>
    </row>
    <row r="3152" spans="1:12" ht="15.6" outlineLevel="1">
      <c r="A3152" s="11">
        <v>1826500788</v>
      </c>
      <c r="B3152" s="40">
        <v>788</v>
      </c>
      <c r="C3152" s="109">
        <v>826500</v>
      </c>
      <c r="D3152" s="42">
        <v>1</v>
      </c>
      <c r="E3152" s="43"/>
      <c r="F3152" s="44" t="s">
        <v>492</v>
      </c>
      <c r="G3152" s="45" t="s">
        <v>37</v>
      </c>
      <c r="H3152" s="51">
        <v>1</v>
      </c>
      <c r="I3152" s="47" t="s">
        <v>137</v>
      </c>
      <c r="J3152" s="48">
        <f>VLOOKUP(A3152,'[1]תקציב 2026'!$A$1:$M$65536,9,0)</f>
        <v>250000</v>
      </c>
      <c r="K3152" s="49">
        <v>0</v>
      </c>
      <c r="L3152" s="50">
        <v>0</v>
      </c>
    </row>
    <row r="3153" spans="1:12" ht="16.2" outlineLevel="1" thickBot="1">
      <c r="A3153" s="11">
        <v>1826500794</v>
      </c>
      <c r="B3153" s="40">
        <v>794</v>
      </c>
      <c r="C3153" s="109">
        <v>826500</v>
      </c>
      <c r="D3153" s="42">
        <v>1</v>
      </c>
      <c r="E3153" s="43"/>
      <c r="F3153" s="44" t="s">
        <v>58</v>
      </c>
      <c r="G3153" s="45" t="s">
        <v>29</v>
      </c>
      <c r="H3153" s="51">
        <f t="shared" si="49"/>
        <v>0</v>
      </c>
      <c r="I3153" s="47"/>
      <c r="J3153" s="48">
        <f>VLOOKUP(A3153,'[1]תקציב 2026'!$A$1:$M$65536,9,0)</f>
        <v>11300</v>
      </c>
      <c r="K3153" s="49">
        <v>11300</v>
      </c>
      <c r="L3153" s="50">
        <f>VLOOKUP(A3153,[2]data1761205830331!$A$1:$J$65536,10,0)</f>
        <v>12165</v>
      </c>
    </row>
    <row r="3154" spans="1:12" ht="16.2" thickBot="1">
      <c r="A3154" s="11" t="e">
        <v>#VALUE!</v>
      </c>
      <c r="B3154" s="53" t="s">
        <v>1638</v>
      </c>
      <c r="C3154" s="223"/>
      <c r="D3154" s="55"/>
      <c r="E3154" s="56"/>
      <c r="F3154" s="116" t="s">
        <v>1633</v>
      </c>
      <c r="G3154" s="58"/>
      <c r="H3154" s="166">
        <f>J3154/K3154-1</f>
        <v>-0.2094414541178965</v>
      </c>
      <c r="I3154" s="72"/>
      <c r="J3154" s="74">
        <f>SUBTOTAL(9,J3138:J3153)</f>
        <v>6562300</v>
      </c>
      <c r="K3154" s="92">
        <f>SUBTOTAL(9,K3138:K3153)</f>
        <v>8300840</v>
      </c>
      <c r="L3154" s="75">
        <f>SUBTOTAL(9,L3138:L3153)</f>
        <v>7630819.1900000004</v>
      </c>
    </row>
    <row r="3155" spans="1:12" ht="15.6" outlineLevel="1">
      <c r="A3155" s="11">
        <v>18267000</v>
      </c>
      <c r="B3155" s="40">
        <v>0</v>
      </c>
      <c r="C3155" s="109">
        <v>826700</v>
      </c>
      <c r="D3155" s="42">
        <v>1</v>
      </c>
      <c r="E3155" s="43"/>
      <c r="F3155" s="44" t="s">
        <v>1639</v>
      </c>
      <c r="G3155" s="45" t="s">
        <v>15</v>
      </c>
      <c r="H3155" s="51"/>
      <c r="I3155" s="47"/>
      <c r="J3155" s="48"/>
      <c r="K3155" s="49"/>
      <c r="L3155" s="50"/>
    </row>
    <row r="3156" spans="1:12" ht="15.6" outlineLevel="1">
      <c r="A3156" s="11">
        <v>1826700780</v>
      </c>
      <c r="B3156" s="40">
        <v>780</v>
      </c>
      <c r="C3156" s="109">
        <v>826700</v>
      </c>
      <c r="D3156" s="42">
        <v>1</v>
      </c>
      <c r="E3156" s="43"/>
      <c r="F3156" s="44" t="s">
        <v>1640</v>
      </c>
      <c r="G3156" s="45" t="s">
        <v>29</v>
      </c>
      <c r="H3156" s="51">
        <f t="shared" si="49"/>
        <v>-1</v>
      </c>
      <c r="I3156" s="47"/>
      <c r="J3156" s="48">
        <f>VLOOKUP(A3156,'[1]תקציב 2026'!$A$1:$M$65536,9,0)</f>
        <v>0</v>
      </c>
      <c r="K3156" s="49">
        <f>VLOOKUP(A3156,[3]גיליון1!$A$1:$C$7693,3,0)*0.9</f>
        <v>315000</v>
      </c>
      <c r="L3156" s="50">
        <f>VLOOKUP(A3156,[2]data1761205830331!$A$1:$J$65536,10,0)</f>
        <v>180823</v>
      </c>
    </row>
    <row r="3157" spans="1:12" ht="15.6" outlineLevel="1">
      <c r="A3157" s="11">
        <v>1826700870</v>
      </c>
      <c r="B3157" s="40">
        <v>870</v>
      </c>
      <c r="C3157" s="109">
        <v>826700</v>
      </c>
      <c r="D3157" s="42">
        <v>1</v>
      </c>
      <c r="E3157" s="43"/>
      <c r="F3157" s="44" t="s">
        <v>1641</v>
      </c>
      <c r="G3157" s="45" t="s">
        <v>37</v>
      </c>
      <c r="H3157" s="51">
        <f t="shared" si="49"/>
        <v>-1</v>
      </c>
      <c r="I3157" s="47"/>
      <c r="J3157" s="48">
        <f>VLOOKUP(A3157,'[1]תקציב 2026'!$A$1:$M$65536,9,0)</f>
        <v>0</v>
      </c>
      <c r="K3157" s="49">
        <f>1042500*0.9</f>
        <v>938250</v>
      </c>
      <c r="L3157" s="50">
        <f>VLOOKUP(A3157,[2]data1761205830331!$A$1:$J$65536,10,0)</f>
        <v>1042500</v>
      </c>
    </row>
    <row r="3158" spans="1:12" ht="15.6" outlineLevel="1">
      <c r="A3158" s="11">
        <v>1826700871</v>
      </c>
      <c r="B3158" s="40">
        <v>871</v>
      </c>
      <c r="C3158" s="109">
        <v>826700</v>
      </c>
      <c r="D3158" s="42">
        <v>1</v>
      </c>
      <c r="E3158" s="43"/>
      <c r="F3158" s="44" t="s">
        <v>1642</v>
      </c>
      <c r="G3158" s="45" t="s">
        <v>37</v>
      </c>
      <c r="H3158" s="51">
        <v>0</v>
      </c>
      <c r="I3158" s="47"/>
      <c r="J3158" s="48">
        <f>VLOOKUP(A3158,'[1]תקציב 2026'!$A$1:$M$65536,9,0)</f>
        <v>0</v>
      </c>
      <c r="K3158" s="49">
        <f>VLOOKUP(A3158,[3]גיליון1!$A$1:$C$7693,3,0)</f>
        <v>0</v>
      </c>
      <c r="L3158" s="50">
        <f>VLOOKUP(A3158,[2]data1761205830331!$A$1:$J$65536,10,0)</f>
        <v>0.66</v>
      </c>
    </row>
    <row r="3159" spans="1:12" ht="15.6" outlineLevel="1">
      <c r="A3159" s="11">
        <v>1826700872</v>
      </c>
      <c r="B3159" s="40">
        <v>872</v>
      </c>
      <c r="C3159" s="109">
        <v>826700</v>
      </c>
      <c r="D3159" s="42">
        <v>1</v>
      </c>
      <c r="E3159" s="43"/>
      <c r="F3159" s="155" t="s">
        <v>1643</v>
      </c>
      <c r="G3159" s="45" t="s">
        <v>37</v>
      </c>
      <c r="H3159" s="51">
        <v>0</v>
      </c>
      <c r="I3159" s="47"/>
      <c r="J3159" s="48">
        <f>VLOOKUP(A3159,'[1]תקציב 2026'!$A$1:$M$65536,9,0)</f>
        <v>0</v>
      </c>
      <c r="K3159" s="49">
        <v>0</v>
      </c>
      <c r="L3159" s="50">
        <f>VLOOKUP(A3159,[2]data1761205830331!$A$1:$J$65536,10,0)</f>
        <v>332801.68</v>
      </c>
    </row>
    <row r="3160" spans="1:12" ht="15.6" outlineLevel="1">
      <c r="A3160" s="11">
        <v>1826700874</v>
      </c>
      <c r="B3160" s="40">
        <v>874</v>
      </c>
      <c r="C3160" s="109">
        <v>826700</v>
      </c>
      <c r="D3160" s="42">
        <v>1</v>
      </c>
      <c r="E3160" s="43"/>
      <c r="F3160" s="44" t="s">
        <v>1644</v>
      </c>
      <c r="G3160" s="45" t="s">
        <v>37</v>
      </c>
      <c r="H3160" s="51">
        <f t="shared" ref="H3160:H3223" si="50">J3160/K3160-1</f>
        <v>-1</v>
      </c>
      <c r="I3160" s="47"/>
      <c r="J3160" s="48">
        <f>VLOOKUP(A3160,'[1]תקציב 2026'!$A$1:$M$65536,9,0)</f>
        <v>0</v>
      </c>
      <c r="K3160" s="49">
        <f>62200*0.9</f>
        <v>55980</v>
      </c>
      <c r="L3160" s="50">
        <f>VLOOKUP(A3160,[2]data1761205830331!$A$1:$J$65536,10,0)</f>
        <v>0.66</v>
      </c>
    </row>
    <row r="3161" spans="1:12" ht="16.2" outlineLevel="1" thickBot="1">
      <c r="A3161" s="11">
        <v>1826700875</v>
      </c>
      <c r="B3161" s="40">
        <v>875</v>
      </c>
      <c r="C3161" s="109">
        <v>826700</v>
      </c>
      <c r="D3161" s="42">
        <v>1</v>
      </c>
      <c r="E3161" s="43"/>
      <c r="F3161" s="44" t="s">
        <v>1645</v>
      </c>
      <c r="G3161" s="45" t="s">
        <v>37</v>
      </c>
      <c r="H3161" s="51">
        <v>0</v>
      </c>
      <c r="I3161" s="47"/>
      <c r="J3161" s="48">
        <f>VLOOKUP(A3161,'[1]תקציב 2026'!$A$1:$M$65536,9,0)</f>
        <v>0</v>
      </c>
      <c r="K3161" s="49">
        <v>0</v>
      </c>
      <c r="L3161" s="50">
        <f>VLOOKUP(A3161,[2]data1761205830331!$A$1:$J$65536,10,0)</f>
        <v>46300.32</v>
      </c>
    </row>
    <row r="3162" spans="1:12" ht="16.2" thickBot="1">
      <c r="A3162" s="11" t="e">
        <v>#VALUE!</v>
      </c>
      <c r="B3162" s="157" t="s">
        <v>1646</v>
      </c>
      <c r="C3162" s="223"/>
      <c r="D3162" s="55"/>
      <c r="E3162" s="56"/>
      <c r="F3162" s="116" t="s">
        <v>495</v>
      </c>
      <c r="G3162" s="58"/>
      <c r="H3162" s="71">
        <f>J3162/K3162-1</f>
        <v>-1</v>
      </c>
      <c r="I3162" s="72"/>
      <c r="J3162" s="74">
        <f>SUBTOTAL(9,J3156:J3161)</f>
        <v>0</v>
      </c>
      <c r="K3162" s="92">
        <f>SUBTOTAL(9,K3156:K3161)</f>
        <v>1309230</v>
      </c>
      <c r="L3162" s="75">
        <f>SUBTOTAL(9,L3156:L3161)</f>
        <v>1602426.3199999998</v>
      </c>
    </row>
    <row r="3163" spans="1:12" ht="15.6" outlineLevel="1">
      <c r="A3163" s="11">
        <v>18268000</v>
      </c>
      <c r="B3163" s="40">
        <v>0</v>
      </c>
      <c r="C3163" s="109">
        <v>826800</v>
      </c>
      <c r="D3163" s="42">
        <v>1</v>
      </c>
      <c r="E3163" s="43"/>
      <c r="F3163" s="44" t="s">
        <v>498</v>
      </c>
      <c r="G3163" s="45" t="s">
        <v>15</v>
      </c>
      <c r="H3163" s="51"/>
      <c r="I3163" s="47"/>
      <c r="J3163" s="48"/>
      <c r="K3163" s="49"/>
      <c r="L3163" s="50"/>
    </row>
    <row r="3164" spans="1:12" ht="15.6" outlineLevel="1">
      <c r="A3164" s="11">
        <v>1826800441</v>
      </c>
      <c r="B3164" s="40">
        <v>441</v>
      </c>
      <c r="C3164" s="109">
        <v>826800</v>
      </c>
      <c r="D3164" s="42">
        <v>1</v>
      </c>
      <c r="E3164" s="43"/>
      <c r="F3164" s="44" t="s">
        <v>794</v>
      </c>
      <c r="G3164" s="45" t="s">
        <v>29</v>
      </c>
      <c r="H3164" s="51">
        <f t="shared" si="50"/>
        <v>0</v>
      </c>
      <c r="I3164" s="47"/>
      <c r="J3164" s="48">
        <f>VLOOKUP(A3164,'[1]תקציב 2026'!$A$1:$M$65536,9,0)</f>
        <v>110500</v>
      </c>
      <c r="K3164" s="49">
        <f>VLOOKUP(A3164,[3]גיליון1!$A$1:$C$7693,3,0)</f>
        <v>110500</v>
      </c>
      <c r="L3164" s="50">
        <f>VLOOKUP(A3164,[2]data1761205830331!$A$1:$J$65536,10,0)</f>
        <v>0</v>
      </c>
    </row>
    <row r="3165" spans="1:12" ht="15.6" outlineLevel="1">
      <c r="A3165" s="11">
        <v>1826800870</v>
      </c>
      <c r="B3165" s="40">
        <v>870</v>
      </c>
      <c r="C3165" s="109">
        <v>826800</v>
      </c>
      <c r="D3165" s="42">
        <v>1</v>
      </c>
      <c r="E3165" s="43"/>
      <c r="F3165" s="235" t="s">
        <v>1647</v>
      </c>
      <c r="G3165" s="45" t="s">
        <v>37</v>
      </c>
      <c r="H3165" s="51">
        <v>0</v>
      </c>
      <c r="I3165" s="47"/>
      <c r="J3165" s="48">
        <f>VLOOKUP(A3165,'[1]תקציב 2026'!$A$1:$M$65536,9,0)</f>
        <v>0</v>
      </c>
      <c r="K3165" s="49">
        <v>0</v>
      </c>
      <c r="L3165" s="50">
        <f>VLOOKUP(A3165,[2]data1761205830331!$A$1:$J$65536,10,0)</f>
        <v>3938200</v>
      </c>
    </row>
    <row r="3166" spans="1:12" ht="15.6" outlineLevel="1">
      <c r="A3166" s="11">
        <v>1826800879</v>
      </c>
      <c r="B3166" s="40">
        <v>879</v>
      </c>
      <c r="C3166" s="109">
        <v>826800</v>
      </c>
      <c r="D3166" s="42">
        <v>1</v>
      </c>
      <c r="E3166" s="43"/>
      <c r="F3166" s="44" t="s">
        <v>1593</v>
      </c>
      <c r="G3166" s="45" t="s">
        <v>29</v>
      </c>
      <c r="H3166" s="51">
        <f t="shared" si="50"/>
        <v>0</v>
      </c>
      <c r="I3166" s="47"/>
      <c r="J3166" s="48">
        <f>VLOOKUP(A3166,'[1]תקציב 2026'!$A$1:$M$65536,9,0)</f>
        <v>45000</v>
      </c>
      <c r="K3166" s="49">
        <f>VLOOKUP(A3166,[3]גיליון1!$A$1:$C$7693,3,0)</f>
        <v>45000</v>
      </c>
      <c r="L3166" s="50">
        <f>VLOOKUP(A3166,[2]data1761205830331!$A$1:$J$65536,10,0)</f>
        <v>45000</v>
      </c>
    </row>
    <row r="3167" spans="1:12" ht="16.2" outlineLevel="1" thickBot="1">
      <c r="A3167" s="11">
        <v>1826800981</v>
      </c>
      <c r="B3167" s="119">
        <v>981</v>
      </c>
      <c r="C3167" s="120">
        <v>826800</v>
      </c>
      <c r="D3167" s="121">
        <v>1</v>
      </c>
      <c r="E3167" s="201"/>
      <c r="F3167" s="44" t="s">
        <v>1594</v>
      </c>
      <c r="G3167" s="153" t="s">
        <v>37</v>
      </c>
      <c r="H3167" s="51">
        <v>0</v>
      </c>
      <c r="I3167" s="160"/>
      <c r="J3167" s="48">
        <f>VLOOKUP(A3167,'[1]תקציב 2026'!$A$1:$M$65536,9,0)</f>
        <v>0</v>
      </c>
      <c r="K3167" s="162">
        <v>0</v>
      </c>
      <c r="L3167" s="50">
        <f>VLOOKUP(A3167,[2]data1761205830331!$A$1:$J$65536,10,0)</f>
        <v>549400</v>
      </c>
    </row>
    <row r="3168" spans="1:12" ht="16.2" thickBot="1">
      <c r="A3168" s="11" t="e">
        <v>#VALUE!</v>
      </c>
      <c r="B3168" s="157" t="s">
        <v>1648</v>
      </c>
      <c r="C3168" s="223"/>
      <c r="D3168" s="55"/>
      <c r="E3168" s="56"/>
      <c r="F3168" s="116" t="s">
        <v>498</v>
      </c>
      <c r="G3168" s="58"/>
      <c r="H3168" s="71">
        <f>J3168/K3168-1</f>
        <v>0</v>
      </c>
      <c r="I3168" s="72"/>
      <c r="J3168" s="74">
        <f>SUBTOTAL(9,J3164:J3167)</f>
        <v>155500</v>
      </c>
      <c r="K3168" s="74">
        <f>SUBTOTAL(9,K3164:K3167)</f>
        <v>155500</v>
      </c>
      <c r="L3168" s="75">
        <f>SUBTOTAL(9,L3164:L3167)</f>
        <v>4532600</v>
      </c>
    </row>
    <row r="3169" spans="1:12" ht="15.6" outlineLevel="1">
      <c r="A3169" s="11">
        <v>18280000</v>
      </c>
      <c r="B3169" s="64">
        <v>0</v>
      </c>
      <c r="C3169" s="131">
        <v>828000</v>
      </c>
      <c r="D3169" s="66">
        <v>1</v>
      </c>
      <c r="E3169" s="67"/>
      <c r="F3169" s="68" t="s">
        <v>1649</v>
      </c>
      <c r="G3169" s="69" t="s">
        <v>15</v>
      </c>
      <c r="H3169" s="51"/>
      <c r="I3169" s="47"/>
      <c r="J3169" s="48"/>
      <c r="K3169" s="49"/>
      <c r="L3169" s="50"/>
    </row>
    <row r="3170" spans="1:12" ht="15.6" outlineLevel="1">
      <c r="A3170" s="11">
        <v>1828100119</v>
      </c>
      <c r="B3170" s="40">
        <v>119</v>
      </c>
      <c r="C3170" s="109">
        <v>828100</v>
      </c>
      <c r="D3170" s="42">
        <v>1</v>
      </c>
      <c r="E3170" s="43"/>
      <c r="F3170" s="44" t="s">
        <v>23</v>
      </c>
      <c r="G3170" s="45" t="s">
        <v>22</v>
      </c>
      <c r="H3170" s="51">
        <f t="shared" si="50"/>
        <v>-0.20128550895495878</v>
      </c>
      <c r="I3170" s="47"/>
      <c r="J3170" s="48">
        <f>VLOOKUP(A3170,'[1]תקציב 2026'!$A$1:$M$65536,9,0)</f>
        <v>4945720</v>
      </c>
      <c r="K3170" s="49">
        <f>1892100+4300000</f>
        <v>6192100</v>
      </c>
      <c r="L3170" s="50">
        <f>VLOOKUP(A3170,[2]data1761205830331!$A$1:$J$65536,10,0)</f>
        <v>2123529.11</v>
      </c>
    </row>
    <row r="3171" spans="1:12" ht="15.6" outlineLevel="1">
      <c r="A3171" s="11">
        <v>1828100122</v>
      </c>
      <c r="B3171" s="40">
        <v>122</v>
      </c>
      <c r="C3171" s="109">
        <v>828100</v>
      </c>
      <c r="D3171" s="42">
        <v>1</v>
      </c>
      <c r="E3171" s="43"/>
      <c r="F3171" s="44" t="s">
        <v>24</v>
      </c>
      <c r="G3171" s="45" t="s">
        <v>22</v>
      </c>
      <c r="H3171" s="51">
        <f t="shared" si="50"/>
        <v>4.4285714285714262E-2</v>
      </c>
      <c r="I3171" s="47"/>
      <c r="J3171" s="48">
        <v>21930</v>
      </c>
      <c r="K3171" s="49">
        <f>VLOOKUP(A3171,[3]גיליון1!$A$1:$C$7693,3,0)</f>
        <v>21000</v>
      </c>
      <c r="L3171" s="50">
        <f>VLOOKUP(A3171,[2]data1761205830331!$A$1:$J$65536,10,0)</f>
        <v>20125.88</v>
      </c>
    </row>
    <row r="3172" spans="1:12" ht="15.6" outlineLevel="1">
      <c r="A3172" s="11">
        <v>1828100126</v>
      </c>
      <c r="B3172" s="40">
        <v>126</v>
      </c>
      <c r="C3172" s="109">
        <v>828100</v>
      </c>
      <c r="D3172" s="42">
        <v>1</v>
      </c>
      <c r="E3172" s="43"/>
      <c r="F3172" s="44" t="s">
        <v>25</v>
      </c>
      <c r="G3172" s="45" t="s">
        <v>22</v>
      </c>
      <c r="H3172" s="51">
        <f t="shared" si="50"/>
        <v>4.4074074074074154E-2</v>
      </c>
      <c r="I3172" s="47"/>
      <c r="J3172" s="48">
        <v>56380</v>
      </c>
      <c r="K3172" s="49">
        <f>VLOOKUP(A3172,[3]גיליון1!$A$1:$C$7693,3,0)</f>
        <v>54000</v>
      </c>
      <c r="L3172" s="50">
        <f>VLOOKUP(A3172,[2]data1761205830331!$A$1:$J$65536,10,0)</f>
        <v>52045.26</v>
      </c>
    </row>
    <row r="3173" spans="1:12" ht="15.6" outlineLevel="1">
      <c r="A3173" s="11">
        <v>1828100130</v>
      </c>
      <c r="B3173" s="40">
        <v>130</v>
      </c>
      <c r="C3173" s="109">
        <v>828100</v>
      </c>
      <c r="D3173" s="42">
        <v>1</v>
      </c>
      <c r="E3173" s="43"/>
      <c r="F3173" s="44" t="s">
        <v>26</v>
      </c>
      <c r="G3173" s="45" t="s">
        <v>22</v>
      </c>
      <c r="H3173" s="51">
        <f t="shared" si="50"/>
        <v>3.4977993977299047</v>
      </c>
      <c r="I3173" s="47"/>
      <c r="J3173" s="48">
        <f>VLOOKUP(A3173,'[1]תקציב 2026'!$A$1:$M$65536,9,0)</f>
        <v>194170</v>
      </c>
      <c r="K3173" s="49">
        <f>VLOOKUP(A3173,[3]גיליון1!$A$1:$C$7693,3,0)*0.86-2</f>
        <v>43170</v>
      </c>
      <c r="L3173" s="50">
        <f>VLOOKUP(A3173,[2]data1761205830331!$A$1:$J$65536,10,0)</f>
        <v>31792.2</v>
      </c>
    </row>
    <row r="3174" spans="1:12" ht="15.6" outlineLevel="1">
      <c r="A3174" s="11">
        <v>1828100140</v>
      </c>
      <c r="B3174" s="40">
        <v>140</v>
      </c>
      <c r="C3174" s="109">
        <v>828100</v>
      </c>
      <c r="D3174" s="42">
        <v>1</v>
      </c>
      <c r="E3174" s="43"/>
      <c r="F3174" s="44" t="s">
        <v>27</v>
      </c>
      <c r="G3174" s="45" t="s">
        <v>22</v>
      </c>
      <c r="H3174" s="51">
        <f t="shared" si="50"/>
        <v>0</v>
      </c>
      <c r="I3174" s="47"/>
      <c r="J3174" s="48">
        <f>VLOOKUP(A3174,'[1]תקציב 2026'!$A$1:$M$65536,9,0)</f>
        <v>189000</v>
      </c>
      <c r="K3174" s="49">
        <f>VLOOKUP(A3174,[3]גיליון1!$A$1:$C$7693,3,0)</f>
        <v>189000</v>
      </c>
      <c r="L3174" s="50">
        <f>VLOOKUP(A3174,[2]data1761205830331!$A$1:$J$65536,10,0)</f>
        <v>218989.79</v>
      </c>
    </row>
    <row r="3175" spans="1:12" ht="15.6" outlineLevel="1">
      <c r="A3175" s="11">
        <v>1828100220</v>
      </c>
      <c r="B3175" s="206">
        <v>220</v>
      </c>
      <c r="C3175" s="109">
        <v>828100</v>
      </c>
      <c r="D3175" s="208">
        <v>1</v>
      </c>
      <c r="E3175" s="229"/>
      <c r="F3175" s="210" t="s">
        <v>1650</v>
      </c>
      <c r="G3175" s="45" t="s">
        <v>22</v>
      </c>
      <c r="H3175" s="51">
        <f t="shared" si="50"/>
        <v>0</v>
      </c>
      <c r="I3175" s="47"/>
      <c r="J3175" s="48">
        <f>VLOOKUP(A3175,'[1]תקציב 2026'!$A$1:$M$65536,9,0)</f>
        <v>30000</v>
      </c>
      <c r="K3175" s="49">
        <f>VLOOKUP(A3175,[3]גיליון1!$A$1:$C$7693,3,0)</f>
        <v>30000</v>
      </c>
      <c r="L3175" s="50">
        <f>VLOOKUP(A3175,[2]data1761205830331!$A$1:$J$65536,10,0)</f>
        <v>19043.68</v>
      </c>
    </row>
    <row r="3176" spans="1:12" ht="15.6" outlineLevel="1">
      <c r="A3176" s="11">
        <v>1828100410</v>
      </c>
      <c r="B3176" s="40">
        <v>410</v>
      </c>
      <c r="C3176" s="109">
        <v>828100</v>
      </c>
      <c r="D3176" s="42">
        <v>1</v>
      </c>
      <c r="E3176" s="43"/>
      <c r="F3176" s="44" t="s">
        <v>1651</v>
      </c>
      <c r="G3176" s="45" t="s">
        <v>29</v>
      </c>
      <c r="H3176" s="51">
        <f t="shared" si="50"/>
        <v>0</v>
      </c>
      <c r="I3176" s="47"/>
      <c r="J3176" s="48">
        <f>VLOOKUP(A3176,'[1]תקציב 2026'!$A$1:$M$65536,9,0)</f>
        <v>288000</v>
      </c>
      <c r="K3176" s="49">
        <f>VLOOKUP(A3176,[3]גיליון1!$A$1:$C$7693,3,0)</f>
        <v>288000</v>
      </c>
      <c r="L3176" s="50">
        <f>VLOOKUP(A3176,[2]data1761205830331!$A$1:$J$65536,10,0)</f>
        <v>207750</v>
      </c>
    </row>
    <row r="3177" spans="1:12" ht="15.6" outlineLevel="1">
      <c r="A3177" s="11">
        <v>1828100420</v>
      </c>
      <c r="B3177" s="40">
        <v>420</v>
      </c>
      <c r="C3177" s="109">
        <v>828100</v>
      </c>
      <c r="D3177" s="42">
        <v>1</v>
      </c>
      <c r="E3177" s="43"/>
      <c r="F3177" s="44" t="s">
        <v>30</v>
      </c>
      <c r="G3177" s="45" t="s">
        <v>29</v>
      </c>
      <c r="H3177" s="51">
        <f t="shared" si="50"/>
        <v>0</v>
      </c>
      <c r="I3177" s="47"/>
      <c r="J3177" s="48">
        <f>VLOOKUP(A3177,'[1]תקציב 2026'!$A$1:$M$65536,9,0)</f>
        <v>8100</v>
      </c>
      <c r="K3177" s="49">
        <f>VLOOKUP(A3177,[3]גיליון1!$A$1:$C$7693,3,0)*0.9</f>
        <v>8100</v>
      </c>
      <c r="L3177" s="50">
        <f>VLOOKUP(A3177,[2]data1761205830331!$A$1:$J$65536,10,0)</f>
        <v>8905.19</v>
      </c>
    </row>
    <row r="3178" spans="1:12" ht="15.6" outlineLevel="1">
      <c r="A3178" s="11">
        <v>1828100431</v>
      </c>
      <c r="B3178" s="40">
        <v>431</v>
      </c>
      <c r="C3178" s="109">
        <v>828100</v>
      </c>
      <c r="D3178" s="42">
        <v>1</v>
      </c>
      <c r="E3178" s="43"/>
      <c r="F3178" s="44" t="s">
        <v>32</v>
      </c>
      <c r="G3178" s="45" t="s">
        <v>29</v>
      </c>
      <c r="H3178" s="51">
        <f t="shared" si="50"/>
        <v>0</v>
      </c>
      <c r="I3178" s="47"/>
      <c r="J3178" s="48">
        <f>VLOOKUP(A3178,'[1]תקציב 2026'!$A$1:$M$65536,9,0)</f>
        <v>56600</v>
      </c>
      <c r="K3178" s="49">
        <v>56600</v>
      </c>
      <c r="L3178" s="50">
        <f>VLOOKUP(A3178,[2]data1761205830331!$A$1:$J$65536,10,0)</f>
        <v>48199.46</v>
      </c>
    </row>
    <row r="3179" spans="1:12" ht="15.6" outlineLevel="1">
      <c r="A3179" s="11">
        <v>1828100432</v>
      </c>
      <c r="B3179" s="40">
        <v>432</v>
      </c>
      <c r="C3179" s="109">
        <v>828100</v>
      </c>
      <c r="D3179" s="42">
        <v>1</v>
      </c>
      <c r="E3179" s="43"/>
      <c r="F3179" s="44" t="s">
        <v>33</v>
      </c>
      <c r="G3179" s="45" t="s">
        <v>29</v>
      </c>
      <c r="H3179" s="51">
        <f t="shared" si="50"/>
        <v>0</v>
      </c>
      <c r="I3179" s="47"/>
      <c r="J3179" s="48">
        <f>VLOOKUP(A3179,'[1]תקציב 2026'!$A$1:$M$65536,9,0)</f>
        <v>3000</v>
      </c>
      <c r="K3179" s="49">
        <f>VLOOKUP(A3179,[3]גיליון1!$A$1:$C$7693,3,0)</f>
        <v>3000</v>
      </c>
      <c r="L3179" s="50">
        <f>VLOOKUP(A3179,[2]data1761205830331!$A$1:$J$65536,10,0)</f>
        <v>0</v>
      </c>
    </row>
    <row r="3180" spans="1:12" ht="15.6" outlineLevel="1">
      <c r="A3180" s="11">
        <v>1828100437</v>
      </c>
      <c r="B3180" s="40">
        <v>437</v>
      </c>
      <c r="C3180" s="109">
        <v>828100</v>
      </c>
      <c r="D3180" s="42">
        <v>1</v>
      </c>
      <c r="E3180" s="43"/>
      <c r="F3180" s="44" t="s">
        <v>38</v>
      </c>
      <c r="G3180" s="45" t="s">
        <v>29</v>
      </c>
      <c r="H3180" s="51">
        <f t="shared" si="50"/>
        <v>1.1627906976744207E-2</v>
      </c>
      <c r="I3180" s="47"/>
      <c r="J3180" s="48">
        <f>VLOOKUP(A3180,'[1]תקציב 2026'!$A$1:$M$65536,9,0)</f>
        <v>8700</v>
      </c>
      <c r="K3180" s="49">
        <f>VLOOKUP(A3180,[3]גיליון1!$A$1:$C$7693,3,0)</f>
        <v>8600</v>
      </c>
      <c r="L3180" s="50">
        <f>VLOOKUP(A3180,[2]data1761205830331!$A$1:$J$65536,10,0)</f>
        <v>6718.14</v>
      </c>
    </row>
    <row r="3181" spans="1:12" ht="15.6" outlineLevel="1">
      <c r="A3181" s="11">
        <v>1828100450</v>
      </c>
      <c r="B3181" s="40">
        <v>450</v>
      </c>
      <c r="C3181" s="109">
        <v>828100</v>
      </c>
      <c r="D3181" s="42">
        <v>1</v>
      </c>
      <c r="E3181" s="43"/>
      <c r="F3181" s="11" t="s">
        <v>41</v>
      </c>
      <c r="G3181" s="45" t="s">
        <v>29</v>
      </c>
      <c r="H3181" s="51">
        <f t="shared" si="50"/>
        <v>0</v>
      </c>
      <c r="I3181" s="47"/>
      <c r="J3181" s="48">
        <f>VLOOKUP(A3181,'[1]תקציב 2026'!$A$1:$M$65536,9,0)</f>
        <v>1000</v>
      </c>
      <c r="K3181" s="49">
        <f>VLOOKUP(A3181,[3]גיליון1!$A$1:$C$7693,3,0)</f>
        <v>1000</v>
      </c>
      <c r="L3181" s="50">
        <f>VLOOKUP(A3181,[2]data1761205830331!$A$1:$J$65536,10,0)</f>
        <v>0</v>
      </c>
    </row>
    <row r="3182" spans="1:12" ht="15.6" outlineLevel="1">
      <c r="A3182" s="11">
        <v>1828100471</v>
      </c>
      <c r="B3182" s="40">
        <v>471</v>
      </c>
      <c r="C3182" s="109">
        <v>828100</v>
      </c>
      <c r="D3182" s="42">
        <v>1</v>
      </c>
      <c r="E3182" s="43"/>
      <c r="F3182" s="44" t="s">
        <v>71</v>
      </c>
      <c r="G3182" s="45" t="s">
        <v>37</v>
      </c>
      <c r="H3182" s="51">
        <f t="shared" si="50"/>
        <v>0.22222222222222232</v>
      </c>
      <c r="I3182" s="47"/>
      <c r="J3182" s="48">
        <f>VLOOKUP(A3182,'[1]תקציב 2026'!$A$1:$M$65536,9,0)</f>
        <v>11000</v>
      </c>
      <c r="K3182" s="49">
        <f>10000*0.9</f>
        <v>9000</v>
      </c>
      <c r="L3182" s="50">
        <f>VLOOKUP(A3182,[2]data1761205830331!$A$1:$J$65536,10,0)</f>
        <v>852</v>
      </c>
    </row>
    <row r="3183" spans="1:12" ht="15.6" outlineLevel="1">
      <c r="A3183" s="11">
        <v>1828100510</v>
      </c>
      <c r="B3183" s="40">
        <v>510</v>
      </c>
      <c r="C3183" s="109">
        <v>828100</v>
      </c>
      <c r="D3183" s="42">
        <v>1</v>
      </c>
      <c r="E3183" s="43"/>
      <c r="F3183" s="44" t="s">
        <v>502</v>
      </c>
      <c r="G3183" s="45" t="s">
        <v>37</v>
      </c>
      <c r="H3183" s="51">
        <v>1</v>
      </c>
      <c r="I3183" s="47" t="s">
        <v>86</v>
      </c>
      <c r="J3183" s="48">
        <f>VLOOKUP(A3183,'[1]תקציב 2026'!$A$1:$M$65536,9,0)</f>
        <v>500000</v>
      </c>
      <c r="K3183" s="49">
        <v>0</v>
      </c>
      <c r="L3183" s="50">
        <v>0</v>
      </c>
    </row>
    <row r="3184" spans="1:12" ht="15.6" outlineLevel="1">
      <c r="A3184" s="11">
        <v>1828100511</v>
      </c>
      <c r="B3184" s="40">
        <v>511</v>
      </c>
      <c r="C3184" s="109">
        <v>828100</v>
      </c>
      <c r="D3184" s="42">
        <v>1</v>
      </c>
      <c r="E3184" s="43"/>
      <c r="F3184" s="44" t="s">
        <v>72</v>
      </c>
      <c r="G3184" s="45" t="s">
        <v>37</v>
      </c>
      <c r="H3184" s="51">
        <v>1</v>
      </c>
      <c r="I3184" s="47" t="s">
        <v>86</v>
      </c>
      <c r="J3184" s="48">
        <f>VLOOKUP(A3184,'[1]תקציב 2026'!$A$1:$M$65536,9,0)</f>
        <v>3500</v>
      </c>
      <c r="K3184" s="49">
        <v>0</v>
      </c>
      <c r="L3184" s="50">
        <v>0</v>
      </c>
    </row>
    <row r="3185" spans="1:12" ht="15.6" outlineLevel="1">
      <c r="A3185" s="11">
        <v>1828100522</v>
      </c>
      <c r="B3185" s="40">
        <v>522</v>
      </c>
      <c r="C3185" s="109">
        <v>828100</v>
      </c>
      <c r="D3185" s="42">
        <v>1</v>
      </c>
      <c r="E3185" s="43"/>
      <c r="F3185" s="44" t="s">
        <v>90</v>
      </c>
      <c r="G3185" s="45" t="s">
        <v>37</v>
      </c>
      <c r="H3185" s="51">
        <f t="shared" si="50"/>
        <v>-1.2345679012345734E-2</v>
      </c>
      <c r="I3185" s="47"/>
      <c r="J3185" s="48">
        <f>VLOOKUP(A3185,'[1]תקציב 2026'!$A$1:$M$65536,9,0)</f>
        <v>800</v>
      </c>
      <c r="K3185" s="49">
        <f>VLOOKUP(A3185,[3]גיליון1!$A$1:$C$7693,3,0)*0.9</f>
        <v>810</v>
      </c>
      <c r="L3185" s="50">
        <f>VLOOKUP(A3185,[2]data1761205830331!$A$1:$J$65536,10,0)</f>
        <v>0</v>
      </c>
    </row>
    <row r="3186" spans="1:12" ht="15.6" outlineLevel="1">
      <c r="A3186" s="11">
        <v>1828100540</v>
      </c>
      <c r="B3186" s="40">
        <v>540</v>
      </c>
      <c r="C3186" s="109">
        <v>828100</v>
      </c>
      <c r="D3186" s="42">
        <v>1</v>
      </c>
      <c r="E3186" s="43"/>
      <c r="F3186" s="44" t="s">
        <v>47</v>
      </c>
      <c r="G3186" s="45" t="s">
        <v>29</v>
      </c>
      <c r="H3186" s="51">
        <f t="shared" si="50"/>
        <v>-0.66666666666666674</v>
      </c>
      <c r="I3186" s="47"/>
      <c r="J3186" s="48">
        <f>VLOOKUP(A3186,'[1]תקציב 2026'!$A$1:$M$65536,9,0)</f>
        <v>10000</v>
      </c>
      <c r="K3186" s="49">
        <f>VLOOKUP(A3186,[3]גיליון1!$A$1:$C$7693,3,0)</f>
        <v>30000</v>
      </c>
      <c r="L3186" s="50">
        <f>VLOOKUP(A3186,[2]data1761205830331!$A$1:$J$65536,10,0)</f>
        <v>7665.75</v>
      </c>
    </row>
    <row r="3187" spans="1:12" ht="15.6" outlineLevel="1">
      <c r="A3187" s="11">
        <v>1828100571</v>
      </c>
      <c r="B3187" s="40">
        <v>571</v>
      </c>
      <c r="C3187" s="109">
        <v>828100</v>
      </c>
      <c r="D3187" s="42">
        <v>1</v>
      </c>
      <c r="E3187" s="43"/>
      <c r="F3187" s="44" t="s">
        <v>75</v>
      </c>
      <c r="G3187" s="45" t="s">
        <v>29</v>
      </c>
      <c r="H3187" s="51">
        <f t="shared" si="50"/>
        <v>0.68282548476454297</v>
      </c>
      <c r="I3187" s="47"/>
      <c r="J3187" s="48">
        <f>VLOOKUP(A3187,'[1]תקציב 2026'!$A$1:$M$65536,9,0)</f>
        <v>121500</v>
      </c>
      <c r="K3187" s="49">
        <v>72200</v>
      </c>
      <c r="L3187" s="50">
        <f>VLOOKUP(A3187,[2]data1761205830331!$A$1:$J$65536,10,0)</f>
        <v>52200</v>
      </c>
    </row>
    <row r="3188" spans="1:12" ht="15.6" outlineLevel="1">
      <c r="A3188" s="11">
        <f>[4]גיליון1!$A$6195</f>
        <v>1828100712</v>
      </c>
      <c r="B3188" s="40">
        <f>[4]גיליון1!$B$6195</f>
        <v>712</v>
      </c>
      <c r="C3188" s="109">
        <f>[4]גיליון1!$C$6190</f>
        <v>828100</v>
      </c>
      <c r="D3188" s="42">
        <f>[4]גיליון1!$D$6190</f>
        <v>1</v>
      </c>
      <c r="E3188" s="43"/>
      <c r="F3188" s="44" t="str">
        <f>[4]גיליון1!$F$6195</f>
        <v>הסעות צרכים מיוחדים</v>
      </c>
      <c r="G3188" s="45" t="str">
        <f>[4]גיליון1!$H$6195</f>
        <v>קשיח</v>
      </c>
      <c r="H3188" s="51">
        <f t="shared" si="50"/>
        <v>0</v>
      </c>
      <c r="I3188" s="47"/>
      <c r="J3188" s="48">
        <f>VLOOKUP(A3188,'[1]תקציב 2026'!$A$1:$M$65536,9,0)</f>
        <v>90000</v>
      </c>
      <c r="K3188" s="49">
        <f>VLOOKUP(A3188,[3]גיליון1!$A$1:$C$7693,3,0)</f>
        <v>90000</v>
      </c>
      <c r="L3188" s="50">
        <f>VLOOKUP(A3188,[2]data1761205830331!$A$1:$J$65536,10,0)</f>
        <v>73893.36</v>
      </c>
    </row>
    <row r="3189" spans="1:12" ht="15.6" outlineLevel="1">
      <c r="A3189" s="11">
        <v>1828100742</v>
      </c>
      <c r="B3189" s="40">
        <v>742</v>
      </c>
      <c r="C3189" s="109">
        <v>828100</v>
      </c>
      <c r="D3189" s="42">
        <v>1</v>
      </c>
      <c r="E3189" s="43"/>
      <c r="F3189" s="44" t="s">
        <v>52</v>
      </c>
      <c r="G3189" s="45" t="s">
        <v>37</v>
      </c>
      <c r="H3189" s="51">
        <v>1</v>
      </c>
      <c r="I3189" s="47"/>
      <c r="J3189" s="48">
        <f>VLOOKUP(A3189,'[1]תקציב 2026'!$A$1:$M$65536,9,0)</f>
        <v>5000</v>
      </c>
      <c r="K3189" s="49">
        <v>0</v>
      </c>
      <c r="L3189" s="50">
        <f>VLOOKUP(A3189,[2]data1761205830331!$A$1:$J$65536,10,0)</f>
        <v>7418.72</v>
      </c>
    </row>
    <row r="3190" spans="1:12" ht="15.6" outlineLevel="1">
      <c r="A3190" s="11">
        <v>1828100750</v>
      </c>
      <c r="B3190" s="40">
        <v>750</v>
      </c>
      <c r="C3190" s="109">
        <v>828100</v>
      </c>
      <c r="D3190" s="42">
        <v>1</v>
      </c>
      <c r="E3190" s="43"/>
      <c r="F3190" s="44" t="s">
        <v>1351</v>
      </c>
      <c r="G3190" s="45" t="s">
        <v>29</v>
      </c>
      <c r="H3190" s="51">
        <f t="shared" si="50"/>
        <v>0.27352425482174159</v>
      </c>
      <c r="I3190" s="47"/>
      <c r="J3190" s="48">
        <f>VLOOKUP(A3190,'[1]תקציב 2026'!$A$1:$M$65536,9,0)</f>
        <v>217900</v>
      </c>
      <c r="K3190" s="49">
        <v>171100</v>
      </c>
      <c r="L3190" s="50">
        <f>VLOOKUP(A3190,[2]data1761205830331!$A$1:$J$65536,10,0)</f>
        <v>174253</v>
      </c>
    </row>
    <row r="3191" spans="1:12" ht="15.6" outlineLevel="1">
      <c r="A3191" s="11">
        <v>1828100752</v>
      </c>
      <c r="B3191" s="40">
        <v>752</v>
      </c>
      <c r="C3191" s="109">
        <v>828100</v>
      </c>
      <c r="D3191" s="42">
        <v>1</v>
      </c>
      <c r="E3191" s="43"/>
      <c r="F3191" s="44" t="s">
        <v>1652</v>
      </c>
      <c r="G3191" s="45" t="s">
        <v>29</v>
      </c>
      <c r="H3191" s="51">
        <f t="shared" si="50"/>
        <v>5.6338028169014009E-2</v>
      </c>
      <c r="I3191" s="47"/>
      <c r="J3191" s="48">
        <f>VLOOKUP(A3191,'[1]תקציב 2026'!$A$1:$M$65536,9,0)</f>
        <v>7500</v>
      </c>
      <c r="K3191" s="49">
        <f>VLOOKUP(A3191,[3]גיליון1!$A$1:$C$7693,3,0)</f>
        <v>7100</v>
      </c>
      <c r="L3191" s="50">
        <f>VLOOKUP(A3191,[2]data1761205830331!$A$1:$J$65536,10,0)</f>
        <v>7099.77</v>
      </c>
    </row>
    <row r="3192" spans="1:12" ht="15.6" outlineLevel="1">
      <c r="A3192" s="11">
        <v>1828100757</v>
      </c>
      <c r="B3192" s="40">
        <v>757</v>
      </c>
      <c r="C3192" s="109">
        <v>828100</v>
      </c>
      <c r="D3192" s="42">
        <v>1</v>
      </c>
      <c r="E3192" s="43"/>
      <c r="F3192" s="44" t="s">
        <v>1653</v>
      </c>
      <c r="G3192" s="45" t="s">
        <v>37</v>
      </c>
      <c r="H3192" s="51">
        <v>0</v>
      </c>
      <c r="I3192" s="47"/>
      <c r="J3192" s="48">
        <f>VLOOKUP(A3192,'[1]תקציב 2026'!$A$1:$M$65536,9,0)</f>
        <v>0</v>
      </c>
      <c r="K3192" s="49">
        <v>0</v>
      </c>
      <c r="L3192" s="50">
        <f>VLOOKUP(A3192,[2]data1761205830331!$A$1:$J$65536,10,0)</f>
        <v>11934</v>
      </c>
    </row>
    <row r="3193" spans="1:12" ht="15.6" outlineLevel="1">
      <c r="A3193" s="11">
        <v>1828100779</v>
      </c>
      <c r="B3193" s="40">
        <v>779</v>
      </c>
      <c r="C3193" s="109">
        <v>828100</v>
      </c>
      <c r="D3193" s="42">
        <v>1</v>
      </c>
      <c r="E3193" s="43"/>
      <c r="F3193" s="44" t="s">
        <v>501</v>
      </c>
      <c r="G3193" s="45" t="s">
        <v>29</v>
      </c>
      <c r="H3193" s="51">
        <v>1</v>
      </c>
      <c r="I3193" s="47" t="s">
        <v>86</v>
      </c>
      <c r="J3193" s="48">
        <f>VLOOKUP(A3193,'[1]תקציב 2026'!$A$1:$M$65536,9,0)</f>
        <v>135000</v>
      </c>
      <c r="K3193" s="49">
        <v>0</v>
      </c>
      <c r="L3193" s="50">
        <v>0</v>
      </c>
    </row>
    <row r="3194" spans="1:12" ht="15.6" outlineLevel="1">
      <c r="A3194" s="11">
        <v>1828100780</v>
      </c>
      <c r="B3194" s="40">
        <v>780</v>
      </c>
      <c r="C3194" s="109">
        <v>828100</v>
      </c>
      <c r="D3194" s="42">
        <v>1</v>
      </c>
      <c r="E3194" s="43"/>
      <c r="F3194" s="44" t="s">
        <v>1654</v>
      </c>
      <c r="G3194" s="45" t="s">
        <v>37</v>
      </c>
      <c r="H3194" s="51">
        <f t="shared" si="50"/>
        <v>0.19731800766283536</v>
      </c>
      <c r="I3194" s="47"/>
      <c r="J3194" s="48">
        <f>VLOOKUP(A3194,'[1]תקציב 2026'!$A$1:$M$65536,9,0)</f>
        <v>250000</v>
      </c>
      <c r="K3194" s="49">
        <f>VLOOKUP(A3194,[3]גיליון1!$A$1:$C$7693,3,0)*0.9</f>
        <v>208800</v>
      </c>
      <c r="L3194" s="50">
        <f>VLOOKUP(A3194,[2]data1761205830331!$A$1:$J$65536,10,0)</f>
        <v>167691.15</v>
      </c>
    </row>
    <row r="3195" spans="1:12" ht="15.6" outlineLevel="1">
      <c r="A3195" s="11">
        <v>1828100781</v>
      </c>
      <c r="B3195" s="40">
        <v>781</v>
      </c>
      <c r="C3195" s="109">
        <v>828100</v>
      </c>
      <c r="D3195" s="42">
        <v>1</v>
      </c>
      <c r="E3195" s="43"/>
      <c r="F3195" s="44" t="s">
        <v>1655</v>
      </c>
      <c r="G3195" s="45" t="s">
        <v>37</v>
      </c>
      <c r="H3195" s="51">
        <f t="shared" si="50"/>
        <v>0.4001572779408098</v>
      </c>
      <c r="I3195" s="47"/>
      <c r="J3195" s="48">
        <f>VLOOKUP(A3195,'[1]תקציב 2026'!$A$1:$M$65536,9,0)</f>
        <v>730000</v>
      </c>
      <c r="K3195" s="49">
        <f>VLOOKUP(A3195,[3]גיליון1!$A$1:$C$7693,3,0)*0.9</f>
        <v>521370</v>
      </c>
      <c r="L3195" s="50">
        <f>VLOOKUP(A3195,[2]data1761205830331!$A$1:$J$65536,10,0)</f>
        <v>468535.03</v>
      </c>
    </row>
    <row r="3196" spans="1:12" ht="15.6" outlineLevel="1">
      <c r="A3196" s="11">
        <v>1828100782</v>
      </c>
      <c r="B3196" s="40">
        <v>782</v>
      </c>
      <c r="C3196" s="109">
        <v>828100</v>
      </c>
      <c r="D3196" s="42">
        <v>1</v>
      </c>
      <c r="E3196" s="43"/>
      <c r="F3196" s="44" t="s">
        <v>1656</v>
      </c>
      <c r="G3196" s="45" t="s">
        <v>37</v>
      </c>
      <c r="H3196" s="51">
        <v>1</v>
      </c>
      <c r="I3196" s="47" t="s">
        <v>86</v>
      </c>
      <c r="J3196" s="48">
        <f>VLOOKUP(A3196,'[1]תקציב 2026'!$A$1:$M$65536,9,0)</f>
        <v>635000</v>
      </c>
      <c r="K3196" s="49">
        <v>0</v>
      </c>
      <c r="L3196" s="50">
        <f>VLOOKUP(A3196,[2]data1761205830331!$A$1:$J$65536,10,0)</f>
        <v>0</v>
      </c>
    </row>
    <row r="3197" spans="1:12" ht="15.6" outlineLevel="1">
      <c r="A3197" s="11">
        <v>1828100783</v>
      </c>
      <c r="B3197" s="40">
        <v>783</v>
      </c>
      <c r="C3197" s="109">
        <v>828100</v>
      </c>
      <c r="D3197" s="42">
        <v>1</v>
      </c>
      <c r="E3197" s="43"/>
      <c r="F3197" s="44" t="s">
        <v>1657</v>
      </c>
      <c r="G3197" s="45" t="s">
        <v>37</v>
      </c>
      <c r="H3197" s="51">
        <f t="shared" si="50"/>
        <v>5.5279159756782548E-4</v>
      </c>
      <c r="I3197" s="47"/>
      <c r="J3197" s="48">
        <f>VLOOKUP(A3197,'[1]תקציב 2026'!$A$1:$M$65536,9,0)</f>
        <v>126700</v>
      </c>
      <c r="K3197" s="49">
        <f>VLOOKUP(A3197,[3]גיליון1!$A$1:$C$7693,3,0)*0.9</f>
        <v>126630</v>
      </c>
      <c r="L3197" s="50">
        <f>VLOOKUP(A3197,[2]data1761205830331!$A$1:$J$65536,10,0)</f>
        <v>128332.93</v>
      </c>
    </row>
    <row r="3198" spans="1:12" ht="15.6" outlineLevel="1">
      <c r="A3198" s="11">
        <v>1828100784</v>
      </c>
      <c r="B3198" s="40">
        <v>784</v>
      </c>
      <c r="C3198" s="109">
        <v>828100</v>
      </c>
      <c r="D3198" s="42">
        <v>1</v>
      </c>
      <c r="E3198" s="43"/>
      <c r="F3198" s="44" t="s">
        <v>1658</v>
      </c>
      <c r="G3198" s="45" t="s">
        <v>37</v>
      </c>
      <c r="H3198" s="51">
        <f t="shared" si="50"/>
        <v>4.452278365321849E-2</v>
      </c>
      <c r="I3198" s="47"/>
      <c r="J3198" s="48">
        <f>VLOOKUP(A3198,'[1]תקציב 2026'!$A$1:$M$65536,9,0)</f>
        <v>80000</v>
      </c>
      <c r="K3198" s="49">
        <f>VLOOKUP(A3198,[3]גיליון1!$A$1:$C$7693,3,0)*0.9</f>
        <v>76590</v>
      </c>
      <c r="L3198" s="50">
        <f>VLOOKUP(A3198,[2]data1761205830331!$A$1:$J$65536,10,0)</f>
        <v>61938.91</v>
      </c>
    </row>
    <row r="3199" spans="1:12" ht="15.6" outlineLevel="1">
      <c r="A3199" s="11">
        <v>1828100785</v>
      </c>
      <c r="B3199" s="40">
        <v>785</v>
      </c>
      <c r="C3199" s="109">
        <v>828100</v>
      </c>
      <c r="D3199" s="42">
        <v>1</v>
      </c>
      <c r="E3199" s="43"/>
      <c r="F3199" s="44" t="s">
        <v>1659</v>
      </c>
      <c r="G3199" s="45" t="s">
        <v>37</v>
      </c>
      <c r="H3199" s="51">
        <f t="shared" si="50"/>
        <v>9.7006738755680999E-2</v>
      </c>
      <c r="I3199" s="47"/>
      <c r="J3199" s="48">
        <f>VLOOKUP(A3199,'[1]תקציב 2026'!$A$1:$M$65536,9,0)</f>
        <v>70000</v>
      </c>
      <c r="K3199" s="49">
        <f>VLOOKUP(A3199,[3]גיליון1!$A$1:$C$7693,3,0)*0.9</f>
        <v>63810</v>
      </c>
      <c r="L3199" s="50">
        <f>VLOOKUP(A3199,[2]data1761205830331!$A$1:$J$65536,10,0)</f>
        <v>59247.27</v>
      </c>
    </row>
    <row r="3200" spans="1:12" ht="15.6" outlineLevel="1">
      <c r="A3200" s="11">
        <v>1828100786</v>
      </c>
      <c r="B3200" s="40">
        <v>786</v>
      </c>
      <c r="C3200" s="109">
        <v>828100</v>
      </c>
      <c r="D3200" s="42">
        <v>1</v>
      </c>
      <c r="E3200" s="43"/>
      <c r="F3200" s="44" t="s">
        <v>1660</v>
      </c>
      <c r="G3200" s="45" t="s">
        <v>37</v>
      </c>
      <c r="H3200" s="51">
        <f t="shared" si="50"/>
        <v>1.0799124247400109</v>
      </c>
      <c r="I3200" s="47" t="s">
        <v>137</v>
      </c>
      <c r="J3200" s="48">
        <f>VLOOKUP(A3200,'[1]תקציב 2026'!$A$1:$M$65536,9,0)</f>
        <v>380000</v>
      </c>
      <c r="K3200" s="49">
        <f>VLOOKUP(A3200,[3]גיליון1!$A$1:$C$7693,3,0)*0.9</f>
        <v>182700</v>
      </c>
      <c r="L3200" s="50">
        <f>VLOOKUP(A3200,[2]data1761205830331!$A$1:$J$65536,10,0)</f>
        <v>185060.24</v>
      </c>
    </row>
    <row r="3201" spans="1:12" ht="15.6" outlineLevel="1">
      <c r="A3201" s="11">
        <v>1828100787</v>
      </c>
      <c r="B3201" s="40">
        <v>787</v>
      </c>
      <c r="C3201" s="109">
        <v>828100</v>
      </c>
      <c r="D3201" s="42">
        <v>1</v>
      </c>
      <c r="E3201" s="43"/>
      <c r="F3201" s="44" t="s">
        <v>1661</v>
      </c>
      <c r="G3201" s="45" t="s">
        <v>37</v>
      </c>
      <c r="H3201" s="51">
        <f t="shared" si="50"/>
        <v>0.74389636273044335</v>
      </c>
      <c r="I3201" s="47"/>
      <c r="J3201" s="48">
        <f>VLOOKUP(A3201,'[1]תקציב 2026'!$A$1:$M$65536,9,0)</f>
        <v>70000</v>
      </c>
      <c r="K3201" s="49">
        <f>VLOOKUP(A3201,[3]גיליון1!$A$1:$C$7693,3,0)*0.9</f>
        <v>40140</v>
      </c>
      <c r="L3201" s="50">
        <f>VLOOKUP(A3201,[2]data1761205830331!$A$1:$J$65536,10,0)</f>
        <v>44273</v>
      </c>
    </row>
    <row r="3202" spans="1:12" ht="15.6" outlineLevel="1">
      <c r="A3202" s="11">
        <v>1828100788</v>
      </c>
      <c r="B3202" s="40">
        <v>788</v>
      </c>
      <c r="C3202" s="109">
        <v>828100</v>
      </c>
      <c r="D3202" s="42">
        <v>1</v>
      </c>
      <c r="E3202" s="43"/>
      <c r="F3202" s="44" t="s">
        <v>1662</v>
      </c>
      <c r="G3202" s="45" t="s">
        <v>37</v>
      </c>
      <c r="H3202" s="51">
        <f t="shared" si="50"/>
        <v>1.6420361247948545E-3</v>
      </c>
      <c r="I3202" s="47"/>
      <c r="J3202" s="48">
        <f>VLOOKUP(A3202,'[1]תקציב 2026'!$A$1:$M$65536,9,0)</f>
        <v>18300</v>
      </c>
      <c r="K3202" s="49">
        <f>20300*0.9</f>
        <v>18270</v>
      </c>
      <c r="L3202" s="50">
        <f>VLOOKUP(A3202,[2]data1761205830331!$A$1:$J$65536,10,0)</f>
        <v>20000</v>
      </c>
    </row>
    <row r="3203" spans="1:12" ht="15.6" outlineLevel="1">
      <c r="A3203" s="11">
        <v>1828100789</v>
      </c>
      <c r="B3203" s="40">
        <v>789</v>
      </c>
      <c r="C3203" s="109">
        <v>828100</v>
      </c>
      <c r="D3203" s="42">
        <v>1</v>
      </c>
      <c r="E3203" s="43"/>
      <c r="F3203" s="44" t="s">
        <v>1663</v>
      </c>
      <c r="G3203" s="45" t="s">
        <v>37</v>
      </c>
      <c r="H3203" s="51">
        <f t="shared" si="50"/>
        <v>0</v>
      </c>
      <c r="I3203" s="47"/>
      <c r="J3203" s="48">
        <f>VLOOKUP(A3203,'[1]תקציב 2026'!$A$1:$M$65536,9,0)</f>
        <v>36000</v>
      </c>
      <c r="K3203" s="49">
        <f>VLOOKUP(A3203,[3]גיליון1!$A$1:$C$7693,3,0)*0.9</f>
        <v>36000</v>
      </c>
      <c r="L3203" s="50">
        <f>VLOOKUP(A3203,[2]data1761205830331!$A$1:$J$65536,10,0)</f>
        <v>12191.49</v>
      </c>
    </row>
    <row r="3204" spans="1:12" ht="15.6" outlineLevel="1">
      <c r="A3204" s="11">
        <v>1828100790</v>
      </c>
      <c r="B3204" s="40">
        <v>790</v>
      </c>
      <c r="C3204" s="109">
        <v>828100</v>
      </c>
      <c r="D3204" s="42">
        <v>1</v>
      </c>
      <c r="E3204" s="43"/>
      <c r="F3204" s="44" t="s">
        <v>1664</v>
      </c>
      <c r="G3204" s="45" t="s">
        <v>29</v>
      </c>
      <c r="H3204" s="51">
        <f t="shared" si="50"/>
        <v>0.11111111111111116</v>
      </c>
      <c r="I3204" s="47"/>
      <c r="J3204" s="48">
        <f>VLOOKUP(A3204,'[1]תקציב 2026'!$A$1:$M$65536,9,0)</f>
        <v>487000</v>
      </c>
      <c r="K3204" s="49">
        <f>487000*0.9</f>
        <v>438300</v>
      </c>
      <c r="L3204" s="50">
        <f>VLOOKUP(A3204,[2]data1761205830331!$A$1:$J$65536,10,0)</f>
        <v>495015.82</v>
      </c>
    </row>
    <row r="3205" spans="1:12" ht="15.6" outlineLevel="1">
      <c r="A3205" s="11">
        <v>1828100791</v>
      </c>
      <c r="B3205" s="40">
        <v>791</v>
      </c>
      <c r="C3205" s="109">
        <v>828100</v>
      </c>
      <c r="D3205" s="42">
        <v>1</v>
      </c>
      <c r="E3205" s="43"/>
      <c r="F3205" s="44" t="s">
        <v>1665</v>
      </c>
      <c r="G3205" s="45" t="s">
        <v>37</v>
      </c>
      <c r="H3205" s="51">
        <f t="shared" si="50"/>
        <v>0.11111111111111116</v>
      </c>
      <c r="I3205" s="47"/>
      <c r="J3205" s="48">
        <f>VLOOKUP(A3205,'[1]תקציב 2026'!$A$1:$M$65536,9,0)</f>
        <v>240000</v>
      </c>
      <c r="K3205" s="49">
        <f>240000*0.9</f>
        <v>216000</v>
      </c>
      <c r="L3205" s="50">
        <f>VLOOKUP(A3205,[2]data1761205830331!$A$1:$J$65536,10,0)</f>
        <v>180000</v>
      </c>
    </row>
    <row r="3206" spans="1:12" ht="15.6" outlineLevel="1">
      <c r="A3206" s="11">
        <v>1828100792</v>
      </c>
      <c r="B3206" s="40">
        <v>792</v>
      </c>
      <c r="C3206" s="109">
        <v>828100</v>
      </c>
      <c r="D3206" s="42">
        <v>1</v>
      </c>
      <c r="E3206" s="43"/>
      <c r="F3206" s="44" t="s">
        <v>1666</v>
      </c>
      <c r="G3206" s="45" t="s">
        <v>37</v>
      </c>
      <c r="H3206" s="51">
        <v>0</v>
      </c>
      <c r="I3206" s="47"/>
      <c r="J3206" s="48">
        <f>VLOOKUP(A3206,'[1]תקציב 2026'!$A$1:$M$65536,9,0)</f>
        <v>0</v>
      </c>
      <c r="K3206" s="49">
        <f>VLOOKUP(A3206,[3]גיליון1!$A$1:$C$7693,3,0)</f>
        <v>0</v>
      </c>
      <c r="L3206" s="50">
        <f>VLOOKUP(A3206,[2]data1761205830331!$A$1:$J$65536,10,0)</f>
        <v>6693</v>
      </c>
    </row>
    <row r="3207" spans="1:12" ht="15.6" outlineLevel="1">
      <c r="A3207" s="11">
        <v>1828100793</v>
      </c>
      <c r="B3207" s="40">
        <v>793</v>
      </c>
      <c r="C3207" s="109">
        <v>828100</v>
      </c>
      <c r="D3207" s="42">
        <v>1</v>
      </c>
      <c r="E3207" s="43"/>
      <c r="F3207" s="44" t="s">
        <v>1667</v>
      </c>
      <c r="G3207" s="45" t="s">
        <v>37</v>
      </c>
      <c r="H3207" s="51">
        <f t="shared" si="50"/>
        <v>0</v>
      </c>
      <c r="I3207" s="47"/>
      <c r="J3207" s="48">
        <f>VLOOKUP(A3207,'[1]תקציב 2026'!$A$1:$M$65536,9,0)</f>
        <v>280000</v>
      </c>
      <c r="K3207" s="49">
        <f>VLOOKUP(A3207,[3]גיליון1!$A$1:$C$7693,3,0)-260000</f>
        <v>280000</v>
      </c>
      <c r="L3207" s="50">
        <f>VLOOKUP(A3207,[2]data1761205830331!$A$1:$J$65536,10,0)</f>
        <v>227800</v>
      </c>
    </row>
    <row r="3208" spans="1:12" ht="15.6" outlineLevel="1">
      <c r="A3208" s="11">
        <v>1828100794</v>
      </c>
      <c r="B3208" s="40">
        <v>794</v>
      </c>
      <c r="C3208" s="109">
        <v>828100</v>
      </c>
      <c r="D3208" s="42">
        <v>1</v>
      </c>
      <c r="E3208" s="43"/>
      <c r="F3208" s="44" t="s">
        <v>58</v>
      </c>
      <c r="G3208" s="45" t="s">
        <v>29</v>
      </c>
      <c r="H3208" s="51">
        <f t="shared" si="50"/>
        <v>0.21978021978021989</v>
      </c>
      <c r="I3208" s="47"/>
      <c r="J3208" s="48">
        <f>VLOOKUP(A3208,'[1]תקציב 2026'!$A$1:$M$65536,9,0)</f>
        <v>22200</v>
      </c>
      <c r="K3208" s="49">
        <v>18200</v>
      </c>
      <c r="L3208" s="50">
        <f>VLOOKUP(A3208,[2]data1761205830331!$A$1:$J$65536,10,0)</f>
        <v>15266</v>
      </c>
    </row>
    <row r="3209" spans="1:12" ht="15.6" outlineLevel="1">
      <c r="A3209" s="11">
        <v>1828100796</v>
      </c>
      <c r="B3209" s="40">
        <v>796</v>
      </c>
      <c r="C3209" s="109">
        <v>828100</v>
      </c>
      <c r="D3209" s="42">
        <v>1</v>
      </c>
      <c r="E3209" s="43"/>
      <c r="F3209" s="44" t="s">
        <v>1668</v>
      </c>
      <c r="G3209" s="45" t="s">
        <v>37</v>
      </c>
      <c r="H3209" s="51">
        <v>1</v>
      </c>
      <c r="I3209" s="47" t="s">
        <v>86</v>
      </c>
      <c r="J3209" s="48">
        <f>VLOOKUP(A3209,'[1]תקציב 2026'!$A$1:$M$65536,9,0)</f>
        <v>198900</v>
      </c>
      <c r="K3209" s="49">
        <v>0</v>
      </c>
      <c r="L3209" s="50">
        <v>0</v>
      </c>
    </row>
    <row r="3210" spans="1:12" ht="15.6" outlineLevel="1">
      <c r="A3210" s="11">
        <v>1828100797</v>
      </c>
      <c r="B3210" s="40">
        <v>797</v>
      </c>
      <c r="C3210" s="109">
        <v>828100</v>
      </c>
      <c r="D3210" s="42">
        <v>1</v>
      </c>
      <c r="E3210" s="43"/>
      <c r="F3210" s="44" t="s">
        <v>1669</v>
      </c>
      <c r="G3210" s="45" t="s">
        <v>29</v>
      </c>
      <c r="H3210" s="51">
        <v>1</v>
      </c>
      <c r="I3210" s="47" t="s">
        <v>86</v>
      </c>
      <c r="J3210" s="48">
        <f>VLOOKUP(A3210,'[1]תקציב 2026'!$A$1:$M$65536,9,0)</f>
        <v>1500000</v>
      </c>
      <c r="K3210" s="49">
        <v>0</v>
      </c>
      <c r="L3210" s="50">
        <v>0</v>
      </c>
    </row>
    <row r="3211" spans="1:12" ht="15.6" outlineLevel="1">
      <c r="A3211" s="11">
        <v>1828100810</v>
      </c>
      <c r="B3211" s="40">
        <v>810</v>
      </c>
      <c r="C3211" s="109">
        <v>828100</v>
      </c>
      <c r="D3211" s="42">
        <v>1</v>
      </c>
      <c r="E3211" s="43"/>
      <c r="F3211" s="44" t="s">
        <v>1670</v>
      </c>
      <c r="G3211" s="45" t="s">
        <v>29</v>
      </c>
      <c r="H3211" s="51">
        <f t="shared" si="50"/>
        <v>0.11111111111111116</v>
      </c>
      <c r="I3211" s="47"/>
      <c r="J3211" s="48">
        <f>VLOOKUP(A3211,'[1]תקציב 2026'!$A$1:$M$65536,9,0)</f>
        <v>510000</v>
      </c>
      <c r="K3211" s="49">
        <f>VLOOKUP(A3211,[3]גיליון1!$A$1:$C$7693,3,0)*0.9</f>
        <v>459000</v>
      </c>
      <c r="L3211" s="50">
        <f>VLOOKUP(A3211,[2]data1761205830331!$A$1:$J$65536,10,0)</f>
        <v>483899</v>
      </c>
    </row>
    <row r="3212" spans="1:12" ht="15.6" outlineLevel="1">
      <c r="A3212" s="11">
        <v>1828100811</v>
      </c>
      <c r="B3212" s="40">
        <v>811</v>
      </c>
      <c r="C3212" s="109">
        <v>828100</v>
      </c>
      <c r="D3212" s="42">
        <v>1</v>
      </c>
      <c r="E3212" s="43"/>
      <c r="F3212" s="44" t="s">
        <v>1671</v>
      </c>
      <c r="G3212" s="45" t="s">
        <v>29</v>
      </c>
      <c r="H3212" s="51">
        <f t="shared" si="50"/>
        <v>0</v>
      </c>
      <c r="I3212" s="47"/>
      <c r="J3212" s="48">
        <f>VLOOKUP(A3212,'[1]תקציב 2026'!$A$1:$M$65536,9,0)</f>
        <v>381000</v>
      </c>
      <c r="K3212" s="49">
        <f>641000-260000</f>
        <v>381000</v>
      </c>
      <c r="L3212" s="50">
        <f>VLOOKUP(A3212,[2]data1761205830331!$A$1:$J$65536,10,0)</f>
        <v>593582</v>
      </c>
    </row>
    <row r="3213" spans="1:12" ht="15.6" outlineLevel="1">
      <c r="A3213" s="11">
        <v>1828100814</v>
      </c>
      <c r="B3213" s="40">
        <v>814</v>
      </c>
      <c r="C3213" s="109">
        <v>828100</v>
      </c>
      <c r="D3213" s="42">
        <v>1</v>
      </c>
      <c r="E3213" s="43"/>
      <c r="F3213" s="44" t="s">
        <v>1672</v>
      </c>
      <c r="G3213" s="45" t="s">
        <v>37</v>
      </c>
      <c r="H3213" s="51">
        <f t="shared" si="50"/>
        <v>4.3296817944705301E-2</v>
      </c>
      <c r="I3213" s="47"/>
      <c r="J3213" s="48">
        <f>VLOOKUP(A3213,'[1]תקציב 2026'!$A$1:$M$65536,9,0)</f>
        <v>140000</v>
      </c>
      <c r="K3213" s="49">
        <f>149100*0.9</f>
        <v>134190</v>
      </c>
      <c r="L3213" s="50">
        <f>VLOOKUP(A3213,[2]data1761205830331!$A$1:$J$65536,10,0)</f>
        <v>145102.54999999999</v>
      </c>
    </row>
    <row r="3214" spans="1:12" ht="15.6" outlineLevel="1">
      <c r="A3214" s="11">
        <v>1828100816</v>
      </c>
      <c r="B3214" s="40">
        <v>816</v>
      </c>
      <c r="C3214" s="109">
        <v>828100</v>
      </c>
      <c r="D3214" s="42">
        <v>1</v>
      </c>
      <c r="E3214" s="43"/>
      <c r="F3214" s="44" t="s">
        <v>1673</v>
      </c>
      <c r="G3214" s="45" t="s">
        <v>37</v>
      </c>
      <c r="H3214" s="51">
        <v>0</v>
      </c>
      <c r="I3214" s="47"/>
      <c r="J3214" s="48">
        <f>VLOOKUP(A3214,'[1]תקציב 2026'!$A$1:$M$65536,9,0)</f>
        <v>0</v>
      </c>
      <c r="K3214" s="49">
        <v>0</v>
      </c>
      <c r="L3214" s="50">
        <f>VLOOKUP(A3214,[2]data1761205830331!$A$1:$J$65536,10,0)</f>
        <v>50000</v>
      </c>
    </row>
    <row r="3215" spans="1:12" ht="15.6" outlineLevel="1">
      <c r="A3215" s="11">
        <v>1828100817</v>
      </c>
      <c r="B3215" s="40">
        <v>817</v>
      </c>
      <c r="C3215" s="109">
        <v>828100</v>
      </c>
      <c r="D3215" s="42">
        <v>1</v>
      </c>
      <c r="E3215" s="43"/>
      <c r="F3215" s="44" t="s">
        <v>1674</v>
      </c>
      <c r="G3215" s="45" t="s">
        <v>29</v>
      </c>
      <c r="H3215" s="51">
        <f t="shared" si="50"/>
        <v>0</v>
      </c>
      <c r="I3215" s="47"/>
      <c r="J3215" s="48">
        <f>VLOOKUP(A3215,'[1]תקציב 2026'!$A$1:$M$65536,9,0)</f>
        <v>162000</v>
      </c>
      <c r="K3215" s="49">
        <f>VLOOKUP(A3215,[3]גיליון1!$A$1:$C$7693,3,0)*0.9</f>
        <v>162000</v>
      </c>
      <c r="L3215" s="50">
        <f>VLOOKUP(A3215,[2]data1761205830331!$A$1:$J$65536,10,0)</f>
        <v>151653</v>
      </c>
    </row>
    <row r="3216" spans="1:12" ht="15.6" outlineLevel="1">
      <c r="A3216" s="11">
        <v>1828100818</v>
      </c>
      <c r="B3216" s="40">
        <v>818</v>
      </c>
      <c r="C3216" s="109">
        <v>828100</v>
      </c>
      <c r="D3216" s="42">
        <v>1</v>
      </c>
      <c r="E3216" s="43"/>
      <c r="F3216" s="44" t="s">
        <v>1675</v>
      </c>
      <c r="G3216" s="45" t="s">
        <v>29</v>
      </c>
      <c r="H3216" s="51">
        <f t="shared" si="50"/>
        <v>0</v>
      </c>
      <c r="I3216" s="47"/>
      <c r="J3216" s="48">
        <f>VLOOKUP(A3216,'[1]תקציב 2026'!$A$1:$M$65536,9,0)</f>
        <v>136800</v>
      </c>
      <c r="K3216" s="49">
        <f>VLOOKUP(A3216,[3]גיליון1!$A$1:$C$7693,3,0)</f>
        <v>136800</v>
      </c>
      <c r="L3216" s="50">
        <f>VLOOKUP(A3216,[2]data1761205830331!$A$1:$J$65536,10,0)</f>
        <v>136800</v>
      </c>
    </row>
    <row r="3217" spans="1:12" ht="15.6" outlineLevel="1">
      <c r="A3217" s="11">
        <v>1828100821</v>
      </c>
      <c r="B3217" s="40">
        <v>821</v>
      </c>
      <c r="C3217" s="109">
        <v>828100</v>
      </c>
      <c r="D3217" s="42">
        <v>1</v>
      </c>
      <c r="E3217" s="43"/>
      <c r="F3217" s="44" t="s">
        <v>1676</v>
      </c>
      <c r="G3217" s="45" t="s">
        <v>37</v>
      </c>
      <c r="H3217" s="51">
        <f t="shared" si="50"/>
        <v>0</v>
      </c>
      <c r="I3217" s="47"/>
      <c r="J3217" s="48">
        <f>VLOOKUP(A3217,'[1]תקציב 2026'!$A$1:$M$65536,9,0)</f>
        <v>200000</v>
      </c>
      <c r="K3217" s="49">
        <f t="shared" ref="K3217:K3222" si="51">200000</f>
        <v>200000</v>
      </c>
      <c r="L3217" s="50">
        <f>VLOOKUP(A3217,[2]data1761205830331!$A$1:$J$65536,10,0)</f>
        <v>0</v>
      </c>
    </row>
    <row r="3218" spans="1:12" ht="15.6" outlineLevel="1">
      <c r="A3218" s="11">
        <v>1828100822</v>
      </c>
      <c r="B3218" s="40">
        <v>822</v>
      </c>
      <c r="C3218" s="109">
        <v>828100</v>
      </c>
      <c r="D3218" s="42">
        <v>1</v>
      </c>
      <c r="E3218" s="43"/>
      <c r="F3218" s="44" t="s">
        <v>1677</v>
      </c>
      <c r="G3218" s="45" t="s">
        <v>37</v>
      </c>
      <c r="H3218" s="51">
        <f t="shared" si="50"/>
        <v>0</v>
      </c>
      <c r="I3218" s="47"/>
      <c r="J3218" s="48">
        <f>VLOOKUP(A3218,'[1]תקציב 2026'!$A$1:$M$65536,9,0)</f>
        <v>200000</v>
      </c>
      <c r="K3218" s="49">
        <f t="shared" si="51"/>
        <v>200000</v>
      </c>
      <c r="L3218" s="50">
        <f>VLOOKUP(A3218,[2]data1761205830331!$A$1:$J$65536,10,0)</f>
        <v>0</v>
      </c>
    </row>
    <row r="3219" spans="1:12" ht="15.6" outlineLevel="1">
      <c r="A3219" s="11">
        <v>1828100823</v>
      </c>
      <c r="B3219" s="40">
        <v>823</v>
      </c>
      <c r="C3219" s="109">
        <v>828100</v>
      </c>
      <c r="D3219" s="42">
        <v>1</v>
      </c>
      <c r="E3219" s="43"/>
      <c r="F3219" s="44" t="s">
        <v>1678</v>
      </c>
      <c r="G3219" s="45" t="s">
        <v>37</v>
      </c>
      <c r="H3219" s="51">
        <f t="shared" si="50"/>
        <v>0</v>
      </c>
      <c r="I3219" s="47"/>
      <c r="J3219" s="48">
        <f>VLOOKUP(A3219,'[1]תקציב 2026'!$A$1:$M$65536,9,0)</f>
        <v>200000</v>
      </c>
      <c r="K3219" s="49">
        <f t="shared" si="51"/>
        <v>200000</v>
      </c>
      <c r="L3219" s="50">
        <f>VLOOKUP(A3219,[2]data1761205830331!$A$1:$J$65536,10,0)</f>
        <v>0</v>
      </c>
    </row>
    <row r="3220" spans="1:12" ht="15.6" outlineLevel="1">
      <c r="A3220" s="11">
        <v>1828100824</v>
      </c>
      <c r="B3220" s="40">
        <v>824</v>
      </c>
      <c r="C3220" s="109">
        <v>828100</v>
      </c>
      <c r="D3220" s="42">
        <v>1</v>
      </c>
      <c r="E3220" s="43"/>
      <c r="F3220" s="44" t="s">
        <v>1679</v>
      </c>
      <c r="G3220" s="45" t="s">
        <v>37</v>
      </c>
      <c r="H3220" s="51">
        <f t="shared" si="50"/>
        <v>0</v>
      </c>
      <c r="I3220" s="47"/>
      <c r="J3220" s="48">
        <f>VLOOKUP(A3220,'[1]תקציב 2026'!$A$1:$M$65536,9,0)</f>
        <v>200000</v>
      </c>
      <c r="K3220" s="49">
        <f t="shared" si="51"/>
        <v>200000</v>
      </c>
      <c r="L3220" s="50">
        <f>VLOOKUP(A3220,[2]data1761205830331!$A$1:$J$65536,10,0)</f>
        <v>0</v>
      </c>
    </row>
    <row r="3221" spans="1:12" ht="15.6" outlineLevel="1">
      <c r="A3221" s="11">
        <v>1828100825</v>
      </c>
      <c r="B3221" s="40">
        <v>825</v>
      </c>
      <c r="C3221" s="109">
        <v>828100</v>
      </c>
      <c r="D3221" s="42">
        <v>1</v>
      </c>
      <c r="E3221" s="43"/>
      <c r="F3221" s="44" t="s">
        <v>1680</v>
      </c>
      <c r="G3221" s="45" t="s">
        <v>37</v>
      </c>
      <c r="H3221" s="51">
        <f t="shared" si="50"/>
        <v>0</v>
      </c>
      <c r="I3221" s="47"/>
      <c r="J3221" s="48">
        <f>VLOOKUP(A3221,'[1]תקציב 2026'!$A$1:$M$65536,9,0)</f>
        <v>200000</v>
      </c>
      <c r="K3221" s="49">
        <f t="shared" si="51"/>
        <v>200000</v>
      </c>
      <c r="L3221" s="50">
        <f>VLOOKUP(A3221,[2]data1761205830331!$A$1:$J$65536,10,0)</f>
        <v>0</v>
      </c>
    </row>
    <row r="3222" spans="1:12" ht="15.6" outlineLevel="1">
      <c r="A3222" s="11">
        <v>1828100826</v>
      </c>
      <c r="B3222" s="40">
        <v>826</v>
      </c>
      <c r="C3222" s="109">
        <v>828100</v>
      </c>
      <c r="D3222" s="42">
        <v>1</v>
      </c>
      <c r="E3222" s="43"/>
      <c r="F3222" s="44" t="s">
        <v>1681</v>
      </c>
      <c r="G3222" s="45" t="s">
        <v>37</v>
      </c>
      <c r="H3222" s="51">
        <f t="shared" si="50"/>
        <v>0</v>
      </c>
      <c r="I3222" s="47"/>
      <c r="J3222" s="48">
        <f>VLOOKUP(A3222,'[1]תקציב 2026'!$A$1:$M$65536,9,0)</f>
        <v>200000</v>
      </c>
      <c r="K3222" s="49">
        <f t="shared" si="51"/>
        <v>200000</v>
      </c>
      <c r="L3222" s="50">
        <f>VLOOKUP(A3222,[2]data1761205830331!$A$1:$J$65536,10,0)</f>
        <v>0</v>
      </c>
    </row>
    <row r="3223" spans="1:12" ht="15.6" outlineLevel="1">
      <c r="A3223" s="11">
        <v>1828100827</v>
      </c>
      <c r="B3223" s="40">
        <v>827</v>
      </c>
      <c r="C3223" s="109">
        <v>828100</v>
      </c>
      <c r="D3223" s="42">
        <v>1</v>
      </c>
      <c r="E3223" s="43"/>
      <c r="F3223" s="44" t="s">
        <v>1682</v>
      </c>
      <c r="G3223" s="45" t="s">
        <v>37</v>
      </c>
      <c r="H3223" s="51">
        <f t="shared" si="50"/>
        <v>0</v>
      </c>
      <c r="I3223" s="47"/>
      <c r="J3223" s="48">
        <v>250000</v>
      </c>
      <c r="K3223" s="49">
        <f>250000</f>
        <v>250000</v>
      </c>
      <c r="L3223" s="50">
        <f>VLOOKUP(A3223,[2]data1761205830331!$A$1:$J$65536,10,0)</f>
        <v>0</v>
      </c>
    </row>
    <row r="3224" spans="1:12" ht="15.6" outlineLevel="1">
      <c r="A3224" s="11">
        <v>1828100828</v>
      </c>
      <c r="B3224" s="40">
        <v>828</v>
      </c>
      <c r="C3224" s="109">
        <v>828100</v>
      </c>
      <c r="D3224" s="42">
        <v>1</v>
      </c>
      <c r="E3224" s="43"/>
      <c r="F3224" s="44" t="s">
        <v>1683</v>
      </c>
      <c r="G3224" s="45" t="s">
        <v>37</v>
      </c>
      <c r="H3224" s="51">
        <v>1</v>
      </c>
      <c r="I3224" s="47" t="s">
        <v>86</v>
      </c>
      <c r="J3224" s="48">
        <f>VLOOKUP(A3224,'[1]תקציב 2026'!$A$1:$M$65536,9,0)</f>
        <v>60000</v>
      </c>
      <c r="K3224" s="49">
        <v>0</v>
      </c>
      <c r="L3224" s="50">
        <v>0</v>
      </c>
    </row>
    <row r="3225" spans="1:12" ht="15.6" outlineLevel="1">
      <c r="A3225" s="11">
        <v>1828100981</v>
      </c>
      <c r="B3225" s="40">
        <v>981</v>
      </c>
      <c r="C3225" s="109">
        <v>828100</v>
      </c>
      <c r="D3225" s="42">
        <v>1</v>
      </c>
      <c r="E3225" s="43"/>
      <c r="F3225" s="44" t="s">
        <v>1684</v>
      </c>
      <c r="G3225" s="45" t="s">
        <v>37</v>
      </c>
      <c r="H3225" s="51">
        <v>1</v>
      </c>
      <c r="I3225" s="47" t="s">
        <v>137</v>
      </c>
      <c r="J3225" s="48">
        <f>VLOOKUP(A3225,'[1]תקציב 2026'!$A$1:$M$65536,9,0)</f>
        <v>96000</v>
      </c>
      <c r="K3225" s="49">
        <v>0</v>
      </c>
      <c r="L3225" s="50">
        <f>VLOOKUP(A3225,[2]data1761205830331!$A$1:$J$65536,10,0)</f>
        <v>0</v>
      </c>
    </row>
    <row r="3226" spans="1:12" ht="15.6" outlineLevel="1">
      <c r="A3226" s="11">
        <v>1828100987</v>
      </c>
      <c r="B3226" s="40">
        <v>987</v>
      </c>
      <c r="C3226" s="109">
        <v>828100</v>
      </c>
      <c r="D3226" s="42">
        <v>1</v>
      </c>
      <c r="E3226" s="43"/>
      <c r="F3226" s="44" t="s">
        <v>1685</v>
      </c>
      <c r="G3226" s="45" t="s">
        <v>37</v>
      </c>
      <c r="H3226" s="51">
        <f t="shared" ref="H3226:H3282" si="52">J3226/K3226-1</f>
        <v>1.6041065126715104E-4</v>
      </c>
      <c r="I3226" s="47"/>
      <c r="J3226" s="48">
        <f>VLOOKUP(A3226,'[1]תקציב 2026'!$A$1:$M$65536,9,0)</f>
        <v>374100</v>
      </c>
      <c r="K3226" s="49">
        <f>VLOOKUP(A3226,[3]גיליון1!$A$1:$C$7693,3,0)*0.9</f>
        <v>374040</v>
      </c>
      <c r="L3226" s="50">
        <f>VLOOKUP(A3226,[2]data1761205830331!$A$1:$J$65536,10,0)</f>
        <v>218617.59</v>
      </c>
    </row>
    <row r="3227" spans="1:12" ht="16.2" outlineLevel="1" thickBot="1">
      <c r="A3227" s="11">
        <v>1828100988</v>
      </c>
      <c r="B3227" s="40">
        <v>988</v>
      </c>
      <c r="C3227" s="109">
        <v>828100</v>
      </c>
      <c r="D3227" s="42">
        <v>1</v>
      </c>
      <c r="E3227" s="43"/>
      <c r="F3227" s="44" t="s">
        <v>1686</v>
      </c>
      <c r="G3227" s="45" t="s">
        <v>37</v>
      </c>
      <c r="H3227" s="51">
        <f t="shared" si="52"/>
        <v>0.39043381535038924</v>
      </c>
      <c r="I3227" s="47"/>
      <c r="J3227" s="48">
        <f>VLOOKUP(A3227,'[1]תקציב 2026'!$A$1:$M$65536,9,0)</f>
        <v>450000</v>
      </c>
      <c r="K3227" s="49">
        <f>359600*0.9</f>
        <v>323640</v>
      </c>
      <c r="L3227" s="50">
        <f>VLOOKUP(A3227,[2]data1761205830331!$A$1:$J$65536,10,0)</f>
        <v>298015.06</v>
      </c>
    </row>
    <row r="3228" spans="1:12" ht="16.2" thickBot="1">
      <c r="A3228" s="11" t="e">
        <v>#VALUE!</v>
      </c>
      <c r="B3228" s="53" t="s">
        <v>1687</v>
      </c>
      <c r="C3228" s="223"/>
      <c r="D3228" s="55"/>
      <c r="E3228" s="56"/>
      <c r="F3228" s="116" t="s">
        <v>1688</v>
      </c>
      <c r="G3228" s="58"/>
      <c r="H3228" s="166">
        <f>J3228/K3228-1</f>
        <v>0.22182961803894985</v>
      </c>
      <c r="I3228" s="92">
        <f>SUBTOTAL(9,I3170:I3227)</f>
        <v>0</v>
      </c>
      <c r="J3228" s="74">
        <f>SUBTOTAL(9,J3170:J3227)</f>
        <v>15788800</v>
      </c>
      <c r="K3228" s="92">
        <f>SUBTOTAL(9,K3170:K3227)</f>
        <v>12922260</v>
      </c>
      <c r="L3228" s="75">
        <f>SUBTOTAL(9,L3170:L3227)</f>
        <v>7222129.3500000006</v>
      </c>
    </row>
    <row r="3229" spans="1:12" ht="15.6" outlineLevel="1">
      <c r="A3229" s="11">
        <v>18281200</v>
      </c>
      <c r="B3229" s="64">
        <v>0</v>
      </c>
      <c r="C3229" s="131">
        <v>828120</v>
      </c>
      <c r="D3229" s="66">
        <v>1</v>
      </c>
      <c r="E3229" s="67"/>
      <c r="F3229" s="68" t="s">
        <v>507</v>
      </c>
      <c r="G3229" s="69" t="s">
        <v>15</v>
      </c>
      <c r="H3229" s="51"/>
      <c r="I3229" s="47"/>
      <c r="J3229" s="48"/>
      <c r="K3229" s="49"/>
      <c r="L3229" s="50"/>
    </row>
    <row r="3230" spans="1:12" ht="15.6" outlineLevel="1">
      <c r="A3230" s="11">
        <v>1828120110</v>
      </c>
      <c r="B3230" s="40">
        <v>110</v>
      </c>
      <c r="C3230" s="109">
        <v>828120</v>
      </c>
      <c r="D3230" s="42">
        <v>1</v>
      </c>
      <c r="E3230" s="43"/>
      <c r="F3230" s="44" t="s">
        <v>21</v>
      </c>
      <c r="G3230" s="45" t="s">
        <v>22</v>
      </c>
      <c r="H3230" s="51">
        <f t="shared" si="52"/>
        <v>2.4999999999999911E-2</v>
      </c>
      <c r="I3230" s="47"/>
      <c r="J3230" s="48">
        <f>VLOOKUP(A3230,'[1]תקציב 2026'!$A$1:$M$65536,9,0)</f>
        <v>555550</v>
      </c>
      <c r="K3230" s="49">
        <f>VLOOKUP(A3230,[3]גיליון1!$A$1:$C$7693,3,0)</f>
        <v>542000</v>
      </c>
      <c r="L3230" s="50">
        <f>VLOOKUP(A3230,[2]data1761205830331!$A$1:$J$65536,10,0)</f>
        <v>554523.54</v>
      </c>
    </row>
    <row r="3231" spans="1:12" ht="15.6" outlineLevel="1">
      <c r="A3231" s="11">
        <v>1828120119</v>
      </c>
      <c r="B3231" s="40">
        <v>119</v>
      </c>
      <c r="C3231" s="109">
        <v>828120</v>
      </c>
      <c r="D3231" s="42">
        <v>1</v>
      </c>
      <c r="E3231" s="43"/>
      <c r="F3231" s="44" t="s">
        <v>23</v>
      </c>
      <c r="G3231" s="45" t="s">
        <v>22</v>
      </c>
      <c r="H3231" s="51">
        <f t="shared" si="52"/>
        <v>2.4999999999999911E-2</v>
      </c>
      <c r="I3231" s="47"/>
      <c r="J3231" s="48">
        <f>VLOOKUP(A3231,'[1]תקציב 2026'!$A$1:$M$65536,9,0)</f>
        <v>1886819.9999999998</v>
      </c>
      <c r="K3231" s="49">
        <v>1840800</v>
      </c>
      <c r="L3231" s="50">
        <f>VLOOKUP(A3231,[2]data1761205830331!$A$1:$J$65536,10,0)</f>
        <v>1712499.67</v>
      </c>
    </row>
    <row r="3232" spans="1:12" ht="15.6" outlineLevel="1">
      <c r="A3232" s="11">
        <v>1828120122</v>
      </c>
      <c r="B3232" s="40">
        <v>122</v>
      </c>
      <c r="C3232" s="109">
        <v>828120</v>
      </c>
      <c r="D3232" s="42">
        <v>1</v>
      </c>
      <c r="E3232" s="43"/>
      <c r="F3232" s="44" t="s">
        <v>24</v>
      </c>
      <c r="G3232" s="45" t="s">
        <v>22</v>
      </c>
      <c r="H3232" s="51">
        <f t="shared" si="52"/>
        <v>0</v>
      </c>
      <c r="I3232" s="47"/>
      <c r="J3232" s="48">
        <f>VLOOKUP(A3232,'[1]תקציב 2026'!$A$1:$M$65536,9,0)</f>
        <v>28500</v>
      </c>
      <c r="K3232" s="49">
        <f>VLOOKUP(A3232,[3]גיליון1!$A$1:$C$7693,3,0)</f>
        <v>28500</v>
      </c>
      <c r="L3232" s="50">
        <f>VLOOKUP(A3232,[2]data1761205830331!$A$1:$J$65536,10,0)</f>
        <v>31126.13</v>
      </c>
    </row>
    <row r="3233" spans="1:12" ht="15.6" outlineLevel="1">
      <c r="A3233" s="11">
        <v>1828120126</v>
      </c>
      <c r="B3233" s="40">
        <v>126</v>
      </c>
      <c r="C3233" s="109">
        <v>828120</v>
      </c>
      <c r="D3233" s="42">
        <v>1</v>
      </c>
      <c r="E3233" s="43"/>
      <c r="F3233" s="44" t="s">
        <v>25</v>
      </c>
      <c r="G3233" s="45" t="s">
        <v>22</v>
      </c>
      <c r="H3233" s="51">
        <f t="shared" si="52"/>
        <v>0</v>
      </c>
      <c r="I3233" s="47"/>
      <c r="J3233" s="48">
        <f>VLOOKUP(A3233,'[1]תקציב 2026'!$A$1:$M$65536,9,0)</f>
        <v>70000</v>
      </c>
      <c r="K3233" s="49">
        <f>VLOOKUP(A3233,[3]גיליון1!$A$1:$C$7693,3,0)</f>
        <v>70000</v>
      </c>
      <c r="L3233" s="50">
        <f>VLOOKUP(A3233,[2]data1761205830331!$A$1:$J$65536,10,0)</f>
        <v>73110.27</v>
      </c>
    </row>
    <row r="3234" spans="1:12" ht="15.6" outlineLevel="1">
      <c r="A3234" s="11">
        <v>1828120130</v>
      </c>
      <c r="B3234" s="40">
        <v>130</v>
      </c>
      <c r="C3234" s="109">
        <v>828120</v>
      </c>
      <c r="D3234" s="42">
        <v>1</v>
      </c>
      <c r="E3234" s="43"/>
      <c r="F3234" s="44" t="s">
        <v>26</v>
      </c>
      <c r="G3234" s="45" t="s">
        <v>22</v>
      </c>
      <c r="H3234" s="51">
        <f t="shared" si="52"/>
        <v>0</v>
      </c>
      <c r="I3234" s="47"/>
      <c r="J3234" s="48">
        <f>VLOOKUP(A3234,'[1]תקציב 2026'!$A$1:$M$65536,9,0)</f>
        <v>4730</v>
      </c>
      <c r="K3234" s="49">
        <f>VLOOKUP(A3234,[3]גיליון1!$A$1:$C$7693,3,0)*0.86</f>
        <v>4730</v>
      </c>
      <c r="L3234" s="50">
        <f>VLOOKUP(A3234,[2]data1761205830331!$A$1:$J$65536,10,0)</f>
        <v>4641.4799999999996</v>
      </c>
    </row>
    <row r="3235" spans="1:12" ht="15.6" outlineLevel="1">
      <c r="A3235" s="11">
        <v>1828120140</v>
      </c>
      <c r="B3235" s="40">
        <v>140</v>
      </c>
      <c r="C3235" s="109">
        <v>828120</v>
      </c>
      <c r="D3235" s="42">
        <v>1</v>
      </c>
      <c r="E3235" s="43"/>
      <c r="F3235" s="44" t="s">
        <v>27</v>
      </c>
      <c r="G3235" s="45" t="s">
        <v>22</v>
      </c>
      <c r="H3235" s="51">
        <f t="shared" si="52"/>
        <v>0</v>
      </c>
      <c r="I3235" s="47"/>
      <c r="J3235" s="48">
        <f>VLOOKUP(A3235,'[1]תקציב 2026'!$A$1:$M$65536,9,0)</f>
        <v>232000</v>
      </c>
      <c r="K3235" s="49">
        <f>VLOOKUP(A3235,[3]גיליון1!$A$1:$C$7693,3,0)</f>
        <v>232000</v>
      </c>
      <c r="L3235" s="50">
        <f>VLOOKUP(A3235,[2]data1761205830331!$A$1:$J$65536,10,0)</f>
        <v>238834.84</v>
      </c>
    </row>
    <row r="3236" spans="1:12" ht="15.6" outlineLevel="1">
      <c r="A3236" s="11">
        <v>1828120450</v>
      </c>
      <c r="B3236" s="40">
        <v>450</v>
      </c>
      <c r="C3236" s="109">
        <v>828120</v>
      </c>
      <c r="D3236" s="42">
        <v>1</v>
      </c>
      <c r="E3236" s="43"/>
      <c r="F3236" s="11" t="s">
        <v>41</v>
      </c>
      <c r="G3236" s="45" t="s">
        <v>29</v>
      </c>
      <c r="H3236" s="51">
        <f t="shared" si="52"/>
        <v>-1</v>
      </c>
      <c r="I3236" s="47"/>
      <c r="J3236" s="48">
        <f>VLOOKUP(A3236,'[1]תקציב 2026'!$A$1:$M$65536,9,0)</f>
        <v>0</v>
      </c>
      <c r="K3236" s="49">
        <v>1000</v>
      </c>
      <c r="L3236" s="50">
        <f>VLOOKUP(A3236,[2]data1761205830331!$A$1:$J$65536,10,0)</f>
        <v>0</v>
      </c>
    </row>
    <row r="3237" spans="1:12" ht="15.6" outlineLevel="1">
      <c r="A3237" s="11">
        <v>1828120571</v>
      </c>
      <c r="B3237" s="40">
        <v>571</v>
      </c>
      <c r="C3237" s="109">
        <v>828120</v>
      </c>
      <c r="D3237" s="42">
        <v>1</v>
      </c>
      <c r="E3237" s="43"/>
      <c r="F3237" s="44" t="s">
        <v>75</v>
      </c>
      <c r="G3237" s="45" t="s">
        <v>29</v>
      </c>
      <c r="H3237" s="51">
        <f t="shared" si="52"/>
        <v>1.0790408525754884</v>
      </c>
      <c r="I3237" s="47"/>
      <c r="J3237" s="48">
        <f>VLOOKUP(A3237,'[1]תקציב 2026'!$A$1:$M$65536,9,0)</f>
        <v>234100</v>
      </c>
      <c r="K3237" s="49">
        <v>112600</v>
      </c>
      <c r="L3237" s="50">
        <f>VLOOKUP(A3237,[2]data1761205830331!$A$1:$J$65536,10,0)</f>
        <v>95100</v>
      </c>
    </row>
    <row r="3238" spans="1:12" ht="15.6" outlineLevel="1">
      <c r="A3238" s="11">
        <v>1828120750</v>
      </c>
      <c r="B3238" s="40">
        <v>750</v>
      </c>
      <c r="C3238" s="109">
        <v>828120</v>
      </c>
      <c r="D3238" s="42">
        <v>1</v>
      </c>
      <c r="E3238" s="43"/>
      <c r="F3238" s="44" t="s">
        <v>1351</v>
      </c>
      <c r="G3238" s="45" t="s">
        <v>29</v>
      </c>
      <c r="H3238" s="51">
        <f t="shared" si="52"/>
        <v>-1.2195121951219523E-2</v>
      </c>
      <c r="I3238" s="47"/>
      <c r="J3238" s="48">
        <f>VLOOKUP(A3238,'[1]תקציב 2026'!$A$1:$M$65536,9,0)</f>
        <v>24300</v>
      </c>
      <c r="K3238" s="49">
        <v>24600</v>
      </c>
      <c r="L3238" s="50">
        <f>VLOOKUP(A3238,[2]data1761205830331!$A$1:$J$65536,10,0)</f>
        <v>17625</v>
      </c>
    </row>
    <row r="3239" spans="1:12" ht="15.6" outlineLevel="1">
      <c r="A3239" s="11">
        <v>1828120752</v>
      </c>
      <c r="B3239" s="40">
        <v>752</v>
      </c>
      <c r="C3239" s="109">
        <v>828120</v>
      </c>
      <c r="D3239" s="42">
        <v>1</v>
      </c>
      <c r="E3239" s="43"/>
      <c r="F3239" s="44" t="s">
        <v>54</v>
      </c>
      <c r="G3239" s="45" t="s">
        <v>29</v>
      </c>
      <c r="H3239" s="51">
        <f t="shared" si="52"/>
        <v>5.4347826086955653E-3</v>
      </c>
      <c r="I3239" s="47"/>
      <c r="J3239" s="48">
        <f>VLOOKUP(A3239,'[1]תקציב 2026'!$A$1:$M$65536,9,0)</f>
        <v>55500</v>
      </c>
      <c r="K3239" s="49">
        <f>VLOOKUP(A3239,[3]גיליון1!$A$1:$C$7693,3,0)</f>
        <v>55200</v>
      </c>
      <c r="L3239" s="50">
        <f>VLOOKUP(A3239,[2]data1761205830331!$A$1:$J$65536,10,0)</f>
        <v>55099.61</v>
      </c>
    </row>
    <row r="3240" spans="1:12" ht="16.2" outlineLevel="1" thickBot="1">
      <c r="A3240" s="11">
        <v>1828120780</v>
      </c>
      <c r="B3240" s="40">
        <v>780</v>
      </c>
      <c r="C3240" s="109">
        <v>828120</v>
      </c>
      <c r="D3240" s="42">
        <v>1</v>
      </c>
      <c r="E3240" s="43"/>
      <c r="F3240" s="44" t="s">
        <v>1689</v>
      </c>
      <c r="G3240" s="45" t="s">
        <v>37</v>
      </c>
      <c r="H3240" s="51">
        <f t="shared" si="52"/>
        <v>9.5785440613016526E-4</v>
      </c>
      <c r="I3240" s="47"/>
      <c r="J3240" s="48">
        <f>VLOOKUP(A3240,'[1]תקציב 2026'!$A$1:$M$65536,9,0)</f>
        <v>41800</v>
      </c>
      <c r="K3240" s="49">
        <f>VLOOKUP(A3240,[3]גיליון1!$A$1:$C$7693,3,0)*0.9</f>
        <v>41760</v>
      </c>
      <c r="L3240" s="50">
        <f>VLOOKUP(A3240,[2]data1761205830331!$A$1:$J$65536,10,0)</f>
        <v>23664.53</v>
      </c>
    </row>
    <row r="3241" spans="1:12" ht="16.2" thickBot="1">
      <c r="A3241" s="11" t="e">
        <v>#VALUE!</v>
      </c>
      <c r="B3241" s="53" t="s">
        <v>1690</v>
      </c>
      <c r="C3241" s="223"/>
      <c r="D3241" s="55"/>
      <c r="E3241" s="56"/>
      <c r="F3241" s="116" t="s">
        <v>507</v>
      </c>
      <c r="G3241" s="58"/>
      <c r="H3241" s="71">
        <f>J3241/K3241-1</f>
        <v>6.0988287241931616E-2</v>
      </c>
      <c r="I3241" s="72"/>
      <c r="J3241" s="74">
        <f>SUBTOTAL(9,J3230:J3240)</f>
        <v>3133300</v>
      </c>
      <c r="K3241" s="92">
        <f>SUBTOTAL(9,K3230:K3240)</f>
        <v>2953190</v>
      </c>
      <c r="L3241" s="75">
        <f>SUBTOTAL(9,L3230:L3240)</f>
        <v>2806225.0699999994</v>
      </c>
    </row>
    <row r="3242" spans="1:12" ht="15.6" outlineLevel="1">
      <c r="A3242" s="11">
        <v>18281300</v>
      </c>
      <c r="B3242" s="40">
        <v>0</v>
      </c>
      <c r="C3242" s="109">
        <v>828130</v>
      </c>
      <c r="D3242" s="42">
        <v>1</v>
      </c>
      <c r="E3242" s="43"/>
      <c r="F3242" s="44" t="s">
        <v>1691</v>
      </c>
      <c r="G3242" s="45" t="s">
        <v>15</v>
      </c>
      <c r="H3242" s="51"/>
      <c r="I3242" s="47"/>
      <c r="J3242" s="48"/>
      <c r="K3242" s="49"/>
      <c r="L3242" s="50"/>
    </row>
    <row r="3243" spans="1:12" ht="15.6" outlineLevel="1">
      <c r="A3243" s="11">
        <v>1828130119</v>
      </c>
      <c r="B3243" s="40">
        <v>119</v>
      </c>
      <c r="C3243" s="109">
        <v>828130</v>
      </c>
      <c r="D3243" s="42">
        <v>1</v>
      </c>
      <c r="E3243" s="43"/>
      <c r="F3243" s="44" t="s">
        <v>23</v>
      </c>
      <c r="G3243" s="45" t="s">
        <v>22</v>
      </c>
      <c r="H3243" s="51">
        <f t="shared" si="52"/>
        <v>0.15312499999999996</v>
      </c>
      <c r="I3243" s="47"/>
      <c r="J3243" s="48">
        <v>3671550</v>
      </c>
      <c r="K3243" s="49">
        <f>3111000+73000+360000+144000-504000</f>
        <v>3184000</v>
      </c>
      <c r="L3243" s="50">
        <f>VLOOKUP(A3243,[2]data1761205830331!$A$1:$J$65536,10,0)</f>
        <v>2890090.4</v>
      </c>
    </row>
    <row r="3244" spans="1:12" ht="15.6" outlineLevel="1">
      <c r="A3244" s="11">
        <v>1828130122</v>
      </c>
      <c r="B3244" s="40">
        <v>122</v>
      </c>
      <c r="C3244" s="109">
        <v>828130</v>
      </c>
      <c r="D3244" s="42">
        <v>1</v>
      </c>
      <c r="E3244" s="43"/>
      <c r="F3244" s="44" t="s">
        <v>24</v>
      </c>
      <c r="G3244" s="45" t="s">
        <v>22</v>
      </c>
      <c r="H3244" s="51">
        <f t="shared" si="52"/>
        <v>0.14482758620689662</v>
      </c>
      <c r="I3244" s="47"/>
      <c r="J3244" s="48">
        <v>33200</v>
      </c>
      <c r="K3244" s="49">
        <f>VLOOKUP(A3244,[3]גיליון1!$A$1:$C$7693,3,0)</f>
        <v>29000</v>
      </c>
      <c r="L3244" s="50">
        <f>VLOOKUP(A3244,[2]data1761205830331!$A$1:$J$65536,10,0)</f>
        <v>31726.01</v>
      </c>
    </row>
    <row r="3245" spans="1:12" ht="15.6" outlineLevel="1">
      <c r="A3245" s="11">
        <v>1828130126</v>
      </c>
      <c r="B3245" s="40">
        <v>126</v>
      </c>
      <c r="C3245" s="109">
        <v>828130</v>
      </c>
      <c r="D3245" s="42">
        <v>1</v>
      </c>
      <c r="E3245" s="43"/>
      <c r="F3245" s="44" t="s">
        <v>25</v>
      </c>
      <c r="G3245" s="45" t="s">
        <v>22</v>
      </c>
      <c r="H3245" s="51">
        <f t="shared" si="52"/>
        <v>0.14486111111111111</v>
      </c>
      <c r="I3245" s="47"/>
      <c r="J3245" s="48">
        <v>82430</v>
      </c>
      <c r="K3245" s="49">
        <f>VLOOKUP(A3245,[3]גיליון1!$A$1:$C$7693,3,0)</f>
        <v>72000</v>
      </c>
      <c r="L3245" s="50">
        <f>VLOOKUP(A3245,[2]data1761205830331!$A$1:$J$65536,10,0)</f>
        <v>77092.600000000006</v>
      </c>
    </row>
    <row r="3246" spans="1:12" ht="15.6" outlineLevel="1">
      <c r="A3246" s="11">
        <v>1828130140</v>
      </c>
      <c r="B3246" s="40">
        <v>140</v>
      </c>
      <c r="C3246" s="109">
        <v>828130</v>
      </c>
      <c r="D3246" s="42">
        <v>1</v>
      </c>
      <c r="E3246" s="43"/>
      <c r="F3246" s="44" t="s">
        <v>27</v>
      </c>
      <c r="G3246" s="45" t="s">
        <v>22</v>
      </c>
      <c r="H3246" s="51">
        <f t="shared" si="52"/>
        <v>0</v>
      </c>
      <c r="I3246" s="47"/>
      <c r="J3246" s="48">
        <f>VLOOKUP(A3246,'[1]תקציב 2026'!$A$1:$M$65536,9,0)</f>
        <v>350000</v>
      </c>
      <c r="K3246" s="49">
        <f>VLOOKUP(A3246,[3]גיליון1!$A$1:$C$7693,3,0)</f>
        <v>350000</v>
      </c>
      <c r="L3246" s="50">
        <f>VLOOKUP(A3246,[2]data1761205830331!$A$1:$J$65536,10,0)</f>
        <v>326431.86</v>
      </c>
    </row>
    <row r="3247" spans="1:12" ht="15.6" outlineLevel="1">
      <c r="A3247" s="11">
        <v>1828130253</v>
      </c>
      <c r="B3247" s="40">
        <v>253</v>
      </c>
      <c r="C3247" s="109">
        <v>828130</v>
      </c>
      <c r="D3247" s="42">
        <v>1</v>
      </c>
      <c r="E3247" s="43"/>
      <c r="F3247" s="44" t="s">
        <v>738</v>
      </c>
      <c r="G3247" s="45" t="s">
        <v>22</v>
      </c>
      <c r="H3247" s="51">
        <f t="shared" si="52"/>
        <v>-1</v>
      </c>
      <c r="I3247" s="47"/>
      <c r="J3247" s="48">
        <f>VLOOKUP(A3247,'[1]תקציב 2026'!$A$1:$M$65536,9,0)</f>
        <v>0</v>
      </c>
      <c r="K3247" s="49">
        <v>57100</v>
      </c>
      <c r="L3247" s="50">
        <f>VLOOKUP(A3247,[2]data1761205830331!$A$1:$J$65536,10,0)</f>
        <v>507025.99</v>
      </c>
    </row>
    <row r="3248" spans="1:12" ht="15.6" outlineLevel="1">
      <c r="A3248" s="11">
        <v>1828130350</v>
      </c>
      <c r="B3248" s="40">
        <v>350</v>
      </c>
      <c r="C3248" s="109">
        <v>828130</v>
      </c>
      <c r="D3248" s="42">
        <v>1</v>
      </c>
      <c r="E3248" s="43"/>
      <c r="F3248" s="44" t="s">
        <v>1692</v>
      </c>
      <c r="G3248" s="45" t="s">
        <v>22</v>
      </c>
      <c r="H3248" s="51">
        <v>0</v>
      </c>
      <c r="I3248" s="47"/>
      <c r="J3248" s="48">
        <f>VLOOKUP(A3248,'[1]תקציב 2026'!$A$1:$M$65536,9,0)</f>
        <v>0</v>
      </c>
      <c r="K3248" s="49">
        <v>0</v>
      </c>
      <c r="L3248" s="50">
        <f>VLOOKUP(A3248,[2]data1761205830331!$A$1:$J$65536,10,0)</f>
        <v>28365.56</v>
      </c>
    </row>
    <row r="3249" spans="1:12" ht="15.6" outlineLevel="1">
      <c r="A3249" s="11">
        <v>1828130351</v>
      </c>
      <c r="B3249" s="40">
        <v>351</v>
      </c>
      <c r="C3249" s="109">
        <v>828130</v>
      </c>
      <c r="D3249" s="42">
        <v>1</v>
      </c>
      <c r="E3249" s="43"/>
      <c r="F3249" s="44" t="s">
        <v>1693</v>
      </c>
      <c r="G3249" s="45" t="s">
        <v>22</v>
      </c>
      <c r="H3249" s="51">
        <v>0</v>
      </c>
      <c r="I3249" s="47"/>
      <c r="J3249" s="48">
        <f>VLOOKUP(A3249,'[1]תקציב 2026'!$A$1:$M$65536,9,0)</f>
        <v>0</v>
      </c>
      <c r="K3249" s="49">
        <v>0</v>
      </c>
      <c r="L3249" s="50">
        <f>VLOOKUP(A3249,[2]data1761205830331!$A$1:$J$65536,10,0)</f>
        <v>10231.16</v>
      </c>
    </row>
    <row r="3250" spans="1:12" ht="15.6" outlineLevel="1">
      <c r="A3250" s="11">
        <v>1828130410</v>
      </c>
      <c r="B3250" s="40">
        <v>410</v>
      </c>
      <c r="C3250" s="109">
        <v>828130</v>
      </c>
      <c r="D3250" s="42">
        <v>1</v>
      </c>
      <c r="E3250" s="43"/>
      <c r="F3250" s="44" t="s">
        <v>1694</v>
      </c>
      <c r="G3250" s="45" t="s">
        <v>29</v>
      </c>
      <c r="H3250" s="51">
        <f t="shared" si="52"/>
        <v>1.8181818181818077E-2</v>
      </c>
      <c r="I3250" s="47"/>
      <c r="J3250" s="48">
        <f>VLOOKUP(A3250,'[1]תקציב 2026'!$A$1:$M$65536,9,0)</f>
        <v>112000</v>
      </c>
      <c r="K3250" s="49">
        <f>VLOOKUP(A3250,[3]גיליון1!$A$1:$C$7693,3,0)</f>
        <v>110000</v>
      </c>
      <c r="L3250" s="50">
        <f>VLOOKUP(A3250,[2]data1761205830331!$A$1:$J$65536,10,0)</f>
        <v>105763.23</v>
      </c>
    </row>
    <row r="3251" spans="1:12" ht="15.6" outlineLevel="1">
      <c r="A3251" s="11">
        <v>1828130431</v>
      </c>
      <c r="B3251" s="40">
        <v>431</v>
      </c>
      <c r="C3251" s="109">
        <v>828130</v>
      </c>
      <c r="D3251" s="42">
        <v>1</v>
      </c>
      <c r="E3251" s="43"/>
      <c r="F3251" s="44" t="s">
        <v>32</v>
      </c>
      <c r="G3251" s="45" t="s">
        <v>29</v>
      </c>
      <c r="H3251" s="51">
        <f t="shared" si="52"/>
        <v>0</v>
      </c>
      <c r="I3251" s="47"/>
      <c r="J3251" s="48">
        <f>VLOOKUP(A3251,'[1]תקציב 2026'!$A$1:$M$65536,9,0)</f>
        <v>20000</v>
      </c>
      <c r="K3251" s="49">
        <v>20000</v>
      </c>
      <c r="L3251" s="50">
        <f>VLOOKUP(A3251,[2]data1761205830331!$A$1:$J$65536,10,0)</f>
        <v>20780.37</v>
      </c>
    </row>
    <row r="3252" spans="1:12" ht="15.6" outlineLevel="1">
      <c r="A3252" s="11">
        <v>1828130432</v>
      </c>
      <c r="B3252" s="40">
        <v>432</v>
      </c>
      <c r="C3252" s="109">
        <v>828130</v>
      </c>
      <c r="D3252" s="42">
        <v>1</v>
      </c>
      <c r="E3252" s="43"/>
      <c r="F3252" s="44" t="s">
        <v>33</v>
      </c>
      <c r="G3252" s="45" t="s">
        <v>29</v>
      </c>
      <c r="H3252" s="51">
        <f t="shared" si="52"/>
        <v>0</v>
      </c>
      <c r="I3252" s="47"/>
      <c r="J3252" s="48">
        <f>VLOOKUP(A3252,'[1]תקציב 2026'!$A$1:$M$65536,9,0)</f>
        <v>6200</v>
      </c>
      <c r="K3252" s="49">
        <v>6200</v>
      </c>
      <c r="L3252" s="50">
        <f>VLOOKUP(A3252,[2]data1761205830331!$A$1:$J$65536,10,0)</f>
        <v>5903.02</v>
      </c>
    </row>
    <row r="3253" spans="1:12" ht="15.6" outlineLevel="1">
      <c r="A3253" s="11">
        <v>1828130433</v>
      </c>
      <c r="B3253" s="40">
        <v>433</v>
      </c>
      <c r="C3253" s="109">
        <v>828130</v>
      </c>
      <c r="D3253" s="42">
        <v>1</v>
      </c>
      <c r="E3253" s="43"/>
      <c r="F3253" s="44" t="s">
        <v>34</v>
      </c>
      <c r="G3253" s="45" t="s">
        <v>37</v>
      </c>
      <c r="H3253" s="51">
        <f t="shared" si="52"/>
        <v>0</v>
      </c>
      <c r="I3253" s="47"/>
      <c r="J3253" s="48">
        <f>VLOOKUP(A3253,'[1]תקציב 2026'!$A$1:$M$65536,9,0)</f>
        <v>4500</v>
      </c>
      <c r="K3253" s="49">
        <f>VLOOKUP(A3253,[3]גיליון1!$A$1:$C$7693,3,0)*0.9</f>
        <v>4500</v>
      </c>
      <c r="L3253" s="50">
        <f>VLOOKUP(A3253,[2]data1761205830331!$A$1:$J$65536,10,0)</f>
        <v>1692.03</v>
      </c>
    </row>
    <row r="3254" spans="1:12" ht="15.6" outlineLevel="1">
      <c r="A3254" s="11">
        <v>1828130450</v>
      </c>
      <c r="B3254" s="40">
        <v>450</v>
      </c>
      <c r="C3254" s="109">
        <v>828130</v>
      </c>
      <c r="D3254" s="42">
        <v>1</v>
      </c>
      <c r="E3254" s="43"/>
      <c r="F3254" s="11" t="s">
        <v>41</v>
      </c>
      <c r="G3254" s="45" t="s">
        <v>29</v>
      </c>
      <c r="H3254" s="51">
        <f t="shared" si="52"/>
        <v>0</v>
      </c>
      <c r="I3254" s="47"/>
      <c r="J3254" s="48">
        <f>VLOOKUP(A3254,'[1]תקציב 2026'!$A$1:$M$65536,9,0)</f>
        <v>1200</v>
      </c>
      <c r="K3254" s="49">
        <v>1200</v>
      </c>
      <c r="L3254" s="50">
        <f>VLOOKUP(A3254,[2]data1761205830331!$A$1:$J$65536,10,0)</f>
        <v>0</v>
      </c>
    </row>
    <row r="3255" spans="1:12" ht="15.6" outlineLevel="1">
      <c r="A3255" s="11">
        <v>1828130470</v>
      </c>
      <c r="B3255" s="40">
        <v>470</v>
      </c>
      <c r="C3255" s="109">
        <v>828130</v>
      </c>
      <c r="D3255" s="42">
        <v>1</v>
      </c>
      <c r="E3255" s="43"/>
      <c r="F3255" s="44" t="s">
        <v>1695</v>
      </c>
      <c r="G3255" s="45" t="s">
        <v>37</v>
      </c>
      <c r="H3255" s="51">
        <f t="shared" si="52"/>
        <v>-1.2345679012345734E-2</v>
      </c>
      <c r="I3255" s="47"/>
      <c r="J3255" s="48">
        <f>VLOOKUP(A3255,'[1]תקציב 2026'!$A$1:$M$65536,9,0)</f>
        <v>4800</v>
      </c>
      <c r="K3255" s="49">
        <f>VLOOKUP(A3255,[3]גיליון1!$A$1:$C$7693,3,0)*0.9</f>
        <v>4860</v>
      </c>
      <c r="L3255" s="50">
        <f>VLOOKUP(A3255,[2]data1761205830331!$A$1:$J$65536,10,0)</f>
        <v>5934</v>
      </c>
    </row>
    <row r="3256" spans="1:12" ht="15.6" outlineLevel="1">
      <c r="A3256" s="11">
        <v>1828130471</v>
      </c>
      <c r="B3256" s="40">
        <v>471</v>
      </c>
      <c r="C3256" s="109">
        <v>828130</v>
      </c>
      <c r="D3256" s="42">
        <v>1</v>
      </c>
      <c r="E3256" s="43"/>
      <c r="F3256" s="44" t="s">
        <v>71</v>
      </c>
      <c r="G3256" s="45" t="s">
        <v>37</v>
      </c>
      <c r="H3256" s="51">
        <f t="shared" si="52"/>
        <v>-1.2345679012345734E-2</v>
      </c>
      <c r="I3256" s="47"/>
      <c r="J3256" s="48">
        <f>VLOOKUP(A3256,'[1]תקציב 2026'!$A$1:$M$65536,9,0)</f>
        <v>5600</v>
      </c>
      <c r="K3256" s="49">
        <f>VLOOKUP(A3256,[3]גיליון1!$A$1:$C$7693,3,0)*0.9</f>
        <v>5670</v>
      </c>
      <c r="L3256" s="50">
        <f>VLOOKUP(A3256,[2]data1761205830331!$A$1:$J$65536,10,0)</f>
        <v>6228.82</v>
      </c>
    </row>
    <row r="3257" spans="1:12" ht="15.6" outlineLevel="1">
      <c r="A3257" s="11">
        <v>1828130511</v>
      </c>
      <c r="B3257" s="40">
        <v>511</v>
      </c>
      <c r="C3257" s="109">
        <v>828130</v>
      </c>
      <c r="D3257" s="42">
        <v>1</v>
      </c>
      <c r="E3257" s="43"/>
      <c r="F3257" s="44" t="s">
        <v>72</v>
      </c>
      <c r="G3257" s="45" t="s">
        <v>37</v>
      </c>
      <c r="H3257" s="51">
        <f t="shared" si="52"/>
        <v>-0.20634920634920639</v>
      </c>
      <c r="I3257" s="47"/>
      <c r="J3257" s="48">
        <f>VLOOKUP(A3257,'[1]תקציב 2026'!$A$1:$M$65536,9,0)</f>
        <v>3500</v>
      </c>
      <c r="K3257" s="49">
        <f>4900*0.9</f>
        <v>4410</v>
      </c>
      <c r="L3257" s="50">
        <f>VLOOKUP(A3257,[2]data1761205830331!$A$1:$J$65536,10,0)</f>
        <v>323.57</v>
      </c>
    </row>
    <row r="3258" spans="1:12" ht="15.6" outlineLevel="1">
      <c r="A3258" s="11">
        <v>1828130540</v>
      </c>
      <c r="B3258" s="40">
        <v>540</v>
      </c>
      <c r="C3258" s="109">
        <v>828130</v>
      </c>
      <c r="D3258" s="42">
        <v>1</v>
      </c>
      <c r="E3258" s="43"/>
      <c r="F3258" s="44" t="s">
        <v>47</v>
      </c>
      <c r="G3258" s="45" t="s">
        <v>29</v>
      </c>
      <c r="H3258" s="51">
        <f t="shared" si="52"/>
        <v>-1</v>
      </c>
      <c r="I3258" s="47"/>
      <c r="J3258" s="48">
        <f>VLOOKUP(A3258,'[1]תקציב 2026'!$A$1:$M$65536,9,0)</f>
        <v>0</v>
      </c>
      <c r="K3258" s="49">
        <f>VLOOKUP(A3258,[3]גיליון1!$A$1:$C$7693,3,0)</f>
        <v>12000</v>
      </c>
      <c r="L3258" s="50">
        <f>VLOOKUP(A3258,[2]data1761205830331!$A$1:$J$65536,10,0)</f>
        <v>0</v>
      </c>
    </row>
    <row r="3259" spans="1:12" ht="15.6" outlineLevel="1">
      <c r="A3259" s="11">
        <v>1828130544</v>
      </c>
      <c r="B3259" s="40">
        <v>544</v>
      </c>
      <c r="C3259" s="109">
        <v>828130</v>
      </c>
      <c r="D3259" s="42">
        <v>1</v>
      </c>
      <c r="E3259" s="43"/>
      <c r="F3259" s="44" t="s">
        <v>743</v>
      </c>
      <c r="G3259" s="45" t="s">
        <v>29</v>
      </c>
      <c r="H3259" s="51">
        <f t="shared" si="52"/>
        <v>1.1111111111111112</v>
      </c>
      <c r="I3259" s="47"/>
      <c r="J3259" s="48">
        <f>VLOOKUP(A3259,'[1]תקציב 2026'!$A$1:$M$65536,9,0)</f>
        <v>1900</v>
      </c>
      <c r="K3259" s="49">
        <f>VLOOKUP(A3259,[3]גיליון1!$A$1:$C$7693,3,0)</f>
        <v>900</v>
      </c>
      <c r="L3259" s="50">
        <f>VLOOKUP(A3259,[2]data1761205830331!$A$1:$J$65536,10,0)</f>
        <v>0</v>
      </c>
    </row>
    <row r="3260" spans="1:12" ht="15.6" outlineLevel="1">
      <c r="A3260" s="11">
        <v>1828130562</v>
      </c>
      <c r="B3260" s="40">
        <v>562</v>
      </c>
      <c r="C3260" s="109">
        <v>828130</v>
      </c>
      <c r="D3260" s="42">
        <v>1</v>
      </c>
      <c r="E3260" s="43"/>
      <c r="F3260" s="44" t="s">
        <v>748</v>
      </c>
      <c r="G3260" s="45" t="s">
        <v>37</v>
      </c>
      <c r="H3260" s="51">
        <f t="shared" si="52"/>
        <v>0</v>
      </c>
      <c r="I3260" s="47"/>
      <c r="J3260" s="48">
        <f>VLOOKUP(A3260,'[1]תקציב 2026'!$A$1:$M$65536,9,0)</f>
        <v>1800</v>
      </c>
      <c r="K3260" s="49">
        <f>VLOOKUP(A3260,[3]גיליון1!$A$1:$C$7693,3,0)*0.9</f>
        <v>1800</v>
      </c>
      <c r="L3260" s="50">
        <f>VLOOKUP(A3260,[2]data1761205830331!$A$1:$J$65536,10,0)</f>
        <v>165</v>
      </c>
    </row>
    <row r="3261" spans="1:12" ht="15.6" outlineLevel="1">
      <c r="A3261" s="11">
        <v>1828130580</v>
      </c>
      <c r="B3261" s="40">
        <v>580</v>
      </c>
      <c r="C3261" s="109">
        <v>828130</v>
      </c>
      <c r="D3261" s="42">
        <v>1</v>
      </c>
      <c r="E3261" s="43"/>
      <c r="F3261" s="44" t="s">
        <v>104</v>
      </c>
      <c r="G3261" s="45" t="s">
        <v>29</v>
      </c>
      <c r="H3261" s="51">
        <f t="shared" si="52"/>
        <v>-1</v>
      </c>
      <c r="I3261" s="47"/>
      <c r="J3261" s="48">
        <f>VLOOKUP(A3261,'[1]תקציב 2026'!$A$1:$M$65536,9,0)</f>
        <v>0</v>
      </c>
      <c r="K3261" s="49">
        <f>VLOOKUP(A3261,[3]גיליון1!$A$1:$C$7693,3,0)</f>
        <v>34200</v>
      </c>
      <c r="L3261" s="50">
        <f>VLOOKUP(A3261,[2]data1761205830331!$A$1:$J$65536,10,0)</f>
        <v>0</v>
      </c>
    </row>
    <row r="3262" spans="1:12" ht="15.6" outlineLevel="1">
      <c r="A3262" s="11">
        <v>1828130751</v>
      </c>
      <c r="B3262" s="40">
        <v>751</v>
      </c>
      <c r="C3262" s="109">
        <v>828130</v>
      </c>
      <c r="D3262" s="42">
        <v>1</v>
      </c>
      <c r="E3262" s="43"/>
      <c r="F3262" s="44" t="s">
        <v>53</v>
      </c>
      <c r="G3262" s="45" t="s">
        <v>29</v>
      </c>
      <c r="H3262" s="51">
        <v>1</v>
      </c>
      <c r="I3262" s="47"/>
      <c r="J3262" s="48">
        <f>VLOOKUP(A3262,'[1]תקציב 2026'!$A$1:$M$65536,9,0)</f>
        <v>30000</v>
      </c>
      <c r="K3262" s="49">
        <v>0</v>
      </c>
      <c r="L3262" s="50">
        <f>VLOOKUP(A3262,[2]data1761205830331!$A$1:$J$65536,10,0)</f>
        <v>20684.52</v>
      </c>
    </row>
    <row r="3263" spans="1:12" ht="15.6" outlineLevel="1">
      <c r="A3263" s="11">
        <v>1828130752</v>
      </c>
      <c r="B3263" s="40">
        <v>752</v>
      </c>
      <c r="C3263" s="109">
        <v>828130</v>
      </c>
      <c r="D3263" s="42">
        <v>1</v>
      </c>
      <c r="E3263" s="43"/>
      <c r="F3263" s="44" t="s">
        <v>54</v>
      </c>
      <c r="G3263" s="45" t="s">
        <v>29</v>
      </c>
      <c r="H3263" s="51">
        <f t="shared" si="52"/>
        <v>0</v>
      </c>
      <c r="I3263" s="47"/>
      <c r="J3263" s="48">
        <f>VLOOKUP(A3263,'[1]תקציב 2026'!$A$1:$M$65536,9,0)</f>
        <v>160000</v>
      </c>
      <c r="K3263" s="49">
        <f>VLOOKUP(A3263,[3]גיליון1!$A$1:$C$7693,3,0)</f>
        <v>160000</v>
      </c>
      <c r="L3263" s="50">
        <f>VLOOKUP(A3263,[2]data1761205830331!$A$1:$J$65536,10,0)</f>
        <v>173999.82</v>
      </c>
    </row>
    <row r="3264" spans="1:12" ht="15" customHeight="1" outlineLevel="1">
      <c r="A3264" s="11">
        <v>1828130754</v>
      </c>
      <c r="B3264" s="40">
        <v>754</v>
      </c>
      <c r="C3264" s="109">
        <v>828130</v>
      </c>
      <c r="D3264" s="42">
        <v>1</v>
      </c>
      <c r="E3264" s="43"/>
      <c r="F3264" s="44" t="s">
        <v>1696</v>
      </c>
      <c r="G3264" s="45" t="s">
        <v>37</v>
      </c>
      <c r="H3264" s="51">
        <v>1</v>
      </c>
      <c r="I3264" s="47" t="s">
        <v>86</v>
      </c>
      <c r="J3264" s="48">
        <f>VLOOKUP(A3264,'[1]תקציב 2026'!$A$1:$M$65536,9,0)</f>
        <v>270000</v>
      </c>
      <c r="K3264" s="49">
        <v>0</v>
      </c>
      <c r="L3264" s="50">
        <v>0</v>
      </c>
    </row>
    <row r="3265" spans="1:12" ht="15.6" outlineLevel="1">
      <c r="A3265" s="11">
        <v>1828130780</v>
      </c>
      <c r="B3265" s="40">
        <v>780</v>
      </c>
      <c r="C3265" s="109">
        <v>828130</v>
      </c>
      <c r="D3265" s="42">
        <v>1</v>
      </c>
      <c r="E3265" s="43"/>
      <c r="F3265" s="44" t="s">
        <v>1656</v>
      </c>
      <c r="G3265" s="45" t="s">
        <v>37</v>
      </c>
      <c r="H3265" s="51">
        <f t="shared" si="52"/>
        <v>-1</v>
      </c>
      <c r="I3265" s="47"/>
      <c r="J3265" s="48">
        <f>VLOOKUP(A3265,'[1]תקציב 2026'!$A$1:$M$65536,9,0)</f>
        <v>0</v>
      </c>
      <c r="K3265" s="49">
        <f>650000*0.9</f>
        <v>585000</v>
      </c>
      <c r="L3265" s="50">
        <f>VLOOKUP(A3265,[2]data1761205830331!$A$1:$J$65536,10,0)</f>
        <v>357455</v>
      </c>
    </row>
    <row r="3266" spans="1:12" ht="15.6" outlineLevel="1">
      <c r="A3266" s="11">
        <v>1828130781</v>
      </c>
      <c r="B3266" s="40">
        <v>781</v>
      </c>
      <c r="C3266" s="109">
        <v>828130</v>
      </c>
      <c r="D3266" s="42">
        <v>1</v>
      </c>
      <c r="E3266" s="43"/>
      <c r="F3266" s="44" t="s">
        <v>1697</v>
      </c>
      <c r="G3266" s="45" t="s">
        <v>37</v>
      </c>
      <c r="H3266" s="51">
        <f t="shared" si="52"/>
        <v>-1</v>
      </c>
      <c r="I3266" s="47"/>
      <c r="J3266" s="48">
        <f>VLOOKUP(A3266,'[1]תקציב 2026'!$A$1:$M$65536,9,0)</f>
        <v>0</v>
      </c>
      <c r="K3266" s="49">
        <f>221000*0.9</f>
        <v>198900</v>
      </c>
      <c r="L3266" s="50">
        <f>VLOOKUP(A3266,[2]data1761205830331!$A$1:$J$65536,10,0)</f>
        <v>170986.17</v>
      </c>
    </row>
    <row r="3267" spans="1:12" ht="15.6" outlineLevel="1">
      <c r="A3267" s="11">
        <v>1828130782</v>
      </c>
      <c r="B3267" s="40">
        <v>782</v>
      </c>
      <c r="C3267" s="109">
        <v>828130</v>
      </c>
      <c r="D3267" s="42">
        <v>1</v>
      </c>
      <c r="E3267" s="43"/>
      <c r="F3267" s="44" t="s">
        <v>1698</v>
      </c>
      <c r="G3267" s="45" t="s">
        <v>37</v>
      </c>
      <c r="H3267" s="51">
        <f t="shared" si="52"/>
        <v>0</v>
      </c>
      <c r="I3267" s="47"/>
      <c r="J3267" s="48">
        <f>VLOOKUP(A3267,'[1]תקציב 2026'!$A$1:$M$65536,9,0)</f>
        <v>21420</v>
      </c>
      <c r="K3267" s="49">
        <f>VLOOKUP(A3267,[3]גיליון1!$A$1:$C$7693,3,0)*0.9</f>
        <v>21420</v>
      </c>
      <c r="L3267" s="50">
        <f>VLOOKUP(A3267,[2]data1761205830331!$A$1:$J$65536,10,0)</f>
        <v>23800</v>
      </c>
    </row>
    <row r="3268" spans="1:12" ht="15.6" outlineLevel="1">
      <c r="A3268" s="11">
        <v>1828130783</v>
      </c>
      <c r="B3268" s="40">
        <v>783</v>
      </c>
      <c r="C3268" s="109">
        <v>828130</v>
      </c>
      <c r="D3268" s="42">
        <v>1</v>
      </c>
      <c r="E3268" s="43"/>
      <c r="F3268" s="44" t="s">
        <v>1699</v>
      </c>
      <c r="G3268" s="45" t="s">
        <v>37</v>
      </c>
      <c r="H3268" s="51">
        <f t="shared" si="52"/>
        <v>0.40646976090014064</v>
      </c>
      <c r="I3268" s="47"/>
      <c r="J3268" s="48">
        <f>VLOOKUP(A3268,'[1]תקציב 2026'!$A$1:$M$65536,9,0)</f>
        <v>80000</v>
      </c>
      <c r="K3268" s="49">
        <f>VLOOKUP(A3268,[3]גיליון1!$A$1:$C$7693,3,0)*0.9</f>
        <v>56880</v>
      </c>
      <c r="L3268" s="50">
        <f>VLOOKUP(A3268,[2]data1761205830331!$A$1:$J$65536,10,0)</f>
        <v>60828.41</v>
      </c>
    </row>
    <row r="3269" spans="1:12" ht="15.6" outlineLevel="1">
      <c r="A3269" s="11">
        <v>1828130784</v>
      </c>
      <c r="B3269" s="40">
        <v>784</v>
      </c>
      <c r="C3269" s="109">
        <v>828130</v>
      </c>
      <c r="D3269" s="42">
        <v>1</v>
      </c>
      <c r="E3269" s="43"/>
      <c r="F3269" s="44" t="s">
        <v>1700</v>
      </c>
      <c r="G3269" s="45" t="s">
        <v>37</v>
      </c>
      <c r="H3269" s="51">
        <f t="shared" si="52"/>
        <v>0.16959064327485374</v>
      </c>
      <c r="I3269" s="47"/>
      <c r="J3269" s="48">
        <f>VLOOKUP(A3269,'[1]תקציב 2026'!$A$1:$M$65536,9,0)</f>
        <v>850000</v>
      </c>
      <c r="K3269" s="49">
        <f>(VLOOKUP(A3269,[3]גיליון1!$A$1:$C$7693,3,0)+200000+150000)*0.9</f>
        <v>726750</v>
      </c>
      <c r="L3269" s="50">
        <f>VLOOKUP(A3269,[2]data1761205830331!$A$1:$J$65536,10,0)</f>
        <v>501288.97</v>
      </c>
    </row>
    <row r="3270" spans="1:12" ht="15.6" outlineLevel="1">
      <c r="A3270" s="11">
        <v>1828130785</v>
      </c>
      <c r="B3270" s="40">
        <v>785</v>
      </c>
      <c r="C3270" s="109">
        <v>828130</v>
      </c>
      <c r="D3270" s="42">
        <v>1</v>
      </c>
      <c r="E3270" s="43"/>
      <c r="F3270" s="11" t="s">
        <v>1701</v>
      </c>
      <c r="G3270" s="45" t="s">
        <v>37</v>
      </c>
      <c r="H3270" s="51">
        <f t="shared" si="52"/>
        <v>0</v>
      </c>
      <c r="I3270" s="47"/>
      <c r="J3270" s="48">
        <f>VLOOKUP(A3270,'[1]תקציב 2026'!$A$1:$M$65536,9,0)</f>
        <v>101200</v>
      </c>
      <c r="K3270" s="49">
        <f>VLOOKUP(A3270,[3]גיליון1!$A$1:$C$7693,3,0)</f>
        <v>101200</v>
      </c>
      <c r="L3270" s="50">
        <f>VLOOKUP(A3270,[2]data1761205830331!$A$1:$J$65536,10,0)</f>
        <v>81274.09</v>
      </c>
    </row>
    <row r="3271" spans="1:12" ht="15.6" outlineLevel="1">
      <c r="A3271" s="11">
        <v>1828130786</v>
      </c>
      <c r="B3271" s="40">
        <v>786</v>
      </c>
      <c r="C3271" s="109">
        <v>828130</v>
      </c>
      <c r="D3271" s="42">
        <v>1</v>
      </c>
      <c r="E3271" s="43"/>
      <c r="F3271" s="11" t="s">
        <v>1702</v>
      </c>
      <c r="G3271" s="45" t="s">
        <v>37</v>
      </c>
      <c r="H3271" s="51">
        <f t="shared" si="52"/>
        <v>1</v>
      </c>
      <c r="I3271" s="47"/>
      <c r="J3271" s="48">
        <f>VLOOKUP(A3271,'[1]תקציב 2026'!$A$1:$M$65536,9,0)</f>
        <v>100000</v>
      </c>
      <c r="K3271" s="49">
        <v>50000</v>
      </c>
      <c r="L3271" s="50">
        <f>VLOOKUP(A3271,[2]data1761205830331!$A$1:$J$65536,10,0)</f>
        <v>21776.79</v>
      </c>
    </row>
    <row r="3272" spans="1:12" ht="15.6" outlineLevel="1">
      <c r="A3272" s="11">
        <v>1828130787</v>
      </c>
      <c r="B3272" s="40">
        <v>787</v>
      </c>
      <c r="C3272" s="109">
        <v>828130</v>
      </c>
      <c r="D3272" s="42">
        <v>1</v>
      </c>
      <c r="E3272" s="43"/>
      <c r="F3272" s="44" t="s">
        <v>1703</v>
      </c>
      <c r="G3272" s="45" t="s">
        <v>37</v>
      </c>
      <c r="H3272" s="51">
        <f t="shared" si="52"/>
        <v>0</v>
      </c>
      <c r="I3272" s="47"/>
      <c r="J3272" s="48">
        <f>VLOOKUP(A3272,'[1]תקציב 2026'!$A$1:$M$65536,9,0)</f>
        <v>45000</v>
      </c>
      <c r="K3272" s="49">
        <f>VLOOKUP(A3272,[3]גיליון1!$A$1:$C$7693,3,0)*0.9</f>
        <v>45000</v>
      </c>
      <c r="L3272" s="50">
        <f>VLOOKUP(A3272,[2]data1761205830331!$A$1:$J$65536,10,0)</f>
        <v>46626.02</v>
      </c>
    </row>
    <row r="3273" spans="1:12" ht="15.6" outlineLevel="1">
      <c r="A3273" s="11">
        <v>1828130789</v>
      </c>
      <c r="B3273" s="40">
        <v>789</v>
      </c>
      <c r="C3273" s="109">
        <v>828130</v>
      </c>
      <c r="D3273" s="42">
        <v>1</v>
      </c>
      <c r="E3273" s="43"/>
      <c r="F3273" s="44" t="s">
        <v>1704</v>
      </c>
      <c r="G3273" s="45" t="s">
        <v>37</v>
      </c>
      <c r="H3273" s="51">
        <f t="shared" si="52"/>
        <v>0</v>
      </c>
      <c r="I3273" s="47"/>
      <c r="J3273" s="48">
        <f>VLOOKUP(A3273,'[1]תקציב 2026'!$A$1:$M$65536,9,0)</f>
        <v>81000</v>
      </c>
      <c r="K3273" s="49">
        <f>90000*0.9</f>
        <v>81000</v>
      </c>
      <c r="L3273" s="50">
        <f>VLOOKUP(A3273,[2]data1761205830331!$A$1:$J$65536,10,0)</f>
        <v>89999.9</v>
      </c>
    </row>
    <row r="3274" spans="1:12" ht="15.6" outlineLevel="1">
      <c r="A3274" s="11">
        <v>1828130790</v>
      </c>
      <c r="B3274" s="40">
        <v>790</v>
      </c>
      <c r="C3274" s="109">
        <v>828130</v>
      </c>
      <c r="D3274" s="42">
        <v>1</v>
      </c>
      <c r="E3274" s="43"/>
      <c r="F3274" s="44" t="s">
        <v>822</v>
      </c>
      <c r="G3274" s="45" t="s">
        <v>37</v>
      </c>
      <c r="H3274" s="51">
        <f t="shared" si="52"/>
        <v>-1</v>
      </c>
      <c r="I3274" s="47"/>
      <c r="J3274" s="48">
        <f>VLOOKUP(A3274,'[1]תקציב 2026'!$A$1:$M$65536,9,0)</f>
        <v>0</v>
      </c>
      <c r="K3274" s="49">
        <f>20000*0.9</f>
        <v>18000</v>
      </c>
      <c r="L3274" s="50">
        <f>VLOOKUP(A3274,[2]data1761205830331!$A$1:$J$65536,10,0)</f>
        <v>0</v>
      </c>
    </row>
    <row r="3275" spans="1:12" ht="15.6" outlineLevel="1">
      <c r="A3275" s="11">
        <v>1828130791</v>
      </c>
      <c r="B3275" s="40">
        <v>791</v>
      </c>
      <c r="C3275" s="109">
        <v>828130</v>
      </c>
      <c r="D3275" s="42">
        <v>1</v>
      </c>
      <c r="E3275" s="43"/>
      <c r="F3275" s="44" t="s">
        <v>1705</v>
      </c>
      <c r="G3275" s="45" t="s">
        <v>37</v>
      </c>
      <c r="H3275" s="51">
        <f t="shared" si="52"/>
        <v>0</v>
      </c>
      <c r="I3275" s="47"/>
      <c r="J3275" s="48">
        <f>VLOOKUP(A3275,'[1]תקציב 2026'!$A$1:$M$65536,9,0)</f>
        <v>45000</v>
      </c>
      <c r="K3275" s="49">
        <f>50000*0.9</f>
        <v>45000</v>
      </c>
      <c r="L3275" s="50">
        <f>VLOOKUP(A3275,[2]data1761205830331!$A$1:$J$65536,10,0)</f>
        <v>0</v>
      </c>
    </row>
    <row r="3276" spans="1:12" ht="15.6" outlineLevel="1">
      <c r="A3276" s="11">
        <f>[4]גיליון1!$A$6305</f>
        <v>1828130792</v>
      </c>
      <c r="B3276" s="40">
        <f>[4]גיליון1!$B$6305</f>
        <v>792</v>
      </c>
      <c r="C3276" s="109">
        <f>[4]גיליון1!$C$6298</f>
        <v>828130</v>
      </c>
      <c r="D3276" s="42">
        <f>[4]גיליון1!$D$6298</f>
        <v>1</v>
      </c>
      <c r="E3276" s="43"/>
      <c r="F3276" s="44" t="str">
        <f>[4]גיליון1!$F$6305</f>
        <v>יום המעשים הטובים</v>
      </c>
      <c r="G3276" s="45" t="str">
        <f>[4]גיליון1!$H$6305</f>
        <v>גמיש</v>
      </c>
      <c r="H3276" s="51">
        <f t="shared" si="52"/>
        <v>0</v>
      </c>
      <c r="I3276" s="47"/>
      <c r="J3276" s="48">
        <f>VLOOKUP(A3276,'[1]תקציב 2026'!$A$1:$M$65536,9,0)</f>
        <v>43920</v>
      </c>
      <c r="K3276" s="49">
        <f>VLOOKUP(A3276,[3]גיליון1!$A$1:$C$7693,3,0)*0.9</f>
        <v>43920</v>
      </c>
      <c r="L3276" s="50">
        <f>VLOOKUP(A3276,[2]data1761205830331!$A$1:$J$65536,10,0)</f>
        <v>28812</v>
      </c>
    </row>
    <row r="3277" spans="1:12" ht="15.6" outlineLevel="1">
      <c r="A3277" s="11">
        <v>1828130793</v>
      </c>
      <c r="B3277" s="40">
        <v>793</v>
      </c>
      <c r="C3277" s="109">
        <v>828130</v>
      </c>
      <c r="D3277" s="42">
        <v>1</v>
      </c>
      <c r="E3277" s="43"/>
      <c r="F3277" s="44" t="s">
        <v>1706</v>
      </c>
      <c r="G3277" s="45" t="s">
        <v>37</v>
      </c>
      <c r="H3277" s="51">
        <f t="shared" si="52"/>
        <v>0</v>
      </c>
      <c r="I3277" s="47" t="s">
        <v>137</v>
      </c>
      <c r="J3277" s="48">
        <f>VLOOKUP(A3277,'[1]תקציב 2026'!$A$1:$M$65536,9,0)</f>
        <v>135000</v>
      </c>
      <c r="K3277" s="49">
        <f>150000*0.9</f>
        <v>135000</v>
      </c>
      <c r="L3277" s="50">
        <f>VLOOKUP(A3277,[2]data1761205830331!$A$1:$J$65536,10,0)</f>
        <v>0</v>
      </c>
    </row>
    <row r="3278" spans="1:12" ht="15.6" outlineLevel="1">
      <c r="A3278" s="11">
        <v>1828130795</v>
      </c>
      <c r="B3278" s="40">
        <v>795</v>
      </c>
      <c r="C3278" s="109">
        <v>828130</v>
      </c>
      <c r="D3278" s="42">
        <v>1</v>
      </c>
      <c r="E3278" s="43"/>
      <c r="F3278" s="44" t="s">
        <v>1707</v>
      </c>
      <c r="G3278" s="45" t="s">
        <v>37</v>
      </c>
      <c r="H3278" s="51">
        <f t="shared" si="52"/>
        <v>0</v>
      </c>
      <c r="I3278" s="47"/>
      <c r="J3278" s="48">
        <f>VLOOKUP(A3278,'[1]תקציב 2026'!$A$1:$M$65536,9,0)</f>
        <v>135000</v>
      </c>
      <c r="K3278" s="49">
        <f>150000*0.9</f>
        <v>135000</v>
      </c>
      <c r="L3278" s="50">
        <f>VLOOKUP(A3278,[2]data1761205830331!$A$1:$J$65536,10,0)</f>
        <v>0</v>
      </c>
    </row>
    <row r="3279" spans="1:12" ht="15.6" outlineLevel="1">
      <c r="A3279" s="11">
        <v>1828130796</v>
      </c>
      <c r="B3279" s="40">
        <v>796</v>
      </c>
      <c r="C3279" s="109">
        <v>828130</v>
      </c>
      <c r="D3279" s="42">
        <v>1</v>
      </c>
      <c r="E3279" s="43"/>
      <c r="F3279" s="44" t="s">
        <v>1708</v>
      </c>
      <c r="G3279" s="45" t="s">
        <v>37</v>
      </c>
      <c r="H3279" s="51">
        <f t="shared" si="52"/>
        <v>0.76767676767676774</v>
      </c>
      <c r="I3279" s="47"/>
      <c r="J3279" s="48">
        <f>VLOOKUP(A3279,'[1]תקציב 2026'!$A$1:$M$65536,9,0)</f>
        <v>70000</v>
      </c>
      <c r="K3279" s="49">
        <f>44000*0.9</f>
        <v>39600</v>
      </c>
      <c r="L3279" s="50">
        <f>VLOOKUP(A3279,[2]data1761205830331!$A$1:$J$65536,10,0)</f>
        <v>0</v>
      </c>
    </row>
    <row r="3280" spans="1:12" ht="15.6" outlineLevel="1">
      <c r="A3280" s="11">
        <v>1828130797</v>
      </c>
      <c r="B3280" s="40">
        <v>797</v>
      </c>
      <c r="C3280" s="109">
        <v>828130</v>
      </c>
      <c r="D3280" s="42">
        <v>1</v>
      </c>
      <c r="E3280" s="43"/>
      <c r="F3280" s="44" t="s">
        <v>1709</v>
      </c>
      <c r="G3280" s="45" t="s">
        <v>37</v>
      </c>
      <c r="H3280" s="51">
        <f t="shared" si="52"/>
        <v>-1</v>
      </c>
      <c r="I3280" s="47"/>
      <c r="J3280" s="48">
        <f>VLOOKUP(A3280,'[1]תקציב 2026'!$A$1:$M$65536,9,0)</f>
        <v>0</v>
      </c>
      <c r="K3280" s="49">
        <f>1456200*0.9</f>
        <v>1310580</v>
      </c>
      <c r="L3280" s="50">
        <f>VLOOKUP(A3280,[2]data1761205830331!$A$1:$J$65536,10,0)</f>
        <v>0</v>
      </c>
    </row>
    <row r="3281" spans="1:12" ht="15.6" outlineLevel="1">
      <c r="A3281" s="11">
        <v>1828130799</v>
      </c>
      <c r="B3281" s="40">
        <v>799</v>
      </c>
      <c r="C3281" s="109">
        <v>828130</v>
      </c>
      <c r="D3281" s="42">
        <v>1</v>
      </c>
      <c r="E3281" s="43"/>
      <c r="F3281" s="44" t="s">
        <v>1203</v>
      </c>
      <c r="G3281" s="45" t="s">
        <v>37</v>
      </c>
      <c r="H3281" s="51">
        <v>1</v>
      </c>
      <c r="I3281" s="47" t="s">
        <v>86</v>
      </c>
      <c r="J3281" s="48">
        <f>VLOOKUP(A3281,'[1]תקציב 2026'!$A$1:$M$65536,9,0)</f>
        <v>250000</v>
      </c>
      <c r="K3281" s="49">
        <v>0</v>
      </c>
      <c r="L3281" s="50">
        <v>0</v>
      </c>
    </row>
    <row r="3282" spans="1:12" ht="16.2" outlineLevel="1" thickBot="1">
      <c r="A3282" s="11">
        <v>1828130931</v>
      </c>
      <c r="B3282" s="40">
        <v>931</v>
      </c>
      <c r="C3282" s="109">
        <v>828130</v>
      </c>
      <c r="D3282" s="42">
        <v>1</v>
      </c>
      <c r="E3282" s="43"/>
      <c r="F3282" s="44" t="s">
        <v>1240</v>
      </c>
      <c r="G3282" s="45" t="s">
        <v>37</v>
      </c>
      <c r="H3282" s="51">
        <f t="shared" si="52"/>
        <v>-1</v>
      </c>
      <c r="I3282" s="47"/>
      <c r="J3282" s="48">
        <f>VLOOKUP(A3282,'[1]תקציב 2026'!$A$1:$M$65536,9,0)</f>
        <v>0</v>
      </c>
      <c r="K3282" s="49">
        <f>VLOOKUP(A3282,[3]גיליון1!$A$1:$C$7693,3,0)*0.9</f>
        <v>4860</v>
      </c>
      <c r="L3282" s="50">
        <f>VLOOKUP(A3282,[2]data1761205830331!$A$1:$J$65536,10,0)</f>
        <v>5328.28</v>
      </c>
    </row>
    <row r="3283" spans="1:12" ht="16.2" thickBot="1">
      <c r="A3283" s="11" t="e">
        <v>#VALUE!</v>
      </c>
      <c r="B3283" s="53" t="s">
        <v>1710</v>
      </c>
      <c r="C3283" s="223"/>
      <c r="D3283" s="55"/>
      <c r="E3283" s="56"/>
      <c r="F3283" s="116" t="s">
        <v>1691</v>
      </c>
      <c r="G3283" s="58"/>
      <c r="H3283" s="71">
        <f>J3283/K3283-1</f>
        <v>-0.12274505450009465</v>
      </c>
      <c r="I3283" s="72"/>
      <c r="J3283" s="74">
        <f>SUBTOTAL(9,J3243:J3282)</f>
        <v>6716220</v>
      </c>
      <c r="K3283" s="92">
        <f>SUBTOTAL(9,K3243:K3282)</f>
        <v>7655950</v>
      </c>
      <c r="L3283" s="75">
        <f>SUBTOTAL(9,L3243:L3282)</f>
        <v>5600613.5899999989</v>
      </c>
    </row>
    <row r="3284" spans="1:12" ht="15.6" outlineLevel="1">
      <c r="A3284" s="11">
        <v>18281400</v>
      </c>
      <c r="B3284" s="40">
        <v>0</v>
      </c>
      <c r="C3284" s="109">
        <v>828140</v>
      </c>
      <c r="D3284" s="42">
        <v>1</v>
      </c>
      <c r="E3284" s="43"/>
      <c r="F3284" s="44" t="s">
        <v>1711</v>
      </c>
      <c r="G3284" s="45" t="s">
        <v>15</v>
      </c>
      <c r="H3284" s="51"/>
      <c r="I3284" s="70"/>
      <c r="J3284" s="48"/>
      <c r="K3284" s="225"/>
      <c r="L3284" s="50"/>
    </row>
    <row r="3285" spans="1:12" ht="15.6" outlineLevel="1">
      <c r="A3285" s="11">
        <v>1828140119</v>
      </c>
      <c r="B3285" s="40">
        <v>119</v>
      </c>
      <c r="C3285" s="109">
        <v>828140</v>
      </c>
      <c r="D3285" s="42">
        <v>1</v>
      </c>
      <c r="E3285" s="43"/>
      <c r="F3285" s="44" t="s">
        <v>23</v>
      </c>
      <c r="G3285" s="45" t="s">
        <v>22</v>
      </c>
      <c r="H3285" s="51">
        <f t="shared" ref="H3285:H3348" si="53">J3285/K3285-1</f>
        <v>2.4999999999999911E-2</v>
      </c>
      <c r="I3285" s="47"/>
      <c r="J3285" s="48">
        <f>VLOOKUP(A3285,'[1]תקציב 2026'!$A$1:$M$65536,9,0)</f>
        <v>516599.99999999994</v>
      </c>
      <c r="K3285" s="48">
        <v>504000</v>
      </c>
      <c r="L3285" s="50">
        <f>VLOOKUP(A3285,[2]data1761205830331!$A$1:$J$65536,10,0)</f>
        <v>0</v>
      </c>
    </row>
    <row r="3286" spans="1:12" ht="15.6" outlineLevel="1">
      <c r="A3286" s="11">
        <v>1828140122</v>
      </c>
      <c r="B3286" s="40">
        <v>122</v>
      </c>
      <c r="C3286" s="109">
        <v>828140</v>
      </c>
      <c r="D3286" s="42">
        <v>1</v>
      </c>
      <c r="E3286" s="43"/>
      <c r="F3286" s="44" t="s">
        <v>24</v>
      </c>
      <c r="G3286" s="45" t="s">
        <v>22</v>
      </c>
      <c r="H3286" s="51">
        <f t="shared" si="53"/>
        <v>0</v>
      </c>
      <c r="I3286" s="47"/>
      <c r="J3286" s="48">
        <f>VLOOKUP(A3286,'[1]תקציב 2026'!$A$1:$M$65536,9,0)</f>
        <v>9000</v>
      </c>
      <c r="K3286" s="48">
        <v>9000</v>
      </c>
      <c r="L3286" s="50">
        <f>VLOOKUP(A3286,[2]data1761205830331!$A$1:$J$65536,10,0)</f>
        <v>0</v>
      </c>
    </row>
    <row r="3287" spans="1:12" ht="15.6" outlineLevel="1">
      <c r="A3287" s="11">
        <v>1828140126</v>
      </c>
      <c r="B3287" s="40">
        <v>126</v>
      </c>
      <c r="C3287" s="109">
        <v>828140</v>
      </c>
      <c r="D3287" s="42">
        <v>1</v>
      </c>
      <c r="E3287" s="43"/>
      <c r="F3287" s="44" t="s">
        <v>25</v>
      </c>
      <c r="G3287" s="45" t="s">
        <v>22</v>
      </c>
      <c r="H3287" s="51">
        <f t="shared" si="53"/>
        <v>0</v>
      </c>
      <c r="I3287" s="47"/>
      <c r="J3287" s="48">
        <f>VLOOKUP(A3287,'[1]תקציב 2026'!$A$1:$M$65536,9,0)</f>
        <v>15000</v>
      </c>
      <c r="K3287" s="48">
        <v>15000</v>
      </c>
      <c r="L3287" s="50">
        <f>VLOOKUP(A3287,[2]data1761205830331!$A$1:$J$65536,10,0)</f>
        <v>0</v>
      </c>
    </row>
    <row r="3288" spans="1:12" ht="15.6" outlineLevel="1">
      <c r="A3288" s="11">
        <v>1828140140</v>
      </c>
      <c r="B3288" s="40">
        <v>140</v>
      </c>
      <c r="C3288" s="109">
        <v>828140</v>
      </c>
      <c r="D3288" s="42">
        <v>1</v>
      </c>
      <c r="E3288" s="43"/>
      <c r="F3288" s="44" t="s">
        <v>27</v>
      </c>
      <c r="G3288" s="45" t="s">
        <v>22</v>
      </c>
      <c r="H3288" s="51">
        <f t="shared" si="53"/>
        <v>0</v>
      </c>
      <c r="I3288" s="47"/>
      <c r="J3288" s="48">
        <f>VLOOKUP(A3288,'[1]תקציב 2026'!$A$1:$M$65536,9,0)</f>
        <v>72000</v>
      </c>
      <c r="K3288" s="48">
        <v>72000</v>
      </c>
      <c r="L3288" s="50">
        <f>VLOOKUP(A3288,[2]data1761205830331!$A$1:$J$65536,10,0)</f>
        <v>0</v>
      </c>
    </row>
    <row r="3289" spans="1:12" ht="15.6" outlineLevel="1">
      <c r="A3289" s="11">
        <v>1828140350</v>
      </c>
      <c r="B3289" s="40">
        <v>350</v>
      </c>
      <c r="C3289" s="109">
        <v>828140</v>
      </c>
      <c r="D3289" s="42">
        <v>1</v>
      </c>
      <c r="E3289" s="43"/>
      <c r="F3289" s="44" t="s">
        <v>1712</v>
      </c>
      <c r="G3289" s="45" t="s">
        <v>22</v>
      </c>
      <c r="H3289" s="51">
        <f t="shared" si="53"/>
        <v>0.17520000000000002</v>
      </c>
      <c r="I3289" s="47" t="s">
        <v>137</v>
      </c>
      <c r="J3289" s="48">
        <f>VLOOKUP(A3289,'[1]תקציב 2026'!$A$1:$M$65536,9,0)</f>
        <v>58760</v>
      </c>
      <c r="K3289" s="48">
        <v>50000</v>
      </c>
      <c r="L3289" s="50">
        <f>VLOOKUP(A3289,[2]data1761205830331!$A$1:$J$65536,10,0)</f>
        <v>0</v>
      </c>
    </row>
    <row r="3290" spans="1:12" ht="15.6" outlineLevel="1">
      <c r="A3290" s="11">
        <v>1828140351</v>
      </c>
      <c r="B3290" s="40">
        <v>351</v>
      </c>
      <c r="C3290" s="109">
        <v>828140</v>
      </c>
      <c r="D3290" s="42">
        <v>1</v>
      </c>
      <c r="E3290" s="43"/>
      <c r="F3290" s="44" t="s">
        <v>741</v>
      </c>
      <c r="G3290" s="45" t="s">
        <v>22</v>
      </c>
      <c r="H3290" s="51">
        <f t="shared" si="53"/>
        <v>-0.98181818181818181</v>
      </c>
      <c r="I3290" s="47" t="s">
        <v>137</v>
      </c>
      <c r="J3290" s="48">
        <f>VLOOKUP(A3290,'[1]תקציב 2026'!$A$1:$M$65536,9,0)</f>
        <v>400</v>
      </c>
      <c r="K3290" s="48">
        <v>22000</v>
      </c>
      <c r="L3290" s="50">
        <f>VLOOKUP(A3290,[2]data1761205830331!$A$1:$J$65536,10,0)</f>
        <v>0</v>
      </c>
    </row>
    <row r="3291" spans="1:12" ht="15.6" outlineLevel="1">
      <c r="A3291" s="11">
        <v>1828140471</v>
      </c>
      <c r="B3291" s="40">
        <v>471</v>
      </c>
      <c r="C3291" s="109">
        <v>828140</v>
      </c>
      <c r="D3291" s="42">
        <v>1</v>
      </c>
      <c r="E3291" s="43"/>
      <c r="F3291" s="134" t="s">
        <v>71</v>
      </c>
      <c r="G3291" s="45" t="s">
        <v>37</v>
      </c>
      <c r="H3291" s="51">
        <f t="shared" si="53"/>
        <v>0</v>
      </c>
      <c r="I3291" s="47"/>
      <c r="J3291" s="48">
        <f>VLOOKUP(A3291,'[1]תקציב 2026'!$A$1:$M$65536,9,0)</f>
        <v>18000</v>
      </c>
      <c r="K3291" s="48">
        <f>20000*0.9</f>
        <v>18000</v>
      </c>
      <c r="L3291" s="50">
        <f>VLOOKUP(A3291,[2]data1761205830331!$A$1:$J$65536,10,0)</f>
        <v>0</v>
      </c>
    </row>
    <row r="3292" spans="1:12" ht="15.6" outlineLevel="1">
      <c r="A3292" s="11">
        <v>1828140511</v>
      </c>
      <c r="B3292" s="40">
        <v>511</v>
      </c>
      <c r="C3292" s="109">
        <v>828140</v>
      </c>
      <c r="D3292" s="42">
        <v>1</v>
      </c>
      <c r="E3292" s="43"/>
      <c r="F3292" s="134" t="s">
        <v>72</v>
      </c>
      <c r="G3292" s="45" t="s">
        <v>37</v>
      </c>
      <c r="H3292" s="51">
        <f t="shared" si="53"/>
        <v>-0.69444444444444442</v>
      </c>
      <c r="I3292" s="47"/>
      <c r="J3292" s="48">
        <f>VLOOKUP(A3292,'[1]תקציב 2026'!$A$1:$M$65536,9,0)</f>
        <v>5500</v>
      </c>
      <c r="K3292" s="48">
        <f>20000*0.9</f>
        <v>18000</v>
      </c>
      <c r="L3292" s="50">
        <f>VLOOKUP(A3292,[2]data1761205830331!$A$1:$J$65536,10,0)</f>
        <v>0</v>
      </c>
    </row>
    <row r="3293" spans="1:12" ht="15.6" outlineLevel="1">
      <c r="A3293" s="11">
        <v>1828140512</v>
      </c>
      <c r="B3293" s="40">
        <v>512</v>
      </c>
      <c r="C3293" s="109">
        <v>828140</v>
      </c>
      <c r="D3293" s="42">
        <v>1</v>
      </c>
      <c r="E3293" s="43"/>
      <c r="F3293" s="134" t="s">
        <v>1713</v>
      </c>
      <c r="G3293" s="45" t="s">
        <v>37</v>
      </c>
      <c r="H3293" s="51">
        <f t="shared" si="53"/>
        <v>3.7037037037036979E-2</v>
      </c>
      <c r="I3293" s="47"/>
      <c r="J3293" s="48">
        <f>VLOOKUP(A3293,'[1]תקציב 2026'!$A$1:$M$65536,9,0)</f>
        <v>1400</v>
      </c>
      <c r="K3293" s="48">
        <f>1500*0.9</f>
        <v>1350</v>
      </c>
      <c r="L3293" s="50">
        <f>VLOOKUP(A3293,[2]data1761205830331!$A$1:$J$65536,10,0)</f>
        <v>0</v>
      </c>
    </row>
    <row r="3294" spans="1:12" ht="15.6" outlineLevel="1">
      <c r="A3294" s="11">
        <v>1828140522</v>
      </c>
      <c r="B3294" s="40">
        <v>522</v>
      </c>
      <c r="C3294" s="109">
        <v>828140</v>
      </c>
      <c r="D3294" s="42">
        <v>1</v>
      </c>
      <c r="E3294" s="43"/>
      <c r="F3294" s="134" t="s">
        <v>90</v>
      </c>
      <c r="G3294" s="45" t="s">
        <v>37</v>
      </c>
      <c r="H3294" s="51">
        <f t="shared" si="53"/>
        <v>0</v>
      </c>
      <c r="I3294" s="47" t="s">
        <v>137</v>
      </c>
      <c r="J3294" s="48">
        <f>VLOOKUP(A3294,'[1]תקציב 2026'!$A$1:$M$65536,9,0)</f>
        <v>1800</v>
      </c>
      <c r="K3294" s="48">
        <f>2000*0.9</f>
        <v>1800</v>
      </c>
      <c r="L3294" s="50">
        <f>VLOOKUP(A3294,[2]data1761205830331!$A$1:$J$65536,10,0)</f>
        <v>0</v>
      </c>
    </row>
    <row r="3295" spans="1:12" ht="15.6" outlineLevel="1">
      <c r="A3295" s="11">
        <v>1828140544</v>
      </c>
      <c r="B3295" s="40">
        <v>544</v>
      </c>
      <c r="C3295" s="109">
        <v>828140</v>
      </c>
      <c r="D3295" s="42">
        <v>1</v>
      </c>
      <c r="E3295" s="43"/>
      <c r="F3295" s="134" t="s">
        <v>1714</v>
      </c>
      <c r="G3295" s="45" t="s">
        <v>29</v>
      </c>
      <c r="H3295" s="51">
        <f t="shared" si="53"/>
        <v>-1</v>
      </c>
      <c r="I3295" s="47"/>
      <c r="J3295" s="48">
        <f>VLOOKUP(A3295,'[1]תקציב 2026'!$A$1:$M$65536,9,0)</f>
        <v>0</v>
      </c>
      <c r="K3295" s="48">
        <v>10000</v>
      </c>
      <c r="L3295" s="50">
        <f>VLOOKUP(A3295,[2]data1761205830331!$A$1:$J$65536,10,0)</f>
        <v>0</v>
      </c>
    </row>
    <row r="3296" spans="1:12" ht="15.6" outlineLevel="1">
      <c r="A3296" s="11">
        <v>1828140550</v>
      </c>
      <c r="B3296" s="40">
        <v>550</v>
      </c>
      <c r="C3296" s="109">
        <v>828140</v>
      </c>
      <c r="D3296" s="42">
        <v>1</v>
      </c>
      <c r="E3296" s="43"/>
      <c r="F3296" s="134" t="s">
        <v>850</v>
      </c>
      <c r="G3296" s="45" t="s">
        <v>37</v>
      </c>
      <c r="H3296" s="51">
        <f t="shared" si="53"/>
        <v>3.166666666666667</v>
      </c>
      <c r="I3296" s="47"/>
      <c r="J3296" s="48">
        <f>VLOOKUP(A3296,'[1]תקציב 2026'!$A$1:$M$65536,9,0)</f>
        <v>15000</v>
      </c>
      <c r="K3296" s="48">
        <f>4000*0.9</f>
        <v>3600</v>
      </c>
      <c r="L3296" s="50">
        <f>VLOOKUP(A3296,[2]data1761205830331!$A$1:$J$65536,10,0)</f>
        <v>0</v>
      </c>
    </row>
    <row r="3297" spans="1:12" ht="15.6" outlineLevel="1">
      <c r="A3297" s="11">
        <v>1828140562</v>
      </c>
      <c r="B3297" s="40">
        <v>562</v>
      </c>
      <c r="C3297" s="109">
        <v>828140</v>
      </c>
      <c r="D3297" s="42">
        <v>1</v>
      </c>
      <c r="E3297" s="43"/>
      <c r="F3297" s="134" t="s">
        <v>748</v>
      </c>
      <c r="G3297" s="45" t="s">
        <v>37</v>
      </c>
      <c r="H3297" s="51">
        <f t="shared" si="53"/>
        <v>0</v>
      </c>
      <c r="I3297" s="47"/>
      <c r="J3297" s="48">
        <f>VLOOKUP(A3297,'[1]תקציב 2026'!$A$1:$M$65536,9,0)</f>
        <v>3600</v>
      </c>
      <c r="K3297" s="48">
        <f>4000*0.9</f>
        <v>3600</v>
      </c>
      <c r="L3297" s="50">
        <f>VLOOKUP(A3297,[2]data1761205830331!$A$1:$J$65536,10,0)</f>
        <v>0</v>
      </c>
    </row>
    <row r="3298" spans="1:12" ht="16.2" outlineLevel="1" thickBot="1">
      <c r="A3298" s="11">
        <v>1828140781</v>
      </c>
      <c r="B3298" s="40">
        <v>781</v>
      </c>
      <c r="C3298" s="109">
        <v>828140</v>
      </c>
      <c r="D3298" s="42">
        <v>1</v>
      </c>
      <c r="E3298" s="43"/>
      <c r="F3298" s="134" t="s">
        <v>775</v>
      </c>
      <c r="G3298" s="45" t="s">
        <v>37</v>
      </c>
      <c r="H3298" s="51">
        <f t="shared" si="53"/>
        <v>3.7037037037036979E-2</v>
      </c>
      <c r="I3298" s="47"/>
      <c r="J3298" s="48">
        <f>VLOOKUP(A3298,'[1]תקציב 2026'!$A$1:$M$65536,9,0)</f>
        <v>28000</v>
      </c>
      <c r="K3298" s="48">
        <f>30000*0.9</f>
        <v>27000</v>
      </c>
      <c r="L3298" s="50">
        <f>VLOOKUP(A3298,[2]data1761205830331!$A$1:$J$65536,10,0)</f>
        <v>0</v>
      </c>
    </row>
    <row r="3299" spans="1:12" ht="16.2" thickBot="1">
      <c r="A3299" s="11" t="e">
        <v>#VALUE!</v>
      </c>
      <c r="B3299" s="53" t="s">
        <v>1715</v>
      </c>
      <c r="C3299" s="223"/>
      <c r="D3299" s="55"/>
      <c r="E3299" s="56"/>
      <c r="F3299" s="116" t="s">
        <v>1711</v>
      </c>
      <c r="G3299" s="58"/>
      <c r="H3299" s="71">
        <f>J3299/K3299-1</f>
        <v>-1.3622823856490385E-2</v>
      </c>
      <c r="I3299" s="72"/>
      <c r="J3299" s="74">
        <f>SUBTOTAL(9,J3284:J3298)</f>
        <v>745060</v>
      </c>
      <c r="K3299" s="74">
        <f>SUBTOTAL(9,K3284:K3298)</f>
        <v>755350</v>
      </c>
      <c r="L3299" s="75">
        <f>SUBTOTAL(9,L3284:L3298)</f>
        <v>0</v>
      </c>
    </row>
    <row r="3300" spans="1:12" ht="15.6" outlineLevel="1">
      <c r="A3300" s="11">
        <v>18282000</v>
      </c>
      <c r="B3300" s="64">
        <v>0</v>
      </c>
      <c r="C3300" s="131">
        <v>828200</v>
      </c>
      <c r="D3300" s="66">
        <v>1</v>
      </c>
      <c r="E3300" s="67"/>
      <c r="F3300" s="68" t="s">
        <v>1716</v>
      </c>
      <c r="G3300" s="69" t="s">
        <v>15</v>
      </c>
      <c r="H3300" s="51"/>
      <c r="I3300" s="47"/>
      <c r="J3300" s="48"/>
      <c r="K3300" s="49"/>
      <c r="L3300" s="50"/>
    </row>
    <row r="3301" spans="1:12" ht="15.6" outlineLevel="1">
      <c r="A3301" s="11">
        <v>1828200410</v>
      </c>
      <c r="B3301" s="40">
        <v>410</v>
      </c>
      <c r="C3301" s="109">
        <v>828200</v>
      </c>
      <c r="D3301" s="42">
        <v>1</v>
      </c>
      <c r="E3301" s="43"/>
      <c r="F3301" s="44" t="s">
        <v>1227</v>
      </c>
      <c r="G3301" s="45" t="s">
        <v>29</v>
      </c>
      <c r="H3301" s="51">
        <f t="shared" si="53"/>
        <v>-0.24757952973720609</v>
      </c>
      <c r="I3301" s="47"/>
      <c r="J3301" s="48">
        <f>VLOOKUP(A3301,'[1]תקציב 2026'!$A$1:$M$65536,9,0)</f>
        <v>544000</v>
      </c>
      <c r="K3301" s="49">
        <f>VLOOKUP(A3301,[3]גיליון1!$A$1:$C$7693,3,0)</f>
        <v>723000</v>
      </c>
      <c r="L3301" s="50">
        <f>VLOOKUP(A3301,[2]data1761205830331!$A$1:$J$65536,10,0)</f>
        <v>723000</v>
      </c>
    </row>
    <row r="3302" spans="1:12" ht="15.6" outlineLevel="1">
      <c r="A3302" s="11">
        <v>1828200441</v>
      </c>
      <c r="B3302" s="40">
        <v>441</v>
      </c>
      <c r="C3302" s="109">
        <v>828200</v>
      </c>
      <c r="D3302" s="42">
        <v>1</v>
      </c>
      <c r="E3302" s="43"/>
      <c r="F3302" s="44" t="s">
        <v>1585</v>
      </c>
      <c r="G3302" s="45" t="s">
        <v>29</v>
      </c>
      <c r="H3302" s="51">
        <f t="shared" si="53"/>
        <v>0</v>
      </c>
      <c r="I3302" s="47"/>
      <c r="J3302" s="48">
        <f>VLOOKUP(A3302,'[1]תקציב 2026'!$A$1:$M$65536,9,0)</f>
        <v>86700</v>
      </c>
      <c r="K3302" s="49">
        <f>VLOOKUP(A3302,[3]גיליון1!$A$1:$C$7693,3,0)</f>
        <v>86700</v>
      </c>
      <c r="L3302" s="50">
        <f>VLOOKUP(A3302,[2]data1761205830331!$A$1:$J$65536,10,0)</f>
        <v>0</v>
      </c>
    </row>
    <row r="3303" spans="1:12" ht="15.6" outlineLevel="1">
      <c r="A3303" s="11">
        <v>1828200780</v>
      </c>
      <c r="B3303" s="40">
        <v>780</v>
      </c>
      <c r="C3303" s="109">
        <v>828200</v>
      </c>
      <c r="D3303" s="42">
        <v>1</v>
      </c>
      <c r="E3303" s="43"/>
      <c r="F3303" s="44" t="s">
        <v>1717</v>
      </c>
      <c r="G3303" s="45" t="s">
        <v>37</v>
      </c>
      <c r="H3303" s="51">
        <f t="shared" si="53"/>
        <v>0</v>
      </c>
      <c r="I3303" s="47"/>
      <c r="J3303" s="48">
        <f>VLOOKUP(A3303,'[1]תקציב 2026'!$A$1:$M$65536,9,0)</f>
        <v>43920</v>
      </c>
      <c r="K3303" s="49">
        <f>VLOOKUP(A3303,[3]גיליון1!$A$1:$C$7693,3,0)*0.9</f>
        <v>43920</v>
      </c>
      <c r="L3303" s="50">
        <f>VLOOKUP(A3303,[2]data1761205830331!$A$1:$J$65536,10,0)</f>
        <v>48800</v>
      </c>
    </row>
    <row r="3304" spans="1:12" ht="15.6" outlineLevel="1">
      <c r="A3304" s="11">
        <v>1828200782</v>
      </c>
      <c r="B3304" s="40">
        <v>782</v>
      </c>
      <c r="C3304" s="109">
        <v>828200</v>
      </c>
      <c r="D3304" s="42">
        <v>1</v>
      </c>
      <c r="E3304" s="43"/>
      <c r="F3304" s="44" t="s">
        <v>1718</v>
      </c>
      <c r="G3304" s="45" t="s">
        <v>29</v>
      </c>
      <c r="H3304" s="51">
        <f t="shared" si="53"/>
        <v>0</v>
      </c>
      <c r="I3304" s="47"/>
      <c r="J3304" s="48">
        <f>VLOOKUP(A3304,'[1]תקציב 2026'!$A$1:$M$65536,9,0)</f>
        <v>51210</v>
      </c>
      <c r="K3304" s="49">
        <f>VLOOKUP(A3304,[3]גיליון1!$A$1:$C$7693,3,0)*0.9</f>
        <v>51210</v>
      </c>
      <c r="L3304" s="50">
        <f>VLOOKUP(A3304,[2]data1761205830331!$A$1:$J$65536,10,0)</f>
        <v>56900</v>
      </c>
    </row>
    <row r="3305" spans="1:12" ht="15.6" outlineLevel="1">
      <c r="A3305" s="11">
        <v>1828200783</v>
      </c>
      <c r="B3305" s="40">
        <v>783</v>
      </c>
      <c r="C3305" s="109">
        <v>828200</v>
      </c>
      <c r="D3305" s="42">
        <v>1</v>
      </c>
      <c r="E3305" s="43"/>
      <c r="F3305" s="44" t="s">
        <v>1719</v>
      </c>
      <c r="G3305" s="45" t="s">
        <v>37</v>
      </c>
      <c r="H3305" s="51">
        <v>0</v>
      </c>
      <c r="I3305" s="47"/>
      <c r="J3305" s="48">
        <f>VLOOKUP(A3305,'[1]תקציב 2026'!$A$1:$M$65536,9,0)</f>
        <v>0</v>
      </c>
      <c r="K3305" s="49">
        <v>0</v>
      </c>
      <c r="L3305" s="50">
        <f>VLOOKUP(A3305,[2]data1761205830331!$A$1:$J$65536,10,0)</f>
        <v>1678299.91</v>
      </c>
    </row>
    <row r="3306" spans="1:12" ht="15.6" outlineLevel="1">
      <c r="A3306" s="11">
        <v>1828200786</v>
      </c>
      <c r="B3306" s="40">
        <v>786</v>
      </c>
      <c r="C3306" s="109">
        <v>828200</v>
      </c>
      <c r="D3306" s="42">
        <v>1</v>
      </c>
      <c r="E3306" s="43"/>
      <c r="F3306" s="44" t="s">
        <v>1720</v>
      </c>
      <c r="G3306" s="45" t="s">
        <v>37</v>
      </c>
      <c r="H3306" s="51">
        <v>0</v>
      </c>
      <c r="I3306" s="47"/>
      <c r="J3306" s="48">
        <f>VLOOKUP(A3306,'[1]תקציב 2026'!$A$1:$M$65536,9,0)</f>
        <v>0</v>
      </c>
      <c r="K3306" s="49">
        <v>0</v>
      </c>
      <c r="L3306" s="50">
        <f>VLOOKUP(A3306,[2]data1761205830331!$A$1:$J$65536,10,0)</f>
        <v>114000</v>
      </c>
    </row>
    <row r="3307" spans="1:12" ht="15.6" outlineLevel="1">
      <c r="A3307" s="11">
        <v>1828200787</v>
      </c>
      <c r="B3307" s="40">
        <v>787</v>
      </c>
      <c r="C3307" s="109">
        <v>828200</v>
      </c>
      <c r="D3307" s="42">
        <v>1</v>
      </c>
      <c r="E3307" s="43"/>
      <c r="F3307" s="44" t="s">
        <v>1658</v>
      </c>
      <c r="G3307" s="45" t="s">
        <v>37</v>
      </c>
      <c r="H3307" s="51">
        <v>0</v>
      </c>
      <c r="I3307" s="47"/>
      <c r="J3307" s="48">
        <f>VLOOKUP(A3307,'[1]תקציב 2026'!$A$1:$M$65536,9,0)</f>
        <v>0</v>
      </c>
      <c r="K3307" s="49">
        <v>0</v>
      </c>
      <c r="L3307" s="50">
        <f>VLOOKUP(A3307,[2]data1761205830331!$A$1:$J$65536,10,0)</f>
        <v>180500</v>
      </c>
    </row>
    <row r="3308" spans="1:12" ht="15.6" outlineLevel="1">
      <c r="A3308" s="11">
        <v>1828200788</v>
      </c>
      <c r="B3308" s="40">
        <v>788</v>
      </c>
      <c r="C3308" s="109">
        <v>828200</v>
      </c>
      <c r="D3308" s="42">
        <v>1</v>
      </c>
      <c r="E3308" s="43"/>
      <c r="F3308" s="44" t="s">
        <v>1721</v>
      </c>
      <c r="G3308" s="45" t="s">
        <v>29</v>
      </c>
      <c r="H3308" s="51">
        <f t="shared" si="53"/>
        <v>0.4285714285714286</v>
      </c>
      <c r="I3308" s="47"/>
      <c r="J3308" s="48">
        <f>VLOOKUP(A3308,'[1]תקציב 2026'!$A$1:$M$65536,9,0)</f>
        <v>200000</v>
      </c>
      <c r="K3308" s="49">
        <f>VLOOKUP(A3308,[3]גיליון1!$A$1:$C$7693,3,0)</f>
        <v>140000</v>
      </c>
      <c r="L3308" s="50">
        <f>VLOOKUP(A3308,[2]data1761205830331!$A$1:$J$65536,10,0)</f>
        <v>140000</v>
      </c>
    </row>
    <row r="3309" spans="1:12" ht="15.6" outlineLevel="1">
      <c r="A3309" s="11">
        <v>1828200789</v>
      </c>
      <c r="B3309" s="40">
        <v>789</v>
      </c>
      <c r="C3309" s="109">
        <v>828200</v>
      </c>
      <c r="D3309" s="42">
        <v>1</v>
      </c>
      <c r="E3309" s="43"/>
      <c r="F3309" s="44" t="s">
        <v>1659</v>
      </c>
      <c r="G3309" s="45" t="s">
        <v>37</v>
      </c>
      <c r="H3309" s="51">
        <v>0</v>
      </c>
      <c r="I3309" s="47"/>
      <c r="J3309" s="48">
        <f>VLOOKUP(A3309,'[1]תקציב 2026'!$A$1:$M$65536,9,0)</f>
        <v>0</v>
      </c>
      <c r="K3309" s="49">
        <v>0</v>
      </c>
      <c r="L3309" s="50">
        <f>VLOOKUP(A3309,[2]data1761205830331!$A$1:$J$65536,10,0)</f>
        <v>39900</v>
      </c>
    </row>
    <row r="3310" spans="1:12" ht="15.6" outlineLevel="1">
      <c r="A3310" s="11">
        <v>1828200790</v>
      </c>
      <c r="B3310" s="40">
        <v>790</v>
      </c>
      <c r="C3310" s="109">
        <v>828200</v>
      </c>
      <c r="D3310" s="42">
        <v>1</v>
      </c>
      <c r="E3310" s="43"/>
      <c r="F3310" s="44" t="s">
        <v>1722</v>
      </c>
      <c r="G3310" s="45" t="s">
        <v>37</v>
      </c>
      <c r="H3310" s="51">
        <v>1</v>
      </c>
      <c r="I3310" s="47" t="s">
        <v>86</v>
      </c>
      <c r="J3310" s="48">
        <f>VLOOKUP(A3310,'[1]תקציב 2026'!$A$1:$M$65536,9,0)</f>
        <v>190000</v>
      </c>
      <c r="K3310" s="49">
        <v>0</v>
      </c>
      <c r="L3310" s="50">
        <v>0</v>
      </c>
    </row>
    <row r="3311" spans="1:12" ht="15.6" outlineLevel="1">
      <c r="A3311" s="11">
        <v>1828200810</v>
      </c>
      <c r="B3311" s="40">
        <v>810</v>
      </c>
      <c r="C3311" s="109">
        <v>828200</v>
      </c>
      <c r="D3311" s="42">
        <v>1</v>
      </c>
      <c r="E3311" s="43"/>
      <c r="F3311" s="44" t="s">
        <v>1723</v>
      </c>
      <c r="G3311" s="45" t="s">
        <v>37</v>
      </c>
      <c r="H3311" s="51">
        <f t="shared" si="53"/>
        <v>2.2400000000000002</v>
      </c>
      <c r="I3311" s="47"/>
      <c r="J3311" s="48">
        <f>VLOOKUP(A3311,'[1]תקציב 2026'!$A$1:$M$65536,9,0)</f>
        <v>9720000</v>
      </c>
      <c r="K3311" s="49">
        <v>3000000</v>
      </c>
      <c r="L3311" s="50">
        <f>VLOOKUP(A3311,[2]data1761205830331!$A$1:$J$65536,10,0)</f>
        <v>5455332.6900000004</v>
      </c>
    </row>
    <row r="3312" spans="1:12" ht="15.6" outlineLevel="1">
      <c r="A3312" s="11">
        <v>1828200811</v>
      </c>
      <c r="B3312" s="40">
        <v>811</v>
      </c>
      <c r="C3312" s="109">
        <v>828200</v>
      </c>
      <c r="D3312" s="42">
        <v>1</v>
      </c>
      <c r="E3312" s="43"/>
      <c r="F3312" s="44" t="s">
        <v>1724</v>
      </c>
      <c r="G3312" s="45" t="s">
        <v>37</v>
      </c>
      <c r="H3312" s="51">
        <f t="shared" si="53"/>
        <v>0</v>
      </c>
      <c r="I3312" s="47"/>
      <c r="J3312" s="48">
        <f>VLOOKUP(A3312,'[1]תקציב 2026'!$A$1:$M$65536,9,0)</f>
        <v>499300</v>
      </c>
      <c r="K3312" s="49">
        <f>451300+48000</f>
        <v>499300</v>
      </c>
      <c r="L3312" s="50">
        <f>VLOOKUP(A3312,[2]data1761205830331!$A$1:$J$65536,10,0)</f>
        <v>451300</v>
      </c>
    </row>
    <row r="3313" spans="1:12" ht="15.6" outlineLevel="1">
      <c r="A3313" s="11">
        <v>1828200812</v>
      </c>
      <c r="B3313" s="40">
        <v>812</v>
      </c>
      <c r="C3313" s="109">
        <v>828200</v>
      </c>
      <c r="D3313" s="42">
        <v>1</v>
      </c>
      <c r="E3313" s="43"/>
      <c r="F3313" s="44" t="s">
        <v>1725</v>
      </c>
      <c r="G3313" s="45" t="s">
        <v>29</v>
      </c>
      <c r="H3313" s="51">
        <f t="shared" si="53"/>
        <v>0</v>
      </c>
      <c r="I3313" s="47"/>
      <c r="J3313" s="48">
        <f>VLOOKUP(A3313,'[1]תקציב 2026'!$A$1:$M$65536,9,0)</f>
        <v>64350</v>
      </c>
      <c r="K3313" s="49">
        <f>VLOOKUP(A3313,[3]גיליון1!$A$1:$C$7693,3,0)*0.9</f>
        <v>64350</v>
      </c>
      <c r="L3313" s="50">
        <f>VLOOKUP(A3313,[2]data1761205830331!$A$1:$J$65536,10,0)</f>
        <v>71500</v>
      </c>
    </row>
    <row r="3314" spans="1:12" ht="15.6" outlineLevel="1">
      <c r="A3314" s="11">
        <v>1828200813</v>
      </c>
      <c r="B3314" s="40">
        <v>813</v>
      </c>
      <c r="C3314" s="109">
        <v>828200</v>
      </c>
      <c r="D3314" s="42">
        <v>1</v>
      </c>
      <c r="E3314" s="43"/>
      <c r="F3314" s="44" t="s">
        <v>1726</v>
      </c>
      <c r="G3314" s="45" t="s">
        <v>29</v>
      </c>
      <c r="H3314" s="51">
        <v>0</v>
      </c>
      <c r="I3314" s="47"/>
      <c r="J3314" s="48">
        <f>VLOOKUP(A3314,'[1]תקציב 2026'!$A$1:$M$65536,9,0)</f>
        <v>0</v>
      </c>
      <c r="K3314" s="49">
        <v>0</v>
      </c>
      <c r="L3314" s="50">
        <f>VLOOKUP(A3314,[2]data1761205830331!$A$1:$J$65536,10,0)</f>
        <v>59200</v>
      </c>
    </row>
    <row r="3315" spans="1:12" ht="15.6" outlineLevel="1">
      <c r="A3315" s="11">
        <v>1828200814</v>
      </c>
      <c r="B3315" s="40">
        <v>814</v>
      </c>
      <c r="C3315" s="109">
        <v>828200</v>
      </c>
      <c r="D3315" s="42">
        <v>1</v>
      </c>
      <c r="E3315" s="43"/>
      <c r="F3315" s="44" t="s">
        <v>1727</v>
      </c>
      <c r="G3315" s="45" t="s">
        <v>29</v>
      </c>
      <c r="H3315" s="51">
        <v>0</v>
      </c>
      <c r="I3315" s="47"/>
      <c r="J3315" s="48">
        <f>VLOOKUP(A3315,'[1]תקציב 2026'!$A$1:$M$65536,9,0)</f>
        <v>0</v>
      </c>
      <c r="K3315" s="49">
        <v>0</v>
      </c>
      <c r="L3315" s="50">
        <f>VLOOKUP(A3315,[2]data1761205830331!$A$1:$J$65536,10,0)</f>
        <v>116100</v>
      </c>
    </row>
    <row r="3316" spans="1:12" ht="15.6" outlineLevel="1">
      <c r="A3316" s="11">
        <v>1828200815</v>
      </c>
      <c r="B3316" s="40">
        <v>815</v>
      </c>
      <c r="C3316" s="109">
        <v>828200</v>
      </c>
      <c r="D3316" s="42">
        <v>1</v>
      </c>
      <c r="E3316" s="231"/>
      <c r="F3316" s="44" t="s">
        <v>1728</v>
      </c>
      <c r="G3316" s="45" t="s">
        <v>29</v>
      </c>
      <c r="H3316" s="51">
        <v>0</v>
      </c>
      <c r="I3316" s="47"/>
      <c r="J3316" s="48">
        <f>VLOOKUP(A3316,'[1]תקציב 2026'!$A$1:$M$65536,9,0)</f>
        <v>0</v>
      </c>
      <c r="K3316" s="49">
        <v>0</v>
      </c>
      <c r="L3316" s="50">
        <f>VLOOKUP(A3316,[2]data1761205830331!$A$1:$J$65536,10,0)</f>
        <v>1504900</v>
      </c>
    </row>
    <row r="3317" spans="1:12" ht="15.6" outlineLevel="1">
      <c r="A3317" s="11">
        <v>1828200816</v>
      </c>
      <c r="B3317" s="40">
        <v>816</v>
      </c>
      <c r="C3317" s="109">
        <v>828200</v>
      </c>
      <c r="D3317" s="42">
        <v>1</v>
      </c>
      <c r="E3317" s="231"/>
      <c r="F3317" s="44" t="s">
        <v>1729</v>
      </c>
      <c r="G3317" s="45" t="s">
        <v>29</v>
      </c>
      <c r="H3317" s="51">
        <v>0</v>
      </c>
      <c r="I3317" s="47"/>
      <c r="J3317" s="48">
        <f>VLOOKUP(A3317,'[1]תקציב 2026'!$A$1:$M$65536,9,0)</f>
        <v>0</v>
      </c>
      <c r="K3317" s="49">
        <v>0</v>
      </c>
      <c r="L3317" s="50">
        <f>VLOOKUP(A3317,[2]data1761205830331!$A$1:$J$65536,10,0)</f>
        <v>92100</v>
      </c>
    </row>
    <row r="3318" spans="1:12" ht="15.6" outlineLevel="1">
      <c r="A3318" s="11">
        <v>1828200817</v>
      </c>
      <c r="B3318" s="40">
        <v>817</v>
      </c>
      <c r="C3318" s="109">
        <v>828200</v>
      </c>
      <c r="D3318" s="42">
        <v>1</v>
      </c>
      <c r="E3318" s="43"/>
      <c r="F3318" s="44" t="s">
        <v>1730</v>
      </c>
      <c r="G3318" s="45" t="s">
        <v>29</v>
      </c>
      <c r="H3318" s="51">
        <f t="shared" si="53"/>
        <v>0</v>
      </c>
      <c r="I3318" s="47"/>
      <c r="J3318" s="48">
        <f>VLOOKUP(A3318,'[1]תקציב 2026'!$A$1:$M$65536,9,0)</f>
        <v>14670</v>
      </c>
      <c r="K3318" s="49">
        <f>VLOOKUP(A3318,[3]גיליון1!$A$1:$C$7693,3,0)*0.9</f>
        <v>14670</v>
      </c>
      <c r="L3318" s="50">
        <f>VLOOKUP(A3318,[2]data1761205830331!$A$1:$J$65536,10,0)</f>
        <v>16300</v>
      </c>
    </row>
    <row r="3319" spans="1:12" ht="15.6" outlineLevel="1">
      <c r="A3319" s="11">
        <v>1828200818</v>
      </c>
      <c r="B3319" s="40">
        <v>818</v>
      </c>
      <c r="C3319" s="109">
        <v>828200</v>
      </c>
      <c r="D3319" s="42">
        <v>1</v>
      </c>
      <c r="E3319" s="43"/>
      <c r="F3319" s="44" t="s">
        <v>1731</v>
      </c>
      <c r="G3319" s="45" t="s">
        <v>29</v>
      </c>
      <c r="H3319" s="51">
        <f t="shared" si="53"/>
        <v>0</v>
      </c>
      <c r="I3319" s="47" t="s">
        <v>137</v>
      </c>
      <c r="J3319" s="48">
        <f>VLOOKUP(A3319,'[1]תקציב 2026'!$A$1:$M$65536,9,0)</f>
        <v>25560</v>
      </c>
      <c r="K3319" s="49">
        <f>28400*0.9</f>
        <v>25560</v>
      </c>
      <c r="L3319" s="50">
        <f>VLOOKUP(A3319,[2]data1761205830331!$A$1:$J$65536,10,0)</f>
        <v>170200</v>
      </c>
    </row>
    <row r="3320" spans="1:12" ht="15.6" outlineLevel="1">
      <c r="A3320" s="11">
        <v>1828200819</v>
      </c>
      <c r="B3320" s="40">
        <v>819</v>
      </c>
      <c r="C3320" s="109">
        <v>828200</v>
      </c>
      <c r="D3320" s="42">
        <v>1</v>
      </c>
      <c r="E3320" s="43"/>
      <c r="F3320" s="44" t="s">
        <v>1732</v>
      </c>
      <c r="G3320" s="45" t="s">
        <v>37</v>
      </c>
      <c r="H3320" s="51">
        <v>1</v>
      </c>
      <c r="I3320" s="47" t="s">
        <v>137</v>
      </c>
      <c r="J3320" s="48">
        <f>VLOOKUP(A3320,'[1]תקציב 2026'!$A$1:$M$65536,9,0)</f>
        <v>200000</v>
      </c>
      <c r="K3320" s="49">
        <v>0</v>
      </c>
      <c r="L3320" s="50">
        <f>VLOOKUP(A3320,[2]data1761205830331!$A$1:$J$65536,10,0)</f>
        <v>0</v>
      </c>
    </row>
    <row r="3321" spans="1:12" ht="15.6" outlineLevel="1">
      <c r="A3321" s="11">
        <v>1828200820</v>
      </c>
      <c r="B3321" s="40">
        <v>820</v>
      </c>
      <c r="C3321" s="109">
        <v>828200</v>
      </c>
      <c r="D3321" s="42">
        <v>1</v>
      </c>
      <c r="E3321" s="43"/>
      <c r="F3321" s="44" t="s">
        <v>1733</v>
      </c>
      <c r="G3321" s="45" t="s">
        <v>29</v>
      </c>
      <c r="H3321" s="51">
        <v>0</v>
      </c>
      <c r="I3321" s="47"/>
      <c r="J3321" s="48">
        <f>VLOOKUP(A3321,'[1]תקציב 2026'!$A$1:$M$65536,9,0)</f>
        <v>0</v>
      </c>
      <c r="K3321" s="49">
        <v>0</v>
      </c>
      <c r="L3321" s="50">
        <f>VLOOKUP(A3321,[2]data1761205830331!$A$1:$J$65536,10,0)</f>
        <v>221700</v>
      </c>
    </row>
    <row r="3322" spans="1:12" ht="15.6" outlineLevel="1">
      <c r="A3322" s="11">
        <v>1828200821</v>
      </c>
      <c r="B3322" s="40">
        <v>821</v>
      </c>
      <c r="C3322" s="109">
        <v>828200</v>
      </c>
      <c r="D3322" s="42">
        <v>1</v>
      </c>
      <c r="E3322" s="43"/>
      <c r="F3322" s="44" t="s">
        <v>1734</v>
      </c>
      <c r="G3322" s="45" t="s">
        <v>29</v>
      </c>
      <c r="H3322" s="51">
        <f t="shared" si="53"/>
        <v>0</v>
      </c>
      <c r="I3322" s="47"/>
      <c r="J3322" s="48">
        <f>VLOOKUP(A3322,'[1]תקציב 2026'!$A$1:$M$65536,9,0)</f>
        <v>30960</v>
      </c>
      <c r="K3322" s="49">
        <f>34400*0.9</f>
        <v>30960</v>
      </c>
      <c r="L3322" s="50">
        <f>VLOOKUP(A3322,[2]data1761205830331!$A$1:$J$65536,10,0)</f>
        <v>34399</v>
      </c>
    </row>
    <row r="3323" spans="1:12" ht="15.6" outlineLevel="1">
      <c r="A3323" s="11">
        <v>1828200822</v>
      </c>
      <c r="B3323" s="40">
        <v>822</v>
      </c>
      <c r="C3323" s="109">
        <v>828200</v>
      </c>
      <c r="D3323" s="42">
        <v>1</v>
      </c>
      <c r="E3323" s="43"/>
      <c r="F3323" s="44" t="s">
        <v>1735</v>
      </c>
      <c r="G3323" s="45" t="s">
        <v>37</v>
      </c>
      <c r="H3323" s="51">
        <f t="shared" si="53"/>
        <v>0</v>
      </c>
      <c r="I3323" s="47"/>
      <c r="J3323" s="48">
        <f>VLOOKUP(A3323,'[1]תקציב 2026'!$A$1:$M$65536,9,0)</f>
        <v>622800</v>
      </c>
      <c r="K3323" s="49">
        <f>VLOOKUP(A3323,[3]גיליון1!$A$1:$C$7693,3,0)*0.9</f>
        <v>622800</v>
      </c>
      <c r="L3323" s="50">
        <f>VLOOKUP(A3323,[2]data1761205830331!$A$1:$J$65536,10,0)</f>
        <v>692000</v>
      </c>
    </row>
    <row r="3324" spans="1:12" ht="16.5" customHeight="1" outlineLevel="1">
      <c r="A3324" s="11">
        <v>1828200823</v>
      </c>
      <c r="B3324" s="40">
        <v>823</v>
      </c>
      <c r="C3324" s="109">
        <v>828200</v>
      </c>
      <c r="D3324" s="42">
        <v>1</v>
      </c>
      <c r="E3324" s="43"/>
      <c r="F3324" s="44" t="s">
        <v>1736</v>
      </c>
      <c r="G3324" s="45" t="s">
        <v>37</v>
      </c>
      <c r="H3324" s="51">
        <v>0</v>
      </c>
      <c r="I3324" s="47"/>
      <c r="J3324" s="48">
        <f>VLOOKUP(A3324,'[1]תקציב 2026'!$A$1:$M$65536,9,0)</f>
        <v>0</v>
      </c>
      <c r="K3324" s="49">
        <v>0</v>
      </c>
      <c r="L3324" s="50">
        <f>VLOOKUP(A3324,[2]data1761205830331!$A$1:$J$65536,10,0)</f>
        <v>97500</v>
      </c>
    </row>
    <row r="3325" spans="1:12" ht="15.6" outlineLevel="1">
      <c r="A3325" s="11">
        <v>1828200824</v>
      </c>
      <c r="B3325" s="40">
        <v>824</v>
      </c>
      <c r="C3325" s="109">
        <v>828200</v>
      </c>
      <c r="D3325" s="42">
        <v>1</v>
      </c>
      <c r="E3325" s="43"/>
      <c r="F3325" s="44" t="s">
        <v>1737</v>
      </c>
      <c r="G3325" s="45" t="s">
        <v>37</v>
      </c>
      <c r="H3325" s="51">
        <v>0</v>
      </c>
      <c r="I3325" s="47"/>
      <c r="J3325" s="48">
        <f>VLOOKUP(A3325,'[1]תקציב 2026'!$A$1:$M$65536,9,0)</f>
        <v>0</v>
      </c>
      <c r="K3325" s="49">
        <v>0</v>
      </c>
      <c r="L3325" s="50">
        <f>VLOOKUP(A3325,[2]data1761205830331!$A$1:$J$65536,10,0)</f>
        <v>243700</v>
      </c>
    </row>
    <row r="3326" spans="1:12" ht="15.6" outlineLevel="1">
      <c r="A3326" s="11">
        <v>1828200825</v>
      </c>
      <c r="B3326" s="40">
        <v>825</v>
      </c>
      <c r="C3326" s="109">
        <v>828200</v>
      </c>
      <c r="D3326" s="42">
        <v>1</v>
      </c>
      <c r="E3326" s="43"/>
      <c r="F3326" s="44" t="s">
        <v>1738</v>
      </c>
      <c r="G3326" s="45" t="s">
        <v>37</v>
      </c>
      <c r="H3326" s="51">
        <f t="shared" si="53"/>
        <v>0</v>
      </c>
      <c r="I3326" s="47"/>
      <c r="J3326" s="48">
        <f>VLOOKUP(A3326,'[1]תקציב 2026'!$A$1:$M$65536,9,0)</f>
        <v>324000</v>
      </c>
      <c r="K3326" s="49">
        <f>VLOOKUP(A3326,[3]גיליון1!$A$1:$C$7693,3,0)*0.9</f>
        <v>324000</v>
      </c>
      <c r="L3326" s="50">
        <f>VLOOKUP(A3326,[2]data1761205830331!$A$1:$J$65536,10,0)</f>
        <v>360000</v>
      </c>
    </row>
    <row r="3327" spans="1:12" ht="15.6" outlineLevel="1">
      <c r="A3327" s="11">
        <v>1828200826</v>
      </c>
      <c r="B3327" s="40">
        <v>826</v>
      </c>
      <c r="C3327" s="109">
        <v>828200</v>
      </c>
      <c r="D3327" s="42">
        <v>1</v>
      </c>
      <c r="E3327" s="43"/>
      <c r="F3327" s="44" t="s">
        <v>1739</v>
      </c>
      <c r="G3327" s="45" t="s">
        <v>37</v>
      </c>
      <c r="H3327" s="51">
        <v>0</v>
      </c>
      <c r="I3327" s="47"/>
      <c r="J3327" s="48">
        <f>VLOOKUP(A3327,'[1]תקציב 2026'!$A$1:$M$65536,9,0)</f>
        <v>0</v>
      </c>
      <c r="K3327" s="49">
        <v>0</v>
      </c>
      <c r="L3327" s="50">
        <f>VLOOKUP(A3327,[2]data1761205830331!$A$1:$J$65536,10,0)</f>
        <v>51700</v>
      </c>
    </row>
    <row r="3328" spans="1:12" ht="15.6" outlineLevel="1">
      <c r="A3328" s="11">
        <v>1828200827</v>
      </c>
      <c r="B3328" s="40">
        <v>827</v>
      </c>
      <c r="C3328" s="109">
        <v>828200</v>
      </c>
      <c r="D3328" s="42">
        <v>1</v>
      </c>
      <c r="E3328" s="43"/>
      <c r="F3328" s="44" t="s">
        <v>1740</v>
      </c>
      <c r="G3328" s="45" t="s">
        <v>29</v>
      </c>
      <c r="H3328" s="51">
        <v>0</v>
      </c>
      <c r="I3328" s="47"/>
      <c r="J3328" s="48">
        <f>VLOOKUP(A3328,'[1]תקציב 2026'!$A$1:$M$65536,9,0)</f>
        <v>0</v>
      </c>
      <c r="K3328" s="49">
        <v>0</v>
      </c>
      <c r="L3328" s="50">
        <f>VLOOKUP(A3328,[2]data1761205830331!$A$1:$J$65536,10,0)</f>
        <v>417800</v>
      </c>
    </row>
    <row r="3329" spans="1:12" ht="15.6" outlineLevel="1">
      <c r="A3329" s="11">
        <v>1828200832</v>
      </c>
      <c r="B3329" s="40">
        <v>832</v>
      </c>
      <c r="C3329" s="109">
        <v>828200</v>
      </c>
      <c r="D3329" s="42">
        <v>1</v>
      </c>
      <c r="E3329" s="43"/>
      <c r="F3329" s="44" t="s">
        <v>33</v>
      </c>
      <c r="G3329" s="45" t="s">
        <v>29</v>
      </c>
      <c r="H3329" s="51">
        <f t="shared" si="53"/>
        <v>0</v>
      </c>
      <c r="I3329" s="47"/>
      <c r="J3329" s="48">
        <f>VLOOKUP(A3329,'[1]תקציב 2026'!$A$1:$M$65536,9,0)</f>
        <v>146250</v>
      </c>
      <c r="K3329" s="49">
        <f>VLOOKUP(A3329,[3]גיליון1!$A$1:$C$7693,3,0)*0.9</f>
        <v>146250</v>
      </c>
      <c r="L3329" s="50">
        <f>VLOOKUP(A3329,[2]data1761205830331!$A$1:$J$65536,10,0)</f>
        <v>162500</v>
      </c>
    </row>
    <row r="3330" spans="1:12" ht="15.6" outlineLevel="1">
      <c r="A3330" s="11">
        <v>1828200874</v>
      </c>
      <c r="B3330" s="40">
        <v>874</v>
      </c>
      <c r="C3330" s="109">
        <v>828200</v>
      </c>
      <c r="D3330" s="42">
        <v>1</v>
      </c>
      <c r="E3330" s="43"/>
      <c r="F3330" s="44" t="s">
        <v>1741</v>
      </c>
      <c r="G3330" s="45" t="s">
        <v>29</v>
      </c>
      <c r="H3330" s="51">
        <f t="shared" si="53"/>
        <v>-0.26726162517613905</v>
      </c>
      <c r="I3330" s="47"/>
      <c r="J3330" s="48">
        <f>VLOOKUP(A3330,'[1]תקציב 2026'!$A$1:$M$65536,9,0)</f>
        <v>156000</v>
      </c>
      <c r="K3330" s="49">
        <f>VLOOKUP(A3330,[3]גיליון1!$A$1:$C$7693,3,0)</f>
        <v>212900</v>
      </c>
      <c r="L3330" s="50">
        <f>VLOOKUP(A3330,[2]data1761205830331!$A$1:$J$65536,10,0)</f>
        <v>212900</v>
      </c>
    </row>
    <row r="3331" spans="1:12" ht="15.6" outlineLevel="1">
      <c r="A3331" s="11">
        <v>1828200876</v>
      </c>
      <c r="B3331" s="40">
        <v>876</v>
      </c>
      <c r="C3331" s="109">
        <v>828200</v>
      </c>
      <c r="D3331" s="42">
        <v>1</v>
      </c>
      <c r="E3331" s="43"/>
      <c r="F3331" s="44" t="s">
        <v>1742</v>
      </c>
      <c r="G3331" s="45" t="s">
        <v>37</v>
      </c>
      <c r="H3331" s="51">
        <v>1</v>
      </c>
      <c r="I3331" s="47" t="s">
        <v>86</v>
      </c>
      <c r="J3331" s="48">
        <f>VLOOKUP(A3331,'[1]תקציב 2026'!$A$1:$M$65536,9,0)</f>
        <v>106670</v>
      </c>
      <c r="K3331" s="49">
        <v>0</v>
      </c>
      <c r="L3331" s="50">
        <v>0</v>
      </c>
    </row>
    <row r="3332" spans="1:12" ht="15.6" outlineLevel="1">
      <c r="A3332" s="11">
        <v>1828200878</v>
      </c>
      <c r="B3332" s="40">
        <v>878</v>
      </c>
      <c r="C3332" s="109">
        <v>828200</v>
      </c>
      <c r="D3332" s="42">
        <v>1</v>
      </c>
      <c r="E3332" s="43"/>
      <c r="F3332" s="44" t="s">
        <v>1743</v>
      </c>
      <c r="G3332" s="45" t="s">
        <v>37</v>
      </c>
      <c r="H3332" s="51">
        <v>1</v>
      </c>
      <c r="I3332" s="47" t="s">
        <v>86</v>
      </c>
      <c r="J3332" s="48">
        <f>VLOOKUP(A3332,'[1]תקציב 2026'!$A$1:$M$65536,9,0)</f>
        <v>537600</v>
      </c>
      <c r="K3332" s="49">
        <v>0</v>
      </c>
      <c r="L3332" s="50">
        <v>0</v>
      </c>
    </row>
    <row r="3333" spans="1:12" ht="15.6" outlineLevel="1">
      <c r="A3333" s="11">
        <v>1828200879</v>
      </c>
      <c r="B3333" s="40">
        <v>879</v>
      </c>
      <c r="C3333" s="109">
        <v>828200</v>
      </c>
      <c r="D3333" s="42">
        <v>1</v>
      </c>
      <c r="E3333" s="43"/>
      <c r="F3333" s="44" t="s">
        <v>1606</v>
      </c>
      <c r="G3333" s="45" t="s">
        <v>29</v>
      </c>
      <c r="H3333" s="51">
        <v>0</v>
      </c>
      <c r="I3333" s="47"/>
      <c r="J3333" s="48">
        <f>VLOOKUP(A3333,'[1]תקציב 2026'!$A$1:$M$65536,9,0)</f>
        <v>0</v>
      </c>
      <c r="K3333" s="49">
        <v>0</v>
      </c>
      <c r="L3333" s="50">
        <f>VLOOKUP(A3333,[2]data1761205830331!$A$1:$J$65536,10,0)</f>
        <v>35300</v>
      </c>
    </row>
    <row r="3334" spans="1:12" ht="15.6" outlineLevel="1">
      <c r="A3334" s="11">
        <v>1828200930</v>
      </c>
      <c r="B3334" s="40">
        <v>930</v>
      </c>
      <c r="C3334" s="109">
        <v>828200</v>
      </c>
      <c r="D3334" s="42">
        <v>1</v>
      </c>
      <c r="E3334" s="43"/>
      <c r="F3334" s="44" t="s">
        <v>1744</v>
      </c>
      <c r="G3334" s="45" t="s">
        <v>37</v>
      </c>
      <c r="H3334" s="51">
        <f t="shared" si="53"/>
        <v>0</v>
      </c>
      <c r="I3334" s="47"/>
      <c r="J3334" s="48">
        <f>VLOOKUP(A3334,'[1]תקציב 2026'!$A$1:$M$65536,9,0)</f>
        <v>107370</v>
      </c>
      <c r="K3334" s="49">
        <f>VLOOKUP(A3334,[3]גיליון1!$A$1:$C$7693,3,0)*0.9</f>
        <v>107370</v>
      </c>
      <c r="L3334" s="50">
        <f>VLOOKUP(A3334,[2]data1761205830331!$A$1:$J$65536,10,0)</f>
        <v>119300</v>
      </c>
    </row>
    <row r="3335" spans="1:12" ht="15.6" outlineLevel="1">
      <c r="A3335" s="11">
        <v>1828200981</v>
      </c>
      <c r="B3335" s="40">
        <v>981</v>
      </c>
      <c r="C3335" s="109">
        <v>828200</v>
      </c>
      <c r="D3335" s="42">
        <v>1</v>
      </c>
      <c r="E3335" s="43"/>
      <c r="F3335" s="44" t="str">
        <f>[4]גיליון1!$F$6352</f>
        <v>התנדבות בקהילה</v>
      </c>
      <c r="G3335" s="45" t="s">
        <v>37</v>
      </c>
      <c r="H3335" s="51">
        <v>0</v>
      </c>
      <c r="I3335" s="47"/>
      <c r="J3335" s="48">
        <f>VLOOKUP(A3335,'[1]תקציב 2026'!$A$1:$M$65536,9,0)</f>
        <v>0</v>
      </c>
      <c r="K3335" s="49">
        <v>0</v>
      </c>
      <c r="L3335" s="50">
        <f>VLOOKUP(A3335,[2]data1761205830331!$A$1:$J$65536,10,0)</f>
        <v>187700</v>
      </c>
    </row>
    <row r="3336" spans="1:12" ht="16.2" outlineLevel="1" thickBot="1">
      <c r="A3336" s="11">
        <v>1828200982</v>
      </c>
      <c r="B3336" s="40">
        <v>982</v>
      </c>
      <c r="C3336" s="109">
        <v>828200</v>
      </c>
      <c r="D3336" s="42">
        <v>1</v>
      </c>
      <c r="E3336" s="43"/>
      <c r="F3336" s="44" t="str">
        <f>[4]גיליון1!$F$6353</f>
        <v>נוע"ם ח'</v>
      </c>
      <c r="G3336" s="45" t="s">
        <v>29</v>
      </c>
      <c r="H3336" s="51">
        <v>0</v>
      </c>
      <c r="I3336" s="47"/>
      <c r="J3336" s="48">
        <f>VLOOKUP(A3336,'[1]תקציב 2026'!$A$1:$M$65536,9,0)</f>
        <v>0</v>
      </c>
      <c r="K3336" s="49">
        <v>0</v>
      </c>
      <c r="L3336" s="50">
        <f>VLOOKUP(A3336,[2]data1761205830331!$A$1:$J$65536,10,0)</f>
        <v>228000</v>
      </c>
    </row>
    <row r="3337" spans="1:12" ht="16.2" thickBot="1">
      <c r="A3337" s="11" t="e">
        <v>#VALUE!</v>
      </c>
      <c r="B3337" s="53" t="s">
        <v>1745</v>
      </c>
      <c r="C3337" s="223"/>
      <c r="D3337" s="55"/>
      <c r="E3337" s="56"/>
      <c r="F3337" s="255" t="s">
        <v>1716</v>
      </c>
      <c r="G3337" s="58"/>
      <c r="H3337" s="71">
        <f>J3337/K3337-1</f>
        <v>1.2437850710406551</v>
      </c>
      <c r="I3337" s="72"/>
      <c r="J3337" s="74">
        <f>SUBTOTAL(9,J3301:J3336)</f>
        <v>13671360</v>
      </c>
      <c r="K3337" s="92">
        <f>SUBTOTAL(9,K3301:K3336)</f>
        <v>6092990</v>
      </c>
      <c r="L3337" s="75">
        <f>SUBTOTAL(9,L3301:L3336)</f>
        <v>13982831.600000001</v>
      </c>
    </row>
    <row r="3338" spans="1:12" ht="15.6" outlineLevel="1">
      <c r="A3338" s="11">
        <v>18282400</v>
      </c>
      <c r="B3338" s="40">
        <v>0</v>
      </c>
      <c r="C3338" s="109">
        <v>828240</v>
      </c>
      <c r="D3338" s="42">
        <v>1</v>
      </c>
      <c r="E3338" s="43"/>
      <c r="F3338" s="44" t="s">
        <v>1746</v>
      </c>
      <c r="G3338" s="45" t="s">
        <v>15</v>
      </c>
      <c r="H3338" s="51"/>
      <c r="I3338" s="47"/>
      <c r="J3338" s="48"/>
      <c r="K3338" s="49"/>
      <c r="L3338" s="50"/>
    </row>
    <row r="3339" spans="1:12" ht="15.6" outlineLevel="1">
      <c r="A3339" s="11">
        <v>1828240872</v>
      </c>
      <c r="B3339" s="40">
        <v>872</v>
      </c>
      <c r="C3339" s="109">
        <v>828240</v>
      </c>
      <c r="D3339" s="42">
        <v>1</v>
      </c>
      <c r="E3339" s="43"/>
      <c r="F3339" s="159" t="s">
        <v>1746</v>
      </c>
      <c r="G3339" s="45" t="s">
        <v>37</v>
      </c>
      <c r="H3339" s="51">
        <f t="shared" si="53"/>
        <v>0</v>
      </c>
      <c r="I3339" s="47"/>
      <c r="J3339" s="48">
        <f>VLOOKUP(A3339,'[1]תקציב 2026'!$A$1:$M$65536,9,0)</f>
        <v>135000</v>
      </c>
      <c r="K3339" s="49">
        <f>150000*0.9</f>
        <v>135000</v>
      </c>
      <c r="L3339" s="50">
        <f>VLOOKUP(A3339,[2]data1761205830331!$A$1:$J$65536,10,0)</f>
        <v>1146600</v>
      </c>
    </row>
    <row r="3340" spans="1:12" ht="15.6" outlineLevel="1">
      <c r="A3340" s="11">
        <v>1828240879</v>
      </c>
      <c r="B3340" s="40">
        <v>879</v>
      </c>
      <c r="C3340" s="109">
        <v>828240</v>
      </c>
      <c r="D3340" s="42">
        <v>1</v>
      </c>
      <c r="E3340" s="43"/>
      <c r="F3340" s="44" t="s">
        <v>1606</v>
      </c>
      <c r="G3340" s="45" t="s">
        <v>29</v>
      </c>
      <c r="H3340" s="51">
        <f t="shared" si="53"/>
        <v>0</v>
      </c>
      <c r="I3340" s="47"/>
      <c r="J3340" s="48">
        <f>VLOOKUP(A3340,'[1]תקציב 2026'!$A$1:$M$65536,9,0)</f>
        <v>4400</v>
      </c>
      <c r="K3340" s="49">
        <f>VLOOKUP(A3340,[3]גיליון1!$A$1:$C$7693,3,0)</f>
        <v>4400</v>
      </c>
      <c r="L3340" s="50">
        <f>VLOOKUP(A3340,[2]data1761205830331!$A$1:$J$65536,10,0)</f>
        <v>4400</v>
      </c>
    </row>
    <row r="3341" spans="1:12" ht="16.2" outlineLevel="1" thickBot="1">
      <c r="A3341" s="11">
        <v>1828240981</v>
      </c>
      <c r="B3341" s="119">
        <v>981</v>
      </c>
      <c r="C3341" s="120">
        <v>828240</v>
      </c>
      <c r="D3341" s="121">
        <v>1</v>
      </c>
      <c r="E3341" s="201"/>
      <c r="F3341" s="44" t="s">
        <v>1594</v>
      </c>
      <c r="G3341" s="153" t="s">
        <v>37</v>
      </c>
      <c r="H3341" s="51">
        <v>0</v>
      </c>
      <c r="I3341" s="160"/>
      <c r="J3341" s="48">
        <f>VLOOKUP(A3341,'[1]תקציב 2026'!$A$1:$M$65536,9,0)</f>
        <v>0</v>
      </c>
      <c r="K3341" s="162">
        <v>0</v>
      </c>
      <c r="L3341" s="50">
        <f>VLOOKUP(A3341,[2]data1761205830331!$A$1:$J$65536,10,0)</f>
        <v>165600</v>
      </c>
    </row>
    <row r="3342" spans="1:12" ht="16.2" thickBot="1">
      <c r="A3342" s="11" t="e">
        <v>#VALUE!</v>
      </c>
      <c r="B3342" s="53" t="s">
        <v>1747</v>
      </c>
      <c r="C3342" s="223"/>
      <c r="D3342" s="55"/>
      <c r="E3342" s="56"/>
      <c r="F3342" s="116" t="s">
        <v>1746</v>
      </c>
      <c r="G3342" s="58"/>
      <c r="H3342" s="71">
        <v>0</v>
      </c>
      <c r="I3342" s="72"/>
      <c r="J3342" s="74">
        <f>SUBTOTAL(9,J3339:J3341)</f>
        <v>139400</v>
      </c>
      <c r="K3342" s="74">
        <f>SUBTOTAL(9,K3339:K3341)</f>
        <v>139400</v>
      </c>
      <c r="L3342" s="75">
        <f>SUBTOTAL(9,L3339:L3341)</f>
        <v>1316600</v>
      </c>
    </row>
    <row r="3343" spans="1:12" ht="15.6" outlineLevel="1">
      <c r="A3343" s="11">
        <v>18290000</v>
      </c>
      <c r="B3343" s="64">
        <v>0</v>
      </c>
      <c r="C3343" s="131">
        <v>829000</v>
      </c>
      <c r="D3343" s="66">
        <v>1</v>
      </c>
      <c r="E3343" s="67"/>
      <c r="F3343" s="68" t="s">
        <v>520</v>
      </c>
      <c r="G3343" s="69" t="s">
        <v>15</v>
      </c>
      <c r="H3343" s="51"/>
      <c r="I3343" s="47"/>
      <c r="J3343" s="48"/>
      <c r="K3343" s="49"/>
      <c r="L3343" s="50"/>
    </row>
    <row r="3344" spans="1:12" ht="15.6" outlineLevel="1">
      <c r="A3344" s="11">
        <v>1829100810</v>
      </c>
      <c r="B3344" s="40">
        <v>810</v>
      </c>
      <c r="C3344" s="109">
        <v>829100</v>
      </c>
      <c r="D3344" s="42">
        <v>1</v>
      </c>
      <c r="E3344" s="43"/>
      <c r="F3344" s="44" t="s">
        <v>1748</v>
      </c>
      <c r="G3344" s="45" t="s">
        <v>29</v>
      </c>
      <c r="H3344" s="51">
        <f t="shared" si="53"/>
        <v>0</v>
      </c>
      <c r="I3344" s="47"/>
      <c r="J3344" s="48">
        <f>VLOOKUP(A3344,'[1]תקציב 2026'!$A$1:$M$65536,9,0)</f>
        <v>261000</v>
      </c>
      <c r="K3344" s="49">
        <f>VLOOKUP(A3344,[3]גיליון1!$A$1:$C$7693,3,0)</f>
        <v>261000</v>
      </c>
      <c r="L3344" s="50">
        <f>VLOOKUP(A3344,[2]data1761205830331!$A$1:$J$65536,10,0)</f>
        <v>256204</v>
      </c>
    </row>
    <row r="3345" spans="1:12" ht="15.6" outlineLevel="1">
      <c r="A3345" s="11">
        <v>1829100812</v>
      </c>
      <c r="B3345" s="40">
        <v>812</v>
      </c>
      <c r="C3345" s="109">
        <v>829100</v>
      </c>
      <c r="D3345" s="42">
        <v>1</v>
      </c>
      <c r="E3345" s="43"/>
      <c r="F3345" s="44" t="s">
        <v>1749</v>
      </c>
      <c r="G3345" s="45" t="s">
        <v>37</v>
      </c>
      <c r="H3345" s="51">
        <f t="shared" si="53"/>
        <v>0.22222222222222232</v>
      </c>
      <c r="I3345" s="47"/>
      <c r="J3345" s="48">
        <f>VLOOKUP(A3345,'[1]תקציב 2026'!$A$1:$M$65536,9,0)</f>
        <v>268070</v>
      </c>
      <c r="K3345" s="49">
        <f>VLOOKUP(A3345,[3]גיליון1!$A$1:$C$7693,3,0)*0.9</f>
        <v>219330</v>
      </c>
      <c r="L3345" s="50">
        <f>VLOOKUP(A3345,[2]data1761205830331!$A$1:$J$65536,10,0)</f>
        <v>243700</v>
      </c>
    </row>
    <row r="3346" spans="1:12" ht="15.6" outlineLevel="1">
      <c r="A3346" s="11">
        <v>1829100813</v>
      </c>
      <c r="B3346" s="40">
        <v>813</v>
      </c>
      <c r="C3346" s="109">
        <v>829100</v>
      </c>
      <c r="D3346" s="42">
        <v>1</v>
      </c>
      <c r="E3346" s="43"/>
      <c r="F3346" s="44" t="s">
        <v>1750</v>
      </c>
      <c r="G3346" s="45" t="s">
        <v>29</v>
      </c>
      <c r="H3346" s="51">
        <f t="shared" si="53"/>
        <v>0.22222222222222232</v>
      </c>
      <c r="I3346" s="47"/>
      <c r="J3346" s="48">
        <f>VLOOKUP(A3346,'[1]תקציב 2026'!$A$1:$M$65536,9,0)</f>
        <v>655820</v>
      </c>
      <c r="K3346" s="49">
        <f>VLOOKUP(A3346,[3]גיליון1!$A$1:$C$7693,3,0)*0.9</f>
        <v>536580</v>
      </c>
      <c r="L3346" s="50">
        <f>VLOOKUP(A3346,[2]data1761205830331!$A$1:$J$65536,10,0)</f>
        <v>596200</v>
      </c>
    </row>
    <row r="3347" spans="1:12" ht="15.6" outlineLevel="1">
      <c r="A3347" s="11">
        <v>1829100814</v>
      </c>
      <c r="B3347" s="40">
        <v>814</v>
      </c>
      <c r="C3347" s="109">
        <v>829100</v>
      </c>
      <c r="D3347" s="42">
        <v>1</v>
      </c>
      <c r="E3347" s="231"/>
      <c r="F3347" s="44" t="s">
        <v>1751</v>
      </c>
      <c r="G3347" s="45" t="s">
        <v>37</v>
      </c>
      <c r="H3347" s="51">
        <f t="shared" si="53"/>
        <v>0.22222222222222232</v>
      </c>
      <c r="I3347" s="47"/>
      <c r="J3347" s="48">
        <f>VLOOKUP(A3347,'[1]תקציב 2026'!$A$1:$M$65536,9,0)</f>
        <v>95040</v>
      </c>
      <c r="K3347" s="49">
        <f>VLOOKUP(A3347,[3]גיליון1!$A$1:$C$7693,3,0)*0.9</f>
        <v>77760</v>
      </c>
      <c r="L3347" s="50">
        <f>VLOOKUP(A3347,[2]data1761205830331!$A$1:$J$65536,10,0)</f>
        <v>86400</v>
      </c>
    </row>
    <row r="3348" spans="1:12" ht="15.6" outlineLevel="1">
      <c r="A3348" s="11">
        <v>1829100817</v>
      </c>
      <c r="B3348" s="40">
        <v>817</v>
      </c>
      <c r="C3348" s="109">
        <v>829100</v>
      </c>
      <c r="D3348" s="42">
        <v>1</v>
      </c>
      <c r="E3348" s="43"/>
      <c r="F3348" s="44" t="s">
        <v>1752</v>
      </c>
      <c r="G3348" s="45" t="s">
        <v>37</v>
      </c>
      <c r="H3348" s="51">
        <f t="shared" si="53"/>
        <v>0.22222222222222232</v>
      </c>
      <c r="I3348" s="47"/>
      <c r="J3348" s="48">
        <f>VLOOKUP(A3348,'[1]תקציב 2026'!$A$1:$M$65536,9,0)</f>
        <v>157630</v>
      </c>
      <c r="K3348" s="49">
        <f>VLOOKUP(A3348,[3]גיליון1!$A$1:$C$7693,3,0)*0.9</f>
        <v>128970</v>
      </c>
      <c r="L3348" s="50">
        <f>VLOOKUP(A3348,[2]data1761205830331!$A$1:$J$65536,10,0)</f>
        <v>143297.01</v>
      </c>
    </row>
    <row r="3349" spans="1:12" ht="15.6" outlineLevel="1">
      <c r="A3349" s="11">
        <v>1829100818</v>
      </c>
      <c r="B3349" s="40">
        <v>818</v>
      </c>
      <c r="C3349" s="109">
        <v>829100</v>
      </c>
      <c r="D3349" s="42">
        <v>1</v>
      </c>
      <c r="E3349" s="43"/>
      <c r="F3349" s="44" t="s">
        <v>1753</v>
      </c>
      <c r="G3349" s="45" t="s">
        <v>37</v>
      </c>
      <c r="H3349" s="51">
        <f t="shared" ref="H3349:H3359" si="54">J3349/K3349-1</f>
        <v>0.22222222222222232</v>
      </c>
      <c r="I3349" s="47"/>
      <c r="J3349" s="48">
        <f>VLOOKUP(A3349,'[1]תקציב 2026'!$A$1:$M$65536,9,0)</f>
        <v>314490</v>
      </c>
      <c r="K3349" s="49">
        <f>VLOOKUP(A3349,[3]גיליון1!$A$1:$C$7693,3,0)*0.9</f>
        <v>257310</v>
      </c>
      <c r="L3349" s="50">
        <f>VLOOKUP(A3349,[2]data1761205830331!$A$1:$J$65536,10,0)</f>
        <v>285900</v>
      </c>
    </row>
    <row r="3350" spans="1:12" ht="15.6" outlineLevel="1">
      <c r="A3350" s="11">
        <v>1829100819</v>
      </c>
      <c r="B3350" s="40">
        <v>819</v>
      </c>
      <c r="C3350" s="109">
        <v>829100</v>
      </c>
      <c r="D3350" s="42">
        <v>1</v>
      </c>
      <c r="E3350" s="43"/>
      <c r="F3350" s="210" t="s">
        <v>1754</v>
      </c>
      <c r="G3350" s="45" t="s">
        <v>37</v>
      </c>
      <c r="H3350" s="51">
        <f t="shared" si="54"/>
        <v>0.10000000000000009</v>
      </c>
      <c r="I3350" s="47"/>
      <c r="J3350" s="48">
        <f>VLOOKUP(A3350,'[1]תקציב 2026'!$A$1:$M$65536,9,0)</f>
        <v>940500</v>
      </c>
      <c r="K3350" s="49">
        <f>VLOOKUP(A3350,[3]גיליון1!$A$1:$C$7693,3,0)</f>
        <v>855000</v>
      </c>
      <c r="L3350" s="50">
        <f>VLOOKUP(A3350,[2]data1761205830331!$A$1:$J$65536,10,0)</f>
        <v>855003.01</v>
      </c>
    </row>
    <row r="3351" spans="1:12" ht="15.6" outlineLevel="1">
      <c r="A3351" s="11">
        <v>1829100820</v>
      </c>
      <c r="B3351" s="40">
        <v>820</v>
      </c>
      <c r="C3351" s="109">
        <v>829100</v>
      </c>
      <c r="D3351" s="42">
        <v>1</v>
      </c>
      <c r="E3351" s="43"/>
      <c r="F3351" s="44" t="s">
        <v>524</v>
      </c>
      <c r="G3351" s="45" t="s">
        <v>29</v>
      </c>
      <c r="H3351" s="51">
        <f t="shared" si="54"/>
        <v>0</v>
      </c>
      <c r="I3351" s="47"/>
      <c r="J3351" s="48">
        <f>VLOOKUP(A3351,'[1]תקציב 2026'!$A$1:$M$65536,9,0)</f>
        <v>188100</v>
      </c>
      <c r="K3351" s="49">
        <f>VLOOKUP(A3351,[3]גיליון1!$A$1:$C$7693,3,0)</f>
        <v>188100</v>
      </c>
      <c r="L3351" s="50">
        <f>VLOOKUP(A3351,[2]data1761205830331!$A$1:$J$65536,10,0)</f>
        <v>170000</v>
      </c>
    </row>
    <row r="3352" spans="1:12" ht="15.6" outlineLevel="1">
      <c r="A3352" s="11">
        <v>1829100821</v>
      </c>
      <c r="B3352" s="40">
        <v>821</v>
      </c>
      <c r="C3352" s="109">
        <v>829100</v>
      </c>
      <c r="D3352" s="42">
        <v>1</v>
      </c>
      <c r="E3352" s="43"/>
      <c r="F3352" s="154" t="s">
        <v>1755</v>
      </c>
      <c r="G3352" s="45" t="s">
        <v>29</v>
      </c>
      <c r="H3352" s="51">
        <f t="shared" si="54"/>
        <v>0.12919896640826867</v>
      </c>
      <c r="I3352" s="47"/>
      <c r="J3352" s="48">
        <f>VLOOKUP(A3352,'[1]תקציב 2026'!$A$1:$M$65536,9,0)</f>
        <v>4370000</v>
      </c>
      <c r="K3352" s="49">
        <f>VLOOKUP(A3352,[3]גיליון1!$A$1:$C$7693,3,0)*0.9</f>
        <v>3870000</v>
      </c>
      <c r="L3352" s="50">
        <f>VLOOKUP(A3352,[2]data1761205830331!$A$1:$J$65536,10,0)</f>
        <v>4300000.95</v>
      </c>
    </row>
    <row r="3353" spans="1:12" ht="15.6" outlineLevel="1">
      <c r="A3353" s="11">
        <v>1829100822</v>
      </c>
      <c r="B3353" s="40">
        <v>822</v>
      </c>
      <c r="C3353" s="109">
        <v>829100</v>
      </c>
      <c r="D3353" s="42">
        <v>1</v>
      </c>
      <c r="E3353" s="43"/>
      <c r="F3353" s="44" t="s">
        <v>1756</v>
      </c>
      <c r="G3353" s="45" t="s">
        <v>37</v>
      </c>
      <c r="H3353" s="51">
        <f t="shared" si="54"/>
        <v>0.22222222222222232</v>
      </c>
      <c r="I3353" s="47"/>
      <c r="J3353" s="48">
        <f>VLOOKUP(A3353,'[1]תקציב 2026'!$A$1:$M$65536,9,0)</f>
        <v>147400</v>
      </c>
      <c r="K3353" s="49">
        <f>VLOOKUP(A3353,[3]גיליון1!$A$1:$C$7693,3,0)*0.9</f>
        <v>120600</v>
      </c>
      <c r="L3353" s="50">
        <f>VLOOKUP(A3353,[2]data1761205830331!$A$1:$J$65536,10,0)</f>
        <v>133994.32</v>
      </c>
    </row>
    <row r="3354" spans="1:12" ht="15.6" outlineLevel="1">
      <c r="A3354" s="11">
        <v>1829100871</v>
      </c>
      <c r="B3354" s="40">
        <v>871</v>
      </c>
      <c r="C3354" s="109">
        <v>829100</v>
      </c>
      <c r="D3354" s="42">
        <v>1</v>
      </c>
      <c r="E3354" s="43"/>
      <c r="F3354" s="44" t="s">
        <v>1757</v>
      </c>
      <c r="G3354" s="45" t="s">
        <v>37</v>
      </c>
      <c r="H3354" s="51">
        <f t="shared" si="54"/>
        <v>0.22222222222222232</v>
      </c>
      <c r="I3354" s="47"/>
      <c r="J3354" s="48">
        <f>VLOOKUP(A3354,'[1]תקציב 2026'!$A$1:$M$65536,9,0)</f>
        <v>110000</v>
      </c>
      <c r="K3354" s="49">
        <f>VLOOKUP(A3354,[3]גיליון1!$A$1:$C$7693,3,0)*0.9</f>
        <v>90000</v>
      </c>
      <c r="L3354" s="50">
        <f>VLOOKUP(A3354,[2]data1761205830331!$A$1:$J$65536,10,0)</f>
        <v>100001.33</v>
      </c>
    </row>
    <row r="3355" spans="1:12" ht="15.6" outlineLevel="1">
      <c r="A3355" s="11">
        <v>1829100872</v>
      </c>
      <c r="B3355" s="40">
        <v>872</v>
      </c>
      <c r="C3355" s="109">
        <v>829100</v>
      </c>
      <c r="D3355" s="42">
        <v>1</v>
      </c>
      <c r="E3355" s="43"/>
      <c r="F3355" s="44" t="s">
        <v>1758</v>
      </c>
      <c r="G3355" s="45" t="s">
        <v>37</v>
      </c>
      <c r="H3355" s="51">
        <f t="shared" si="54"/>
        <v>0.22222222222222232</v>
      </c>
      <c r="I3355" s="47"/>
      <c r="J3355" s="48">
        <f>VLOOKUP(A3355,'[1]תקציב 2026'!$A$1:$M$65536,9,0)</f>
        <v>165000</v>
      </c>
      <c r="K3355" s="49">
        <f>VLOOKUP(A3355,[3]גיליון1!$A$1:$C$7693,3,0)*0.9</f>
        <v>135000</v>
      </c>
      <c r="L3355" s="50">
        <f>VLOOKUP(A3355,[2]data1761205830331!$A$1:$J$65536,10,0)</f>
        <v>150000</v>
      </c>
    </row>
    <row r="3356" spans="1:12" ht="15.6" outlineLevel="1">
      <c r="A3356" s="11">
        <v>1829100873</v>
      </c>
      <c r="B3356" s="40">
        <v>873</v>
      </c>
      <c r="C3356" s="109">
        <v>829100</v>
      </c>
      <c r="D3356" s="42">
        <v>1</v>
      </c>
      <c r="E3356" s="43"/>
      <c r="F3356" s="44" t="s">
        <v>1759</v>
      </c>
      <c r="G3356" s="45" t="s">
        <v>37</v>
      </c>
      <c r="H3356" s="51">
        <f t="shared" si="54"/>
        <v>0.22222222222222232</v>
      </c>
      <c r="I3356" s="47"/>
      <c r="J3356" s="48">
        <f>VLOOKUP(A3356,'[1]תקציב 2026'!$A$1:$M$65536,9,0)</f>
        <v>355190</v>
      </c>
      <c r="K3356" s="49">
        <f>VLOOKUP(A3356,[3]גיליון1!$A$1:$C$7693,3,0)*0.9</f>
        <v>290610</v>
      </c>
      <c r="L3356" s="50">
        <f>VLOOKUP(A3356,[2]data1761205830331!$A$1:$J$65536,10,0)</f>
        <v>322900</v>
      </c>
    </row>
    <row r="3357" spans="1:12" ht="15.6" outlineLevel="1">
      <c r="A3357" s="11">
        <v>1829100874</v>
      </c>
      <c r="B3357" s="40">
        <v>874</v>
      </c>
      <c r="C3357" s="109">
        <v>829100</v>
      </c>
      <c r="D3357" s="42">
        <v>1</v>
      </c>
      <c r="E3357" s="43"/>
      <c r="F3357" s="154" t="s">
        <v>1760</v>
      </c>
      <c r="G3357" s="45" t="s">
        <v>29</v>
      </c>
      <c r="H3357" s="51">
        <f t="shared" si="54"/>
        <v>0.22222222222222232</v>
      </c>
      <c r="I3357" s="47"/>
      <c r="J3357" s="48">
        <f>VLOOKUP(A3357,'[1]תקציב 2026'!$A$1:$M$65536,9,0)</f>
        <v>48070</v>
      </c>
      <c r="K3357" s="49">
        <f>VLOOKUP(A3357,[3]גיליון1!$A$1:$C$7693,3,0)*0.9</f>
        <v>39330</v>
      </c>
      <c r="L3357" s="50">
        <f>VLOOKUP(A3357,[2]data1761205830331!$A$1:$J$65536,10,0)</f>
        <v>43703.01</v>
      </c>
    </row>
    <row r="3358" spans="1:12" ht="15.6" outlineLevel="1">
      <c r="A3358" s="11">
        <v>1829100875</v>
      </c>
      <c r="B3358" s="40">
        <v>875</v>
      </c>
      <c r="C3358" s="109">
        <v>829100</v>
      </c>
      <c r="D3358" s="42">
        <v>1</v>
      </c>
      <c r="E3358" s="43"/>
      <c r="F3358" s="154" t="s">
        <v>1761</v>
      </c>
      <c r="G3358" s="45" t="s">
        <v>37</v>
      </c>
      <c r="H3358" s="51">
        <f t="shared" si="54"/>
        <v>1.5252525252525251</v>
      </c>
      <c r="I3358" s="47"/>
      <c r="J3358" s="48">
        <f>VLOOKUP(A3358,'[1]תקציב 2026'!$A$1:$M$65536,9,0)</f>
        <v>2500000</v>
      </c>
      <c r="K3358" s="49">
        <f>1100000*0.9</f>
        <v>990000</v>
      </c>
      <c r="L3358" s="50">
        <f>VLOOKUP(A3358,[2]data1761205830331!$A$1:$J$65536,10,0)</f>
        <v>0</v>
      </c>
    </row>
    <row r="3359" spans="1:12" ht="15.6" outlineLevel="1">
      <c r="A3359" s="11">
        <v>1829100878</v>
      </c>
      <c r="B3359" s="40">
        <v>878</v>
      </c>
      <c r="C3359" s="109">
        <v>829100</v>
      </c>
      <c r="D3359" s="42">
        <v>1</v>
      </c>
      <c r="E3359" s="43"/>
      <c r="F3359" s="154" t="s">
        <v>1762</v>
      </c>
      <c r="G3359" s="45" t="s">
        <v>37</v>
      </c>
      <c r="H3359" s="51">
        <f t="shared" si="54"/>
        <v>0.22222222222222232</v>
      </c>
      <c r="I3359" s="47"/>
      <c r="J3359" s="48">
        <f>VLOOKUP(A3359,'[1]תקציב 2026'!$A$1:$M$65536,9,0)</f>
        <v>220000</v>
      </c>
      <c r="K3359" s="49">
        <f>VLOOKUP(A3359,[3]גיליון1!$A$1:$C$7693,3,0)*0.9</f>
        <v>180000</v>
      </c>
      <c r="L3359" s="50">
        <f>VLOOKUP(A3359,[2]data1761205830331!$A$1:$J$65536,10,0)</f>
        <v>200000</v>
      </c>
    </row>
    <row r="3360" spans="1:12" ht="15.6" outlineLevel="1">
      <c r="A3360" s="11">
        <v>1829100879</v>
      </c>
      <c r="B3360" s="40">
        <v>879</v>
      </c>
      <c r="C3360" s="109">
        <v>829100</v>
      </c>
      <c r="D3360" s="42">
        <v>1</v>
      </c>
      <c r="E3360" s="43"/>
      <c r="F3360" s="44" t="s">
        <v>1763</v>
      </c>
      <c r="G3360" s="45" t="s">
        <v>29</v>
      </c>
      <c r="H3360" s="51">
        <v>0</v>
      </c>
      <c r="I3360" s="47"/>
      <c r="J3360" s="48">
        <f>VLOOKUP(A3360,'[1]תקציב 2026'!$A$1:$M$65536,9,0)</f>
        <v>0</v>
      </c>
      <c r="K3360" s="49">
        <v>0</v>
      </c>
      <c r="L3360" s="50">
        <f>VLOOKUP(A3360,[2]data1761205830331!$A$1:$J$65536,10,0)</f>
        <v>43900</v>
      </c>
    </row>
    <row r="3361" spans="1:12" ht="15.6" outlineLevel="1">
      <c r="A3361" s="11">
        <v>1829100920</v>
      </c>
      <c r="B3361" s="40">
        <v>920</v>
      </c>
      <c r="C3361" s="109">
        <v>829100</v>
      </c>
      <c r="D3361" s="42">
        <v>1</v>
      </c>
      <c r="E3361" s="43"/>
      <c r="F3361" s="44" t="s">
        <v>1326</v>
      </c>
      <c r="G3361" s="45" t="s">
        <v>29</v>
      </c>
      <c r="H3361" s="51">
        <f>J3361/K3361-1</f>
        <v>0</v>
      </c>
      <c r="I3361" s="47"/>
      <c r="J3361" s="48">
        <f>VLOOKUP(A3361,'[1]תקציב 2026'!$A$1:$M$65536,9,0)</f>
        <v>270630</v>
      </c>
      <c r="K3361" s="49">
        <f>VLOOKUP(A3361,[3]גיליון1!$A$1:$C$7693,3,0)*0.9</f>
        <v>270630</v>
      </c>
      <c r="L3361" s="50">
        <f>VLOOKUP(A3361,[2]data1761205830331!$A$1:$J$65536,10,0)</f>
        <v>305712</v>
      </c>
    </row>
    <row r="3362" spans="1:12" ht="16.2" outlineLevel="1" thickBot="1">
      <c r="A3362" s="11">
        <v>1829100921</v>
      </c>
      <c r="B3362" s="40">
        <v>921</v>
      </c>
      <c r="C3362" s="109">
        <v>829100</v>
      </c>
      <c r="D3362" s="42">
        <v>1</v>
      </c>
      <c r="E3362" s="43"/>
      <c r="F3362" s="44" t="s">
        <v>1764</v>
      </c>
      <c r="G3362" s="45" t="s">
        <v>37</v>
      </c>
      <c r="H3362" s="51">
        <f>J3362/K3362-1</f>
        <v>0</v>
      </c>
      <c r="I3362" s="47"/>
      <c r="J3362" s="48">
        <f>VLOOKUP(A3362,'[1]תקציב 2026'!$A$1:$M$65536,9,0)</f>
        <v>567000</v>
      </c>
      <c r="K3362" s="49">
        <f>VLOOKUP(A3362,[3]גיליון1!$A$1:$C$7693,3,0)*0.9</f>
        <v>567000</v>
      </c>
      <c r="L3362" s="50">
        <f>VLOOKUP(A3362,[2]data1761205830331!$A$1:$J$65536,10,0)</f>
        <v>0</v>
      </c>
    </row>
    <row r="3363" spans="1:12" ht="16.2" thickBot="1">
      <c r="A3363" s="11" t="e">
        <v>#VALUE!</v>
      </c>
      <c r="B3363" s="53" t="s">
        <v>1765</v>
      </c>
      <c r="C3363" s="223"/>
      <c r="D3363" s="55"/>
      <c r="E3363" s="56"/>
      <c r="F3363" s="116" t="s">
        <v>526</v>
      </c>
      <c r="G3363" s="58"/>
      <c r="H3363" s="71">
        <f>J3363/K3363-1</f>
        <v>0.28166332864026655</v>
      </c>
      <c r="I3363" s="72"/>
      <c r="J3363" s="74">
        <f>SUBTOTAL(9,J3344:J3362)</f>
        <v>11633940</v>
      </c>
      <c r="K3363" s="92">
        <f>SUBTOTAL(9,K3344:K3362)</f>
        <v>9077220</v>
      </c>
      <c r="L3363" s="75">
        <f>SUBTOTAL(9,L3344:L3362)</f>
        <v>8236915.6300000008</v>
      </c>
    </row>
    <row r="3364" spans="1:12" ht="15.6" outlineLevel="1">
      <c r="A3364" s="11">
        <v>18292000</v>
      </c>
      <c r="B3364" s="40">
        <v>0</v>
      </c>
      <c r="C3364" s="109">
        <v>829200</v>
      </c>
      <c r="D3364" s="42">
        <v>1</v>
      </c>
      <c r="E3364" s="43"/>
      <c r="F3364" s="44" t="s">
        <v>1766</v>
      </c>
      <c r="G3364" s="45" t="s">
        <v>15</v>
      </c>
      <c r="H3364" s="51"/>
      <c r="I3364" s="47"/>
      <c r="J3364" s="48"/>
      <c r="K3364" s="49"/>
      <c r="L3364" s="50"/>
    </row>
    <row r="3365" spans="1:12" ht="16.2" outlineLevel="1" thickBot="1">
      <c r="A3365" s="11">
        <v>1829200810</v>
      </c>
      <c r="B3365" s="40">
        <v>810</v>
      </c>
      <c r="C3365" s="109">
        <v>829200</v>
      </c>
      <c r="D3365" s="42">
        <v>1</v>
      </c>
      <c r="E3365" s="43"/>
      <c r="F3365" s="44" t="s">
        <v>1767</v>
      </c>
      <c r="G3365" s="45" t="s">
        <v>37</v>
      </c>
      <c r="H3365" s="51">
        <f>J3365/K3365-1</f>
        <v>0.22222222222222232</v>
      </c>
      <c r="I3365" s="47"/>
      <c r="J3365" s="48">
        <f>VLOOKUP(A3365,'[1]תקציב 2026'!$A$1:$M$65536,9,0)</f>
        <v>1114190</v>
      </c>
      <c r="K3365" s="49">
        <f>VLOOKUP(A3365,[3]גיליון1!$A$1:$C$7693,3,0)*0.9</f>
        <v>911610</v>
      </c>
      <c r="L3365" s="50">
        <f>VLOOKUP(A3365,[2]data1761205830331!$A$1:$J$65536,10,0)</f>
        <v>1012901.32</v>
      </c>
    </row>
    <row r="3366" spans="1:12" ht="16.2" thickBot="1">
      <c r="A3366" s="11" t="e">
        <v>#VALUE!</v>
      </c>
      <c r="B3366" s="53" t="s">
        <v>1768</v>
      </c>
      <c r="C3366" s="223"/>
      <c r="D3366" s="55"/>
      <c r="E3366" s="56"/>
      <c r="F3366" s="116" t="s">
        <v>1766</v>
      </c>
      <c r="G3366" s="58"/>
      <c r="H3366" s="71">
        <f>J3366/K3366-1</f>
        <v>0.22222222222222232</v>
      </c>
      <c r="I3366" s="72"/>
      <c r="J3366" s="74">
        <f>SUBTOTAL(9,J3365:J3365)</f>
        <v>1114190</v>
      </c>
      <c r="K3366" s="92">
        <f>SUBTOTAL(9,K3365:K3365)</f>
        <v>911610</v>
      </c>
      <c r="L3366" s="75">
        <f>SUBTOTAL(9,L3365:L3365)</f>
        <v>1012901.32</v>
      </c>
    </row>
    <row r="3367" spans="1:12" ht="15.6" outlineLevel="1">
      <c r="A3367" s="11">
        <v>18293000</v>
      </c>
      <c r="B3367" s="40">
        <v>0</v>
      </c>
      <c r="C3367" s="109">
        <v>829300</v>
      </c>
      <c r="D3367" s="42">
        <v>1</v>
      </c>
      <c r="E3367" s="43"/>
      <c r="F3367" s="44" t="s">
        <v>1769</v>
      </c>
      <c r="G3367" s="45" t="s">
        <v>15</v>
      </c>
      <c r="H3367" s="51"/>
      <c r="I3367" s="47"/>
      <c r="J3367" s="48"/>
      <c r="K3367" s="49"/>
      <c r="L3367" s="50"/>
    </row>
    <row r="3368" spans="1:12" ht="16.2" outlineLevel="1" thickBot="1">
      <c r="A3368" s="11">
        <v>1829300810</v>
      </c>
      <c r="B3368" s="40">
        <v>810</v>
      </c>
      <c r="C3368" s="109">
        <v>829300</v>
      </c>
      <c r="D3368" s="42">
        <v>1</v>
      </c>
      <c r="E3368" s="43"/>
      <c r="F3368" s="44" t="s">
        <v>1770</v>
      </c>
      <c r="G3368" s="45" t="s">
        <v>37</v>
      </c>
      <c r="H3368" s="51">
        <v>1</v>
      </c>
      <c r="I3368" s="47" t="s">
        <v>86</v>
      </c>
      <c r="J3368" s="48">
        <f>VLOOKUP(A3368,'[1]תקציב 2026'!$A$1:$M$65536,9,0)</f>
        <v>115280</v>
      </c>
      <c r="K3368" s="49">
        <v>0</v>
      </c>
      <c r="L3368" s="50">
        <v>0</v>
      </c>
    </row>
    <row r="3369" spans="1:12" ht="16.2" thickBot="1">
      <c r="A3369" s="11" t="e">
        <v>#VALUE!</v>
      </c>
      <c r="B3369" s="53" t="s">
        <v>1771</v>
      </c>
      <c r="C3369" s="223"/>
      <c r="D3369" s="55"/>
      <c r="E3369" s="56"/>
      <c r="F3369" s="116" t="s">
        <v>1769</v>
      </c>
      <c r="G3369" s="58"/>
      <c r="H3369" s="71">
        <v>1</v>
      </c>
      <c r="I3369" s="72"/>
      <c r="J3369" s="74">
        <f>SUBTOTAL(9,J3368:J3368)</f>
        <v>115280</v>
      </c>
      <c r="K3369" s="92">
        <f>SUBTOTAL(9,K3368:K3368)</f>
        <v>0</v>
      </c>
      <c r="L3369" s="75">
        <f>SUBTOTAL(9,L3368:L3368)</f>
        <v>0</v>
      </c>
    </row>
    <row r="3370" spans="1:12" ht="15.6" outlineLevel="1">
      <c r="A3370" s="11">
        <v>18295000</v>
      </c>
      <c r="B3370" s="40">
        <v>0</v>
      </c>
      <c r="C3370" s="109">
        <v>829500</v>
      </c>
      <c r="D3370" s="42">
        <v>1</v>
      </c>
      <c r="E3370" s="43"/>
      <c r="F3370" s="44" t="s">
        <v>1772</v>
      </c>
      <c r="G3370" s="45" t="s">
        <v>15</v>
      </c>
      <c r="H3370" s="51"/>
      <c r="I3370" s="47"/>
      <c r="J3370" s="48"/>
      <c r="K3370" s="49"/>
      <c r="L3370" s="50"/>
    </row>
    <row r="3371" spans="1:12" ht="16.2" outlineLevel="1" thickBot="1">
      <c r="A3371" s="11">
        <v>1829500810</v>
      </c>
      <c r="B3371" s="40">
        <v>810</v>
      </c>
      <c r="C3371" s="109">
        <v>829500</v>
      </c>
      <c r="D3371" s="42">
        <v>1</v>
      </c>
      <c r="E3371" s="43"/>
      <c r="F3371" s="44" t="s">
        <v>1773</v>
      </c>
      <c r="G3371" s="45" t="s">
        <v>37</v>
      </c>
      <c r="H3371" s="51">
        <f>J3371/K3371-1</f>
        <v>0.22222222222222232</v>
      </c>
      <c r="I3371" s="47"/>
      <c r="J3371" s="48">
        <f>VLOOKUP(A3371,'[1]תקציב 2026'!$A$1:$M$65536,9,0)</f>
        <v>115280</v>
      </c>
      <c r="K3371" s="49">
        <f>VLOOKUP(A3371,[3]גיליון1!$A$1:$C$7693,3,0)*0.9</f>
        <v>94320</v>
      </c>
      <c r="L3371" s="50">
        <f>VLOOKUP(A3371,[2]data1761205830331!$A$1:$J$65536,10,0)</f>
        <v>104800</v>
      </c>
    </row>
    <row r="3372" spans="1:12" ht="16.2" thickBot="1">
      <c r="A3372" s="11" t="e">
        <v>#VALUE!</v>
      </c>
      <c r="B3372" s="53" t="s">
        <v>1774</v>
      </c>
      <c r="C3372" s="223"/>
      <c r="D3372" s="55"/>
      <c r="E3372" s="56"/>
      <c r="F3372" s="116" t="s">
        <v>1772</v>
      </c>
      <c r="G3372" s="58"/>
      <c r="H3372" s="71">
        <f>J3372/K3372-1</f>
        <v>0.22222222222222232</v>
      </c>
      <c r="I3372" s="72"/>
      <c r="J3372" s="74">
        <f>SUBTOTAL(9,J3371:J3371)</f>
        <v>115280</v>
      </c>
      <c r="K3372" s="92">
        <f>SUBTOTAL(9,K3371:K3371)</f>
        <v>94320</v>
      </c>
      <c r="L3372" s="75">
        <f>SUBTOTAL(9,L3371:L3371)</f>
        <v>104800</v>
      </c>
    </row>
    <row r="3373" spans="1:12" ht="15.6" outlineLevel="1">
      <c r="A3373" s="11">
        <v>18296000</v>
      </c>
      <c r="B3373" s="40">
        <v>0</v>
      </c>
      <c r="C3373" s="109">
        <v>829600</v>
      </c>
      <c r="D3373" s="42">
        <v>1</v>
      </c>
      <c r="E3373" s="43"/>
      <c r="F3373" s="44" t="s">
        <v>1775</v>
      </c>
      <c r="G3373" s="45" t="s">
        <v>15</v>
      </c>
      <c r="H3373" s="51"/>
      <c r="I3373" s="47"/>
      <c r="J3373" s="48"/>
      <c r="K3373" s="49"/>
      <c r="L3373" s="50"/>
    </row>
    <row r="3374" spans="1:12" ht="15.6" outlineLevel="1">
      <c r="A3374" s="11">
        <v>1829600810</v>
      </c>
      <c r="B3374" s="40">
        <v>810</v>
      </c>
      <c r="C3374" s="109">
        <v>829600</v>
      </c>
      <c r="D3374" s="42">
        <v>1</v>
      </c>
      <c r="E3374" s="43"/>
      <c r="F3374" s="44" t="s">
        <v>1767</v>
      </c>
      <c r="G3374" s="45" t="s">
        <v>37</v>
      </c>
      <c r="H3374" s="51">
        <f>J3374/K3374-1</f>
        <v>0.22222222222222232</v>
      </c>
      <c r="I3374" s="47"/>
      <c r="J3374" s="48">
        <f>VLOOKUP(A3374,'[1]תקציב 2026'!$A$1:$M$65536,9,0)</f>
        <v>159280</v>
      </c>
      <c r="K3374" s="49">
        <f>VLOOKUP(A3374,[3]גיליון1!$A$1:$C$7693,3,0)*0.9</f>
        <v>130320</v>
      </c>
      <c r="L3374" s="50">
        <f>VLOOKUP(A3374,[2]data1761205830331!$A$1:$J$65536,10,0)</f>
        <v>144801.32</v>
      </c>
    </row>
    <row r="3375" spans="1:12" ht="16.2" outlineLevel="1" thickBot="1">
      <c r="A3375" s="11">
        <v>1829600821</v>
      </c>
      <c r="B3375" s="40">
        <v>821</v>
      </c>
      <c r="C3375" s="109">
        <v>829600</v>
      </c>
      <c r="D3375" s="42">
        <v>1</v>
      </c>
      <c r="E3375" s="43"/>
      <c r="F3375" s="44" t="s">
        <v>1776</v>
      </c>
      <c r="G3375" s="45" t="s">
        <v>29</v>
      </c>
      <c r="H3375" s="51">
        <f>J3375/K3375-1</f>
        <v>0.22222222222222232</v>
      </c>
      <c r="I3375" s="47"/>
      <c r="J3375" s="48">
        <f>VLOOKUP(A3375,'[1]תקציב 2026'!$A$1:$M$65536,9,0)</f>
        <v>94600</v>
      </c>
      <c r="K3375" s="49">
        <f>VLOOKUP(A3375,[3]גיליון1!$A$1:$C$7693,3,0)*0.9</f>
        <v>77400</v>
      </c>
      <c r="L3375" s="50">
        <f>VLOOKUP(A3375,[2]data1761205830331!$A$1:$J$65536,10,0)</f>
        <v>86001.32</v>
      </c>
    </row>
    <row r="3376" spans="1:12" ht="16.2" thickBot="1">
      <c r="A3376" s="11" t="e">
        <v>#VALUE!</v>
      </c>
      <c r="B3376" s="53" t="s">
        <v>1777</v>
      </c>
      <c r="C3376" s="223"/>
      <c r="D3376" s="55"/>
      <c r="E3376" s="56"/>
      <c r="F3376" s="116" t="s">
        <v>1775</v>
      </c>
      <c r="G3376" s="58"/>
      <c r="H3376" s="71">
        <f>J3376/K3376-1</f>
        <v>0.22222222222222232</v>
      </c>
      <c r="I3376" s="72"/>
      <c r="J3376" s="74">
        <f>SUBTOTAL(9,J3374:J3375)</f>
        <v>253880</v>
      </c>
      <c r="K3376" s="92">
        <f>SUBTOTAL(9,K3374:K3375)</f>
        <v>207720</v>
      </c>
      <c r="L3376" s="75">
        <f>SUBTOTAL(9,L3374:L3375)</f>
        <v>230802.64</v>
      </c>
    </row>
    <row r="3377" spans="1:12" ht="15.6" outlineLevel="1">
      <c r="A3377" s="11">
        <v>18297000</v>
      </c>
      <c r="B3377" s="40">
        <v>0</v>
      </c>
      <c r="C3377" s="109">
        <v>829700</v>
      </c>
      <c r="D3377" s="42">
        <v>1</v>
      </c>
      <c r="E3377" s="43"/>
      <c r="F3377" s="44" t="s">
        <v>1778</v>
      </c>
      <c r="G3377" s="45" t="s">
        <v>15</v>
      </c>
      <c r="H3377" s="51"/>
      <c r="I3377" s="47"/>
      <c r="J3377" s="48"/>
      <c r="K3377" s="49"/>
      <c r="L3377" s="50"/>
    </row>
    <row r="3378" spans="1:12" ht="15.6" outlineLevel="1">
      <c r="A3378" s="11">
        <v>1829700794</v>
      </c>
      <c r="B3378" s="40">
        <v>794</v>
      </c>
      <c r="C3378" s="109">
        <v>829700</v>
      </c>
      <c r="D3378" s="42">
        <v>1</v>
      </c>
      <c r="E3378" s="43"/>
      <c r="F3378" s="44" t="s">
        <v>58</v>
      </c>
      <c r="G3378" s="45" t="s">
        <v>29</v>
      </c>
      <c r="H3378" s="51">
        <f>J3378/K3378-1</f>
        <v>0</v>
      </c>
      <c r="I3378" s="47"/>
      <c r="J3378" s="48">
        <f>VLOOKUP(A3378,'[1]תקציב 2026'!$A$1:$M$65536,9,0)</f>
        <v>4200</v>
      </c>
      <c r="K3378" s="49">
        <v>4200</v>
      </c>
      <c r="L3378" s="50">
        <f>VLOOKUP(A3378,[2]data1761205830331!$A$1:$J$65536,10,0)</f>
        <v>3817</v>
      </c>
    </row>
    <row r="3379" spans="1:12" ht="15.6" outlineLevel="1">
      <c r="A3379" s="11">
        <v>1829700810</v>
      </c>
      <c r="B3379" s="40">
        <v>810</v>
      </c>
      <c r="C3379" s="109">
        <v>829700</v>
      </c>
      <c r="D3379" s="42">
        <v>1</v>
      </c>
      <c r="E3379" s="43"/>
      <c r="F3379" s="44" t="s">
        <v>1779</v>
      </c>
      <c r="G3379" s="45" t="s">
        <v>37</v>
      </c>
      <c r="H3379" s="51">
        <f>J3379/K3379-1</f>
        <v>0.22222222222222232</v>
      </c>
      <c r="I3379" s="47"/>
      <c r="J3379" s="48">
        <f>VLOOKUP(A3379,'[1]תקציב 2026'!$A$1:$M$65536,9,0)</f>
        <v>729410</v>
      </c>
      <c r="K3379" s="49">
        <f>VLOOKUP(A3379,[3]גיליון1!$A$1:$C$7693,3,0)*0.9</f>
        <v>596790</v>
      </c>
      <c r="L3379" s="50">
        <f>VLOOKUP(A3379,[2]data1761205830331!$A$1:$J$65536,10,0)</f>
        <v>663100</v>
      </c>
    </row>
    <row r="3380" spans="1:12" ht="16.2" outlineLevel="1" thickBot="1">
      <c r="A3380" s="11">
        <v>1829700811</v>
      </c>
      <c r="B3380" s="40">
        <v>811</v>
      </c>
      <c r="C3380" s="109">
        <v>829700</v>
      </c>
      <c r="D3380" s="42">
        <v>1</v>
      </c>
      <c r="E3380" s="43"/>
      <c r="F3380" s="44" t="s">
        <v>1780</v>
      </c>
      <c r="G3380" s="45" t="s">
        <v>29</v>
      </c>
      <c r="H3380" s="51">
        <f>J3380/K3380-1</f>
        <v>0.22222222222222232</v>
      </c>
      <c r="I3380" s="47"/>
      <c r="J3380" s="48">
        <f>VLOOKUP(A3380,'[1]תקציב 2026'!$A$1:$M$65536,9,0)</f>
        <v>285890</v>
      </c>
      <c r="K3380" s="49">
        <f>VLOOKUP(A3380,[3]גיליון1!$A$1:$C$7693,3,0)*0.9</f>
        <v>233910</v>
      </c>
      <c r="L3380" s="50">
        <f>VLOOKUP(A3380,[2]data1761205830331!$A$1:$J$65536,10,0)</f>
        <v>259902.68</v>
      </c>
    </row>
    <row r="3381" spans="1:12" ht="16.2" thickBot="1">
      <c r="A3381" s="11" t="e">
        <v>#VALUE!</v>
      </c>
      <c r="B3381" s="53" t="s">
        <v>1781</v>
      </c>
      <c r="C3381" s="223"/>
      <c r="D3381" s="55"/>
      <c r="E3381" s="56"/>
      <c r="F3381" s="116" t="s">
        <v>1778</v>
      </c>
      <c r="G3381" s="58"/>
      <c r="H3381" s="71">
        <f>J3381/K3381-1</f>
        <v>0.22110432387112233</v>
      </c>
      <c r="I3381" s="72"/>
      <c r="J3381" s="74">
        <f>SUBTOTAL(9,J3378:J3380)</f>
        <v>1019500</v>
      </c>
      <c r="K3381" s="92">
        <f>SUBTOTAL(9,K3378:K3380)</f>
        <v>834900</v>
      </c>
      <c r="L3381" s="75">
        <f>SUBTOTAL(9,L3378:L3380)</f>
        <v>926819.67999999993</v>
      </c>
    </row>
    <row r="3382" spans="1:12" ht="15.6" outlineLevel="1">
      <c r="A3382" s="11">
        <v>18298000</v>
      </c>
      <c r="B3382" s="40">
        <v>0</v>
      </c>
      <c r="C3382" s="109">
        <v>829800</v>
      </c>
      <c r="D3382" s="42">
        <v>1</v>
      </c>
      <c r="E3382" s="43"/>
      <c r="F3382" s="44" t="s">
        <v>1782</v>
      </c>
      <c r="G3382" s="45" t="s">
        <v>15</v>
      </c>
      <c r="H3382" s="51"/>
      <c r="I3382" s="47"/>
      <c r="J3382" s="48"/>
      <c r="K3382" s="49"/>
      <c r="L3382" s="50"/>
    </row>
    <row r="3383" spans="1:12" ht="16.2" outlineLevel="1" thickBot="1">
      <c r="A3383" s="11">
        <v>1829800810</v>
      </c>
      <c r="B3383" s="40">
        <v>810</v>
      </c>
      <c r="C3383" s="109">
        <v>829800</v>
      </c>
      <c r="D3383" s="42">
        <v>1</v>
      </c>
      <c r="E3383" s="43"/>
      <c r="F3383" s="44" t="s">
        <v>1767</v>
      </c>
      <c r="G3383" s="45" t="s">
        <v>37</v>
      </c>
      <c r="H3383" s="51">
        <f>J3383/K3383-1</f>
        <v>0.10000000000000009</v>
      </c>
      <c r="I3383" s="47"/>
      <c r="J3383" s="48">
        <f>VLOOKUP(A3383,'[1]תקציב 2026'!$A$1:$M$65536,9,0)</f>
        <v>159500</v>
      </c>
      <c r="K3383" s="49">
        <f>VLOOKUP(A3383,[3]גיליון1!$A$1:$C$7693,3,0)</f>
        <v>145000</v>
      </c>
      <c r="L3383" s="50">
        <f>VLOOKUP(A3383,[2]data1761205830331!$A$1:$J$65536,10,0)</f>
        <v>145000</v>
      </c>
    </row>
    <row r="3384" spans="1:12" ht="16.2" thickBot="1">
      <c r="A3384" s="11" t="e">
        <v>#VALUE!</v>
      </c>
      <c r="B3384" s="53" t="s">
        <v>1783</v>
      </c>
      <c r="C3384" s="223"/>
      <c r="D3384" s="55"/>
      <c r="E3384" s="56"/>
      <c r="F3384" s="116" t="s">
        <v>1782</v>
      </c>
      <c r="G3384" s="58"/>
      <c r="H3384" s="71">
        <f>J3384/K3384-1</f>
        <v>0.10000000000000009</v>
      </c>
      <c r="I3384" s="72"/>
      <c r="J3384" s="74">
        <f>SUBTOTAL(9,J3383:J3383)</f>
        <v>159500</v>
      </c>
      <c r="K3384" s="92">
        <f>SUBTOTAL(9,K3383:K3383)</f>
        <v>145000</v>
      </c>
      <c r="L3384" s="75">
        <f>SUBTOTAL(9,L3383:L3383)</f>
        <v>145000</v>
      </c>
    </row>
    <row r="3385" spans="1:12" ht="15.6" outlineLevel="1">
      <c r="A3385" s="11">
        <v>18299000</v>
      </c>
      <c r="B3385" s="64">
        <v>0</v>
      </c>
      <c r="C3385" s="131">
        <v>829900</v>
      </c>
      <c r="D3385" s="66">
        <v>1</v>
      </c>
      <c r="E3385" s="67"/>
      <c r="F3385" s="68" t="s">
        <v>1784</v>
      </c>
      <c r="G3385" s="69" t="s">
        <v>15</v>
      </c>
      <c r="H3385" s="51"/>
      <c r="I3385" s="47"/>
      <c r="J3385" s="48"/>
      <c r="K3385" s="49"/>
      <c r="L3385" s="50"/>
    </row>
    <row r="3386" spans="1:12" ht="15.6" outlineLevel="1">
      <c r="A3386" s="11">
        <v>1829900580</v>
      </c>
      <c r="B3386" s="40">
        <v>580</v>
      </c>
      <c r="C3386" s="109">
        <v>829900</v>
      </c>
      <c r="D3386" s="42">
        <v>1</v>
      </c>
      <c r="E3386" s="43"/>
      <c r="F3386" s="44" t="s">
        <v>1785</v>
      </c>
      <c r="G3386" s="45" t="s">
        <v>37</v>
      </c>
      <c r="H3386" s="51">
        <f>J3386/K3386-1</f>
        <v>0</v>
      </c>
      <c r="I3386" s="47"/>
      <c r="J3386" s="48">
        <f>VLOOKUP(A3386,'[1]תקציב 2026'!$A$1:$M$65536,9,0)</f>
        <v>82440</v>
      </c>
      <c r="K3386" s="49">
        <f>VLOOKUP(A3386,[3]גיליון1!$A$1:$C$7693,3,0)*0.9</f>
        <v>82440</v>
      </c>
      <c r="L3386" s="50">
        <f>VLOOKUP(A3386,[2]data1761205830331!$A$1:$J$65536,10,0)</f>
        <v>78975.5</v>
      </c>
    </row>
    <row r="3387" spans="1:12" ht="15.6" outlineLevel="1">
      <c r="A3387" s="11">
        <v>1829900821</v>
      </c>
      <c r="B3387" s="40">
        <v>821</v>
      </c>
      <c r="C3387" s="109">
        <v>829900</v>
      </c>
      <c r="D3387" s="42">
        <v>1</v>
      </c>
      <c r="E3387" s="43"/>
      <c r="F3387" s="44" t="s">
        <v>1786</v>
      </c>
      <c r="G3387" s="45" t="s">
        <v>37</v>
      </c>
      <c r="H3387" s="51">
        <v>0</v>
      </c>
      <c r="I3387" s="47"/>
      <c r="J3387" s="48">
        <f>VLOOKUP(A3387,'[1]תקציב 2026'!$A$1:$M$65536,9,0)</f>
        <v>0</v>
      </c>
      <c r="K3387" s="49">
        <f>VLOOKUP(A3387,[3]גיליון1!$A$1:$C$7693,3,0)</f>
        <v>0</v>
      </c>
      <c r="L3387" s="50">
        <f>VLOOKUP(A3387,[2]data1761205830331!$A$1:$J$65536,10,0)</f>
        <v>161050</v>
      </c>
    </row>
    <row r="3388" spans="1:12" ht="15.6" outlineLevel="1">
      <c r="A3388" s="11">
        <v>1829900822</v>
      </c>
      <c r="B3388" s="40">
        <v>822</v>
      </c>
      <c r="C3388" s="109">
        <v>829900</v>
      </c>
      <c r="D3388" s="42">
        <v>1</v>
      </c>
      <c r="E3388" s="43"/>
      <c r="F3388" s="44" t="s">
        <v>1787</v>
      </c>
      <c r="G3388" s="45" t="s">
        <v>37</v>
      </c>
      <c r="H3388" s="51">
        <f>J3388/K3388-1</f>
        <v>0</v>
      </c>
      <c r="I3388" s="47"/>
      <c r="J3388" s="48">
        <f>VLOOKUP(A3388,'[1]תקציב 2026'!$A$1:$M$65536,9,0)</f>
        <v>7452000</v>
      </c>
      <c r="K3388" s="49">
        <v>7452000</v>
      </c>
      <c r="L3388" s="50">
        <f>VLOOKUP(A3388,[2]data1761205830331!$A$1:$J$65536,10,0)</f>
        <v>0</v>
      </c>
    </row>
    <row r="3389" spans="1:12" ht="15.6" outlineLevel="1">
      <c r="A3389" s="11">
        <v>1829900823</v>
      </c>
      <c r="B3389" s="40">
        <v>823</v>
      </c>
      <c r="C3389" s="109">
        <v>829900</v>
      </c>
      <c r="D3389" s="42">
        <v>1</v>
      </c>
      <c r="E3389" s="43"/>
      <c r="F3389" s="44" t="s">
        <v>1788</v>
      </c>
      <c r="G3389" s="45" t="s">
        <v>37</v>
      </c>
      <c r="H3389" s="51">
        <f>J3389/K3389-1</f>
        <v>0</v>
      </c>
      <c r="I3389" s="47"/>
      <c r="J3389" s="48">
        <f>VLOOKUP(A3389,'[1]תקציב 2026'!$A$1:$M$65536,9,0)</f>
        <v>2208000</v>
      </c>
      <c r="K3389" s="49">
        <f>2208000</f>
        <v>2208000</v>
      </c>
      <c r="L3389" s="50">
        <f>VLOOKUP(A3389,[2]data1761205830331!$A$1:$J$65536,10,0)</f>
        <v>1920001</v>
      </c>
    </row>
    <row r="3390" spans="1:12" ht="15.6" outlineLevel="1">
      <c r="A3390" s="11">
        <v>1829900826</v>
      </c>
      <c r="B3390" s="40">
        <v>826</v>
      </c>
      <c r="C3390" s="109">
        <v>829900</v>
      </c>
      <c r="D3390" s="42">
        <v>1</v>
      </c>
      <c r="E3390" s="43"/>
      <c r="F3390" s="44" t="s">
        <v>1789</v>
      </c>
      <c r="G3390" s="45" t="s">
        <v>37</v>
      </c>
      <c r="H3390" s="51">
        <v>0</v>
      </c>
      <c r="I3390" s="47"/>
      <c r="J3390" s="48">
        <f>VLOOKUP(A3390,'[1]תקציב 2026'!$A$1:$M$65536,9,0)</f>
        <v>0</v>
      </c>
      <c r="K3390" s="49">
        <f>VLOOKUP(A3390,[3]גיליון1!$A$1:$C$7693,3,0)</f>
        <v>0</v>
      </c>
      <c r="L3390" s="50">
        <f>VLOOKUP(A3390,[2]data1761205830331!$A$1:$J$65536,10,0)</f>
        <v>426799</v>
      </c>
    </row>
    <row r="3391" spans="1:12" ht="15.6" outlineLevel="1">
      <c r="A3391" s="11">
        <v>1829900827</v>
      </c>
      <c r="B3391" s="40">
        <v>827</v>
      </c>
      <c r="C3391" s="109">
        <v>829900</v>
      </c>
      <c r="D3391" s="42">
        <v>1</v>
      </c>
      <c r="E3391" s="43"/>
      <c r="F3391" s="44" t="s">
        <v>1790</v>
      </c>
      <c r="G3391" s="45" t="s">
        <v>37</v>
      </c>
      <c r="H3391" s="51">
        <v>0</v>
      </c>
      <c r="I3391" s="47"/>
      <c r="J3391" s="48">
        <f>VLOOKUP(A3391,'[1]תקציב 2026'!$A$1:$M$65536,9,0)</f>
        <v>0</v>
      </c>
      <c r="K3391" s="49">
        <f>VLOOKUP(A3391,[3]גיליון1!$A$1:$C$7693,3,0)</f>
        <v>0</v>
      </c>
      <c r="L3391" s="50">
        <f>VLOOKUP(A3391,[2]data1761205830331!$A$1:$J$65536,10,0)</f>
        <v>112416</v>
      </c>
    </row>
    <row r="3392" spans="1:12" ht="15.6" outlineLevel="1">
      <c r="A3392" s="11">
        <v>1829900828</v>
      </c>
      <c r="B3392" s="40">
        <v>828</v>
      </c>
      <c r="C3392" s="109">
        <v>829900</v>
      </c>
      <c r="D3392" s="42">
        <v>1</v>
      </c>
      <c r="E3392" s="43"/>
      <c r="F3392" s="44" t="s">
        <v>1791</v>
      </c>
      <c r="G3392" s="45" t="s">
        <v>37</v>
      </c>
      <c r="H3392" s="51">
        <v>0</v>
      </c>
      <c r="I3392" s="47"/>
      <c r="J3392" s="48">
        <f>VLOOKUP(A3392,'[1]תקציב 2026'!$A$1:$M$65536,9,0)</f>
        <v>0</v>
      </c>
      <c r="K3392" s="49">
        <v>0</v>
      </c>
      <c r="L3392" s="50">
        <f>VLOOKUP(A3392,[2]data1761205830331!$A$1:$J$65536,10,0)</f>
        <v>8947</v>
      </c>
    </row>
    <row r="3393" spans="1:12" ht="15.6" outlineLevel="1">
      <c r="A3393" s="11">
        <v>1829900881</v>
      </c>
      <c r="B3393" s="40">
        <v>881</v>
      </c>
      <c r="C3393" s="109">
        <v>829900</v>
      </c>
      <c r="D3393" s="42">
        <v>1</v>
      </c>
      <c r="E3393" s="43"/>
      <c r="F3393" s="44" t="s">
        <v>1792</v>
      </c>
      <c r="G3393" s="45" t="s">
        <v>37</v>
      </c>
      <c r="H3393" s="51">
        <v>0</v>
      </c>
      <c r="I3393" s="47"/>
      <c r="J3393" s="48">
        <f>VLOOKUP(A3393,'[1]תקציב 2026'!$A$1:$M$65536,9,0)</f>
        <v>0</v>
      </c>
      <c r="K3393" s="49">
        <f>VLOOKUP(A3393,[3]גיליון1!$A$1:$C$7693,3,0)</f>
        <v>0</v>
      </c>
      <c r="L3393" s="50">
        <f>VLOOKUP(A3393,[2]data1761205830331!$A$1:$J$65536,10,0)</f>
        <v>152103</v>
      </c>
    </row>
    <row r="3394" spans="1:12" ht="15.6" outlineLevel="1">
      <c r="A3394" s="11">
        <v>1829900882</v>
      </c>
      <c r="B3394" s="40">
        <v>882</v>
      </c>
      <c r="C3394" s="109">
        <v>829900</v>
      </c>
      <c r="D3394" s="42">
        <v>1</v>
      </c>
      <c r="E3394" s="43"/>
      <c r="F3394" s="44" t="s">
        <v>1793</v>
      </c>
      <c r="G3394" s="45" t="s">
        <v>37</v>
      </c>
      <c r="H3394" s="51">
        <v>0</v>
      </c>
      <c r="I3394" s="47"/>
      <c r="J3394" s="48">
        <f>VLOOKUP(A3394,'[1]תקציב 2026'!$A$1:$M$65536,9,0)</f>
        <v>0</v>
      </c>
      <c r="K3394" s="49">
        <f>VLOOKUP(A3394,[3]גיליון1!$A$1:$C$7693,3,0)</f>
        <v>0</v>
      </c>
      <c r="L3394" s="50">
        <f>VLOOKUP(A3394,[2]data1761205830331!$A$1:$J$65536,10,0)</f>
        <v>558903</v>
      </c>
    </row>
    <row r="3395" spans="1:12" ht="15.6" outlineLevel="1">
      <c r="A3395" s="11">
        <v>1829900883</v>
      </c>
      <c r="B3395" s="40">
        <v>883</v>
      </c>
      <c r="C3395" s="109">
        <v>829900</v>
      </c>
      <c r="D3395" s="42">
        <v>1</v>
      </c>
      <c r="E3395" s="43"/>
      <c r="F3395" s="44" t="s">
        <v>1794</v>
      </c>
      <c r="G3395" s="45" t="s">
        <v>37</v>
      </c>
      <c r="H3395" s="51">
        <v>0</v>
      </c>
      <c r="I3395" s="47"/>
      <c r="J3395" s="48">
        <f>VLOOKUP(A3395,'[1]תקציב 2026'!$A$1:$M$65536,9,0)</f>
        <v>0</v>
      </c>
      <c r="K3395" s="49">
        <f>VLOOKUP(A3395,[3]גיליון1!$A$1:$C$7693,3,0)</f>
        <v>0</v>
      </c>
      <c r="L3395" s="50">
        <f>VLOOKUP(A3395,[2]data1761205830331!$A$1:$J$65536,10,0)</f>
        <v>805252.5</v>
      </c>
    </row>
    <row r="3396" spans="1:12" ht="15.6" outlineLevel="1">
      <c r="A3396" s="11">
        <v>1829900884</v>
      </c>
      <c r="B3396" s="40">
        <v>884</v>
      </c>
      <c r="C3396" s="109">
        <v>829900</v>
      </c>
      <c r="D3396" s="42">
        <v>1</v>
      </c>
      <c r="E3396" s="43"/>
      <c r="F3396" s="44" t="s">
        <v>1795</v>
      </c>
      <c r="G3396" s="45" t="s">
        <v>37</v>
      </c>
      <c r="H3396" s="51">
        <v>0</v>
      </c>
      <c r="I3396" s="47"/>
      <c r="J3396" s="48">
        <f>VLOOKUP(A3396,'[1]תקציב 2026'!$A$1:$M$65536,9,0)</f>
        <v>0</v>
      </c>
      <c r="K3396" s="49">
        <f>VLOOKUP(A3396,[3]גיליון1!$A$1:$C$7693,3,0)</f>
        <v>0</v>
      </c>
      <c r="L3396" s="50">
        <f>VLOOKUP(A3396,[2]data1761205830331!$A$1:$J$65536,10,0)</f>
        <v>1842088</v>
      </c>
    </row>
    <row r="3397" spans="1:12" ht="15.6" outlineLevel="1">
      <c r="A3397" s="11">
        <v>1829900885</v>
      </c>
      <c r="B3397" s="40">
        <v>885</v>
      </c>
      <c r="C3397" s="109">
        <v>829900</v>
      </c>
      <c r="D3397" s="42">
        <v>1</v>
      </c>
      <c r="E3397" s="43"/>
      <c r="F3397" s="155" t="s">
        <v>1796</v>
      </c>
      <c r="G3397" s="45" t="s">
        <v>37</v>
      </c>
      <c r="H3397" s="51">
        <v>0</v>
      </c>
      <c r="I3397" s="47"/>
      <c r="J3397" s="48">
        <f>VLOOKUP(A3397,'[1]תקציב 2026'!$A$1:$M$65536,9,0)</f>
        <v>0</v>
      </c>
      <c r="K3397" s="49">
        <f>VLOOKUP(A3397,[3]גיליון1!$A$1:$C$7693,3,0)</f>
        <v>0</v>
      </c>
      <c r="L3397" s="50">
        <f>VLOOKUP(A3397,[2]data1761205830331!$A$1:$J$65536,10,0)</f>
        <v>64527</v>
      </c>
    </row>
    <row r="3398" spans="1:12" ht="15.6" outlineLevel="1">
      <c r="A3398" s="11">
        <v>1829900886</v>
      </c>
      <c r="B3398" s="40">
        <v>886</v>
      </c>
      <c r="C3398" s="109">
        <v>829900</v>
      </c>
      <c r="D3398" s="42">
        <v>1</v>
      </c>
      <c r="E3398" s="43"/>
      <c r="F3398" s="154" t="s">
        <v>1797</v>
      </c>
      <c r="G3398" s="45" t="s">
        <v>37</v>
      </c>
      <c r="H3398" s="51">
        <v>0</v>
      </c>
      <c r="I3398" s="47"/>
      <c r="J3398" s="48">
        <f>VLOOKUP(A3398,'[1]תקציב 2026'!$A$1:$M$65536,9,0)</f>
        <v>0</v>
      </c>
      <c r="K3398" s="49">
        <f>VLOOKUP(A3398,[3]גיליון1!$A$1:$C$7693,3,0)</f>
        <v>0</v>
      </c>
      <c r="L3398" s="50">
        <f>VLOOKUP(A3398,[2]data1761205830331!$A$1:$J$65536,10,0)</f>
        <v>456310</v>
      </c>
    </row>
    <row r="3399" spans="1:12" ht="15.6" outlineLevel="1">
      <c r="A3399" s="11">
        <v>1829900889</v>
      </c>
      <c r="B3399" s="40">
        <v>889</v>
      </c>
      <c r="C3399" s="109">
        <v>829900</v>
      </c>
      <c r="D3399" s="42">
        <v>1</v>
      </c>
      <c r="E3399" s="43"/>
      <c r="F3399" s="44" t="s">
        <v>1798</v>
      </c>
      <c r="G3399" s="45" t="s">
        <v>37</v>
      </c>
      <c r="H3399" s="51">
        <v>0</v>
      </c>
      <c r="I3399" s="47"/>
      <c r="J3399" s="48">
        <f>VLOOKUP(A3399,'[1]תקציב 2026'!$A$1:$M$65536,9,0)</f>
        <v>0</v>
      </c>
      <c r="K3399" s="49">
        <f>VLOOKUP(A3399,[3]גיליון1!$A$1:$C$7693,3,0)</f>
        <v>0</v>
      </c>
      <c r="L3399" s="50">
        <f>VLOOKUP(A3399,[2]data1761205830331!$A$1:$J$65536,10,0)</f>
        <v>400124</v>
      </c>
    </row>
    <row r="3400" spans="1:12" ht="15.6" outlineLevel="1">
      <c r="A3400" s="11">
        <v>1829900890</v>
      </c>
      <c r="B3400" s="40">
        <v>890</v>
      </c>
      <c r="C3400" s="109">
        <v>829900</v>
      </c>
      <c r="D3400" s="42">
        <v>1</v>
      </c>
      <c r="E3400" s="43"/>
      <c r="F3400" s="154" t="s">
        <v>1799</v>
      </c>
      <c r="G3400" s="45" t="s">
        <v>37</v>
      </c>
      <c r="H3400" s="51">
        <v>0</v>
      </c>
      <c r="I3400" s="47"/>
      <c r="J3400" s="48">
        <f>VLOOKUP(A3400,'[1]תקציב 2026'!$A$1:$M$65536,9,0)</f>
        <v>0</v>
      </c>
      <c r="K3400" s="49">
        <f>VLOOKUP(A3400,[3]גיליון1!$A$1:$C$7693,3,0)</f>
        <v>0</v>
      </c>
      <c r="L3400" s="50">
        <f>VLOOKUP(A3400,[2]data1761205830331!$A$1:$J$65536,10,0)</f>
        <v>269925</v>
      </c>
    </row>
    <row r="3401" spans="1:12" ht="15.6" outlineLevel="1">
      <c r="A3401" s="11">
        <v>1829900891</v>
      </c>
      <c r="B3401" s="40">
        <v>891</v>
      </c>
      <c r="C3401" s="109">
        <v>829900</v>
      </c>
      <c r="D3401" s="42">
        <v>1</v>
      </c>
      <c r="E3401" s="43"/>
      <c r="F3401" s="44" t="s">
        <v>1800</v>
      </c>
      <c r="G3401" s="45" t="s">
        <v>37</v>
      </c>
      <c r="H3401" s="51">
        <v>0</v>
      </c>
      <c r="I3401" s="47"/>
      <c r="J3401" s="48">
        <f>VLOOKUP(A3401,'[1]תקציב 2026'!$A$1:$M$65536,9,0)</f>
        <v>0</v>
      </c>
      <c r="K3401" s="49">
        <f>VLOOKUP(A3401,[3]גיליון1!$A$1:$C$7693,3,0)</f>
        <v>0</v>
      </c>
      <c r="L3401" s="50">
        <f>VLOOKUP(A3401,[2]data1761205830331!$A$1:$J$65536,10,0)</f>
        <v>196839</v>
      </c>
    </row>
    <row r="3402" spans="1:12" ht="15.6" outlineLevel="1">
      <c r="A3402" s="11">
        <v>1829900893</v>
      </c>
      <c r="B3402" s="40">
        <v>893</v>
      </c>
      <c r="C3402" s="109">
        <v>829900</v>
      </c>
      <c r="D3402" s="42">
        <v>1</v>
      </c>
      <c r="E3402" s="43"/>
      <c r="F3402" s="44" t="s">
        <v>1801</v>
      </c>
      <c r="G3402" s="45" t="s">
        <v>37</v>
      </c>
      <c r="H3402" s="51">
        <v>0</v>
      </c>
      <c r="I3402" s="47"/>
      <c r="J3402" s="48">
        <f>VLOOKUP(A3402,'[1]תקציב 2026'!$A$1:$M$65536,9,0)</f>
        <v>0</v>
      </c>
      <c r="K3402" s="49">
        <f>VLOOKUP(A3402,[3]גיליון1!$A$1:$C$7693,3,0)</f>
        <v>0</v>
      </c>
      <c r="L3402" s="50">
        <f>VLOOKUP(A3402,[2]data1761205830331!$A$1:$J$65536,10,0)</f>
        <v>152103</v>
      </c>
    </row>
    <row r="3403" spans="1:12" ht="15.6" outlineLevel="1">
      <c r="A3403" s="11">
        <v>1829900894</v>
      </c>
      <c r="B3403" s="40">
        <v>894</v>
      </c>
      <c r="C3403" s="109">
        <v>829900</v>
      </c>
      <c r="D3403" s="42">
        <v>1</v>
      </c>
      <c r="E3403" s="43"/>
      <c r="F3403" s="44" t="s">
        <v>1802</v>
      </c>
      <c r="G3403" s="45" t="s">
        <v>37</v>
      </c>
      <c r="H3403" s="51">
        <v>0</v>
      </c>
      <c r="I3403" s="47"/>
      <c r="J3403" s="48">
        <f>VLOOKUP(A3403,'[1]תקציב 2026'!$A$1:$M$65536,9,0)</f>
        <v>0</v>
      </c>
      <c r="K3403" s="49">
        <f>VLOOKUP(A3403,[3]גיליון1!$A$1:$C$7693,3,0)</f>
        <v>0</v>
      </c>
      <c r="L3403" s="50">
        <f>VLOOKUP(A3403,[2]data1761205830331!$A$1:$J$65536,10,0)</f>
        <v>8947</v>
      </c>
    </row>
    <row r="3404" spans="1:12" ht="15.6" outlineLevel="1">
      <c r="A3404" s="11">
        <v>1829900896</v>
      </c>
      <c r="B3404" s="40">
        <v>896</v>
      </c>
      <c r="C3404" s="109">
        <v>829900</v>
      </c>
      <c r="D3404" s="42">
        <v>1</v>
      </c>
      <c r="E3404" s="43"/>
      <c r="F3404" s="44" t="s">
        <v>1803</v>
      </c>
      <c r="G3404" s="45" t="s">
        <v>37</v>
      </c>
      <c r="H3404" s="51">
        <v>0</v>
      </c>
      <c r="I3404" s="47"/>
      <c r="J3404" s="48">
        <f>VLOOKUP(A3404,'[1]תקציב 2026'!$A$1:$M$65536,9,0)</f>
        <v>0</v>
      </c>
      <c r="K3404" s="49">
        <f>VLOOKUP(A3404,[3]גיליון1!$A$1:$C$7693,3,0)</f>
        <v>0</v>
      </c>
      <c r="L3404" s="50">
        <f>VLOOKUP(A3404,[2]data1761205830331!$A$1:$J$65536,10,0)</f>
        <v>435850</v>
      </c>
    </row>
    <row r="3405" spans="1:12" ht="15.6" outlineLevel="1">
      <c r="A3405" s="11">
        <v>1829900897</v>
      </c>
      <c r="B3405" s="40">
        <v>897</v>
      </c>
      <c r="C3405" s="109">
        <v>829900</v>
      </c>
      <c r="D3405" s="42">
        <v>1</v>
      </c>
      <c r="E3405" s="43"/>
      <c r="F3405" s="44" t="s">
        <v>1804</v>
      </c>
      <c r="G3405" s="45" t="s">
        <v>37</v>
      </c>
      <c r="H3405" s="51">
        <v>0</v>
      </c>
      <c r="I3405" s="47"/>
      <c r="J3405" s="48">
        <f>VLOOKUP(A3405,'[1]תקציב 2026'!$A$1:$M$65536,9,0)</f>
        <v>0</v>
      </c>
      <c r="K3405" s="49">
        <f>VLOOKUP(A3405,[3]גיליון1!$A$1:$C$7693,3,0)</f>
        <v>0</v>
      </c>
      <c r="L3405" s="50">
        <f>VLOOKUP(A3405,[2]data1761205830331!$A$1:$J$65536,10,0)</f>
        <v>152103</v>
      </c>
    </row>
    <row r="3406" spans="1:12" ht="15.6" outlineLevel="1">
      <c r="A3406" s="11">
        <v>1829900898</v>
      </c>
      <c r="B3406" s="40">
        <v>898</v>
      </c>
      <c r="C3406" s="109">
        <v>829900</v>
      </c>
      <c r="D3406" s="42">
        <v>1</v>
      </c>
      <c r="E3406" s="43"/>
      <c r="F3406" s="44" t="s">
        <v>1805</v>
      </c>
      <c r="G3406" s="45" t="s">
        <v>37</v>
      </c>
      <c r="H3406" s="51">
        <v>0</v>
      </c>
      <c r="I3406" s="47"/>
      <c r="J3406" s="48">
        <f>VLOOKUP(A3406,'[1]תקציב 2026'!$A$1:$M$65536,9,0)</f>
        <v>0</v>
      </c>
      <c r="K3406" s="49">
        <f>VLOOKUP(A3406,[3]גיליון1!$A$1:$C$7693,3,0)</f>
        <v>0</v>
      </c>
      <c r="L3406" s="50">
        <f>VLOOKUP(A3406,[2]data1761205830331!$A$1:$J$65536,10,0)</f>
        <v>53465</v>
      </c>
    </row>
    <row r="3407" spans="1:12" ht="16.2" outlineLevel="1" thickBot="1">
      <c r="A3407" s="11">
        <v>1829900899</v>
      </c>
      <c r="B3407" s="119">
        <v>899</v>
      </c>
      <c r="C3407" s="120">
        <v>829900</v>
      </c>
      <c r="D3407" s="121">
        <v>1</v>
      </c>
      <c r="E3407" s="201"/>
      <c r="F3407" s="44" t="s">
        <v>1806</v>
      </c>
      <c r="G3407" s="153" t="s">
        <v>37</v>
      </c>
      <c r="H3407" s="51">
        <v>0</v>
      </c>
      <c r="I3407" s="160"/>
      <c r="J3407" s="48">
        <f>VLOOKUP(A3407,'[1]תקציב 2026'!$A$1:$M$65536,9,0)</f>
        <v>0</v>
      </c>
      <c r="K3407" s="162">
        <v>0</v>
      </c>
      <c r="L3407" s="50">
        <f>VLOOKUP(A3407,[2]data1761205830331!$A$1:$J$65536,10,0)</f>
        <v>25405</v>
      </c>
    </row>
    <row r="3408" spans="1:12" ht="16.2" thickBot="1">
      <c r="A3408" s="11" t="e">
        <v>#VALUE!</v>
      </c>
      <c r="B3408" s="53" t="s">
        <v>1807</v>
      </c>
      <c r="C3408" s="223"/>
      <c r="D3408" s="55"/>
      <c r="E3408" s="56"/>
      <c r="F3408" s="116" t="s">
        <v>1784</v>
      </c>
      <c r="G3408" s="58"/>
      <c r="H3408" s="71">
        <v>0</v>
      </c>
      <c r="I3408" s="72"/>
      <c r="J3408" s="74">
        <f>SUBTOTAL(9,J3386:J3407)</f>
        <v>9742440</v>
      </c>
      <c r="K3408" s="92">
        <f>SUBTOTAL(9,K3386:K3407)</f>
        <v>9742440</v>
      </c>
      <c r="L3408" s="75">
        <f>SUBTOTAL(9,L3386:L3407)</f>
        <v>8282133</v>
      </c>
    </row>
    <row r="3409" spans="1:12" ht="15.6" outlineLevel="1">
      <c r="A3409" s="11">
        <v>18300000</v>
      </c>
      <c r="B3409" s="40">
        <v>0</v>
      </c>
      <c r="C3409" s="109">
        <v>830000</v>
      </c>
      <c r="D3409" s="42">
        <v>1</v>
      </c>
      <c r="E3409" s="43"/>
      <c r="F3409" s="44" t="s">
        <v>1808</v>
      </c>
      <c r="G3409" s="45" t="s">
        <v>15</v>
      </c>
      <c r="H3409" s="51"/>
      <c r="I3409" s="47"/>
      <c r="J3409" s="48"/>
      <c r="K3409" s="49"/>
      <c r="L3409" s="50"/>
    </row>
    <row r="3410" spans="1:12" ht="15.6" outlineLevel="1">
      <c r="A3410" s="11">
        <v>1832400423</v>
      </c>
      <c r="B3410" s="40">
        <v>423</v>
      </c>
      <c r="C3410" s="109">
        <v>832400</v>
      </c>
      <c r="D3410" s="42">
        <v>1</v>
      </c>
      <c r="E3410" s="43"/>
      <c r="F3410" s="44" t="s">
        <v>31</v>
      </c>
      <c r="G3410" s="45" t="s">
        <v>29</v>
      </c>
      <c r="H3410" s="51">
        <f>J3410/K3410-1</f>
        <v>0.26785714285714279</v>
      </c>
      <c r="I3410" s="47"/>
      <c r="J3410" s="48">
        <f>VLOOKUP(A3410,'[1]תקציב 2026'!$A$1:$M$65536,9,0)</f>
        <v>71000</v>
      </c>
      <c r="K3410" s="49">
        <v>56000</v>
      </c>
      <c r="L3410" s="50">
        <f>VLOOKUP(A3410,[2]data1761205830331!$A$1:$J$65536,10,0)</f>
        <v>66700</v>
      </c>
    </row>
    <row r="3411" spans="1:12" ht="15.6" outlineLevel="1">
      <c r="A3411" s="11">
        <v>1832400431</v>
      </c>
      <c r="B3411" s="40">
        <v>431</v>
      </c>
      <c r="C3411" s="109">
        <v>832400</v>
      </c>
      <c r="D3411" s="42">
        <v>1</v>
      </c>
      <c r="E3411" s="43"/>
      <c r="F3411" s="44" t="s">
        <v>32</v>
      </c>
      <c r="G3411" s="45" t="s">
        <v>29</v>
      </c>
      <c r="H3411" s="51">
        <f>J3411/K3411-1</f>
        <v>0</v>
      </c>
      <c r="I3411" s="47"/>
      <c r="J3411" s="48">
        <f>VLOOKUP(A3411,'[1]תקציב 2026'!$A$1:$M$65536,9,0)</f>
        <v>90000</v>
      </c>
      <c r="K3411" s="49">
        <v>90000</v>
      </c>
      <c r="L3411" s="50">
        <f>VLOOKUP(A3411,[2]data1761205830331!$A$1:$J$65536,10,0)</f>
        <v>80025.84</v>
      </c>
    </row>
    <row r="3412" spans="1:12" ht="15.6" outlineLevel="1">
      <c r="A3412" s="11">
        <v>1832400437</v>
      </c>
      <c r="B3412" s="40">
        <v>437</v>
      </c>
      <c r="C3412" s="109">
        <v>832400</v>
      </c>
      <c r="D3412" s="42">
        <v>1</v>
      </c>
      <c r="E3412" s="43"/>
      <c r="F3412" s="44" t="s">
        <v>38</v>
      </c>
      <c r="G3412" s="45" t="s">
        <v>29</v>
      </c>
      <c r="H3412" s="51">
        <f>J3412/K3412-1</f>
        <v>0</v>
      </c>
      <c r="I3412" s="47"/>
      <c r="J3412" s="48">
        <f>VLOOKUP(A3412,'[1]תקציב 2026'!$A$1:$M$65536,9,0)</f>
        <v>2500</v>
      </c>
      <c r="K3412" s="49">
        <f>VLOOKUP(A3412,[3]גיליון1!$A$1:$C$7693,3,0)</f>
        <v>2500</v>
      </c>
      <c r="L3412" s="50">
        <f>VLOOKUP(A3412,[2]data1761205830331!$A$1:$J$65536,10,0)</f>
        <v>1221.48</v>
      </c>
    </row>
    <row r="3413" spans="1:12" ht="15.6" outlineLevel="1">
      <c r="A3413" s="11">
        <v>1832400540</v>
      </c>
      <c r="B3413" s="40">
        <v>540</v>
      </c>
      <c r="C3413" s="109">
        <v>832400</v>
      </c>
      <c r="D3413" s="42">
        <v>1</v>
      </c>
      <c r="E3413" s="43"/>
      <c r="F3413" s="44" t="s">
        <v>47</v>
      </c>
      <c r="G3413" s="45" t="s">
        <v>29</v>
      </c>
      <c r="H3413" s="51">
        <f>J3413/K3413-1</f>
        <v>-1</v>
      </c>
      <c r="I3413" s="47"/>
      <c r="J3413" s="48">
        <f>VLOOKUP(A3413,'[1]תקציב 2026'!$A$1:$M$65536,9,0)</f>
        <v>0</v>
      </c>
      <c r="K3413" s="49">
        <v>3000</v>
      </c>
      <c r="L3413" s="50">
        <f>VLOOKUP(A3413,[2]data1761205830331!$A$1:$J$65536,10,0)</f>
        <v>0</v>
      </c>
    </row>
    <row r="3414" spans="1:12" ht="15.6" outlineLevel="1">
      <c r="A3414" s="11">
        <v>1832400751</v>
      </c>
      <c r="B3414" s="40">
        <v>751</v>
      </c>
      <c r="C3414" s="109">
        <v>832400</v>
      </c>
      <c r="D3414" s="42">
        <v>1</v>
      </c>
      <c r="E3414" s="43"/>
      <c r="F3414" s="44" t="s">
        <v>53</v>
      </c>
      <c r="G3414" s="45" t="s">
        <v>29</v>
      </c>
      <c r="H3414" s="51">
        <f>J3414/K3414-1</f>
        <v>0</v>
      </c>
      <c r="I3414" s="47"/>
      <c r="J3414" s="48">
        <f>VLOOKUP(A3414,'[1]תקציב 2026'!$A$1:$M$65536,9,0)</f>
        <v>41400</v>
      </c>
      <c r="K3414" s="49">
        <f>VLOOKUP(A3414,[3]גיליון1!$A$1:$C$7693,3,0)*0.9</f>
        <v>41400</v>
      </c>
      <c r="L3414" s="50">
        <f>VLOOKUP(A3414,[2]data1761205830331!$A$1:$J$65536,10,0)</f>
        <v>45906</v>
      </c>
    </row>
    <row r="3415" spans="1:12" ht="16.2" outlineLevel="1" thickBot="1">
      <c r="A3415" s="11">
        <v>1832400752</v>
      </c>
      <c r="B3415" s="40">
        <v>752</v>
      </c>
      <c r="C3415" s="109">
        <v>832400</v>
      </c>
      <c r="D3415" s="42">
        <v>1</v>
      </c>
      <c r="E3415" s="43"/>
      <c r="F3415" s="44" t="s">
        <v>54</v>
      </c>
      <c r="G3415" s="45" t="s">
        <v>29</v>
      </c>
      <c r="H3415" s="51">
        <f t="shared" ref="H3415:H3478" si="55">J3415/K3415-1</f>
        <v>0.25</v>
      </c>
      <c r="I3415" s="47"/>
      <c r="J3415" s="48">
        <f>VLOOKUP(A3415,'[1]תקציב 2026'!$A$1:$M$65536,9,0)</f>
        <v>200000</v>
      </c>
      <c r="K3415" s="49">
        <f>VLOOKUP(A3415,[3]גיליון1!$A$1:$C$7693,3,0)</f>
        <v>160000</v>
      </c>
      <c r="L3415" s="50">
        <f>VLOOKUP(A3415,[2]data1761205830331!$A$1:$J$65536,10,0)</f>
        <v>153088.06</v>
      </c>
    </row>
    <row r="3416" spans="1:12" ht="16.2" thickBot="1">
      <c r="A3416" s="11" t="e">
        <v>#VALUE!</v>
      </c>
      <c r="B3416" s="53" t="s">
        <v>1809</v>
      </c>
      <c r="C3416" s="223"/>
      <c r="D3416" s="55"/>
      <c r="E3416" s="56"/>
      <c r="F3416" s="116" t="s">
        <v>1810</v>
      </c>
      <c r="G3416" s="58"/>
      <c r="H3416" s="71">
        <f>J3416/K3416-1</f>
        <v>0.14735052422782657</v>
      </c>
      <c r="I3416" s="72"/>
      <c r="J3416" s="74">
        <f>SUBTOTAL(9,J3410:J3415)</f>
        <v>404900</v>
      </c>
      <c r="K3416" s="92">
        <f>SUBTOTAL(9,K3410:K3415)</f>
        <v>352900</v>
      </c>
      <c r="L3416" s="75">
        <f>SUBTOTAL(9,L3410:L3415)</f>
        <v>346941.38</v>
      </c>
    </row>
    <row r="3417" spans="1:12" ht="15.6" outlineLevel="1">
      <c r="A3417" s="11">
        <v>18400000</v>
      </c>
      <c r="B3417" s="196">
        <v>0</v>
      </c>
      <c r="C3417" s="151">
        <v>840000</v>
      </c>
      <c r="D3417" s="193">
        <v>1</v>
      </c>
      <c r="E3417" s="152"/>
      <c r="F3417" s="194" t="s">
        <v>527</v>
      </c>
      <c r="G3417" s="195" t="s">
        <v>15</v>
      </c>
      <c r="H3417" s="51"/>
      <c r="I3417" s="256"/>
      <c r="J3417" s="48"/>
      <c r="K3417" s="117"/>
      <c r="L3417" s="50"/>
    </row>
    <row r="3418" spans="1:12" ht="15.6" outlineLevel="1">
      <c r="A3418" s="11">
        <v>1841000110</v>
      </c>
      <c r="B3418" s="40">
        <v>110</v>
      </c>
      <c r="C3418" s="109">
        <v>841000</v>
      </c>
      <c r="D3418" s="42">
        <v>1</v>
      </c>
      <c r="E3418" s="43"/>
      <c r="F3418" s="44" t="s">
        <v>21</v>
      </c>
      <c r="G3418" s="45" t="s">
        <v>22</v>
      </c>
      <c r="H3418" s="51">
        <f t="shared" si="55"/>
        <v>2.4992170372690303E-2</v>
      </c>
      <c r="I3418" s="47"/>
      <c r="J3418" s="48">
        <f>VLOOKUP(A3418,'[1]תקציב 2026'!$A$1:$M$65536,9,0)</f>
        <v>327280</v>
      </c>
      <c r="K3418" s="49">
        <v>319300</v>
      </c>
      <c r="L3418" s="50">
        <f>VLOOKUP(A3418,[2]data1761205830331!$A$1:$J$65536,10,0)</f>
        <v>344275.4</v>
      </c>
    </row>
    <row r="3419" spans="1:12" ht="15.6" outlineLevel="1">
      <c r="A3419" s="11">
        <v>1841000119</v>
      </c>
      <c r="B3419" s="40">
        <v>119</v>
      </c>
      <c r="C3419" s="109">
        <v>841000</v>
      </c>
      <c r="D3419" s="42">
        <v>1</v>
      </c>
      <c r="E3419" s="43"/>
      <c r="F3419" s="44" t="s">
        <v>23</v>
      </c>
      <c r="G3419" s="45" t="s">
        <v>22</v>
      </c>
      <c r="H3419" s="51">
        <f t="shared" si="55"/>
        <v>7.0361854011357083E-2</v>
      </c>
      <c r="I3419" s="47"/>
      <c r="J3419" s="48">
        <f>VLOOKUP(A3419,'[1]תקציב 2026'!$A$1:$M$65536,9,0)</f>
        <v>7038249.9999999991</v>
      </c>
      <c r="K3419" s="49">
        <f>6680300-104670-50</f>
        <v>6575580</v>
      </c>
      <c r="L3419" s="50">
        <f>VLOOKUP(A3419,[2]data1761205830331!$A$1:$J$65536,10,0)</f>
        <v>5173879.62</v>
      </c>
    </row>
    <row r="3420" spans="1:12" ht="15.6" outlineLevel="1">
      <c r="A3420" s="11">
        <v>1841000122</v>
      </c>
      <c r="B3420" s="40">
        <v>122</v>
      </c>
      <c r="C3420" s="109">
        <v>841000</v>
      </c>
      <c r="D3420" s="42">
        <v>1</v>
      </c>
      <c r="E3420" s="43"/>
      <c r="F3420" s="44" t="s">
        <v>24</v>
      </c>
      <c r="G3420" s="45" t="s">
        <v>22</v>
      </c>
      <c r="H3420" s="51">
        <f t="shared" si="55"/>
        <v>4.2647058823529482E-2</v>
      </c>
      <c r="I3420" s="47"/>
      <c r="J3420" s="48">
        <v>70900</v>
      </c>
      <c r="K3420" s="49">
        <f>VLOOKUP(A3420,[3]גיליון1!$A$1:$C$7693,3,0)</f>
        <v>68000</v>
      </c>
      <c r="L3420" s="50">
        <f>VLOOKUP(A3420,[2]data1761205830331!$A$1:$J$65536,10,0)</f>
        <v>71257.94</v>
      </c>
    </row>
    <row r="3421" spans="1:12" ht="15.6" outlineLevel="1">
      <c r="A3421" s="11">
        <v>1841000126</v>
      </c>
      <c r="B3421" s="40">
        <v>126</v>
      </c>
      <c r="C3421" s="109">
        <v>841000</v>
      </c>
      <c r="D3421" s="42">
        <v>1</v>
      </c>
      <c r="E3421" s="43"/>
      <c r="F3421" s="44" t="s">
        <v>25</v>
      </c>
      <c r="G3421" s="45" t="s">
        <v>22</v>
      </c>
      <c r="H3421" s="51">
        <f t="shared" si="55"/>
        <v>4.2592592592592515E-2</v>
      </c>
      <c r="I3421" s="47"/>
      <c r="J3421" s="48">
        <v>168900</v>
      </c>
      <c r="K3421" s="49">
        <f>VLOOKUP(A3421,[3]גיליון1!$A$1:$C$7693,3,0)</f>
        <v>162000</v>
      </c>
      <c r="L3421" s="50">
        <f>VLOOKUP(A3421,[2]data1761205830331!$A$1:$J$65536,10,0)</f>
        <v>166968.94</v>
      </c>
    </row>
    <row r="3422" spans="1:12" ht="15.6" outlineLevel="1">
      <c r="A3422" s="11">
        <v>1841000130</v>
      </c>
      <c r="B3422" s="40">
        <v>130</v>
      </c>
      <c r="C3422" s="109">
        <v>841000</v>
      </c>
      <c r="D3422" s="42">
        <v>1</v>
      </c>
      <c r="E3422" s="43"/>
      <c r="F3422" s="44" t="s">
        <v>26</v>
      </c>
      <c r="G3422" s="45" t="s">
        <v>22</v>
      </c>
      <c r="H3422" s="51">
        <f t="shared" si="55"/>
        <v>0</v>
      </c>
      <c r="I3422" s="47"/>
      <c r="J3422" s="48">
        <f>VLOOKUP(A3422,'[1]תקציב 2026'!$A$1:$M$65536,9,0)</f>
        <v>47300</v>
      </c>
      <c r="K3422" s="49">
        <f>VLOOKUP(A3422,[3]גיליון1!$A$1:$C$7693,3,0)*0.86</f>
        <v>47300</v>
      </c>
      <c r="L3422" s="50">
        <f>VLOOKUP(A3422,[2]data1761205830331!$A$1:$J$65536,10,0)</f>
        <v>57097.74</v>
      </c>
    </row>
    <row r="3423" spans="1:12" ht="15.6" outlineLevel="1">
      <c r="A3423" s="11">
        <v>1841000140</v>
      </c>
      <c r="B3423" s="40">
        <v>140</v>
      </c>
      <c r="C3423" s="109">
        <v>841000</v>
      </c>
      <c r="D3423" s="42">
        <v>1</v>
      </c>
      <c r="E3423" s="43"/>
      <c r="F3423" s="44" t="s">
        <v>27</v>
      </c>
      <c r="G3423" s="45" t="s">
        <v>22</v>
      </c>
      <c r="H3423" s="51">
        <f t="shared" si="55"/>
        <v>0</v>
      </c>
      <c r="I3423" s="47"/>
      <c r="J3423" s="48">
        <f>VLOOKUP(A3423,'[1]תקציב 2026'!$A$1:$M$65536,9,0)</f>
        <v>422000</v>
      </c>
      <c r="K3423" s="49">
        <f>VLOOKUP(A3423,[3]גיליון1!$A$1:$C$7693,3,0)</f>
        <v>422000</v>
      </c>
      <c r="L3423" s="50">
        <f>VLOOKUP(A3423,[2]data1761205830331!$A$1:$J$65536,10,0)</f>
        <v>566330.98</v>
      </c>
    </row>
    <row r="3424" spans="1:12" s="259" customFormat="1" ht="15.6" outlineLevel="1">
      <c r="A3424" s="257">
        <v>1841000253</v>
      </c>
      <c r="B3424" s="40">
        <v>253</v>
      </c>
      <c r="C3424" s="109">
        <v>841000</v>
      </c>
      <c r="D3424" s="42">
        <v>1</v>
      </c>
      <c r="E3424" s="258"/>
      <c r="F3424" s="44" t="s">
        <v>856</v>
      </c>
      <c r="G3424" s="45" t="s">
        <v>22</v>
      </c>
      <c r="H3424" s="51">
        <f t="shared" si="55"/>
        <v>0</v>
      </c>
      <c r="I3424" s="47"/>
      <c r="J3424" s="48">
        <f>VLOOKUP(A3424,'[1]תקציב 2026'!$A$1:$M$65536,9,0)</f>
        <v>110000</v>
      </c>
      <c r="K3424" s="49">
        <v>110000</v>
      </c>
      <c r="L3424" s="50">
        <f>VLOOKUP(A3424,[2]data1761205830331!$A$1:$J$65536,10,0)</f>
        <v>122322.07</v>
      </c>
    </row>
    <row r="3425" spans="1:12" ht="15.6" outlineLevel="1">
      <c r="A3425" s="11">
        <v>1841000410</v>
      </c>
      <c r="B3425" s="40">
        <v>410</v>
      </c>
      <c r="C3425" s="109">
        <v>841000</v>
      </c>
      <c r="D3425" s="42">
        <v>1</v>
      </c>
      <c r="E3425" s="43"/>
      <c r="F3425" s="44" t="s">
        <v>1811</v>
      </c>
      <c r="G3425" s="45" t="s">
        <v>29</v>
      </c>
      <c r="H3425" s="51">
        <f t="shared" si="55"/>
        <v>-1</v>
      </c>
      <c r="I3425" s="47"/>
      <c r="J3425" s="48">
        <f>VLOOKUP(A3425,'[1]תקציב 2026'!$A$1:$M$65536,9,0)</f>
        <v>0</v>
      </c>
      <c r="K3425" s="49">
        <f>VLOOKUP(A3425,[3]גיליון1!$A$1:$C$7693,3,0)</f>
        <v>1068100</v>
      </c>
      <c r="L3425" s="50">
        <f>VLOOKUP(A3425,[2]data1761205830331!$A$1:$J$65536,10,0)</f>
        <v>493581</v>
      </c>
    </row>
    <row r="3426" spans="1:12" ht="15.6" outlineLevel="1">
      <c r="A3426" s="11">
        <v>1841000420</v>
      </c>
      <c r="B3426" s="40">
        <v>420</v>
      </c>
      <c r="C3426" s="109">
        <v>841000</v>
      </c>
      <c r="D3426" s="42">
        <v>1</v>
      </c>
      <c r="E3426" s="43"/>
      <c r="F3426" s="44" t="s">
        <v>30</v>
      </c>
      <c r="G3426" s="45" t="s">
        <v>29</v>
      </c>
      <c r="H3426" s="51">
        <f t="shared" si="55"/>
        <v>3.4444444444444446</v>
      </c>
      <c r="I3426" s="47"/>
      <c r="J3426" s="48">
        <f>VLOOKUP(A3426,'[1]תקציב 2026'!$A$1:$M$65536,9,0)</f>
        <v>8000</v>
      </c>
      <c r="K3426" s="49">
        <f>VLOOKUP(A3426,[3]גיליון1!$A$1:$C$7693,3,0)*0.9</f>
        <v>1800</v>
      </c>
      <c r="L3426" s="50">
        <f>VLOOKUP(A3426,[2]data1761205830331!$A$1:$J$65536,10,0)</f>
        <v>0</v>
      </c>
    </row>
    <row r="3427" spans="1:12" ht="15.6" outlineLevel="1">
      <c r="A3427" s="11">
        <v>1841000423</v>
      </c>
      <c r="B3427" s="40">
        <v>423</v>
      </c>
      <c r="C3427" s="109">
        <v>841000</v>
      </c>
      <c r="D3427" s="42">
        <v>1</v>
      </c>
      <c r="E3427" s="43"/>
      <c r="F3427" s="44" t="s">
        <v>31</v>
      </c>
      <c r="G3427" s="45" t="s">
        <v>29</v>
      </c>
      <c r="H3427" s="51">
        <f t="shared" si="55"/>
        <v>1.2000000000000002</v>
      </c>
      <c r="I3427" s="47"/>
      <c r="J3427" s="48">
        <f>VLOOKUP(A3427,'[1]תקציב 2026'!$A$1:$M$65536,9,0)</f>
        <v>11000</v>
      </c>
      <c r="K3427" s="49">
        <v>5000</v>
      </c>
      <c r="L3427" s="50">
        <f>VLOOKUP(A3427,[2]data1761205830331!$A$1:$J$65536,10,0)</f>
        <v>4900</v>
      </c>
    </row>
    <row r="3428" spans="1:12" ht="15.6" outlineLevel="1">
      <c r="A3428" s="11">
        <v>1841000431</v>
      </c>
      <c r="B3428" s="40">
        <v>431</v>
      </c>
      <c r="C3428" s="109">
        <v>841000</v>
      </c>
      <c r="D3428" s="42">
        <v>1</v>
      </c>
      <c r="E3428" s="43"/>
      <c r="F3428" s="44" t="s">
        <v>32</v>
      </c>
      <c r="G3428" s="45" t="s">
        <v>29</v>
      </c>
      <c r="H3428" s="51">
        <f t="shared" si="55"/>
        <v>-4.3381535038932162E-2</v>
      </c>
      <c r="I3428" s="47"/>
      <c r="J3428" s="48">
        <f>VLOOKUP(A3428,'[1]תקציב 2026'!$A$1:$M$65536,9,0)</f>
        <v>430000</v>
      </c>
      <c r="K3428" s="49">
        <v>449500</v>
      </c>
      <c r="L3428" s="50">
        <f>VLOOKUP(A3428,[2]data1761205830331!$A$1:$J$65536,10,0)</f>
        <v>430034.18</v>
      </c>
    </row>
    <row r="3429" spans="1:12" ht="15.6" outlineLevel="1">
      <c r="A3429" s="11">
        <v>1841000432</v>
      </c>
      <c r="B3429" s="40">
        <v>432</v>
      </c>
      <c r="C3429" s="109">
        <v>841000</v>
      </c>
      <c r="D3429" s="42">
        <v>1</v>
      </c>
      <c r="E3429" s="43"/>
      <c r="F3429" s="44" t="s">
        <v>33</v>
      </c>
      <c r="G3429" s="45" t="s">
        <v>29</v>
      </c>
      <c r="H3429" s="51">
        <f t="shared" si="55"/>
        <v>0</v>
      </c>
      <c r="I3429" s="47"/>
      <c r="J3429" s="48">
        <f>VLOOKUP(A3429,'[1]תקציב 2026'!$A$1:$M$65536,9,0)</f>
        <v>22200</v>
      </c>
      <c r="K3429" s="49">
        <v>22200</v>
      </c>
      <c r="L3429" s="50">
        <f>VLOOKUP(A3429,[2]data1761205830331!$A$1:$J$65536,10,0)</f>
        <v>7399.86</v>
      </c>
    </row>
    <row r="3430" spans="1:12" ht="15.6" outlineLevel="1">
      <c r="A3430" s="11">
        <v>1841000437</v>
      </c>
      <c r="B3430" s="40">
        <v>437</v>
      </c>
      <c r="C3430" s="109">
        <v>841000</v>
      </c>
      <c r="D3430" s="42">
        <v>1</v>
      </c>
      <c r="E3430" s="43"/>
      <c r="F3430" s="44" t="s">
        <v>38</v>
      </c>
      <c r="G3430" s="45" t="s">
        <v>29</v>
      </c>
      <c r="H3430" s="51">
        <f t="shared" si="55"/>
        <v>0</v>
      </c>
      <c r="I3430" s="47"/>
      <c r="J3430" s="48">
        <f>VLOOKUP(A3430,'[1]תקציב 2026'!$A$1:$M$65536,9,0)</f>
        <v>5000</v>
      </c>
      <c r="K3430" s="49">
        <f>VLOOKUP(A3430,[3]גיליון1!$A$1:$C$7693,3,0)</f>
        <v>5000</v>
      </c>
      <c r="L3430" s="50">
        <f>VLOOKUP(A3430,[2]data1761205830331!$A$1:$J$65536,10,0)</f>
        <v>2442.96</v>
      </c>
    </row>
    <row r="3431" spans="1:12" ht="15.6" outlineLevel="1">
      <c r="A3431" s="11">
        <v>1841000438</v>
      </c>
      <c r="B3431" s="40">
        <v>438</v>
      </c>
      <c r="C3431" s="109">
        <v>841000</v>
      </c>
      <c r="D3431" s="42">
        <v>1</v>
      </c>
      <c r="E3431" s="43"/>
      <c r="F3431" s="44" t="str">
        <f>[4]גיליון1!$F$6955</f>
        <v>לחצני מצוקה ניידים</v>
      </c>
      <c r="G3431" s="45" t="s">
        <v>29</v>
      </c>
      <c r="H3431" s="51">
        <f t="shared" si="55"/>
        <v>0</v>
      </c>
      <c r="I3431" s="47"/>
      <c r="J3431" s="48">
        <f>VLOOKUP(A3431,'[1]תקציב 2026'!$A$1:$M$65536,9,0)</f>
        <v>11000</v>
      </c>
      <c r="K3431" s="49">
        <f>VLOOKUP(A3431,[3]גיליון1!$A$1:$C$7693,3,0)</f>
        <v>11000</v>
      </c>
      <c r="L3431" s="50">
        <f>VLOOKUP(A3431,[2]data1761205830331!$A$1:$J$65536,10,0)</f>
        <v>22982.03</v>
      </c>
    </row>
    <row r="3432" spans="1:12" ht="15.6" outlineLevel="1">
      <c r="A3432" s="11">
        <v>1841000450</v>
      </c>
      <c r="B3432" s="40">
        <v>450</v>
      </c>
      <c r="C3432" s="109">
        <v>841000</v>
      </c>
      <c r="D3432" s="42">
        <v>1</v>
      </c>
      <c r="E3432" s="43"/>
      <c r="F3432" s="11" t="s">
        <v>41</v>
      </c>
      <c r="G3432" s="45" t="s">
        <v>29</v>
      </c>
      <c r="H3432" s="51">
        <f t="shared" si="55"/>
        <v>-0.70588235294117641</v>
      </c>
      <c r="I3432" s="47"/>
      <c r="J3432" s="48">
        <f>VLOOKUP(A3432,'[1]תקציב 2026'!$A$1:$M$65536,9,0)</f>
        <v>2000</v>
      </c>
      <c r="K3432" s="49">
        <f>VLOOKUP(A3432,[3]גיליון1!$A$1:$C$7693,3,0)</f>
        <v>6800</v>
      </c>
      <c r="L3432" s="50">
        <f>VLOOKUP(A3432,[2]data1761205830331!$A$1:$J$65536,10,0)</f>
        <v>1907</v>
      </c>
    </row>
    <row r="3433" spans="1:12" ht="15.6" outlineLevel="1">
      <c r="A3433" s="11">
        <v>1841000451</v>
      </c>
      <c r="B3433" s="40">
        <v>451</v>
      </c>
      <c r="C3433" s="109">
        <v>841000</v>
      </c>
      <c r="D3433" s="42">
        <v>1</v>
      </c>
      <c r="E3433" s="43"/>
      <c r="F3433" s="44" t="s">
        <v>42</v>
      </c>
      <c r="G3433" s="45" t="s">
        <v>29</v>
      </c>
      <c r="H3433" s="51">
        <f t="shared" si="55"/>
        <v>-0.2592592592592593</v>
      </c>
      <c r="I3433" s="47"/>
      <c r="J3433" s="48">
        <f>VLOOKUP(A3433,'[1]תקציב 2026'!$A$1:$M$65536,9,0)</f>
        <v>2000</v>
      </c>
      <c r="K3433" s="49">
        <f>VLOOKUP(A3433,[3]גיליון1!$A$1:$C$7693,3,0)*0.9</f>
        <v>2700</v>
      </c>
      <c r="L3433" s="50">
        <f>VLOOKUP(A3433,[2]data1761205830331!$A$1:$J$65536,10,0)</f>
        <v>990.22</v>
      </c>
    </row>
    <row r="3434" spans="1:12" ht="15.6" outlineLevel="1">
      <c r="A3434" s="11">
        <v>1841000470</v>
      </c>
      <c r="B3434" s="40">
        <v>470</v>
      </c>
      <c r="C3434" s="109">
        <v>841000</v>
      </c>
      <c r="D3434" s="42">
        <v>1</v>
      </c>
      <c r="E3434" s="43"/>
      <c r="F3434" s="44" t="s">
        <v>43</v>
      </c>
      <c r="G3434" s="45" t="s">
        <v>37</v>
      </c>
      <c r="H3434" s="51">
        <f t="shared" si="55"/>
        <v>-4.2145593869731823E-2</v>
      </c>
      <c r="I3434" s="47"/>
      <c r="J3434" s="48">
        <f>VLOOKUP(A3434,'[1]תקציב 2026'!$A$1:$M$65536,9,0)</f>
        <v>5000</v>
      </c>
      <c r="K3434" s="49">
        <f>VLOOKUP(A3434,[3]גיליון1!$A$1:$C$7693,3,0)*0.9</f>
        <v>5220</v>
      </c>
      <c r="L3434" s="50">
        <f>VLOOKUP(A3434,[2]data1761205830331!$A$1:$J$65536,10,0)</f>
        <v>2994.44</v>
      </c>
    </row>
    <row r="3435" spans="1:12" ht="15.6" outlineLevel="1">
      <c r="A3435" s="11">
        <v>1841000471</v>
      </c>
      <c r="B3435" s="40">
        <v>471</v>
      </c>
      <c r="C3435" s="109">
        <v>841000</v>
      </c>
      <c r="D3435" s="42">
        <v>1</v>
      </c>
      <c r="E3435" s="43"/>
      <c r="F3435" s="44" t="s">
        <v>71</v>
      </c>
      <c r="G3435" s="45" t="s">
        <v>37</v>
      </c>
      <c r="H3435" s="51">
        <f t="shared" si="55"/>
        <v>0.19558154645873937</v>
      </c>
      <c r="I3435" s="47"/>
      <c r="J3435" s="48">
        <f>VLOOKUP(A3435,'[1]תקציב 2026'!$A$1:$M$65536,9,0)</f>
        <v>92000</v>
      </c>
      <c r="K3435" s="49">
        <f>VLOOKUP(A3435,[3]גיליון1!$A$1:$C$7693,3,0)*0.9</f>
        <v>76950</v>
      </c>
      <c r="L3435" s="50">
        <f>VLOOKUP(A3435,[2]data1761205830331!$A$1:$J$65536,10,0)</f>
        <v>80439.77</v>
      </c>
    </row>
    <row r="3436" spans="1:12" ht="15.6" outlineLevel="1">
      <c r="A3436" s="11">
        <v>1841000474</v>
      </c>
      <c r="B3436" s="40">
        <v>474</v>
      </c>
      <c r="C3436" s="109">
        <v>841000</v>
      </c>
      <c r="D3436" s="42">
        <v>1</v>
      </c>
      <c r="E3436" s="43"/>
      <c r="F3436" s="44" t="s">
        <v>1812</v>
      </c>
      <c r="G3436" s="45" t="s">
        <v>29</v>
      </c>
      <c r="H3436" s="51">
        <f t="shared" si="55"/>
        <v>0</v>
      </c>
      <c r="I3436" s="47"/>
      <c r="J3436" s="48">
        <f>VLOOKUP(A3436,'[1]תקציב 2026'!$A$1:$M$65536,9,0)</f>
        <v>20700</v>
      </c>
      <c r="K3436" s="49">
        <f>VLOOKUP(A3436,[3]גיליון1!$A$1:$C$7693,3,0)</f>
        <v>20700</v>
      </c>
      <c r="L3436" s="50">
        <f>VLOOKUP(A3436,[2]data1761205830331!$A$1:$J$65536,10,0)</f>
        <v>6267</v>
      </c>
    </row>
    <row r="3437" spans="1:12" ht="15.6" outlineLevel="1">
      <c r="A3437" s="11">
        <v>1841000492</v>
      </c>
      <c r="B3437" s="40">
        <v>492</v>
      </c>
      <c r="C3437" s="109">
        <v>841000</v>
      </c>
      <c r="D3437" s="42">
        <v>1</v>
      </c>
      <c r="E3437" s="43"/>
      <c r="F3437" s="44" t="s">
        <v>66</v>
      </c>
      <c r="G3437" s="45" t="s">
        <v>29</v>
      </c>
      <c r="H3437" s="51">
        <f t="shared" si="55"/>
        <v>7.0039946737683101E-2</v>
      </c>
      <c r="I3437" s="47"/>
      <c r="J3437" s="48">
        <f>VLOOKUP(A3437,'[1]תקציב 2026'!$A$1:$M$65536,9,0)</f>
        <v>803600</v>
      </c>
      <c r="K3437" s="49">
        <v>751000</v>
      </c>
      <c r="L3437" s="50">
        <f>VLOOKUP(A3437,[2]data1761205830331!$A$1:$J$65536,10,0)</f>
        <v>688522</v>
      </c>
    </row>
    <row r="3438" spans="1:12" ht="15.6" outlineLevel="1">
      <c r="A3438" s="11">
        <v>1841000511</v>
      </c>
      <c r="B3438" s="40">
        <v>511</v>
      </c>
      <c r="C3438" s="109">
        <v>841000</v>
      </c>
      <c r="D3438" s="42">
        <v>1</v>
      </c>
      <c r="E3438" s="43"/>
      <c r="F3438" s="44" t="s">
        <v>72</v>
      </c>
      <c r="G3438" s="45" t="s">
        <v>37</v>
      </c>
      <c r="H3438" s="51">
        <f t="shared" si="55"/>
        <v>1.8602860286028604</v>
      </c>
      <c r="I3438" s="47"/>
      <c r="J3438" s="48">
        <f>VLOOKUP(A3438,'[1]תקציב 2026'!$A$1:$M$65536,9,0)</f>
        <v>26000</v>
      </c>
      <c r="K3438" s="49">
        <f>10100*0.9</f>
        <v>9090</v>
      </c>
      <c r="L3438" s="50">
        <f>VLOOKUP(A3438,[2]data1761205830331!$A$1:$J$65536,10,0)</f>
        <v>7286.56</v>
      </c>
    </row>
    <row r="3439" spans="1:12" ht="15.6" outlineLevel="1">
      <c r="A3439" s="11">
        <v>1841000512</v>
      </c>
      <c r="B3439" s="40">
        <v>512</v>
      </c>
      <c r="C3439" s="109">
        <v>841000</v>
      </c>
      <c r="D3439" s="42">
        <v>1</v>
      </c>
      <c r="E3439" s="43"/>
      <c r="F3439" s="44" t="s">
        <v>88</v>
      </c>
      <c r="G3439" s="45" t="s">
        <v>37</v>
      </c>
      <c r="H3439" s="51">
        <f t="shared" si="55"/>
        <v>0</v>
      </c>
      <c r="I3439" s="47"/>
      <c r="J3439" s="48">
        <f>VLOOKUP(A3439,'[1]תקציב 2026'!$A$1:$M$65536,9,0)</f>
        <v>3960</v>
      </c>
      <c r="K3439" s="49">
        <f>VLOOKUP(A3439,[3]גיליון1!$A$1:$C$7693,3,0)*0.9</f>
        <v>3960</v>
      </c>
      <c r="L3439" s="50">
        <f>VLOOKUP(A3439,[2]data1761205830331!$A$1:$J$65536,10,0)</f>
        <v>2410</v>
      </c>
    </row>
    <row r="3440" spans="1:12" ht="15.6" outlineLevel="1">
      <c r="A3440" s="11">
        <v>1841000522</v>
      </c>
      <c r="B3440" s="40">
        <v>522</v>
      </c>
      <c r="C3440" s="109">
        <v>841000</v>
      </c>
      <c r="D3440" s="42">
        <v>1</v>
      </c>
      <c r="E3440" s="43"/>
      <c r="F3440" s="44" t="s">
        <v>90</v>
      </c>
      <c r="G3440" s="45" t="s">
        <v>37</v>
      </c>
      <c r="H3440" s="51">
        <f t="shared" si="55"/>
        <v>0</v>
      </c>
      <c r="I3440" s="47"/>
      <c r="J3440" s="48">
        <f>VLOOKUP(A3440,'[1]תקציב 2026'!$A$1:$M$65536,9,0)</f>
        <v>2340</v>
      </c>
      <c r="K3440" s="49">
        <f>VLOOKUP(A3440,[3]גיליון1!$A$1:$C$7693,3,0)*0.9</f>
        <v>2340</v>
      </c>
      <c r="L3440" s="50">
        <f>VLOOKUP(A3440,[2]data1761205830331!$A$1:$J$65536,10,0)</f>
        <v>1696</v>
      </c>
    </row>
    <row r="3441" spans="1:12" ht="15.6" outlineLevel="1">
      <c r="A3441" s="11">
        <v>1841000544</v>
      </c>
      <c r="B3441" s="40">
        <v>544</v>
      </c>
      <c r="C3441" s="109">
        <v>841000</v>
      </c>
      <c r="D3441" s="42">
        <v>1</v>
      </c>
      <c r="E3441" s="43"/>
      <c r="F3441" s="44" t="s">
        <v>743</v>
      </c>
      <c r="G3441" s="45" t="s">
        <v>29</v>
      </c>
      <c r="H3441" s="51">
        <f t="shared" si="55"/>
        <v>-0.25650557620817849</v>
      </c>
      <c r="I3441" s="47"/>
      <c r="J3441" s="48">
        <f>VLOOKUP(A3441,'[1]תקציב 2026'!$A$1:$M$65536,9,0)</f>
        <v>20000</v>
      </c>
      <c r="K3441" s="49">
        <v>26900</v>
      </c>
      <c r="L3441" s="50">
        <f>VLOOKUP(A3441,[2]data1761205830331!$A$1:$J$65536,10,0)</f>
        <v>19779.150000000001</v>
      </c>
    </row>
    <row r="3442" spans="1:12" ht="15.6" outlineLevel="1">
      <c r="A3442" s="11">
        <v>1841000550</v>
      </c>
      <c r="B3442" s="40">
        <v>550</v>
      </c>
      <c r="C3442" s="109">
        <v>841000</v>
      </c>
      <c r="D3442" s="42">
        <v>1</v>
      </c>
      <c r="E3442" s="43"/>
      <c r="F3442" s="44" t="s">
        <v>73</v>
      </c>
      <c r="G3442" s="45" t="s">
        <v>37</v>
      </c>
      <c r="H3442" s="51">
        <f t="shared" si="55"/>
        <v>0.44032921810699599</v>
      </c>
      <c r="I3442" s="47"/>
      <c r="J3442" s="48">
        <f>VLOOKUP(A3442,'[1]תקציב 2026'!$A$1:$M$65536,9,0)</f>
        <v>10500</v>
      </c>
      <c r="K3442" s="49">
        <f>VLOOKUP(A3442,[3]גיליון1!$A$1:$C$7693,3,0)*0.9</f>
        <v>7290</v>
      </c>
      <c r="L3442" s="50">
        <f>VLOOKUP(A3442,[2]data1761205830331!$A$1:$J$65536,10,0)</f>
        <v>8100</v>
      </c>
    </row>
    <row r="3443" spans="1:12" ht="15.6" outlineLevel="1">
      <c r="A3443" s="11">
        <v>1841000562</v>
      </c>
      <c r="B3443" s="40">
        <v>562</v>
      </c>
      <c r="C3443" s="109">
        <v>841000</v>
      </c>
      <c r="D3443" s="42">
        <v>1</v>
      </c>
      <c r="E3443" s="43"/>
      <c r="F3443" s="44" t="s">
        <v>748</v>
      </c>
      <c r="G3443" s="45" t="s">
        <v>37</v>
      </c>
      <c r="H3443" s="51">
        <f t="shared" si="55"/>
        <v>0</v>
      </c>
      <c r="I3443" s="47"/>
      <c r="J3443" s="48">
        <f>VLOOKUP(A3443,'[1]תקציב 2026'!$A$1:$M$65536,9,0)</f>
        <v>4590</v>
      </c>
      <c r="K3443" s="49">
        <f>VLOOKUP(A3443,[3]גיליון1!$A$1:$C$7693,3,0)*0.9</f>
        <v>4590</v>
      </c>
      <c r="L3443" s="50">
        <f>VLOOKUP(A3443,[2]data1761205830331!$A$1:$J$65536,10,0)</f>
        <v>1215.2</v>
      </c>
    </row>
    <row r="3444" spans="1:12" ht="15.6" outlineLevel="1">
      <c r="A3444" s="11">
        <v>1841000570</v>
      </c>
      <c r="B3444" s="40">
        <v>570</v>
      </c>
      <c r="C3444" s="109">
        <v>841000</v>
      </c>
      <c r="D3444" s="42">
        <v>1</v>
      </c>
      <c r="E3444" s="43"/>
      <c r="F3444" s="44" t="s">
        <v>1813</v>
      </c>
      <c r="G3444" s="45" t="s">
        <v>29</v>
      </c>
      <c r="H3444" s="51">
        <v>0</v>
      </c>
      <c r="I3444" s="47"/>
      <c r="J3444" s="48">
        <f>VLOOKUP(A3444,'[1]תקציב 2026'!$A$1:$M$65536,9,0)</f>
        <v>0</v>
      </c>
      <c r="K3444" s="49">
        <f>VLOOKUP(A3444,[3]גיליון1!$A$1:$C$7693,3,0)</f>
        <v>0</v>
      </c>
      <c r="L3444" s="50">
        <f>VLOOKUP(A3444,[2]data1761205830331!$A$1:$J$65536,10,0)</f>
        <v>21687.13</v>
      </c>
    </row>
    <row r="3445" spans="1:12" ht="15.6" outlineLevel="1">
      <c r="A3445" s="11">
        <v>1841000571</v>
      </c>
      <c r="B3445" s="40">
        <v>571</v>
      </c>
      <c r="C3445" s="109">
        <v>841000</v>
      </c>
      <c r="D3445" s="42">
        <v>1</v>
      </c>
      <c r="E3445" s="43"/>
      <c r="F3445" s="44" t="s">
        <v>75</v>
      </c>
      <c r="G3445" s="45" t="s">
        <v>29</v>
      </c>
      <c r="H3445" s="51">
        <f t="shared" si="55"/>
        <v>0.31151336560724063</v>
      </c>
      <c r="I3445" s="47"/>
      <c r="J3445" s="48">
        <f>VLOOKUP(A3445,'[1]תקציב 2026'!$A$1:$M$65536,9,0)</f>
        <v>623100</v>
      </c>
      <c r="K3445" s="49">
        <v>475100</v>
      </c>
      <c r="L3445" s="50">
        <f>VLOOKUP(A3445,[2]data1761205830331!$A$1:$J$65536,10,0)</f>
        <v>425100</v>
      </c>
    </row>
    <row r="3446" spans="1:12" ht="15.6" outlineLevel="1">
      <c r="A3446" s="11">
        <v>1841000572</v>
      </c>
      <c r="B3446" s="40">
        <v>572</v>
      </c>
      <c r="C3446" s="109">
        <v>841000</v>
      </c>
      <c r="D3446" s="42">
        <v>1</v>
      </c>
      <c r="E3446" s="43"/>
      <c r="F3446" s="44" t="s">
        <v>1814</v>
      </c>
      <c r="G3446" s="45" t="s">
        <v>29</v>
      </c>
      <c r="H3446" s="51">
        <f t="shared" si="55"/>
        <v>0.10701107011070121</v>
      </c>
      <c r="I3446" s="47"/>
      <c r="J3446" s="48">
        <f>VLOOKUP(A3446,'[1]תקציב 2026'!$A$1:$M$65536,9,0)</f>
        <v>360000</v>
      </c>
      <c r="K3446" s="49">
        <f>292700+32500</f>
        <v>325200</v>
      </c>
      <c r="L3446" s="50">
        <f>VLOOKUP(A3446,[2]data1761205830331!$A$1:$J$65536,10,0)</f>
        <v>231660</v>
      </c>
    </row>
    <row r="3447" spans="1:12" ht="15.6" outlineLevel="1">
      <c r="A3447" s="11">
        <v>1841000580</v>
      </c>
      <c r="B3447" s="40">
        <v>580</v>
      </c>
      <c r="C3447" s="109">
        <v>841000</v>
      </c>
      <c r="D3447" s="42">
        <v>1</v>
      </c>
      <c r="E3447" s="43"/>
      <c r="F3447" s="44" t="s">
        <v>1815</v>
      </c>
      <c r="G3447" s="45" t="s">
        <v>37</v>
      </c>
      <c r="H3447" s="51">
        <f t="shared" si="55"/>
        <v>0</v>
      </c>
      <c r="I3447" s="47"/>
      <c r="J3447" s="48">
        <f>VLOOKUP(A3447,'[1]תקציב 2026'!$A$1:$M$65536,9,0)</f>
        <v>720</v>
      </c>
      <c r="K3447" s="49">
        <f>VLOOKUP(A3447,[3]גיליון1!$A$1:$C$7693,3,0)*0.9</f>
        <v>720</v>
      </c>
      <c r="L3447" s="50">
        <f>VLOOKUP(A3447,[2]data1761205830331!$A$1:$J$65536,10,0)</f>
        <v>0</v>
      </c>
    </row>
    <row r="3448" spans="1:12" ht="15.6" outlineLevel="1">
      <c r="A3448" s="11">
        <v>1841000693</v>
      </c>
      <c r="B3448" s="40">
        <v>693</v>
      </c>
      <c r="C3448" s="109">
        <v>841000</v>
      </c>
      <c r="D3448" s="42">
        <v>1</v>
      </c>
      <c r="E3448" s="43"/>
      <c r="F3448" s="44" t="s">
        <v>1816</v>
      </c>
      <c r="G3448" s="45" t="s">
        <v>37</v>
      </c>
      <c r="H3448" s="51">
        <v>1</v>
      </c>
      <c r="I3448" s="47" t="s">
        <v>86</v>
      </c>
      <c r="J3448" s="48">
        <f>VLOOKUP(A3448,'[1]תקציב 2026'!$A$1:$M$65536,9,0)</f>
        <v>0</v>
      </c>
      <c r="K3448" s="49">
        <v>0</v>
      </c>
      <c r="L3448" s="50">
        <v>0</v>
      </c>
    </row>
    <row r="3449" spans="1:12" ht="15.6" outlineLevel="1">
      <c r="A3449" s="11">
        <v>1841000721</v>
      </c>
      <c r="B3449" s="40">
        <v>721</v>
      </c>
      <c r="C3449" s="109">
        <v>841000</v>
      </c>
      <c r="D3449" s="42">
        <v>1</v>
      </c>
      <c r="E3449" s="43"/>
      <c r="F3449" s="44" t="s">
        <v>50</v>
      </c>
      <c r="G3449" s="45" t="s">
        <v>37</v>
      </c>
      <c r="H3449" s="51">
        <v>0</v>
      </c>
      <c r="I3449" s="47"/>
      <c r="J3449" s="48">
        <f>VLOOKUP(A3449,'[1]תקציב 2026'!$A$1:$M$65536,9,0)</f>
        <v>0</v>
      </c>
      <c r="K3449" s="49">
        <v>0</v>
      </c>
      <c r="L3449" s="50">
        <f>VLOOKUP(A3449,[2]data1761205830331!$A$1:$J$65536,10,0)</f>
        <v>4877</v>
      </c>
    </row>
    <row r="3450" spans="1:12" ht="15.6" outlineLevel="1">
      <c r="A3450" s="11">
        <v>1841000750</v>
      </c>
      <c r="B3450" s="40">
        <v>750</v>
      </c>
      <c r="C3450" s="109">
        <v>841000</v>
      </c>
      <c r="D3450" s="42">
        <v>1</v>
      </c>
      <c r="E3450" s="43"/>
      <c r="F3450" s="44" t="s">
        <v>1351</v>
      </c>
      <c r="G3450" s="45" t="s">
        <v>29</v>
      </c>
      <c r="H3450" s="51">
        <f t="shared" si="55"/>
        <v>-6.1130815773002278E-2</v>
      </c>
      <c r="I3450" s="47"/>
      <c r="J3450" s="48">
        <f>VLOOKUP(A3450,'[1]תקציב 2026'!$A$1:$M$65536,9,0)</f>
        <v>450000</v>
      </c>
      <c r="K3450" s="49">
        <f>155265+24426+23647+24370+24380+202629+24567+16</f>
        <v>479300</v>
      </c>
      <c r="L3450" s="50">
        <f>VLOOKUP(A3450,[2]data1761205830331!$A$1:$J$65536,10,0)</f>
        <v>399902</v>
      </c>
    </row>
    <row r="3451" spans="1:12" ht="15.6" outlineLevel="1">
      <c r="A3451" s="11">
        <v>1841000751</v>
      </c>
      <c r="B3451" s="40">
        <v>751</v>
      </c>
      <c r="C3451" s="109">
        <v>841000</v>
      </c>
      <c r="D3451" s="42">
        <v>1</v>
      </c>
      <c r="E3451" s="43"/>
      <c r="F3451" s="44" t="s">
        <v>53</v>
      </c>
      <c r="G3451" s="45" t="s">
        <v>37</v>
      </c>
      <c r="H3451" s="51">
        <f t="shared" si="55"/>
        <v>1.2081128747795415</v>
      </c>
      <c r="I3451" s="47"/>
      <c r="J3451" s="48">
        <f>VLOOKUP(A3451,'[1]תקציב 2026'!$A$1:$M$65536,9,0)</f>
        <v>250400</v>
      </c>
      <c r="K3451" s="49">
        <f>VLOOKUP(A3451,[3]גיליון1!$A$1:$C$7693,3,0)*0.9</f>
        <v>113400</v>
      </c>
      <c r="L3451" s="50">
        <f>VLOOKUP(A3451,[2]data1761205830331!$A$1:$J$65536,10,0)</f>
        <v>101417</v>
      </c>
    </row>
    <row r="3452" spans="1:12" ht="15.6" outlineLevel="1">
      <c r="A3452" s="11">
        <v>1841000752</v>
      </c>
      <c r="B3452" s="40">
        <v>752</v>
      </c>
      <c r="C3452" s="109">
        <v>841000</v>
      </c>
      <c r="D3452" s="42">
        <v>1</v>
      </c>
      <c r="E3452" s="43"/>
      <c r="F3452" s="44" t="s">
        <v>54</v>
      </c>
      <c r="G3452" s="45" t="s">
        <v>29</v>
      </c>
      <c r="H3452" s="51">
        <f t="shared" si="55"/>
        <v>1.712328767123239E-3</v>
      </c>
      <c r="I3452" s="47"/>
      <c r="J3452" s="48">
        <f>VLOOKUP(A3452,'[1]תקציב 2026'!$A$1:$M$65536,9,0)</f>
        <v>585000</v>
      </c>
      <c r="K3452" s="49">
        <f>VLOOKUP(A3452,[3]גיליון1!$A$1:$C$7693,3,0)</f>
        <v>584000</v>
      </c>
      <c r="L3452" s="50">
        <f>VLOOKUP(A3452,[2]data1761205830331!$A$1:$J$65536,10,0)</f>
        <v>609059.98</v>
      </c>
    </row>
    <row r="3453" spans="1:12" ht="15.6" outlineLevel="1">
      <c r="A3453" s="11">
        <v>1841000756</v>
      </c>
      <c r="B3453" s="40">
        <v>756</v>
      </c>
      <c r="C3453" s="109">
        <v>841000</v>
      </c>
      <c r="D3453" s="42">
        <v>1</v>
      </c>
      <c r="E3453" s="43"/>
      <c r="F3453" s="44" t="s">
        <v>1817</v>
      </c>
      <c r="G3453" s="45" t="s">
        <v>29</v>
      </c>
      <c r="H3453" s="51">
        <f t="shared" si="55"/>
        <v>0</v>
      </c>
      <c r="I3453" s="47"/>
      <c r="J3453" s="48">
        <f>VLOOKUP(A3453,'[1]תקציב 2026'!$A$1:$M$65536,9,0)</f>
        <v>1006400</v>
      </c>
      <c r="K3453" s="49">
        <f>VLOOKUP(A3453,[3]גיליון1!$A$1:$C$7693,3,0)+206400</f>
        <v>1006400</v>
      </c>
      <c r="L3453" s="50">
        <f>VLOOKUP(A3453,[2]data1761205830331!$A$1:$J$65536,10,0)</f>
        <v>741879.71</v>
      </c>
    </row>
    <row r="3454" spans="1:12" ht="15.6" outlineLevel="1">
      <c r="A3454" s="11">
        <v>1841000780</v>
      </c>
      <c r="B3454" s="40">
        <v>780</v>
      </c>
      <c r="C3454" s="109">
        <v>841000</v>
      </c>
      <c r="D3454" s="42">
        <v>1</v>
      </c>
      <c r="E3454" s="43"/>
      <c r="F3454" s="44" t="s">
        <v>1156</v>
      </c>
      <c r="G3454" s="45" t="s">
        <v>37</v>
      </c>
      <c r="H3454" s="51">
        <f t="shared" si="55"/>
        <v>0.39077764751856203</v>
      </c>
      <c r="I3454" s="47"/>
      <c r="J3454" s="48">
        <f>VLOOKUP(A3454,'[1]תקציב 2026'!$A$1:$M$65536,9,0)</f>
        <v>106770</v>
      </c>
      <c r="K3454" s="49">
        <f>VLOOKUP(A3454,[3]גיליון1!$A$1:$C$7693,3,0)*0.9</f>
        <v>76770</v>
      </c>
      <c r="L3454" s="50">
        <f>VLOOKUP(A3454,[2]data1761205830331!$A$1:$J$65536,10,0)</f>
        <v>72678.34</v>
      </c>
    </row>
    <row r="3455" spans="1:12" ht="15.6" outlineLevel="1">
      <c r="A3455" s="11">
        <v>1841000781</v>
      </c>
      <c r="B3455" s="40">
        <v>781</v>
      </c>
      <c r="C3455" s="109">
        <v>841000</v>
      </c>
      <c r="D3455" s="42">
        <v>1</v>
      </c>
      <c r="E3455" s="43"/>
      <c r="F3455" s="44" t="s">
        <v>775</v>
      </c>
      <c r="G3455" s="45" t="s">
        <v>37</v>
      </c>
      <c r="H3455" s="51">
        <f t="shared" si="55"/>
        <v>5.0000000000000044E-2</v>
      </c>
      <c r="I3455" s="47"/>
      <c r="J3455" s="48">
        <f>VLOOKUP(A3455,'[1]תקציב 2026'!$A$1:$M$65536,9,0)</f>
        <v>37800</v>
      </c>
      <c r="K3455" s="49">
        <f>VLOOKUP(A3455,[3]גיליון1!$A$1:$C$7693,3,0)*0.9</f>
        <v>36000</v>
      </c>
      <c r="L3455" s="50">
        <f>VLOOKUP(A3455,[2]data1761205830331!$A$1:$J$65536,10,0)</f>
        <v>39767.74</v>
      </c>
    </row>
    <row r="3456" spans="1:12" ht="17.25" customHeight="1" outlineLevel="1">
      <c r="A3456" s="11">
        <v>1841000782</v>
      </c>
      <c r="B3456" s="40">
        <v>782</v>
      </c>
      <c r="C3456" s="109">
        <v>841000</v>
      </c>
      <c r="D3456" s="42">
        <v>1</v>
      </c>
      <c r="E3456" s="43"/>
      <c r="F3456" s="44" t="s">
        <v>1818</v>
      </c>
      <c r="G3456" s="45" t="s">
        <v>37</v>
      </c>
      <c r="H3456" s="51">
        <f t="shared" si="55"/>
        <v>0.12555989018927893</v>
      </c>
      <c r="I3456" s="47"/>
      <c r="J3456" s="48">
        <f>VLOOKUP(A3456,'[1]תקציב 2026'!$A$1:$M$65536,9,0)</f>
        <v>155800</v>
      </c>
      <c r="K3456" s="49">
        <f>(103800+50000)*0.9</f>
        <v>138420</v>
      </c>
      <c r="L3456" s="50">
        <f>VLOOKUP(A3456,[2]data1761205830331!$A$1:$J$65536,10,0)</f>
        <v>58132.82</v>
      </c>
    </row>
    <row r="3457" spans="1:12" ht="15.6" outlineLevel="1">
      <c r="A3457" s="11">
        <v>1841000783</v>
      </c>
      <c r="B3457" s="40">
        <v>783</v>
      </c>
      <c r="C3457" s="109">
        <v>841000</v>
      </c>
      <c r="D3457" s="42">
        <v>1</v>
      </c>
      <c r="E3457" s="43"/>
      <c r="F3457" s="44" t="s">
        <v>1819</v>
      </c>
      <c r="G3457" s="45" t="s">
        <v>29</v>
      </c>
      <c r="H3457" s="51">
        <f t="shared" si="55"/>
        <v>0</v>
      </c>
      <c r="I3457" s="47"/>
      <c r="J3457" s="48">
        <f>VLOOKUP(A3457,'[1]תקציב 2026'!$A$1:$M$65536,9,0)</f>
        <v>51300</v>
      </c>
      <c r="K3457" s="49">
        <f>VLOOKUP(A3457,[3]גיליון1!$A$1:$C$7693,3,0)*0.9</f>
        <v>51300</v>
      </c>
      <c r="L3457" s="50">
        <f>VLOOKUP(A3457,[2]data1761205830331!$A$1:$J$65536,10,0)</f>
        <v>41831.629999999997</v>
      </c>
    </row>
    <row r="3458" spans="1:12" ht="15.6" outlineLevel="1">
      <c r="A3458" s="11">
        <v>1841000784</v>
      </c>
      <c r="B3458" s="40">
        <v>784</v>
      </c>
      <c r="C3458" s="109">
        <v>841000</v>
      </c>
      <c r="D3458" s="42">
        <v>1</v>
      </c>
      <c r="E3458" s="43"/>
      <c r="F3458" s="44" t="s">
        <v>1820</v>
      </c>
      <c r="G3458" s="45" t="s">
        <v>37</v>
      </c>
      <c r="H3458" s="51">
        <f t="shared" si="55"/>
        <v>0</v>
      </c>
      <c r="I3458" s="47"/>
      <c r="J3458" s="48">
        <f>VLOOKUP(A3458,'[1]תקציב 2026'!$A$1:$M$65536,9,0)</f>
        <v>1600</v>
      </c>
      <c r="K3458" s="49">
        <f>VLOOKUP(A3458,[3]גיליון1!$A$1:$C$7693,3,0)</f>
        <v>1600</v>
      </c>
      <c r="L3458" s="50">
        <f>VLOOKUP(A3458,[2]data1761205830331!$A$1:$J$65536,10,0)</f>
        <v>0</v>
      </c>
    </row>
    <row r="3459" spans="1:12" ht="15.6" outlineLevel="1">
      <c r="A3459" s="11">
        <v>1841000785</v>
      </c>
      <c r="B3459" s="40">
        <v>785</v>
      </c>
      <c r="C3459" s="109">
        <v>841000</v>
      </c>
      <c r="D3459" s="42">
        <v>1</v>
      </c>
      <c r="E3459" s="43"/>
      <c r="F3459" s="44" t="s">
        <v>1821</v>
      </c>
      <c r="G3459" s="45" t="s">
        <v>37</v>
      </c>
      <c r="H3459" s="51">
        <f t="shared" si="55"/>
        <v>0</v>
      </c>
      <c r="I3459" s="47"/>
      <c r="J3459" s="48">
        <f>VLOOKUP(A3459,'[1]תקציב 2026'!$A$1:$M$65536,9,0)</f>
        <v>4050</v>
      </c>
      <c r="K3459" s="49">
        <f>VLOOKUP(A3459,[3]גיליון1!$A$1:$C$7693,3,0)*0.9</f>
        <v>4050</v>
      </c>
      <c r="L3459" s="50">
        <f>VLOOKUP(A3459,[2]data1761205830331!$A$1:$J$65536,10,0)</f>
        <v>0</v>
      </c>
    </row>
    <row r="3460" spans="1:12" ht="15.6" outlineLevel="1">
      <c r="A3460" s="11">
        <v>1841000786</v>
      </c>
      <c r="B3460" s="40">
        <v>786</v>
      </c>
      <c r="C3460" s="109">
        <v>841000</v>
      </c>
      <c r="D3460" s="42">
        <v>1</v>
      </c>
      <c r="E3460" s="43"/>
      <c r="F3460" s="44" t="s">
        <v>1822</v>
      </c>
      <c r="G3460" s="45" t="s">
        <v>37</v>
      </c>
      <c r="H3460" s="51">
        <f t="shared" si="55"/>
        <v>0</v>
      </c>
      <c r="I3460" s="47"/>
      <c r="J3460" s="48">
        <f>VLOOKUP(A3460,'[1]תקציב 2026'!$A$1:$M$65536,9,0)</f>
        <v>4500</v>
      </c>
      <c r="K3460" s="49">
        <f>VLOOKUP(A3460,[3]גיליון1!$A$1:$C$7693,3,0)*0.9</f>
        <v>4500</v>
      </c>
      <c r="L3460" s="50">
        <f>VLOOKUP(A3460,[2]data1761205830331!$A$1:$J$65536,10,0)</f>
        <v>0</v>
      </c>
    </row>
    <row r="3461" spans="1:12" ht="15.6" outlineLevel="1">
      <c r="A3461" s="11">
        <v>1841000794</v>
      </c>
      <c r="B3461" s="40">
        <v>794</v>
      </c>
      <c r="C3461" s="109">
        <v>841000</v>
      </c>
      <c r="D3461" s="42">
        <v>1</v>
      </c>
      <c r="E3461" s="43"/>
      <c r="F3461" s="44" t="s">
        <v>58</v>
      </c>
      <c r="G3461" s="45" t="s">
        <v>29</v>
      </c>
      <c r="H3461" s="51">
        <f t="shared" si="55"/>
        <v>0</v>
      </c>
      <c r="I3461" s="47"/>
      <c r="J3461" s="48">
        <f>VLOOKUP(A3461,'[1]תקציב 2026'!$A$1:$M$65536,9,0)</f>
        <v>48000</v>
      </c>
      <c r="K3461" s="49">
        <v>48000</v>
      </c>
      <c r="L3461" s="50">
        <f>VLOOKUP(A3461,[2]data1761205830331!$A$1:$J$65536,10,0)</f>
        <v>57251</v>
      </c>
    </row>
    <row r="3462" spans="1:12" ht="15.6" outlineLevel="1">
      <c r="A3462" s="11">
        <v>1841000815</v>
      </c>
      <c r="B3462" s="40">
        <v>815</v>
      </c>
      <c r="C3462" s="109">
        <v>841000</v>
      </c>
      <c r="D3462" s="42">
        <v>1</v>
      </c>
      <c r="E3462" s="43"/>
      <c r="F3462" s="44" t="s">
        <v>532</v>
      </c>
      <c r="G3462" s="45" t="s">
        <v>29</v>
      </c>
      <c r="H3462" s="51">
        <f t="shared" si="55"/>
        <v>0</v>
      </c>
      <c r="I3462" s="47"/>
      <c r="J3462" s="48">
        <f>VLOOKUP(A3462,'[1]תקציב 2026'!$A$1:$M$65536,9,0)</f>
        <v>722400</v>
      </c>
      <c r="K3462" s="49">
        <f>VLOOKUP(A3462,[3]גיליון1!$A$1:$C$7693,3,0)+236400</f>
        <v>722400</v>
      </c>
      <c r="L3462" s="50">
        <f>VLOOKUP(A3462,[2]data1761205830331!$A$1:$J$65536,10,0)</f>
        <v>528175.02</v>
      </c>
    </row>
    <row r="3463" spans="1:12" ht="15.6" outlineLevel="1">
      <c r="A3463" s="11">
        <v>1841000817</v>
      </c>
      <c r="B3463" s="40">
        <v>817</v>
      </c>
      <c r="C3463" s="109">
        <v>841000</v>
      </c>
      <c r="D3463" s="42">
        <v>1</v>
      </c>
      <c r="E3463" s="43"/>
      <c r="F3463" s="44" t="s">
        <v>533</v>
      </c>
      <c r="G3463" s="45" t="s">
        <v>29</v>
      </c>
      <c r="H3463" s="51">
        <f t="shared" si="55"/>
        <v>0</v>
      </c>
      <c r="I3463" s="47"/>
      <c r="J3463" s="48">
        <f>VLOOKUP(A3463,'[1]תקציב 2026'!$A$1:$M$65536,9,0)</f>
        <v>76000</v>
      </c>
      <c r="K3463" s="49">
        <f>VLOOKUP(A3463,[3]גיליון1!$A$1:$C$7693,3,0)</f>
        <v>76000</v>
      </c>
      <c r="L3463" s="50">
        <f>VLOOKUP(A3463,[2]data1761205830331!$A$1:$J$65536,10,0)</f>
        <v>0</v>
      </c>
    </row>
    <row r="3464" spans="1:12" ht="15.6" outlineLevel="1">
      <c r="A3464" s="11">
        <v>1841000930</v>
      </c>
      <c r="B3464" s="40">
        <v>930</v>
      </c>
      <c r="C3464" s="109">
        <v>841000</v>
      </c>
      <c r="D3464" s="42">
        <v>1</v>
      </c>
      <c r="E3464" s="43"/>
      <c r="F3464" s="44" t="s">
        <v>530</v>
      </c>
      <c r="G3464" s="45" t="s">
        <v>37</v>
      </c>
      <c r="H3464" s="51">
        <v>0</v>
      </c>
      <c r="I3464" s="47"/>
      <c r="J3464" s="48">
        <f>VLOOKUP(A3464,'[1]תקציב 2026'!$A$1:$M$65536,9,0)</f>
        <v>0</v>
      </c>
      <c r="K3464" s="49">
        <v>0</v>
      </c>
      <c r="L3464" s="50">
        <f>VLOOKUP(A3464,[2]data1761205830331!$A$1:$J$65536,10,0)</f>
        <v>119837.45</v>
      </c>
    </row>
    <row r="3465" spans="1:12" ht="15.6" outlineLevel="1">
      <c r="A3465" s="11">
        <v>1841000931</v>
      </c>
      <c r="B3465" s="40">
        <v>931</v>
      </c>
      <c r="C3465" s="109">
        <v>841000</v>
      </c>
      <c r="D3465" s="42">
        <v>1</v>
      </c>
      <c r="E3465" s="43"/>
      <c r="F3465" s="44" t="s">
        <v>78</v>
      </c>
      <c r="G3465" s="45" t="s">
        <v>37</v>
      </c>
      <c r="H3465" s="51">
        <f t="shared" si="55"/>
        <v>0.35209235209235201</v>
      </c>
      <c r="I3465" s="47"/>
      <c r="J3465" s="48">
        <f>VLOOKUP(A3465,'[1]תקציב 2026'!$A$1:$M$65536,9,0)</f>
        <v>46850</v>
      </c>
      <c r="K3465" s="49">
        <f>VLOOKUP(A3465,[3]גיליון1!$A$1:$C$7693,3,0)*0.9</f>
        <v>34650</v>
      </c>
      <c r="L3465" s="50">
        <f>VLOOKUP(A3465,[2]data1761205830331!$A$1:$J$65536,10,0)</f>
        <v>37314.44</v>
      </c>
    </row>
    <row r="3466" spans="1:12" ht="15.6" outlineLevel="1">
      <c r="A3466" s="11">
        <v>1841000961</v>
      </c>
      <c r="B3466" s="40">
        <v>961</v>
      </c>
      <c r="C3466" s="109">
        <v>841000</v>
      </c>
      <c r="D3466" s="42">
        <v>1</v>
      </c>
      <c r="E3466" s="43"/>
      <c r="F3466" s="44" t="s">
        <v>1823</v>
      </c>
      <c r="G3466" s="45" t="s">
        <v>37</v>
      </c>
      <c r="H3466" s="51">
        <f t="shared" si="55"/>
        <v>0</v>
      </c>
      <c r="I3466" s="47"/>
      <c r="J3466" s="48">
        <f>VLOOKUP(A3466,'[1]תקציב 2026'!$A$1:$M$65536,9,0)</f>
        <v>17520</v>
      </c>
      <c r="K3466" s="49">
        <v>17520</v>
      </c>
      <c r="L3466" s="50">
        <f>VLOOKUP(A3466,[2]data1761205830331!$A$1:$J$65536,10,0)</f>
        <v>12535.91</v>
      </c>
    </row>
    <row r="3467" spans="1:12" ht="16.2" outlineLevel="1" thickBot="1">
      <c r="A3467" s="11">
        <v>1841000980</v>
      </c>
      <c r="B3467" s="40">
        <v>980</v>
      </c>
      <c r="C3467" s="109">
        <v>841000</v>
      </c>
      <c r="D3467" s="42">
        <v>1</v>
      </c>
      <c r="E3467" s="43"/>
      <c r="F3467" s="44" t="s">
        <v>534</v>
      </c>
      <c r="G3467" s="45" t="s">
        <v>37</v>
      </c>
      <c r="H3467" s="51">
        <f t="shared" si="55"/>
        <v>0</v>
      </c>
      <c r="I3467" s="47"/>
      <c r="J3467" s="48">
        <f>VLOOKUP(A3467,'[1]תקציב 2026'!$A$1:$M$65536,9,0)</f>
        <v>80000</v>
      </c>
      <c r="K3467" s="49">
        <f>VLOOKUP(A3467,[3]גיליון1!$A$1:$C$7693,3,0)</f>
        <v>80000</v>
      </c>
      <c r="L3467" s="50">
        <f>VLOOKUP(A3467,[2]data1761205830331!$A$1:$J$65536,10,0)</f>
        <v>74903.58</v>
      </c>
    </row>
    <row r="3468" spans="1:12" ht="16.2" thickBot="1">
      <c r="A3468" s="11" t="e">
        <v>#VALUE!</v>
      </c>
      <c r="B3468" s="53" t="s">
        <v>1824</v>
      </c>
      <c r="C3468" s="223"/>
      <c r="D3468" s="55"/>
      <c r="E3468" s="56"/>
      <c r="F3468" s="116" t="s">
        <v>536</v>
      </c>
      <c r="G3468" s="58"/>
      <c r="H3468" s="71">
        <f>J3468/K3468-1</f>
        <v>-1.1543847880135405E-2</v>
      </c>
      <c r="I3468" s="72"/>
      <c r="J3468" s="74">
        <f>SUBTOTAL(9,J3418:J3467)</f>
        <v>14292730</v>
      </c>
      <c r="K3468" s="92">
        <f>SUBTOTAL(9,K3418:K3467)</f>
        <v>14459650</v>
      </c>
      <c r="L3468" s="75">
        <f>SUBTOTAL(9,L3418:L3467)</f>
        <v>11863090.810000002</v>
      </c>
    </row>
    <row r="3469" spans="1:12" ht="15.6" outlineLevel="1">
      <c r="A3469" s="11">
        <v>18420000</v>
      </c>
      <c r="B3469" s="40">
        <v>0</v>
      </c>
      <c r="C3469" s="109">
        <v>842000</v>
      </c>
      <c r="D3469" s="42">
        <v>1</v>
      </c>
      <c r="E3469" s="43"/>
      <c r="F3469" s="44" t="s">
        <v>537</v>
      </c>
      <c r="G3469" s="45" t="s">
        <v>15</v>
      </c>
      <c r="H3469" s="51"/>
      <c r="I3469" s="47"/>
      <c r="J3469" s="48"/>
      <c r="K3469" s="49"/>
      <c r="L3469" s="50"/>
    </row>
    <row r="3470" spans="1:12" ht="15.6" outlineLevel="1">
      <c r="A3470" s="11">
        <v>1842500110</v>
      </c>
      <c r="B3470" s="40">
        <v>110</v>
      </c>
      <c r="C3470" s="109">
        <v>842500</v>
      </c>
      <c r="D3470" s="42">
        <v>1</v>
      </c>
      <c r="E3470" s="43"/>
      <c r="F3470" s="44" t="s">
        <v>21</v>
      </c>
      <c r="G3470" s="45" t="s">
        <v>22</v>
      </c>
      <c r="H3470" s="51">
        <f t="shared" si="55"/>
        <v>2.5001210360687587E-2</v>
      </c>
      <c r="I3470" s="47"/>
      <c r="J3470" s="48">
        <f>VLOOKUP(A3470,'[1]תקציב 2026'!$A$1:$M$65536,9,0)</f>
        <v>4234280</v>
      </c>
      <c r="K3470" s="49">
        <v>4131000</v>
      </c>
      <c r="L3470" s="50">
        <f>VLOOKUP(A3470,[2]data1761205830331!$A$1:$J$65536,10,0)</f>
        <v>3879511.22</v>
      </c>
    </row>
    <row r="3471" spans="1:12" ht="15.6" outlineLevel="1">
      <c r="A3471" s="11">
        <v>1842500119</v>
      </c>
      <c r="B3471" s="40">
        <v>119</v>
      </c>
      <c r="C3471" s="109">
        <v>842500</v>
      </c>
      <c r="D3471" s="42">
        <v>1</v>
      </c>
      <c r="E3471" s="43"/>
      <c r="F3471" s="44" t="s">
        <v>23</v>
      </c>
      <c r="G3471" s="45" t="s">
        <v>22</v>
      </c>
      <c r="H3471" s="51">
        <f t="shared" si="55"/>
        <v>4.2874259444274365E-2</v>
      </c>
      <c r="I3471" s="47"/>
      <c r="J3471" s="48">
        <v>28287860</v>
      </c>
      <c r="K3471" s="49">
        <f>26962900+162000</f>
        <v>27124900</v>
      </c>
      <c r="L3471" s="50">
        <f>VLOOKUP(A3471,[2]data1761205830331!$A$1:$J$65536,10,0)</f>
        <v>22059086.030000001</v>
      </c>
    </row>
    <row r="3472" spans="1:12" ht="15.6" outlineLevel="1">
      <c r="A3472" s="11">
        <v>1842500122</v>
      </c>
      <c r="B3472" s="40">
        <v>122</v>
      </c>
      <c r="C3472" s="109">
        <v>842500</v>
      </c>
      <c r="D3472" s="42">
        <v>1</v>
      </c>
      <c r="E3472" s="43"/>
      <c r="F3472" s="44" t="s">
        <v>24</v>
      </c>
      <c r="G3472" s="45" t="s">
        <v>22</v>
      </c>
      <c r="H3472" s="51">
        <f t="shared" si="55"/>
        <v>1.372968349016257E-2</v>
      </c>
      <c r="I3472" s="47"/>
      <c r="J3472" s="48">
        <v>237010</v>
      </c>
      <c r="K3472" s="49">
        <f>VLOOKUP(A3472,[3]גיליון1!$A$1:$C$7693,3,0)</f>
        <v>233800</v>
      </c>
      <c r="L3472" s="50">
        <f>VLOOKUP(A3472,[2]data1761205830331!$A$1:$J$65536,10,0)</f>
        <v>238073.84</v>
      </c>
    </row>
    <row r="3473" spans="1:12" ht="15.6" outlineLevel="1">
      <c r="A3473" s="11">
        <v>1842500126</v>
      </c>
      <c r="B3473" s="40">
        <v>126</v>
      </c>
      <c r="C3473" s="109">
        <v>842500</v>
      </c>
      <c r="D3473" s="42">
        <v>1</v>
      </c>
      <c r="E3473" s="43"/>
      <c r="F3473" s="44" t="s">
        <v>25</v>
      </c>
      <c r="G3473" s="45" t="s">
        <v>22</v>
      </c>
      <c r="H3473" s="51">
        <f t="shared" si="55"/>
        <v>1.3737704918032723E-2</v>
      </c>
      <c r="I3473" s="47"/>
      <c r="J3473" s="48">
        <v>618380</v>
      </c>
      <c r="K3473" s="49">
        <f>VLOOKUP(A3473,[3]גיליון1!$A$1:$C$7693,3,0)</f>
        <v>610000</v>
      </c>
      <c r="L3473" s="50">
        <f>VLOOKUP(A3473,[2]data1761205830331!$A$1:$J$65536,10,0)</f>
        <v>605656.03</v>
      </c>
    </row>
    <row r="3474" spans="1:12" ht="15.6" outlineLevel="1">
      <c r="A3474" s="11">
        <v>1842500130</v>
      </c>
      <c r="B3474" s="40">
        <v>130</v>
      </c>
      <c r="C3474" s="109">
        <v>842500</v>
      </c>
      <c r="D3474" s="42">
        <v>1</v>
      </c>
      <c r="E3474" s="43"/>
      <c r="F3474" s="44" t="s">
        <v>26</v>
      </c>
      <c r="G3474" s="45" t="s">
        <v>22</v>
      </c>
      <c r="H3474" s="51">
        <f t="shared" si="55"/>
        <v>0</v>
      </c>
      <c r="I3474" s="47"/>
      <c r="J3474" s="48">
        <f>VLOOKUP(A3474,'[1]תקציב 2026'!$A$1:$M$65536,9,0)</f>
        <v>1076000</v>
      </c>
      <c r="K3474" s="49">
        <v>1076000</v>
      </c>
      <c r="L3474" s="50">
        <f>VLOOKUP(A3474,[2]data1761205830331!$A$1:$J$65536,10,0)</f>
        <v>1590729.13</v>
      </c>
    </row>
    <row r="3475" spans="1:12" ht="15.6" outlineLevel="1">
      <c r="A3475" s="11">
        <v>1842500140</v>
      </c>
      <c r="B3475" s="40">
        <v>140</v>
      </c>
      <c r="C3475" s="109">
        <v>842500</v>
      </c>
      <c r="D3475" s="42">
        <v>1</v>
      </c>
      <c r="E3475" s="43"/>
      <c r="F3475" s="44" t="s">
        <v>27</v>
      </c>
      <c r="G3475" s="45" t="s">
        <v>22</v>
      </c>
      <c r="H3475" s="51">
        <f t="shared" si="55"/>
        <v>0</v>
      </c>
      <c r="I3475" s="47"/>
      <c r="J3475" s="48">
        <f>VLOOKUP(A3475,'[1]תקציב 2026'!$A$1:$M$65536,9,0)</f>
        <v>2397300</v>
      </c>
      <c r="K3475" s="49">
        <f>VLOOKUP(A3475,[3]גיליון1!$A$1:$C$7693,3,0)</f>
        <v>2397300</v>
      </c>
      <c r="L3475" s="50">
        <f>VLOOKUP(A3475,[2]data1761205830331!$A$1:$J$65536,10,0)</f>
        <v>2266237.91</v>
      </c>
    </row>
    <row r="3476" spans="1:12" ht="15.6" outlineLevel="1">
      <c r="A3476" s="11">
        <v>1842500512</v>
      </c>
      <c r="B3476" s="40">
        <v>512</v>
      </c>
      <c r="C3476" s="109">
        <v>842500</v>
      </c>
      <c r="D3476" s="42">
        <v>1</v>
      </c>
      <c r="E3476" s="43"/>
      <c r="F3476" s="44" t="s">
        <v>1825</v>
      </c>
      <c r="G3476" s="45" t="s">
        <v>37</v>
      </c>
      <c r="H3476" s="51">
        <f t="shared" si="55"/>
        <v>1.246031746031746</v>
      </c>
      <c r="I3476" s="47"/>
      <c r="J3476" s="48">
        <f>VLOOKUP(A3476,'[1]תקציב 2026'!$A$1:$M$65536,9,0)</f>
        <v>283000</v>
      </c>
      <c r="K3476" s="49">
        <f>140000*0.9</f>
        <v>126000</v>
      </c>
      <c r="L3476" s="50">
        <f>VLOOKUP(A3476,[2]data1761205830331!$A$1:$J$65536,10,0)</f>
        <v>49496.7</v>
      </c>
    </row>
    <row r="3477" spans="1:12" ht="15.6" outlineLevel="1">
      <c r="A3477" s="11">
        <v>1842500571</v>
      </c>
      <c r="B3477" s="40">
        <v>571</v>
      </c>
      <c r="C3477" s="109">
        <v>842500</v>
      </c>
      <c r="D3477" s="42">
        <v>1</v>
      </c>
      <c r="E3477" s="43"/>
      <c r="F3477" s="44" t="s">
        <v>75</v>
      </c>
      <c r="G3477" s="45" t="s">
        <v>29</v>
      </c>
      <c r="H3477" s="51">
        <f t="shared" si="55"/>
        <v>0.65163856463467362</v>
      </c>
      <c r="I3477" s="47"/>
      <c r="J3477" s="48">
        <f>VLOOKUP(A3477,'[1]תקציב 2026'!$A$1:$M$65536,9,0)</f>
        <v>1910120</v>
      </c>
      <c r="K3477" s="49">
        <v>1156500</v>
      </c>
      <c r="L3477" s="50">
        <f>VLOOKUP(A3477,[2]data1761205830331!$A$1:$J$65536,10,0)</f>
        <v>1167500</v>
      </c>
    </row>
    <row r="3478" spans="1:12" ht="15.6" outlineLevel="1">
      <c r="A3478" s="11">
        <v>1842500781</v>
      </c>
      <c r="B3478" s="40">
        <v>781</v>
      </c>
      <c r="C3478" s="109">
        <v>842500</v>
      </c>
      <c r="D3478" s="42">
        <v>1</v>
      </c>
      <c r="E3478" s="43"/>
      <c r="F3478" s="44" t="s">
        <v>1826</v>
      </c>
      <c r="G3478" s="45" t="s">
        <v>29</v>
      </c>
      <c r="H3478" s="51">
        <f t="shared" si="55"/>
        <v>0</v>
      </c>
      <c r="I3478" s="47"/>
      <c r="J3478" s="48">
        <f>VLOOKUP(A3478,'[1]תקציב 2026'!$A$1:$M$65536,9,0)</f>
        <v>72000</v>
      </c>
      <c r="K3478" s="49">
        <f>VLOOKUP(A3478,[3]גיליון1!$A$1:$C$7693,3,0)*0.9</f>
        <v>72000</v>
      </c>
      <c r="L3478" s="50">
        <f>VLOOKUP(A3478,[2]data1761205830331!$A$1:$J$65536,10,0)</f>
        <v>66393.69</v>
      </c>
    </row>
    <row r="3479" spans="1:12" s="204" customFormat="1" ht="15.75" customHeight="1" outlineLevel="1">
      <c r="A3479" s="11">
        <v>1842500783</v>
      </c>
      <c r="B3479" s="40">
        <v>783</v>
      </c>
      <c r="C3479" s="109">
        <v>842500</v>
      </c>
      <c r="D3479" s="42">
        <v>1</v>
      </c>
      <c r="E3479" s="43"/>
      <c r="F3479" s="44" t="s">
        <v>1827</v>
      </c>
      <c r="G3479" s="45" t="s">
        <v>29</v>
      </c>
      <c r="H3479" s="51">
        <v>0</v>
      </c>
      <c r="I3479" s="51"/>
      <c r="J3479" s="48">
        <f>VLOOKUP(A3479,'[1]תקציב 2026'!$A$1:$M$65536,9,0)</f>
        <v>0</v>
      </c>
      <c r="K3479" s="49">
        <v>0</v>
      </c>
      <c r="L3479" s="50">
        <f>VLOOKUP(A3479,[2]data1761205830331!$A$1:$J$65536,10,0)</f>
        <v>11550</v>
      </c>
    </row>
    <row r="3480" spans="1:12" ht="15.6" outlineLevel="1">
      <c r="A3480" s="11">
        <v>1842500784</v>
      </c>
      <c r="B3480" s="40">
        <v>784</v>
      </c>
      <c r="C3480" s="109">
        <v>842500</v>
      </c>
      <c r="D3480" s="42">
        <v>1</v>
      </c>
      <c r="E3480" s="43"/>
      <c r="F3480" s="44" t="s">
        <v>1828</v>
      </c>
      <c r="G3480" s="45" t="s">
        <v>37</v>
      </c>
      <c r="H3480" s="51">
        <f t="shared" ref="H3480:H3535" si="56">J3480/K3480-1</f>
        <v>-1</v>
      </c>
      <c r="I3480" s="47"/>
      <c r="J3480" s="48">
        <f>VLOOKUP(A3480,'[1]תקציב 2026'!$A$1:$M$65536,9,0)</f>
        <v>0</v>
      </c>
      <c r="K3480" s="49">
        <f>VLOOKUP(A3480,[3]גיליון1!$A$1:$C$7693,3,0)*0.9</f>
        <v>1800</v>
      </c>
      <c r="L3480" s="50">
        <f>VLOOKUP(A3480,[2]data1761205830331!$A$1:$J$65536,10,0)</f>
        <v>0</v>
      </c>
    </row>
    <row r="3481" spans="1:12" ht="15.6" outlineLevel="1">
      <c r="A3481" s="11">
        <v>1842500786</v>
      </c>
      <c r="B3481" s="40">
        <v>786</v>
      </c>
      <c r="C3481" s="109">
        <v>842500</v>
      </c>
      <c r="D3481" s="42">
        <v>1</v>
      </c>
      <c r="E3481" s="43"/>
      <c r="F3481" s="44" t="s">
        <v>1829</v>
      </c>
      <c r="G3481" s="45" t="s">
        <v>29</v>
      </c>
      <c r="H3481" s="51">
        <f t="shared" si="56"/>
        <v>-1</v>
      </c>
      <c r="I3481" s="47"/>
      <c r="J3481" s="48">
        <f>VLOOKUP(A3481,'[1]תקציב 2026'!$A$1:$M$65536,9,0)</f>
        <v>0</v>
      </c>
      <c r="K3481" s="49">
        <f>360000*0.9</f>
        <v>324000</v>
      </c>
      <c r="L3481" s="50">
        <f>VLOOKUP(A3481,[2]data1761205830331!$A$1:$J$65536,10,0)</f>
        <v>260000</v>
      </c>
    </row>
    <row r="3482" spans="1:12" ht="15.6" outlineLevel="1">
      <c r="A3482" s="11">
        <v>1842500787</v>
      </c>
      <c r="B3482" s="40">
        <v>787</v>
      </c>
      <c r="C3482" s="109">
        <v>842500</v>
      </c>
      <c r="D3482" s="42">
        <v>1</v>
      </c>
      <c r="E3482" s="43"/>
      <c r="F3482" s="11" t="s">
        <v>1830</v>
      </c>
      <c r="G3482" s="45" t="s">
        <v>29</v>
      </c>
      <c r="H3482" s="51">
        <f t="shared" si="56"/>
        <v>0.11111111111111116</v>
      </c>
      <c r="I3482" s="47"/>
      <c r="J3482" s="48">
        <f>VLOOKUP(A3482,'[1]תקציב 2026'!$A$1:$M$65536,9,0)</f>
        <v>60000</v>
      </c>
      <c r="K3482" s="49">
        <f>VLOOKUP(A3482,[3]גיליון1!$A$1:$C$7693,3,0)*0.9</f>
        <v>54000</v>
      </c>
      <c r="L3482" s="50">
        <f>VLOOKUP(A3482,[2]data1761205830331!$A$1:$J$65536,10,0)</f>
        <v>60000</v>
      </c>
    </row>
    <row r="3483" spans="1:12" ht="15.75" customHeight="1" outlineLevel="1">
      <c r="A3483" s="11">
        <v>1842500811</v>
      </c>
      <c r="B3483" s="40">
        <v>811</v>
      </c>
      <c r="C3483" s="109">
        <v>842500</v>
      </c>
      <c r="D3483" s="42">
        <v>1</v>
      </c>
      <c r="E3483" s="43"/>
      <c r="F3483" s="44" t="s">
        <v>1831</v>
      </c>
      <c r="G3483" s="45" t="s">
        <v>29</v>
      </c>
      <c r="H3483" s="51">
        <f t="shared" si="56"/>
        <v>5.6379821958457033E-2</v>
      </c>
      <c r="I3483" s="47"/>
      <c r="J3483" s="48">
        <f>VLOOKUP(A3483,'[1]תקציב 2026'!$A$1:$M$65536,9,0)</f>
        <v>356000</v>
      </c>
      <c r="K3483" s="49">
        <v>337000</v>
      </c>
      <c r="L3483" s="50">
        <f>VLOOKUP(A3483,[2]data1761205830331!$A$1:$J$65536,10,0)</f>
        <v>317610</v>
      </c>
    </row>
    <row r="3484" spans="1:12" ht="15.6" outlineLevel="1">
      <c r="A3484" s="11">
        <v>1842500812</v>
      </c>
      <c r="B3484" s="40">
        <v>812</v>
      </c>
      <c r="C3484" s="109">
        <v>842500</v>
      </c>
      <c r="D3484" s="42">
        <v>1</v>
      </c>
      <c r="E3484" s="43"/>
      <c r="F3484" s="44" t="s">
        <v>1832</v>
      </c>
      <c r="G3484" s="45" t="s">
        <v>29</v>
      </c>
      <c r="H3484" s="51">
        <f t="shared" si="56"/>
        <v>-0.4375</v>
      </c>
      <c r="I3484" s="47"/>
      <c r="J3484" s="48">
        <f>VLOOKUP(A3484,'[1]תקציב 2026'!$A$1:$M$65536,9,0)</f>
        <v>45000</v>
      </c>
      <c r="K3484" s="49">
        <v>80000</v>
      </c>
      <c r="L3484" s="50">
        <f>VLOOKUP(A3484,[2]data1761205830331!$A$1:$J$65536,10,0)</f>
        <v>43760</v>
      </c>
    </row>
    <row r="3485" spans="1:12" ht="15.6" outlineLevel="1">
      <c r="A3485" s="11">
        <v>1842500813</v>
      </c>
      <c r="B3485" s="40">
        <v>813</v>
      </c>
      <c r="C3485" s="109">
        <v>842500</v>
      </c>
      <c r="D3485" s="42">
        <v>1</v>
      </c>
      <c r="E3485" s="43"/>
      <c r="F3485" s="44" t="s">
        <v>543</v>
      </c>
      <c r="G3485" s="45" t="s">
        <v>29</v>
      </c>
      <c r="H3485" s="51">
        <f t="shared" si="56"/>
        <v>-0.4542536115569823</v>
      </c>
      <c r="I3485" s="47"/>
      <c r="J3485" s="48">
        <f>VLOOKUP(A3485,'[1]תקציב 2026'!$A$1:$M$65536,9,0)</f>
        <v>170000</v>
      </c>
      <c r="K3485" s="49">
        <f>VLOOKUP(A3485,[3]גיליון1!$A$1:$C$7693,3,0)</f>
        <v>311500</v>
      </c>
      <c r="L3485" s="50">
        <f>VLOOKUP(A3485,[2]data1761205830331!$A$1:$J$65536,10,0)</f>
        <v>101676.32</v>
      </c>
    </row>
    <row r="3486" spans="1:12" ht="15.6" outlineLevel="1">
      <c r="A3486" s="11">
        <v>1842500814</v>
      </c>
      <c r="B3486" s="40">
        <v>814</v>
      </c>
      <c r="C3486" s="109">
        <v>842500</v>
      </c>
      <c r="D3486" s="42">
        <v>1</v>
      </c>
      <c r="E3486" s="43"/>
      <c r="F3486" s="44" t="s">
        <v>546</v>
      </c>
      <c r="G3486" s="45" t="s">
        <v>29</v>
      </c>
      <c r="H3486" s="51">
        <f t="shared" si="56"/>
        <v>-0.37767405678724231</v>
      </c>
      <c r="I3486" s="47"/>
      <c r="J3486" s="48">
        <f>VLOOKUP(A3486,'[1]תקציב 2026'!$A$1:$M$65536,9,0)</f>
        <v>160000</v>
      </c>
      <c r="K3486" s="49">
        <f>VLOOKUP(A3486,[3]גיליון1!$A$1:$C$7693,3,0)</f>
        <v>257100</v>
      </c>
      <c r="L3486" s="50">
        <f>VLOOKUP(A3486,[2]data1761205830331!$A$1:$J$65536,10,0)</f>
        <v>71731</v>
      </c>
    </row>
    <row r="3487" spans="1:12" ht="15.6" outlineLevel="1">
      <c r="A3487" s="11">
        <v>1842500815</v>
      </c>
      <c r="B3487" s="40">
        <v>815</v>
      </c>
      <c r="C3487" s="109">
        <v>842500</v>
      </c>
      <c r="D3487" s="42">
        <v>1</v>
      </c>
      <c r="E3487" s="43"/>
      <c r="F3487" s="154" t="s">
        <v>551</v>
      </c>
      <c r="G3487" s="45" t="s">
        <v>29</v>
      </c>
      <c r="H3487" s="51">
        <f t="shared" si="56"/>
        <v>-0.9</v>
      </c>
      <c r="I3487" s="47"/>
      <c r="J3487" s="48">
        <f>VLOOKUP(A3487,'[1]תקציב 2026'!$A$1:$M$65536,9,0)</f>
        <v>5000</v>
      </c>
      <c r="K3487" s="49">
        <f>VLOOKUP(A3487,[3]גיליון1!$A$1:$C$7693,3,0)</f>
        <v>50000</v>
      </c>
      <c r="L3487" s="50">
        <f>VLOOKUP(A3487,[2]data1761205830331!$A$1:$J$65536,10,0)</f>
        <v>585</v>
      </c>
    </row>
    <row r="3488" spans="1:12" ht="15.6" outlineLevel="1">
      <c r="A3488" s="11">
        <v>1842500816</v>
      </c>
      <c r="B3488" s="40">
        <v>816</v>
      </c>
      <c r="C3488" s="109">
        <v>842500</v>
      </c>
      <c r="D3488" s="42">
        <v>1</v>
      </c>
      <c r="E3488" s="43"/>
      <c r="F3488" s="44" t="s">
        <v>552</v>
      </c>
      <c r="G3488" s="45" t="s">
        <v>29</v>
      </c>
      <c r="H3488" s="51">
        <f t="shared" si="56"/>
        <v>-0.41304347826086951</v>
      </c>
      <c r="I3488" s="47"/>
      <c r="J3488" s="48">
        <f>VLOOKUP(A3488,'[1]תקציב 2026'!$A$1:$M$65536,9,0)</f>
        <v>108000</v>
      </c>
      <c r="K3488" s="49">
        <f>VLOOKUP(A3488,[3]גיליון1!$A$1:$C$7693,3,0)</f>
        <v>184000</v>
      </c>
      <c r="L3488" s="50">
        <f>VLOOKUP(A3488,[2]data1761205830331!$A$1:$J$65536,10,0)</f>
        <v>147871.79999999999</v>
      </c>
    </row>
    <row r="3489" spans="1:12" ht="15.6" outlineLevel="1">
      <c r="A3489" s="11">
        <v>1842500817</v>
      </c>
      <c r="B3489" s="40">
        <v>817</v>
      </c>
      <c r="C3489" s="109">
        <v>842500</v>
      </c>
      <c r="D3489" s="42">
        <v>1</v>
      </c>
      <c r="E3489" s="43"/>
      <c r="F3489" s="44" t="s">
        <v>545</v>
      </c>
      <c r="G3489" s="45" t="s">
        <v>29</v>
      </c>
      <c r="H3489" s="51">
        <f t="shared" si="56"/>
        <v>1.8571428571428572</v>
      </c>
      <c r="I3489" s="47"/>
      <c r="J3489" s="48">
        <f>VLOOKUP(A3489,'[1]תקציב 2026'!$A$1:$M$65536,9,0)</f>
        <v>400000</v>
      </c>
      <c r="K3489" s="49">
        <f>VLOOKUP(A3489,[3]גיליון1!$A$1:$C$7693,3,0)</f>
        <v>140000</v>
      </c>
      <c r="L3489" s="50">
        <f>VLOOKUP(A3489,[2]data1761205830331!$A$1:$J$65536,10,0)</f>
        <v>143897</v>
      </c>
    </row>
    <row r="3490" spans="1:12" ht="15.6" outlineLevel="1">
      <c r="A3490" s="11">
        <v>1842500818</v>
      </c>
      <c r="B3490" s="40">
        <v>818</v>
      </c>
      <c r="C3490" s="109">
        <v>842500</v>
      </c>
      <c r="D3490" s="42">
        <v>1</v>
      </c>
      <c r="E3490" s="43"/>
      <c r="F3490" s="44" t="s">
        <v>550</v>
      </c>
      <c r="G3490" s="45" t="s">
        <v>29</v>
      </c>
      <c r="H3490" s="51">
        <f t="shared" si="56"/>
        <v>0</v>
      </c>
      <c r="I3490" s="47"/>
      <c r="J3490" s="48">
        <f>VLOOKUP(A3490,'[1]תקציב 2026'!$A$1:$M$65536,9,0)</f>
        <v>800000</v>
      </c>
      <c r="K3490" s="49">
        <v>800000</v>
      </c>
      <c r="L3490" s="50">
        <f>VLOOKUP(A3490,[2]data1761205830331!$A$1:$J$65536,10,0)</f>
        <v>710674</v>
      </c>
    </row>
    <row r="3491" spans="1:12" ht="15.6" outlineLevel="1">
      <c r="A3491" s="11">
        <v>1842500819</v>
      </c>
      <c r="B3491" s="40">
        <v>819</v>
      </c>
      <c r="C3491" s="109">
        <v>842500</v>
      </c>
      <c r="D3491" s="42">
        <v>1</v>
      </c>
      <c r="E3491" s="43"/>
      <c r="F3491" s="44" t="s">
        <v>553</v>
      </c>
      <c r="G3491" s="45" t="s">
        <v>29</v>
      </c>
      <c r="H3491" s="51">
        <f t="shared" si="56"/>
        <v>-0.57746478873239437</v>
      </c>
      <c r="I3491" s="47"/>
      <c r="J3491" s="48">
        <f>VLOOKUP(A3491,'[1]תקציב 2026'!$A$1:$M$65536,9,0)</f>
        <v>30000</v>
      </c>
      <c r="K3491" s="49">
        <f>VLOOKUP(A3491,[3]גיליון1!$A$1:$C$7693,3,0)</f>
        <v>71000</v>
      </c>
      <c r="L3491" s="50">
        <f>VLOOKUP(A3491,[2]data1761205830331!$A$1:$J$65536,10,0)</f>
        <v>7826.65</v>
      </c>
    </row>
    <row r="3492" spans="1:12" ht="18" customHeight="1" outlineLevel="1">
      <c r="A3492" s="11">
        <v>1842500820</v>
      </c>
      <c r="B3492" s="40">
        <v>820</v>
      </c>
      <c r="C3492" s="109">
        <v>842500</v>
      </c>
      <c r="D3492" s="42">
        <v>1</v>
      </c>
      <c r="E3492" s="43"/>
      <c r="F3492" s="44" t="s">
        <v>549</v>
      </c>
      <c r="G3492" s="45" t="s">
        <v>29</v>
      </c>
      <c r="H3492" s="51">
        <f t="shared" si="56"/>
        <v>0</v>
      </c>
      <c r="I3492" s="47"/>
      <c r="J3492" s="48">
        <f>VLOOKUP(A3492,'[1]תקציב 2026'!$A$1:$M$65536,9,0)</f>
        <v>337000</v>
      </c>
      <c r="K3492" s="49">
        <v>337000</v>
      </c>
      <c r="L3492" s="50">
        <f>VLOOKUP(A3492,[2]data1761205830331!$A$1:$J$65536,10,0)</f>
        <v>0</v>
      </c>
    </row>
    <row r="3493" spans="1:12" ht="15.6" outlineLevel="1">
      <c r="A3493" s="11">
        <v>1842500841</v>
      </c>
      <c r="B3493" s="40">
        <v>841</v>
      </c>
      <c r="C3493" s="109">
        <v>842500</v>
      </c>
      <c r="D3493" s="42">
        <v>1</v>
      </c>
      <c r="E3493" s="43"/>
      <c r="F3493" s="44" t="s">
        <v>547</v>
      </c>
      <c r="G3493" s="45" t="s">
        <v>29</v>
      </c>
      <c r="H3493" s="51">
        <f t="shared" si="56"/>
        <v>0</v>
      </c>
      <c r="I3493" s="47"/>
      <c r="J3493" s="48">
        <f>VLOOKUP(A3493,'[1]תקציב 2026'!$A$1:$M$65536,9,0)</f>
        <v>440700</v>
      </c>
      <c r="K3493" s="49">
        <f>VLOOKUP(A3493,[3]גיליון1!$A$1:$C$7693,3,0)-138000</f>
        <v>440700</v>
      </c>
      <c r="L3493" s="50">
        <f>VLOOKUP(A3493,[2]data1761205830331!$A$1:$J$65536,10,0)</f>
        <v>215851</v>
      </c>
    </row>
    <row r="3494" spans="1:12" ht="15.6" outlineLevel="1">
      <c r="A3494" s="11">
        <v>1842500842</v>
      </c>
      <c r="B3494" s="40">
        <v>842</v>
      </c>
      <c r="C3494" s="109">
        <v>842500</v>
      </c>
      <c r="D3494" s="42">
        <v>1</v>
      </c>
      <c r="E3494" s="43"/>
      <c r="F3494" s="44" t="s">
        <v>1833</v>
      </c>
      <c r="G3494" s="45" t="s">
        <v>29</v>
      </c>
      <c r="H3494" s="51">
        <f t="shared" si="56"/>
        <v>1.5844444444444443</v>
      </c>
      <c r="I3494" s="47"/>
      <c r="J3494" s="48">
        <f>VLOOKUP(A3494,'[1]תקציב 2026'!$A$1:$M$65536,9,0)</f>
        <v>465200</v>
      </c>
      <c r="K3494" s="49">
        <v>180000</v>
      </c>
      <c r="L3494" s="50">
        <f>VLOOKUP(A3494,[2]data1761205830331!$A$1:$J$65536,10,0)</f>
        <v>171319.2</v>
      </c>
    </row>
    <row r="3495" spans="1:12" ht="16.2" outlineLevel="1" thickBot="1">
      <c r="A3495" s="11">
        <v>1842500844</v>
      </c>
      <c r="B3495" s="40">
        <v>844</v>
      </c>
      <c r="C3495" s="109">
        <v>842500</v>
      </c>
      <c r="D3495" s="42">
        <v>1</v>
      </c>
      <c r="E3495" s="43"/>
      <c r="F3495" s="44" t="s">
        <v>548</v>
      </c>
      <c r="G3495" s="45" t="s">
        <v>29</v>
      </c>
      <c r="H3495" s="51">
        <f t="shared" si="56"/>
        <v>-1</v>
      </c>
      <c r="I3495" s="47"/>
      <c r="J3495" s="48">
        <f>VLOOKUP(A3495,'[1]תקציב 2026'!$A$1:$M$65536,9,0)</f>
        <v>0</v>
      </c>
      <c r="K3495" s="49">
        <f>VLOOKUP(A3495,[3]גיליון1!$A$1:$C$7693,3,0)</f>
        <v>500000</v>
      </c>
      <c r="L3495" s="50">
        <f>VLOOKUP(A3495,[2]data1761205830331!$A$1:$J$65536,10,0)</f>
        <v>479864.43</v>
      </c>
    </row>
    <row r="3496" spans="1:12" ht="16.2" thickBot="1">
      <c r="A3496" s="11" t="e">
        <v>#VALUE!</v>
      </c>
      <c r="B3496" s="53" t="s">
        <v>1834</v>
      </c>
      <c r="C3496" s="223"/>
      <c r="D3496" s="55"/>
      <c r="E3496" s="56"/>
      <c r="F3496" s="116" t="s">
        <v>555</v>
      </c>
      <c r="G3496" s="58"/>
      <c r="H3496" s="71">
        <f>J3496/K3496-1</f>
        <v>3.6522212139839416E-2</v>
      </c>
      <c r="I3496" s="72"/>
      <c r="J3496" s="74">
        <f>SUBTOTAL(9,J3470:J3495)</f>
        <v>42492850</v>
      </c>
      <c r="K3496" s="92">
        <f>SUBTOTAL(9,K3470:K3495)</f>
        <v>40995600</v>
      </c>
      <c r="L3496" s="75">
        <f>SUBTOTAL(9,L3470:L3495)</f>
        <v>34666900.950000003</v>
      </c>
    </row>
    <row r="3497" spans="1:12" ht="15.6" outlineLevel="1">
      <c r="A3497" s="11">
        <v>18430000</v>
      </c>
      <c r="B3497" s="64">
        <v>0</v>
      </c>
      <c r="C3497" s="131">
        <v>843000</v>
      </c>
      <c r="D3497" s="66">
        <v>1</v>
      </c>
      <c r="E3497" s="67"/>
      <c r="F3497" s="68" t="s">
        <v>556</v>
      </c>
      <c r="G3497" s="69" t="s">
        <v>15</v>
      </c>
      <c r="H3497" s="51"/>
      <c r="I3497" s="47"/>
      <c r="J3497" s="48"/>
      <c r="K3497" s="49"/>
      <c r="L3497" s="50"/>
    </row>
    <row r="3498" spans="1:12" ht="15.6" outlineLevel="1">
      <c r="A3498" s="11">
        <v>1843800420</v>
      </c>
      <c r="B3498" s="40">
        <v>420</v>
      </c>
      <c r="C3498" s="109">
        <v>843800</v>
      </c>
      <c r="D3498" s="42">
        <v>1</v>
      </c>
      <c r="E3498" s="43"/>
      <c r="F3498" s="44" t="s">
        <v>30</v>
      </c>
      <c r="G3498" s="45" t="s">
        <v>29</v>
      </c>
      <c r="H3498" s="51">
        <f t="shared" si="56"/>
        <v>0</v>
      </c>
      <c r="I3498" s="47"/>
      <c r="J3498" s="48">
        <f>VLOOKUP(A3498,'[1]תקציב 2026'!$A$1:$M$65536,9,0)</f>
        <v>9000</v>
      </c>
      <c r="K3498" s="49">
        <f>VLOOKUP(A3498,[3]גיליון1!$A$1:$C$7693,3,0)*0.9</f>
        <v>9000</v>
      </c>
      <c r="L3498" s="50">
        <f>VLOOKUP(A3498,[2]data1761205830331!$A$1:$J$65536,10,0)</f>
        <v>9469</v>
      </c>
    </row>
    <row r="3499" spans="1:12" ht="15.6" outlineLevel="1">
      <c r="A3499" s="11">
        <v>1843800431</v>
      </c>
      <c r="B3499" s="40">
        <v>431</v>
      </c>
      <c r="C3499" s="109">
        <v>843800</v>
      </c>
      <c r="D3499" s="42">
        <v>1</v>
      </c>
      <c r="E3499" s="43"/>
      <c r="F3499" s="44" t="s">
        <v>32</v>
      </c>
      <c r="G3499" s="45" t="s">
        <v>29</v>
      </c>
      <c r="H3499" s="51">
        <f t="shared" si="56"/>
        <v>0</v>
      </c>
      <c r="I3499" s="47"/>
      <c r="J3499" s="48">
        <f>VLOOKUP(A3499,'[1]תקציב 2026'!$A$1:$M$65536,9,0)</f>
        <v>5100</v>
      </c>
      <c r="K3499" s="49">
        <v>5100</v>
      </c>
      <c r="L3499" s="50">
        <f>VLOOKUP(A3499,[2]data1761205830331!$A$1:$J$65536,10,0)</f>
        <v>5038.41</v>
      </c>
    </row>
    <row r="3500" spans="1:12" ht="15.6" outlineLevel="1">
      <c r="A3500" s="11">
        <v>1843800437</v>
      </c>
      <c r="B3500" s="40">
        <v>437</v>
      </c>
      <c r="C3500" s="109">
        <v>843800</v>
      </c>
      <c r="D3500" s="42">
        <v>1</v>
      </c>
      <c r="E3500" s="43"/>
      <c r="F3500" s="44" t="s">
        <v>38</v>
      </c>
      <c r="G3500" s="45" t="s">
        <v>29</v>
      </c>
      <c r="H3500" s="51">
        <f t="shared" si="56"/>
        <v>1.9430232558139533</v>
      </c>
      <c r="I3500" s="47"/>
      <c r="J3500" s="48">
        <f>VLOOKUP(A3500,'[1]תקציב 2026'!$A$1:$M$65536,9,0)</f>
        <v>25310</v>
      </c>
      <c r="K3500" s="49">
        <f>VLOOKUP(A3500,[3]גיליון1!$A$1:$C$7693,3,0)</f>
        <v>8600</v>
      </c>
      <c r="L3500" s="50">
        <f>VLOOKUP(A3500,[2]data1761205830331!$A$1:$J$65536,10,0)</f>
        <v>2966.14</v>
      </c>
    </row>
    <row r="3501" spans="1:12" ht="15.6" outlineLevel="1">
      <c r="A3501" s="11">
        <v>1843800750</v>
      </c>
      <c r="B3501" s="40">
        <v>750</v>
      </c>
      <c r="C3501" s="109">
        <v>843800</v>
      </c>
      <c r="D3501" s="42">
        <v>1</v>
      </c>
      <c r="E3501" s="43"/>
      <c r="F3501" s="44" t="s">
        <v>1835</v>
      </c>
      <c r="G3501" s="45" t="s">
        <v>29</v>
      </c>
      <c r="H3501" s="51">
        <f t="shared" si="56"/>
        <v>0.17218025527481107</v>
      </c>
      <c r="I3501" s="47"/>
      <c r="J3501" s="48">
        <f>VLOOKUP(A3501,'[1]תקציב 2026'!$A$1:$M$65536,9,0)</f>
        <v>450000</v>
      </c>
      <c r="K3501" s="49">
        <f>24426+24426+24426+24426+24426+23647+23647+23647+23647+23647+23647+23647+23647+23647+24355+24567+25</f>
        <v>383900</v>
      </c>
      <c r="L3501" s="50">
        <f>VLOOKUP(A3501,[2]data1761205830331!$A$1:$J$65536,10,0)</f>
        <v>122758.3</v>
      </c>
    </row>
    <row r="3502" spans="1:12" ht="15.6" outlineLevel="1">
      <c r="A3502" s="11">
        <v>1843800752</v>
      </c>
      <c r="B3502" s="40">
        <v>752</v>
      </c>
      <c r="C3502" s="109">
        <v>843800</v>
      </c>
      <c r="D3502" s="42">
        <v>1</v>
      </c>
      <c r="E3502" s="43"/>
      <c r="F3502" s="44" t="s">
        <v>1836</v>
      </c>
      <c r="G3502" s="45" t="s">
        <v>29</v>
      </c>
      <c r="H3502" s="51">
        <f t="shared" si="56"/>
        <v>-0.25</v>
      </c>
      <c r="I3502" s="47"/>
      <c r="J3502" s="48">
        <f>VLOOKUP(A3502,'[1]תקציב 2026'!$A$1:$M$65536,9,0)</f>
        <v>15000</v>
      </c>
      <c r="K3502" s="49">
        <f>VLOOKUP(A3502,[3]גיליון1!$A$1:$C$7693,3,0)</f>
        <v>20000</v>
      </c>
      <c r="L3502" s="50">
        <f>VLOOKUP(A3502,[2]data1761205830331!$A$1:$J$65536,10,0)</f>
        <v>7370.64</v>
      </c>
    </row>
    <row r="3503" spans="1:12" ht="15.6" outlineLevel="1">
      <c r="A3503" s="11">
        <v>1843800781</v>
      </c>
      <c r="B3503" s="40">
        <v>781</v>
      </c>
      <c r="C3503" s="109">
        <v>843800</v>
      </c>
      <c r="D3503" s="42">
        <v>1</v>
      </c>
      <c r="E3503" s="43"/>
      <c r="F3503" s="44" t="s">
        <v>1837</v>
      </c>
      <c r="G3503" s="45" t="s">
        <v>37</v>
      </c>
      <c r="H3503" s="51">
        <f t="shared" si="56"/>
        <v>0</v>
      </c>
      <c r="I3503" s="47"/>
      <c r="J3503" s="48">
        <f>VLOOKUP(A3503,'[1]תקציב 2026'!$A$1:$M$65536,9,0)</f>
        <v>6570</v>
      </c>
      <c r="K3503" s="49">
        <f>VLOOKUP(A3503,[3]גיליון1!$A$1:$C$7693,3,0)*0.9</f>
        <v>6570</v>
      </c>
      <c r="L3503" s="50">
        <f>VLOOKUP(A3503,[2]data1761205830331!$A$1:$J$65536,10,0)</f>
        <v>380</v>
      </c>
    </row>
    <row r="3504" spans="1:12" ht="15.6" outlineLevel="1">
      <c r="A3504" s="11">
        <v>1843800785</v>
      </c>
      <c r="B3504" s="40">
        <v>785</v>
      </c>
      <c r="C3504" s="109">
        <v>843800</v>
      </c>
      <c r="D3504" s="42">
        <v>1</v>
      </c>
      <c r="E3504" s="43"/>
      <c r="F3504" s="44" t="s">
        <v>1838</v>
      </c>
      <c r="G3504" s="45" t="s">
        <v>37</v>
      </c>
      <c r="H3504" s="51">
        <f t="shared" si="56"/>
        <v>0</v>
      </c>
      <c r="I3504" s="47"/>
      <c r="J3504" s="48">
        <f>VLOOKUP(A3504,'[1]תקציב 2026'!$A$1:$M$65536,9,0)</f>
        <v>77400</v>
      </c>
      <c r="K3504" s="49">
        <f>86000*0.9</f>
        <v>77400</v>
      </c>
      <c r="L3504" s="50">
        <f>VLOOKUP(A3504,[2]data1761205830331!$A$1:$J$65536,10,0)</f>
        <v>0</v>
      </c>
    </row>
    <row r="3505" spans="1:12" ht="15.6" outlineLevel="1">
      <c r="A3505" s="11">
        <v>1843800786</v>
      </c>
      <c r="B3505" s="40">
        <v>786</v>
      </c>
      <c r="C3505" s="109">
        <v>843800</v>
      </c>
      <c r="D3505" s="42">
        <v>1</v>
      </c>
      <c r="E3505" s="43"/>
      <c r="F3505" s="44" t="s">
        <v>1839</v>
      </c>
      <c r="G3505" s="45" t="s">
        <v>37</v>
      </c>
      <c r="H3505" s="51">
        <f t="shared" si="56"/>
        <v>-1</v>
      </c>
      <c r="I3505" s="47"/>
      <c r="J3505" s="48">
        <f>VLOOKUP(A3505,'[1]תקציב 2026'!$A$1:$M$65536,9,0)</f>
        <v>0</v>
      </c>
      <c r="K3505" s="49">
        <f>25000*0.9</f>
        <v>22500</v>
      </c>
      <c r="L3505" s="50">
        <f>VLOOKUP(A3505,[2]data1761205830331!$A$1:$J$65536,10,0)</f>
        <v>0</v>
      </c>
    </row>
    <row r="3506" spans="1:12" ht="15.6" outlineLevel="1">
      <c r="A3506" s="11">
        <v>1843800811</v>
      </c>
      <c r="B3506" s="40">
        <v>811</v>
      </c>
      <c r="C3506" s="109">
        <v>843800</v>
      </c>
      <c r="D3506" s="42">
        <v>1</v>
      </c>
      <c r="E3506" s="43"/>
      <c r="F3506" s="44" t="s">
        <v>1840</v>
      </c>
      <c r="G3506" s="45" t="s">
        <v>29</v>
      </c>
      <c r="H3506" s="51">
        <f t="shared" si="56"/>
        <v>0.25033253524873644</v>
      </c>
      <c r="I3506" s="47"/>
      <c r="J3506" s="48">
        <f>VLOOKUP(A3506,'[1]תקציב 2026'!$A$1:$M$65536,9,0)</f>
        <v>23500000</v>
      </c>
      <c r="K3506" s="49">
        <f>VLOOKUP(A3506,[3]גיליון1!$A$1:$C$7693,3,0)</f>
        <v>18795000</v>
      </c>
      <c r="L3506" s="50">
        <f>VLOOKUP(A3506,[2]data1761205830331!$A$1:$J$65536,10,0)</f>
        <v>18828630</v>
      </c>
    </row>
    <row r="3507" spans="1:12" ht="15.6" outlineLevel="1">
      <c r="A3507" s="11">
        <v>1843800812</v>
      </c>
      <c r="B3507" s="40">
        <v>812</v>
      </c>
      <c r="C3507" s="109">
        <v>843800</v>
      </c>
      <c r="D3507" s="42">
        <v>1</v>
      </c>
      <c r="E3507" s="43"/>
      <c r="F3507" s="44" t="s">
        <v>1841</v>
      </c>
      <c r="G3507" s="45" t="s">
        <v>29</v>
      </c>
      <c r="H3507" s="51">
        <f t="shared" si="56"/>
        <v>-0.4285714285714286</v>
      </c>
      <c r="I3507" s="47"/>
      <c r="J3507" s="48">
        <f>VLOOKUP(A3507,'[1]תקציב 2026'!$A$1:$M$65536,9,0)</f>
        <v>400000</v>
      </c>
      <c r="K3507" s="49">
        <v>700000</v>
      </c>
      <c r="L3507" s="50">
        <f>VLOOKUP(A3507,[2]data1761205830331!$A$1:$J$65536,10,0)</f>
        <v>487010</v>
      </c>
    </row>
    <row r="3508" spans="1:12" ht="15.6" outlineLevel="1">
      <c r="A3508" s="11">
        <v>1843800815</v>
      </c>
      <c r="B3508" s="40">
        <v>815</v>
      </c>
      <c r="C3508" s="109">
        <v>843800</v>
      </c>
      <c r="D3508" s="42">
        <v>1</v>
      </c>
      <c r="E3508" s="43"/>
      <c r="F3508" s="44" t="s">
        <v>1842</v>
      </c>
      <c r="G3508" s="45" t="s">
        <v>29</v>
      </c>
      <c r="H3508" s="51">
        <f t="shared" si="56"/>
        <v>3.2750937256843748E-2</v>
      </c>
      <c r="I3508" s="47"/>
      <c r="J3508" s="48">
        <f>VLOOKUP(A3508,'[1]תקציב 2026'!$A$1:$M$65536,9,0)</f>
        <v>5840000</v>
      </c>
      <c r="K3508" s="49">
        <f>VLOOKUP(A3508,[3]גיליון1!$A$1:$C$7693,3,0)-800000</f>
        <v>5654800</v>
      </c>
      <c r="L3508" s="50">
        <f>VLOOKUP(A3508,[2]data1761205830331!$A$1:$J$65536,10,0)</f>
        <v>5519074</v>
      </c>
    </row>
    <row r="3509" spans="1:12" s="204" customFormat="1" ht="15.75" customHeight="1" outlineLevel="1">
      <c r="A3509" s="11">
        <v>1843800817</v>
      </c>
      <c r="B3509" s="40">
        <v>817</v>
      </c>
      <c r="C3509" s="109">
        <v>843800</v>
      </c>
      <c r="D3509" s="42">
        <v>1</v>
      </c>
      <c r="E3509" s="43"/>
      <c r="F3509" s="44" t="s">
        <v>562</v>
      </c>
      <c r="G3509" s="45" t="s">
        <v>29</v>
      </c>
      <c r="H3509" s="51">
        <f t="shared" si="56"/>
        <v>-4.4472115983240634E-5</v>
      </c>
      <c r="I3509" s="51"/>
      <c r="J3509" s="48">
        <f>VLOOKUP(A3509,'[1]תקציב 2026'!$A$1:$M$65536,9,0)</f>
        <v>4497000</v>
      </c>
      <c r="K3509" s="49">
        <f>4297200+200000</f>
        <v>4497200</v>
      </c>
      <c r="L3509" s="50">
        <f>VLOOKUP(A3509,[2]data1761205830331!$A$1:$J$65536,10,0)</f>
        <v>3493915.62</v>
      </c>
    </row>
    <row r="3510" spans="1:12" ht="15.6" outlineLevel="1">
      <c r="A3510" s="11">
        <v>1843800819</v>
      </c>
      <c r="B3510" s="40">
        <v>819</v>
      </c>
      <c r="C3510" s="109">
        <v>843800</v>
      </c>
      <c r="D3510" s="42">
        <v>1</v>
      </c>
      <c r="E3510" s="43"/>
      <c r="F3510" s="44" t="s">
        <v>563</v>
      </c>
      <c r="G3510" s="45" t="s">
        <v>29</v>
      </c>
      <c r="H3510" s="51">
        <f t="shared" si="56"/>
        <v>-0.2857142857142857</v>
      </c>
      <c r="I3510" s="47"/>
      <c r="J3510" s="48">
        <f>VLOOKUP(A3510,'[1]תקציב 2026'!$A$1:$M$65536,9,0)</f>
        <v>200000</v>
      </c>
      <c r="K3510" s="49">
        <f>VLOOKUP(A3510,[3]גיליון1!$A$1:$C$7693,3,0)</f>
        <v>280000</v>
      </c>
      <c r="L3510" s="50">
        <f>VLOOKUP(A3510,[2]data1761205830331!$A$1:$J$65536,10,0)</f>
        <v>185881</v>
      </c>
    </row>
    <row r="3511" spans="1:12" ht="15.6" outlineLevel="1">
      <c r="A3511" s="11">
        <v>1843800820</v>
      </c>
      <c r="B3511" s="40">
        <v>820</v>
      </c>
      <c r="C3511" s="109">
        <v>843800</v>
      </c>
      <c r="D3511" s="42">
        <v>1</v>
      </c>
      <c r="E3511" s="43"/>
      <c r="F3511" s="44" t="s">
        <v>1843</v>
      </c>
      <c r="G3511" s="45" t="s">
        <v>29</v>
      </c>
      <c r="H3511" s="51">
        <f t="shared" si="56"/>
        <v>6.3826392213180094E-2</v>
      </c>
      <c r="I3511" s="47" t="s">
        <v>137</v>
      </c>
      <c r="J3511" s="48">
        <f>VLOOKUP(A3511,'[1]תקציב 2026'!$A$1:$M$65536,9,0)</f>
        <v>666700</v>
      </c>
      <c r="K3511" s="49">
        <f>VLOOKUP(A3511,[3]גיליון1!$A$1:$C$7693,3,0)</f>
        <v>626700</v>
      </c>
      <c r="L3511" s="50">
        <f>VLOOKUP(A3511,[2]data1761205830331!$A$1:$J$65536,10,0)</f>
        <v>538405</v>
      </c>
    </row>
    <row r="3512" spans="1:12" ht="15.6" outlineLevel="1">
      <c r="A3512" s="11">
        <v>1843800841</v>
      </c>
      <c r="B3512" s="40">
        <v>841</v>
      </c>
      <c r="C3512" s="109">
        <v>843800</v>
      </c>
      <c r="D3512" s="42">
        <v>1</v>
      </c>
      <c r="E3512" s="43"/>
      <c r="F3512" s="44" t="s">
        <v>564</v>
      </c>
      <c r="G3512" s="45" t="s">
        <v>29</v>
      </c>
      <c r="H3512" s="51">
        <f t="shared" si="56"/>
        <v>-1.7672510676556508E-2</v>
      </c>
      <c r="I3512" s="47"/>
      <c r="J3512" s="48">
        <f>VLOOKUP(A3512,'[1]תקציב 2026'!$A$1:$M$65536,9,0)</f>
        <v>5244450</v>
      </c>
      <c r="K3512" s="49">
        <f>VLOOKUP(A3512,[3]גיליון1!$A$1:$C$7693,3,0)*0.9</f>
        <v>5338800</v>
      </c>
      <c r="L3512" s="50">
        <f>VLOOKUP(A3512,[2]data1761205830331!$A$1:$J$65536,10,0)</f>
        <v>4946191.88</v>
      </c>
    </row>
    <row r="3513" spans="1:12" ht="15.6" outlineLevel="1">
      <c r="A3513" s="11">
        <v>1843800842</v>
      </c>
      <c r="B3513" s="40">
        <v>842</v>
      </c>
      <c r="C3513" s="109">
        <v>843800</v>
      </c>
      <c r="D3513" s="42">
        <v>1</v>
      </c>
      <c r="E3513" s="43"/>
      <c r="F3513" s="44" t="s">
        <v>1844</v>
      </c>
      <c r="G3513" s="45" t="s">
        <v>29</v>
      </c>
      <c r="H3513" s="51">
        <v>0</v>
      </c>
      <c r="I3513" s="47"/>
      <c r="J3513" s="48">
        <f>VLOOKUP(A3513,'[1]תקציב 2026'!$A$1:$M$65536,9,0)</f>
        <v>0</v>
      </c>
      <c r="K3513" s="49">
        <v>0</v>
      </c>
      <c r="L3513" s="50">
        <f>VLOOKUP(A3513,[2]data1761205830331!$A$1:$J$65536,10,0)</f>
        <v>47834</v>
      </c>
    </row>
    <row r="3514" spans="1:12" ht="15.6" outlineLevel="1">
      <c r="A3514" s="11">
        <v>1843800843</v>
      </c>
      <c r="B3514" s="40">
        <v>843</v>
      </c>
      <c r="C3514" s="109">
        <v>843800</v>
      </c>
      <c r="D3514" s="42">
        <v>1</v>
      </c>
      <c r="E3514" s="43"/>
      <c r="F3514" s="44" t="s">
        <v>566</v>
      </c>
      <c r="G3514" s="45" t="s">
        <v>37</v>
      </c>
      <c r="H3514" s="51">
        <v>1</v>
      </c>
      <c r="I3514" s="47" t="s">
        <v>86</v>
      </c>
      <c r="J3514" s="48">
        <f>VLOOKUP(A3514,'[1]תקציב 2026'!$A$1:$M$65536,9,0)</f>
        <v>49800</v>
      </c>
      <c r="K3514" s="49">
        <v>0</v>
      </c>
      <c r="L3514" s="50">
        <f>VLOOKUP(A3514,[2]data1761205830331!$A$1:$J$65536,10,0)</f>
        <v>0</v>
      </c>
    </row>
    <row r="3515" spans="1:12" ht="15.6" outlineLevel="1">
      <c r="A3515" s="11">
        <v>1843800846</v>
      </c>
      <c r="B3515" s="40">
        <v>846</v>
      </c>
      <c r="C3515" s="109">
        <v>843800</v>
      </c>
      <c r="D3515" s="42">
        <v>1</v>
      </c>
      <c r="E3515" s="43"/>
      <c r="F3515" s="44" t="s">
        <v>1845</v>
      </c>
      <c r="G3515" s="45" t="s">
        <v>29</v>
      </c>
      <c r="H3515" s="51">
        <f t="shared" si="56"/>
        <v>0</v>
      </c>
      <c r="I3515" s="47"/>
      <c r="J3515" s="48">
        <f>VLOOKUP(A3515,'[1]תקציב 2026'!$A$1:$M$65536,9,0)</f>
        <v>1500000</v>
      </c>
      <c r="K3515" s="49">
        <v>1500000</v>
      </c>
      <c r="L3515" s="50">
        <f>VLOOKUP(A3515,[2]data1761205830331!$A$1:$J$65536,10,0)</f>
        <v>1192544</v>
      </c>
    </row>
    <row r="3516" spans="1:12" ht="15.6" outlineLevel="1">
      <c r="A3516" s="11">
        <v>1843800885</v>
      </c>
      <c r="B3516" s="40">
        <v>885</v>
      </c>
      <c r="C3516" s="109">
        <v>843800</v>
      </c>
      <c r="D3516" s="42">
        <v>1</v>
      </c>
      <c r="E3516" s="43"/>
      <c r="F3516" s="154" t="s">
        <v>1846</v>
      </c>
      <c r="G3516" s="45" t="s">
        <v>29</v>
      </c>
      <c r="H3516" s="51">
        <f t="shared" si="56"/>
        <v>0</v>
      </c>
      <c r="I3516" s="47"/>
      <c r="J3516" s="48">
        <f>VLOOKUP(A3516,'[1]תקציב 2026'!$A$1:$M$65536,9,0)</f>
        <v>1615300</v>
      </c>
      <c r="K3516" s="49">
        <f>VLOOKUP(A3516,[3]גיליון1!$A$1:$C$7693,3,0)-400000</f>
        <v>1615300</v>
      </c>
      <c r="L3516" s="50">
        <f>VLOOKUP(A3516,[2]data1761205830331!$A$1:$J$65536,10,0)</f>
        <v>1422876</v>
      </c>
    </row>
    <row r="3517" spans="1:12" ht="15.6" outlineLevel="1">
      <c r="A3517" s="11">
        <v>1843800886</v>
      </c>
      <c r="B3517" s="40">
        <v>886</v>
      </c>
      <c r="C3517" s="109">
        <v>843800</v>
      </c>
      <c r="D3517" s="42">
        <v>1</v>
      </c>
      <c r="E3517" s="43"/>
      <c r="F3517" s="44" t="s">
        <v>570</v>
      </c>
      <c r="G3517" s="45" t="s">
        <v>29</v>
      </c>
      <c r="H3517" s="51">
        <f t="shared" si="56"/>
        <v>0</v>
      </c>
      <c r="I3517" s="47"/>
      <c r="J3517" s="48">
        <f>VLOOKUP(A3517,'[1]תקציב 2026'!$A$1:$M$65536,9,0)</f>
        <v>1764000</v>
      </c>
      <c r="K3517" s="49">
        <f>VLOOKUP(A3517,[3]גיליון1!$A$1:$C$7693,3,0)</f>
        <v>1764000</v>
      </c>
      <c r="L3517" s="50">
        <f>VLOOKUP(A3517,[2]data1761205830331!$A$1:$J$65536,10,0)</f>
        <v>1709318</v>
      </c>
    </row>
    <row r="3518" spans="1:12" ht="15.6" outlineLevel="1">
      <c r="A3518" s="11">
        <v>1843800888</v>
      </c>
      <c r="B3518" s="40">
        <v>888</v>
      </c>
      <c r="C3518" s="109">
        <v>843800</v>
      </c>
      <c r="D3518" s="42">
        <v>1</v>
      </c>
      <c r="E3518" s="43"/>
      <c r="F3518" s="44" t="s">
        <v>571</v>
      </c>
      <c r="G3518" s="45" t="s">
        <v>29</v>
      </c>
      <c r="H3518" s="51">
        <f t="shared" si="56"/>
        <v>0.68409090909090908</v>
      </c>
      <c r="I3518" s="47"/>
      <c r="J3518" s="48">
        <f>VLOOKUP(A3518,'[1]תקציב 2026'!$A$1:$M$65536,9,0)</f>
        <v>1482000</v>
      </c>
      <c r="K3518" s="49">
        <f>VLOOKUP(A3518,[3]גיליון1!$A$1:$C$7693,3,0)</f>
        <v>880000</v>
      </c>
      <c r="L3518" s="50">
        <f>VLOOKUP(A3518,[2]data1761205830331!$A$1:$J$65536,10,0)</f>
        <v>1070535</v>
      </c>
    </row>
    <row r="3519" spans="1:12" ht="15.6" outlineLevel="1">
      <c r="A3519" s="11">
        <v>1843800892</v>
      </c>
      <c r="B3519" s="40">
        <v>892</v>
      </c>
      <c r="C3519" s="109">
        <v>843800</v>
      </c>
      <c r="D3519" s="42">
        <v>1</v>
      </c>
      <c r="E3519" s="43"/>
      <c r="F3519" s="44" t="s">
        <v>1847</v>
      </c>
      <c r="G3519" s="45" t="s">
        <v>29</v>
      </c>
      <c r="H3519" s="51">
        <f t="shared" si="56"/>
        <v>-5.8479532163743242E-3</v>
      </c>
      <c r="I3519" s="47"/>
      <c r="J3519" s="48">
        <f>VLOOKUP(A3519,'[1]תקציב 2026'!$A$1:$M$65536,9,0)</f>
        <v>85000</v>
      </c>
      <c r="K3519" s="49">
        <f>VLOOKUP(A3519,[3]גיליון1!$A$1:$C$7693,3,0)*0.9</f>
        <v>85500</v>
      </c>
      <c r="L3519" s="50">
        <f>VLOOKUP(A3519,[2]data1761205830331!$A$1:$J$65536,10,0)</f>
        <v>85624.7</v>
      </c>
    </row>
    <row r="3520" spans="1:12" ht="15.6" outlineLevel="1">
      <c r="A3520" s="11">
        <v>1843800893</v>
      </c>
      <c r="B3520" s="40">
        <v>893</v>
      </c>
      <c r="C3520" s="109">
        <v>843800</v>
      </c>
      <c r="D3520" s="42">
        <v>1</v>
      </c>
      <c r="E3520" s="43"/>
      <c r="F3520" s="44" t="s">
        <v>1848</v>
      </c>
      <c r="G3520" s="45" t="s">
        <v>37</v>
      </c>
      <c r="H3520" s="51">
        <f t="shared" si="56"/>
        <v>0</v>
      </c>
      <c r="I3520" s="47"/>
      <c r="J3520" s="48">
        <f>VLOOKUP(A3520,'[1]תקציב 2026'!$A$1:$M$65536,9,0)</f>
        <v>4230</v>
      </c>
      <c r="K3520" s="49">
        <f>VLOOKUP(A3520,[3]גיליון1!$A$1:$C$7693,3,0)*0.9</f>
        <v>4230</v>
      </c>
      <c r="L3520" s="50">
        <f>VLOOKUP(A3520,[2]data1761205830331!$A$1:$J$65536,10,0)</f>
        <v>0</v>
      </c>
    </row>
    <row r="3521" spans="1:12" ht="15.6" outlineLevel="1">
      <c r="A3521" s="11">
        <v>1843800982</v>
      </c>
      <c r="B3521" s="40">
        <v>982</v>
      </c>
      <c r="C3521" s="109">
        <v>843800</v>
      </c>
      <c r="D3521" s="42">
        <v>1</v>
      </c>
      <c r="E3521" s="43"/>
      <c r="F3521" s="44" t="s">
        <v>1849</v>
      </c>
      <c r="G3521" s="45" t="s">
        <v>37</v>
      </c>
      <c r="H3521" s="51">
        <f t="shared" si="56"/>
        <v>0.34843581445523197</v>
      </c>
      <c r="I3521" s="47"/>
      <c r="J3521" s="48">
        <f>VLOOKUP(A3521,'[1]תקציב 2026'!$A$1:$M$65536,9,0)</f>
        <v>500000</v>
      </c>
      <c r="K3521" s="49">
        <f>VLOOKUP(A3521,[3]גיליון1!$A$1:$C$7693,3,0)*0.9</f>
        <v>370800</v>
      </c>
      <c r="L3521" s="50">
        <f>VLOOKUP(A3521,[2]data1761205830331!$A$1:$J$65536,10,0)</f>
        <v>421951.12</v>
      </c>
    </row>
    <row r="3522" spans="1:12" ht="15.6" outlineLevel="1">
      <c r="A3522" s="11">
        <v>1843800983</v>
      </c>
      <c r="B3522" s="40">
        <v>983</v>
      </c>
      <c r="C3522" s="109">
        <v>843800</v>
      </c>
      <c r="D3522" s="42">
        <v>1</v>
      </c>
      <c r="E3522" s="43"/>
      <c r="F3522" s="44" t="s">
        <v>1850</v>
      </c>
      <c r="G3522" s="45" t="s">
        <v>29</v>
      </c>
      <c r="H3522" s="51">
        <f t="shared" si="56"/>
        <v>0</v>
      </c>
      <c r="I3522" s="47"/>
      <c r="J3522" s="48">
        <f>VLOOKUP(A3522,'[1]תקציב 2026'!$A$1:$M$65536,9,0)</f>
        <v>176000</v>
      </c>
      <c r="K3522" s="49">
        <f>VLOOKUP(A3522,[3]גיליון1!$A$1:$C$7693,3,0)</f>
        <v>176000</v>
      </c>
      <c r="L3522" s="50">
        <f>VLOOKUP(A3522,[2]data1761205830331!$A$1:$J$65536,10,0)</f>
        <v>88000</v>
      </c>
    </row>
    <row r="3523" spans="1:12" s="204" customFormat="1" ht="15.6" outlineLevel="1">
      <c r="A3523" s="11">
        <v>1843800984</v>
      </c>
      <c r="B3523" s="40">
        <v>984</v>
      </c>
      <c r="C3523" s="109">
        <v>843800</v>
      </c>
      <c r="D3523" s="42">
        <v>1</v>
      </c>
      <c r="E3523" s="43"/>
      <c r="F3523" s="44" t="s">
        <v>1851</v>
      </c>
      <c r="G3523" s="45" t="s">
        <v>29</v>
      </c>
      <c r="H3523" s="51">
        <f t="shared" si="56"/>
        <v>0.54255319148936176</v>
      </c>
      <c r="I3523" s="51"/>
      <c r="J3523" s="48">
        <f>VLOOKUP(A3523,'[1]תקציב 2026'!$A$1:$M$65536,9,0)</f>
        <v>304500</v>
      </c>
      <c r="K3523" s="49">
        <v>197400</v>
      </c>
      <c r="L3523" s="50">
        <f>VLOOKUP(A3523,[2]data1761205830331!$A$1:$J$65536,10,0)</f>
        <v>144218.18</v>
      </c>
    </row>
    <row r="3524" spans="1:12" ht="15.6" outlineLevel="1">
      <c r="A3524" s="11">
        <v>1843800985</v>
      </c>
      <c r="B3524" s="40">
        <v>985</v>
      </c>
      <c r="C3524" s="109">
        <v>843800</v>
      </c>
      <c r="D3524" s="42">
        <v>1</v>
      </c>
      <c r="E3524" s="43"/>
      <c r="F3524" s="11" t="s">
        <v>1852</v>
      </c>
      <c r="G3524" s="45" t="s">
        <v>29</v>
      </c>
      <c r="H3524" s="51">
        <f t="shared" si="56"/>
        <v>0</v>
      </c>
      <c r="I3524" s="47"/>
      <c r="J3524" s="48">
        <f>VLOOKUP(A3524,'[1]תקציב 2026'!$A$1:$M$65536,9,0)</f>
        <v>107100</v>
      </c>
      <c r="K3524" s="49">
        <f>VLOOKUP(A3524,[3]גיליון1!$A$1:$C$7693,3,0)*0.9</f>
        <v>107100</v>
      </c>
      <c r="L3524" s="50">
        <f>VLOOKUP(A3524,[2]data1761205830331!$A$1:$J$65536,10,0)</f>
        <v>30000</v>
      </c>
    </row>
    <row r="3525" spans="1:12" ht="15.6" outlineLevel="1">
      <c r="A3525" s="11">
        <v>1843800986</v>
      </c>
      <c r="B3525" s="40">
        <v>986</v>
      </c>
      <c r="C3525" s="109">
        <v>843800</v>
      </c>
      <c r="D3525" s="42">
        <v>1</v>
      </c>
      <c r="E3525" s="43"/>
      <c r="F3525" s="210" t="s">
        <v>1853</v>
      </c>
      <c r="G3525" s="45" t="s">
        <v>29</v>
      </c>
      <c r="H3525" s="51">
        <f t="shared" si="56"/>
        <v>0.11111111111111116</v>
      </c>
      <c r="I3525" s="47"/>
      <c r="J3525" s="48">
        <f>VLOOKUP(A3525,'[1]תקציב 2026'!$A$1:$M$65536,9,0)</f>
        <v>70000</v>
      </c>
      <c r="K3525" s="49">
        <f>VLOOKUP(A3525,[3]גיליון1!$A$1:$C$7693,3,0)*0.9</f>
        <v>63000</v>
      </c>
      <c r="L3525" s="50">
        <f>VLOOKUP(A3525,[2]data1761205830331!$A$1:$J$65536,10,0)</f>
        <v>55000</v>
      </c>
    </row>
    <row r="3526" spans="1:12" ht="15.6" outlineLevel="1">
      <c r="A3526" s="11">
        <v>1843800987</v>
      </c>
      <c r="B3526" s="40">
        <v>987</v>
      </c>
      <c r="C3526" s="109">
        <v>843800</v>
      </c>
      <c r="D3526" s="42">
        <v>1</v>
      </c>
      <c r="E3526" s="43"/>
      <c r="F3526" s="210" t="s">
        <v>1854</v>
      </c>
      <c r="G3526" s="45" t="s">
        <v>29</v>
      </c>
      <c r="H3526" s="51">
        <f t="shared" si="56"/>
        <v>0.11111111111111116</v>
      </c>
      <c r="I3526" s="51"/>
      <c r="J3526" s="48">
        <f>VLOOKUP(A3526,'[1]תקציב 2026'!$A$1:$M$65536,9,0)</f>
        <v>40000</v>
      </c>
      <c r="K3526" s="49">
        <f>40000*0.9</f>
        <v>36000</v>
      </c>
      <c r="L3526" s="50">
        <f>VLOOKUP(A3526,[2]data1761205830331!$A$1:$J$65536,10,0)</f>
        <v>60000</v>
      </c>
    </row>
    <row r="3527" spans="1:12" ht="16.2" outlineLevel="1" thickBot="1">
      <c r="A3527" s="11">
        <v>1843800988</v>
      </c>
      <c r="B3527" s="119">
        <v>988</v>
      </c>
      <c r="C3527" s="120">
        <v>843800</v>
      </c>
      <c r="D3527" s="121">
        <v>1</v>
      </c>
      <c r="E3527" s="201"/>
      <c r="F3527" s="260" t="s">
        <v>567</v>
      </c>
      <c r="G3527" s="153" t="s">
        <v>29</v>
      </c>
      <c r="H3527" s="51">
        <f t="shared" si="56"/>
        <v>-1</v>
      </c>
      <c r="I3527" s="51"/>
      <c r="J3527" s="48">
        <f>VLOOKUP(A3527,'[1]תקציב 2026'!$A$1:$M$65536,9,0)</f>
        <v>0</v>
      </c>
      <c r="K3527" s="49">
        <f>VLOOKUP(A3527,[3]גיליון1!$A$1:$C$7693,3,0)</f>
        <v>236000</v>
      </c>
      <c r="L3527" s="50">
        <f>VLOOKUP(A3527,[2]data1761205830331!$A$1:$J$65536,10,0)</f>
        <v>115.63</v>
      </c>
    </row>
    <row r="3528" spans="1:12" ht="16.2" thickBot="1">
      <c r="A3528" s="11" t="e">
        <v>#VALUE!</v>
      </c>
      <c r="B3528" s="53" t="s">
        <v>1855</v>
      </c>
      <c r="C3528" s="223"/>
      <c r="D3528" s="55"/>
      <c r="E3528" s="56"/>
      <c r="F3528" s="116" t="s">
        <v>573</v>
      </c>
      <c r="G3528" s="58"/>
      <c r="H3528" s="71">
        <f>J3528/K3528-1</f>
        <v>0.11903941243738614</v>
      </c>
      <c r="I3528" s="72"/>
      <c r="J3528" s="74">
        <f>SUBTOTAL(9,J3498:J3527)</f>
        <v>48634460</v>
      </c>
      <c r="K3528" s="92">
        <f>SUBTOTAL(9,K3498:K3527)</f>
        <v>43460900</v>
      </c>
      <c r="L3528" s="75">
        <f>SUBTOTAL(9,L3498:L3527)</f>
        <v>40475106.620000005</v>
      </c>
    </row>
    <row r="3529" spans="1:12" ht="15.6" outlineLevel="1">
      <c r="A3529" s="11">
        <v>18440000</v>
      </c>
      <c r="B3529" s="40">
        <v>0</v>
      </c>
      <c r="C3529" s="109">
        <v>844000</v>
      </c>
      <c r="D3529" s="42">
        <v>1</v>
      </c>
      <c r="E3529" s="43"/>
      <c r="F3529" s="44" t="s">
        <v>574</v>
      </c>
      <c r="G3529" s="45" t="s">
        <v>15</v>
      </c>
      <c r="H3529" s="51"/>
      <c r="I3529" s="47"/>
      <c r="J3529" s="48"/>
      <c r="K3529" s="49"/>
      <c r="L3529" s="50"/>
    </row>
    <row r="3530" spans="1:12" ht="15.6" outlineLevel="1">
      <c r="A3530" s="11">
        <v>1844300511</v>
      </c>
      <c r="B3530" s="40">
        <v>511</v>
      </c>
      <c r="C3530" s="109">
        <v>844300</v>
      </c>
      <c r="D3530" s="42">
        <v>1</v>
      </c>
      <c r="E3530" s="43"/>
      <c r="F3530" s="44" t="s">
        <v>72</v>
      </c>
      <c r="G3530" s="45" t="s">
        <v>37</v>
      </c>
      <c r="H3530" s="51">
        <f t="shared" si="56"/>
        <v>-1</v>
      </c>
      <c r="I3530" s="47"/>
      <c r="J3530" s="48">
        <f>VLOOKUP(A3530,'[1]תקציב 2026'!$A$1:$M$65536,9,0)</f>
        <v>0</v>
      </c>
      <c r="K3530" s="49">
        <f>2400*0.9</f>
        <v>2160</v>
      </c>
      <c r="L3530" s="50">
        <f>VLOOKUP(A3530,[2]data1761205830331!$A$1:$J$65536,10,0)</f>
        <v>2218.91</v>
      </c>
    </row>
    <row r="3531" spans="1:12" ht="15.6" outlineLevel="1">
      <c r="A3531" s="11">
        <v>1844300512</v>
      </c>
      <c r="B3531" s="40">
        <v>512</v>
      </c>
      <c r="C3531" s="109">
        <v>844300</v>
      </c>
      <c r="D3531" s="42">
        <v>1</v>
      </c>
      <c r="E3531" s="43"/>
      <c r="F3531" s="44" t="s">
        <v>72</v>
      </c>
      <c r="G3531" s="45" t="s">
        <v>37</v>
      </c>
      <c r="H3531" s="51">
        <v>1</v>
      </c>
      <c r="I3531" s="47" t="s">
        <v>86</v>
      </c>
      <c r="J3531" s="48">
        <f>VLOOKUP(A3531,'[1]תקציב 2026'!$A$1:$M$65536,9,0)</f>
        <v>2200</v>
      </c>
      <c r="K3531" s="49">
        <v>0</v>
      </c>
      <c r="L3531" s="50">
        <v>0</v>
      </c>
    </row>
    <row r="3532" spans="1:12" ht="15.6" outlineLevel="1">
      <c r="A3532" s="11">
        <v>1844300815</v>
      </c>
      <c r="B3532" s="40">
        <v>815</v>
      </c>
      <c r="C3532" s="109">
        <v>844300</v>
      </c>
      <c r="D3532" s="42">
        <v>1</v>
      </c>
      <c r="E3532" s="43"/>
      <c r="F3532" s="44" t="str">
        <f>[4]גיליון1!$F$7155</f>
        <v>סיוע לאזרחים ותיקים</v>
      </c>
      <c r="G3532" s="45" t="s">
        <v>29</v>
      </c>
      <c r="H3532" s="51">
        <f t="shared" si="56"/>
        <v>0</v>
      </c>
      <c r="I3532" s="47"/>
      <c r="J3532" s="48">
        <f>VLOOKUP(A3532,'[1]תקציב 2026'!$A$1:$M$65536,9,0)</f>
        <v>100000</v>
      </c>
      <c r="K3532" s="49">
        <v>100000</v>
      </c>
      <c r="L3532" s="50">
        <f>VLOOKUP(A3532,[2]data1761205830331!$A$1:$J$65536,10,0)</f>
        <v>95258.22</v>
      </c>
    </row>
    <row r="3533" spans="1:12" ht="15.6" outlineLevel="1">
      <c r="A3533" s="11">
        <v>1844300817</v>
      </c>
      <c r="B3533" s="40">
        <v>817</v>
      </c>
      <c r="C3533" s="109">
        <v>844300</v>
      </c>
      <c r="D3533" s="42">
        <v>1</v>
      </c>
      <c r="E3533" s="43"/>
      <c r="F3533" s="44" t="s">
        <v>1856</v>
      </c>
      <c r="G3533" s="45" t="s">
        <v>29</v>
      </c>
      <c r="H3533" s="51">
        <f t="shared" si="56"/>
        <v>2.1052631578947434E-2</v>
      </c>
      <c r="I3533" s="47"/>
      <c r="J3533" s="48">
        <f>VLOOKUP(A3533,'[1]תקציב 2026'!$A$1:$M$65536,9,0)</f>
        <v>9700000</v>
      </c>
      <c r="K3533" s="49">
        <f>VLOOKUP(A3533,[3]גיליון1!$A$1:$C$7693,3,0)</f>
        <v>9500000</v>
      </c>
      <c r="L3533" s="50">
        <f>VLOOKUP(A3533,[2]data1761205830331!$A$1:$J$65536,10,0)</f>
        <v>9643211.3000000007</v>
      </c>
    </row>
    <row r="3534" spans="1:12" ht="15.6" outlineLevel="1">
      <c r="A3534" s="11">
        <v>1844300818</v>
      </c>
      <c r="B3534" s="40">
        <v>818</v>
      </c>
      <c r="C3534" s="109">
        <v>844300</v>
      </c>
      <c r="D3534" s="42">
        <v>1</v>
      </c>
      <c r="E3534" s="43"/>
      <c r="F3534" s="44" t="s">
        <v>581</v>
      </c>
      <c r="G3534" s="45" t="s">
        <v>29</v>
      </c>
      <c r="H3534" s="51">
        <f t="shared" si="56"/>
        <v>0</v>
      </c>
      <c r="I3534" s="47"/>
      <c r="J3534" s="48">
        <f>VLOOKUP(A3534,'[1]תקציב 2026'!$A$1:$M$65536,9,0)</f>
        <v>900000</v>
      </c>
      <c r="K3534" s="49">
        <v>900000</v>
      </c>
      <c r="L3534" s="50">
        <f>VLOOKUP(A3534,[2]data1761205830331!$A$1:$J$65536,10,0)</f>
        <v>699903.86</v>
      </c>
    </row>
    <row r="3535" spans="1:12" ht="15.6" outlineLevel="1">
      <c r="A3535" s="11">
        <v>1844300840</v>
      </c>
      <c r="B3535" s="40">
        <v>840</v>
      </c>
      <c r="C3535" s="109">
        <v>844300</v>
      </c>
      <c r="D3535" s="42">
        <v>1</v>
      </c>
      <c r="E3535" s="43"/>
      <c r="F3535" s="44" t="s">
        <v>582</v>
      </c>
      <c r="G3535" s="45" t="s">
        <v>29</v>
      </c>
      <c r="H3535" s="51">
        <f t="shared" si="56"/>
        <v>2.9838022165388001E-2</v>
      </c>
      <c r="I3535" s="47"/>
      <c r="J3535" s="48">
        <f>VLOOKUP(A3535,'[1]תקציב 2026'!$A$1:$M$65536,9,0)</f>
        <v>1208000</v>
      </c>
      <c r="K3535" s="49">
        <f>VLOOKUP(A3535,[3]גיליון1!$A$1:$C$7693,3,0)</f>
        <v>1173000</v>
      </c>
      <c r="L3535" s="50">
        <f>VLOOKUP(A3535,[2]data1761205830331!$A$1:$J$65536,10,0)</f>
        <v>1130787.6399999999</v>
      </c>
    </row>
    <row r="3536" spans="1:12" ht="15.6" outlineLevel="1">
      <c r="A3536" s="11">
        <v>1844300971</v>
      </c>
      <c r="B3536" s="40">
        <v>971</v>
      </c>
      <c r="C3536" s="109">
        <v>844300</v>
      </c>
      <c r="D3536" s="42">
        <v>1</v>
      </c>
      <c r="E3536" s="43"/>
      <c r="F3536" s="44" t="s">
        <v>1857</v>
      </c>
      <c r="G3536" s="45" t="s">
        <v>29</v>
      </c>
      <c r="H3536" s="51">
        <v>1</v>
      </c>
      <c r="I3536" s="47" t="s">
        <v>86</v>
      </c>
      <c r="J3536" s="48">
        <f>VLOOKUP(A3536,'[1]תקציב 2026'!$A$1:$M$65536,9,0)</f>
        <v>0</v>
      </c>
      <c r="K3536" s="49">
        <v>0</v>
      </c>
      <c r="L3536" s="50">
        <v>0</v>
      </c>
    </row>
    <row r="3537" spans="1:12" ht="16.2" outlineLevel="1" thickBot="1">
      <c r="A3537" s="11">
        <v>1844300980</v>
      </c>
      <c r="B3537" s="40">
        <v>980</v>
      </c>
      <c r="C3537" s="109">
        <v>844300</v>
      </c>
      <c r="D3537" s="42">
        <v>1</v>
      </c>
      <c r="E3537" s="43"/>
      <c r="F3537" s="44" t="s">
        <v>578</v>
      </c>
      <c r="G3537" s="45" t="s">
        <v>29</v>
      </c>
      <c r="H3537" s="51">
        <f t="shared" ref="H3537:H3599" si="57">J3537/K3537-1</f>
        <v>0</v>
      </c>
      <c r="I3537" s="47"/>
      <c r="J3537" s="48">
        <f>VLOOKUP(A3537,'[1]תקציב 2026'!$A$1:$M$65536,9,0)</f>
        <v>795200</v>
      </c>
      <c r="K3537" s="49">
        <v>795200</v>
      </c>
      <c r="L3537" s="50">
        <f>VLOOKUP(A3537,[2]data1761205830331!$A$1:$J$65536,10,0)</f>
        <v>702511.22</v>
      </c>
    </row>
    <row r="3538" spans="1:12" ht="16.2" thickBot="1">
      <c r="A3538" s="11" t="e">
        <v>#VALUE!</v>
      </c>
      <c r="B3538" s="53" t="s">
        <v>1858</v>
      </c>
      <c r="C3538" s="223"/>
      <c r="D3538" s="55"/>
      <c r="E3538" s="56"/>
      <c r="F3538" s="116" t="s">
        <v>1859</v>
      </c>
      <c r="G3538" s="58"/>
      <c r="H3538" s="71">
        <f>J3538/K3538-1</f>
        <v>1.8847892121799159E-2</v>
      </c>
      <c r="I3538" s="72"/>
      <c r="J3538" s="74">
        <f>SUBTOTAL(9,J3530:J3537)</f>
        <v>12705400</v>
      </c>
      <c r="K3538" s="92">
        <f>SUBTOTAL(9,K3530:K3537)</f>
        <v>12470360</v>
      </c>
      <c r="L3538" s="75">
        <f>SUBTOTAL(9,L3530:L3537)</f>
        <v>12273891.150000002</v>
      </c>
    </row>
    <row r="3539" spans="1:12" ht="15.6" outlineLevel="1">
      <c r="A3539" s="11">
        <v>18445000</v>
      </c>
      <c r="B3539" s="64">
        <v>0</v>
      </c>
      <c r="C3539" s="131">
        <v>844500</v>
      </c>
      <c r="D3539" s="66">
        <v>1</v>
      </c>
      <c r="E3539" s="67"/>
      <c r="F3539" s="68" t="s">
        <v>585</v>
      </c>
      <c r="G3539" s="69" t="s">
        <v>15</v>
      </c>
      <c r="H3539" s="51"/>
      <c r="I3539" s="47"/>
      <c r="J3539" s="48"/>
      <c r="K3539" s="49"/>
      <c r="L3539" s="50"/>
    </row>
    <row r="3540" spans="1:12" ht="15.6" outlineLevel="1">
      <c r="A3540" s="11">
        <v>1844500781</v>
      </c>
      <c r="B3540" s="40">
        <v>781</v>
      </c>
      <c r="C3540" s="109">
        <v>844500</v>
      </c>
      <c r="D3540" s="42">
        <v>1</v>
      </c>
      <c r="E3540" s="43"/>
      <c r="F3540" s="44" t="s">
        <v>1860</v>
      </c>
      <c r="G3540" s="45" t="s">
        <v>29</v>
      </c>
      <c r="H3540" s="51">
        <f t="shared" si="57"/>
        <v>8.7669114804793224E-2</v>
      </c>
      <c r="I3540" s="47"/>
      <c r="J3540" s="48">
        <f>VLOOKUP(A3540,'[1]תקציב 2026'!$A$1:$M$65536,9,0)</f>
        <v>1406900</v>
      </c>
      <c r="K3540" s="49">
        <f>VLOOKUP(A3540,[3]גיליון1!$A$1:$C$7693,3,0)</f>
        <v>1293500</v>
      </c>
      <c r="L3540" s="50">
        <f>VLOOKUP(A3540,[2]data1761205830331!$A$1:$J$65536,10,0)</f>
        <v>1293500</v>
      </c>
    </row>
    <row r="3541" spans="1:12" ht="16.2" outlineLevel="1" thickBot="1">
      <c r="A3541" s="11">
        <v>1844500782</v>
      </c>
      <c r="B3541" s="40">
        <v>782</v>
      </c>
      <c r="C3541" s="109">
        <v>844500</v>
      </c>
      <c r="D3541" s="42">
        <v>1</v>
      </c>
      <c r="E3541" s="43"/>
      <c r="F3541" s="44" t="s">
        <v>1861</v>
      </c>
      <c r="G3541" s="45" t="s">
        <v>29</v>
      </c>
      <c r="H3541" s="51">
        <f t="shared" si="57"/>
        <v>1.4615873015873015</v>
      </c>
      <c r="I3541" s="47"/>
      <c r="J3541" s="48">
        <f>VLOOKUP(A3541,'[1]תקציב 2026'!$A$1:$M$65536,9,0)</f>
        <v>155080</v>
      </c>
      <c r="K3541" s="49">
        <f>VLOOKUP(A3541,[3]גיליון1!$A$1:$C$7693,3,0)</f>
        <v>63000</v>
      </c>
      <c r="L3541" s="50">
        <f>VLOOKUP(A3541,[2]data1761205830331!$A$1:$J$65536,10,0)</f>
        <v>63000</v>
      </c>
    </row>
    <row r="3542" spans="1:12" ht="16.2" thickBot="1">
      <c r="A3542" s="11" t="e">
        <v>#VALUE!</v>
      </c>
      <c r="B3542" s="53" t="s">
        <v>1862</v>
      </c>
      <c r="C3542" s="223"/>
      <c r="D3542" s="55"/>
      <c r="E3542" s="56"/>
      <c r="F3542" s="116" t="s">
        <v>585</v>
      </c>
      <c r="G3542" s="58"/>
      <c r="H3542" s="71">
        <f>J3542/K3542-1</f>
        <v>0.15147806855879109</v>
      </c>
      <c r="I3542" s="72"/>
      <c r="J3542" s="74">
        <f>SUBTOTAL(9,J3540:J3541)</f>
        <v>1561980</v>
      </c>
      <c r="K3542" s="92">
        <f>SUBTOTAL(9,K3540:K3541)</f>
        <v>1356500</v>
      </c>
      <c r="L3542" s="75">
        <f>SUBTOTAL(9,L3540:L3541)</f>
        <v>1356500</v>
      </c>
    </row>
    <row r="3543" spans="1:12" ht="15.6" outlineLevel="1">
      <c r="A3543" s="11">
        <v>18453000</v>
      </c>
      <c r="B3543" s="40">
        <v>0</v>
      </c>
      <c r="C3543" s="109">
        <v>845300</v>
      </c>
      <c r="D3543" s="42">
        <v>1</v>
      </c>
      <c r="E3543" s="43"/>
      <c r="F3543" s="44" t="s">
        <v>588</v>
      </c>
      <c r="G3543" s="45" t="s">
        <v>15</v>
      </c>
      <c r="H3543" s="51"/>
      <c r="I3543" s="47"/>
      <c r="J3543" s="48"/>
      <c r="K3543" s="49"/>
      <c r="L3543" s="50"/>
    </row>
    <row r="3544" spans="1:12" ht="15.6" outlineLevel="1">
      <c r="A3544" s="11">
        <v>1845300811</v>
      </c>
      <c r="B3544" s="40">
        <v>811</v>
      </c>
      <c r="C3544" s="109">
        <v>845300</v>
      </c>
      <c r="D3544" s="42">
        <v>1</v>
      </c>
      <c r="E3544" s="43"/>
      <c r="F3544" s="44" t="s">
        <v>590</v>
      </c>
      <c r="G3544" s="45" t="s">
        <v>29</v>
      </c>
      <c r="H3544" s="51">
        <f t="shared" si="57"/>
        <v>-0.5</v>
      </c>
      <c r="I3544" s="47"/>
      <c r="J3544" s="48">
        <f>VLOOKUP(A3544,'[1]תקציב 2026'!$A$1:$M$65536,9,0)</f>
        <v>50000</v>
      </c>
      <c r="K3544" s="49">
        <f>VLOOKUP(A3544,[3]גיליון1!$A$1:$C$7693,3,0)</f>
        <v>100000</v>
      </c>
      <c r="L3544" s="50">
        <f>VLOOKUP(A3544,[2]data1761205830331!$A$1:$J$65536,10,0)</f>
        <v>45197</v>
      </c>
    </row>
    <row r="3545" spans="1:12" ht="15.6" outlineLevel="1">
      <c r="A3545" s="11">
        <v>1845300812</v>
      </c>
      <c r="B3545" s="40">
        <v>812</v>
      </c>
      <c r="C3545" s="109">
        <v>845300</v>
      </c>
      <c r="D3545" s="42">
        <v>1</v>
      </c>
      <c r="E3545" s="43"/>
      <c r="F3545" s="44" t="s">
        <v>1863</v>
      </c>
      <c r="G3545" s="45" t="s">
        <v>29</v>
      </c>
      <c r="H3545" s="51">
        <f t="shared" si="57"/>
        <v>0.51261495643756061</v>
      </c>
      <c r="I3545" s="47"/>
      <c r="J3545" s="48">
        <f>VLOOKUP(A3545,'[1]תקציב 2026'!$A$1:$M$65536,9,0)</f>
        <v>10000200</v>
      </c>
      <c r="K3545" s="49">
        <f>VLOOKUP(A3545,[3]גיליון1!$A$1:$C$7693,3,0)</f>
        <v>6611200</v>
      </c>
      <c r="L3545" s="50">
        <f>VLOOKUP(A3545,[2]data1761205830331!$A$1:$J$65536,10,0)</f>
        <v>8251505</v>
      </c>
    </row>
    <row r="3546" spans="1:12" ht="15.6" outlineLevel="1">
      <c r="A3546" s="11">
        <v>1845300814</v>
      </c>
      <c r="B3546" s="40">
        <v>814</v>
      </c>
      <c r="C3546" s="109">
        <v>845300</v>
      </c>
      <c r="D3546" s="42">
        <v>1</v>
      </c>
      <c r="E3546" s="43"/>
      <c r="F3546" s="44" t="s">
        <v>1864</v>
      </c>
      <c r="G3546" s="45" t="s">
        <v>29</v>
      </c>
      <c r="H3546" s="51">
        <f t="shared" si="57"/>
        <v>0.11570247933884303</v>
      </c>
      <c r="I3546" s="47" t="s">
        <v>137</v>
      </c>
      <c r="J3546" s="48">
        <f>VLOOKUP(A3546,'[1]תקציב 2026'!$A$1:$M$65536,9,0)</f>
        <v>54000000</v>
      </c>
      <c r="K3546" s="49">
        <f>VLOOKUP(A3546,[3]גיליון1!$A$1:$C$7693,3,0)</f>
        <v>48400000</v>
      </c>
      <c r="L3546" s="50">
        <f>VLOOKUP(A3546,[2]data1761205830331!$A$1:$J$65536,10,0)</f>
        <v>49800721</v>
      </c>
    </row>
    <row r="3547" spans="1:12" ht="15.6" outlineLevel="1">
      <c r="A3547" s="11">
        <v>1845300815</v>
      </c>
      <c r="B3547" s="40">
        <v>815</v>
      </c>
      <c r="C3547" s="109">
        <v>845300</v>
      </c>
      <c r="D3547" s="42">
        <v>1</v>
      </c>
      <c r="E3547" s="43"/>
      <c r="F3547" s="44" t="s">
        <v>1865</v>
      </c>
      <c r="G3547" s="45" t="s">
        <v>29</v>
      </c>
      <c r="H3547" s="51">
        <f t="shared" si="57"/>
        <v>2.8567230337835259E-2</v>
      </c>
      <c r="I3547" s="47" t="s">
        <v>137</v>
      </c>
      <c r="J3547" s="48">
        <f>VLOOKUP(A3547,'[1]תקציב 2026'!$A$1:$M$65536,9,0)</f>
        <v>8400000</v>
      </c>
      <c r="K3547" s="49">
        <f>VLOOKUP(A3547,[3]גיליון1!$A$1:$C$7693,3,0)</f>
        <v>8166700</v>
      </c>
      <c r="L3547" s="50">
        <f>VLOOKUP(A3547,[2]data1761205830331!$A$1:$J$65536,10,0)</f>
        <v>8236985</v>
      </c>
    </row>
    <row r="3548" spans="1:12" ht="15.6" outlineLevel="1">
      <c r="A3548" s="11">
        <v>1845300816</v>
      </c>
      <c r="B3548" s="40">
        <v>816</v>
      </c>
      <c r="C3548" s="109">
        <v>845300</v>
      </c>
      <c r="D3548" s="42">
        <v>1</v>
      </c>
      <c r="E3548" s="43"/>
      <c r="F3548" s="44" t="s">
        <v>592</v>
      </c>
      <c r="G3548" s="45" t="s">
        <v>29</v>
      </c>
      <c r="H3548" s="51">
        <f t="shared" si="57"/>
        <v>0.62439688936822391</v>
      </c>
      <c r="I3548" s="47"/>
      <c r="J3548" s="48">
        <f>VLOOKUP(A3548,'[1]תקציב 2026'!$A$1:$M$65536,9,0)</f>
        <v>2861700</v>
      </c>
      <c r="K3548" s="49">
        <f>VLOOKUP(A3548,[3]גיליון1!$A$1:$C$7693,3,0)</f>
        <v>1761700</v>
      </c>
      <c r="L3548" s="50">
        <f>VLOOKUP(A3548,[2]data1761205830331!$A$1:$J$65536,10,0)</f>
        <v>2321847.9900000002</v>
      </c>
    </row>
    <row r="3549" spans="1:12" ht="15.6" outlineLevel="1">
      <c r="A3549" s="11">
        <v>1845300817</v>
      </c>
      <c r="B3549" s="40">
        <v>817</v>
      </c>
      <c r="C3549" s="109">
        <v>845300</v>
      </c>
      <c r="D3549" s="42">
        <v>1</v>
      </c>
      <c r="E3549" s="43"/>
      <c r="F3549" s="44" t="s">
        <v>595</v>
      </c>
      <c r="G3549" s="45" t="s">
        <v>29</v>
      </c>
      <c r="H3549" s="51">
        <f t="shared" si="57"/>
        <v>0.11111111111111116</v>
      </c>
      <c r="I3549" s="47"/>
      <c r="J3549" s="48">
        <f>VLOOKUP(A3549,'[1]תקציב 2026'!$A$1:$M$65536,9,0)</f>
        <v>33100</v>
      </c>
      <c r="K3549" s="49">
        <f>VLOOKUP(A3549,[3]גיליון1!$A$1:$C$7693,3,0)*0.9</f>
        <v>29790</v>
      </c>
      <c r="L3549" s="50">
        <f>VLOOKUP(A3549,[2]data1761205830331!$A$1:$J$65536,10,0)</f>
        <v>29885.62</v>
      </c>
    </row>
    <row r="3550" spans="1:12" ht="15.6" outlineLevel="1">
      <c r="A3550" s="11">
        <v>1845300891</v>
      </c>
      <c r="B3550" s="40">
        <v>891</v>
      </c>
      <c r="C3550" s="109">
        <v>845300</v>
      </c>
      <c r="D3550" s="42">
        <v>1</v>
      </c>
      <c r="E3550" s="43"/>
      <c r="F3550" s="44" t="s">
        <v>1866</v>
      </c>
      <c r="G3550" s="45" t="s">
        <v>37</v>
      </c>
      <c r="H3550" s="51">
        <f t="shared" si="57"/>
        <v>0</v>
      </c>
      <c r="I3550" s="47"/>
      <c r="J3550" s="48">
        <f>VLOOKUP(A3550,'[1]תקציב 2026'!$A$1:$M$65536,9,0)</f>
        <v>2430</v>
      </c>
      <c r="K3550" s="49">
        <f>VLOOKUP(A3550,[3]גיליון1!$A$1:$C$7693,3,0)*0.9</f>
        <v>2430</v>
      </c>
      <c r="L3550" s="50">
        <f>VLOOKUP(A3550,[2]data1761205830331!$A$1:$J$65536,10,0)</f>
        <v>0</v>
      </c>
    </row>
    <row r="3551" spans="1:12" ht="16.2" outlineLevel="1" thickBot="1">
      <c r="A3551" s="11">
        <v>1845300892</v>
      </c>
      <c r="B3551" s="40">
        <v>892</v>
      </c>
      <c r="C3551" s="109">
        <v>845300</v>
      </c>
      <c r="D3551" s="42">
        <v>1</v>
      </c>
      <c r="E3551" s="43"/>
      <c r="F3551" s="44" t="s">
        <v>1867</v>
      </c>
      <c r="G3551" s="45" t="s">
        <v>37</v>
      </c>
      <c r="H3551" s="51">
        <f t="shared" si="57"/>
        <v>0</v>
      </c>
      <c r="I3551" s="47"/>
      <c r="J3551" s="48">
        <f>VLOOKUP(A3551,'[1]תקציב 2026'!$A$1:$M$65536,9,0)</f>
        <v>900</v>
      </c>
      <c r="K3551" s="49">
        <f>VLOOKUP(A3551,[3]גיליון1!$A$1:$C$7693,3,0)*0.9</f>
        <v>900</v>
      </c>
      <c r="L3551" s="50">
        <f>VLOOKUP(A3551,[2]data1761205830331!$A$1:$J$65536,10,0)</f>
        <v>0</v>
      </c>
    </row>
    <row r="3552" spans="1:12" ht="16.2" thickBot="1">
      <c r="A3552" s="11" t="e">
        <v>#VALUE!</v>
      </c>
      <c r="B3552" s="53" t="s">
        <v>1868</v>
      </c>
      <c r="C3552" s="223"/>
      <c r="D3552" s="55"/>
      <c r="E3552" s="56"/>
      <c r="F3552" s="116" t="s">
        <v>1869</v>
      </c>
      <c r="G3552" s="58"/>
      <c r="H3552" s="71">
        <f>J3552/K3552-1</f>
        <v>0.15790964324220647</v>
      </c>
      <c r="I3552" s="72"/>
      <c r="J3552" s="74">
        <f>SUBTOTAL(9,J3544:J3551)</f>
        <v>75348330</v>
      </c>
      <c r="K3552" s="92">
        <f>SUBTOTAL(9,K3544:K3551)</f>
        <v>65072720</v>
      </c>
      <c r="L3552" s="75">
        <f>SUBTOTAL(9,L3544:L3551)</f>
        <v>68686141.609999999</v>
      </c>
    </row>
    <row r="3553" spans="1:12" ht="15.6" outlineLevel="1">
      <c r="A3553" s="11">
        <v>18454000</v>
      </c>
      <c r="B3553" s="40">
        <v>0</v>
      </c>
      <c r="C3553" s="109">
        <v>845400</v>
      </c>
      <c r="D3553" s="42">
        <v>1</v>
      </c>
      <c r="E3553" s="43"/>
      <c r="F3553" s="44" t="s">
        <v>598</v>
      </c>
      <c r="G3553" s="45" t="s">
        <v>15</v>
      </c>
      <c r="H3553" s="51"/>
      <c r="I3553" s="47"/>
      <c r="J3553" s="48"/>
      <c r="K3553" s="49"/>
      <c r="L3553" s="50"/>
    </row>
    <row r="3554" spans="1:12" ht="16.2" outlineLevel="1" thickBot="1">
      <c r="A3554" s="11">
        <v>1845400812</v>
      </c>
      <c r="B3554" s="40">
        <v>812</v>
      </c>
      <c r="C3554" s="109">
        <v>845400</v>
      </c>
      <c r="D3554" s="42">
        <v>1</v>
      </c>
      <c r="E3554" s="43"/>
      <c r="F3554" s="44" t="s">
        <v>1870</v>
      </c>
      <c r="G3554" s="45" t="s">
        <v>29</v>
      </c>
      <c r="H3554" s="51">
        <f t="shared" si="57"/>
        <v>0</v>
      </c>
      <c r="I3554" s="47"/>
      <c r="J3554" s="48">
        <f>VLOOKUP(A3554,'[1]תקציב 2026'!$A$1:$M$65536,9,0)</f>
        <v>2185000</v>
      </c>
      <c r="K3554" s="49">
        <f>VLOOKUP(A3554,[3]גיליון1!$A$1:$C$7693,3,0)</f>
        <v>2185000</v>
      </c>
      <c r="L3554" s="50">
        <f>VLOOKUP(A3554,[2]data1761205830331!$A$1:$J$65536,10,0)</f>
        <v>1898133</v>
      </c>
    </row>
    <row r="3555" spans="1:12" ht="16.2" thickBot="1">
      <c r="A3555" s="11" t="e">
        <v>#VALUE!</v>
      </c>
      <c r="B3555" s="53" t="s">
        <v>1871</v>
      </c>
      <c r="C3555" s="223"/>
      <c r="D3555" s="55"/>
      <c r="E3555" s="56"/>
      <c r="F3555" s="116" t="s">
        <v>598</v>
      </c>
      <c r="G3555" s="58"/>
      <c r="H3555" s="71">
        <f>J3555/K3555-1</f>
        <v>0</v>
      </c>
      <c r="I3555" s="72"/>
      <c r="J3555" s="74">
        <f>SUBTOTAL(9,J3554:J3554)</f>
        <v>2185000</v>
      </c>
      <c r="K3555" s="92">
        <f>SUBTOTAL(9,K3554:K3554)</f>
        <v>2185000</v>
      </c>
      <c r="L3555" s="75">
        <f>SUBTOTAL(9,L3554:L3554)</f>
        <v>1898133</v>
      </c>
    </row>
    <row r="3556" spans="1:12" ht="15.6" outlineLevel="1">
      <c r="A3556" s="11">
        <v>18460000</v>
      </c>
      <c r="B3556" s="40">
        <v>0</v>
      </c>
      <c r="C3556" s="109">
        <v>846000</v>
      </c>
      <c r="D3556" s="42">
        <v>1</v>
      </c>
      <c r="E3556" s="43"/>
      <c r="F3556" s="44" t="s">
        <v>1872</v>
      </c>
      <c r="G3556" s="45" t="s">
        <v>15</v>
      </c>
      <c r="H3556" s="51"/>
      <c r="I3556" s="47"/>
      <c r="J3556" s="48"/>
      <c r="K3556" s="49"/>
      <c r="L3556" s="50"/>
    </row>
    <row r="3557" spans="1:12" ht="15.6" outlineLevel="1">
      <c r="A3557" s="11">
        <v>1846200710</v>
      </c>
      <c r="B3557" s="40">
        <v>710</v>
      </c>
      <c r="C3557" s="109">
        <v>846200</v>
      </c>
      <c r="D3557" s="42">
        <v>1</v>
      </c>
      <c r="E3557" s="43"/>
      <c r="F3557" s="44" t="str">
        <f>[4]גיליון1!$F$7288</f>
        <v>הסעות למועדון לכבדי ראייה</v>
      </c>
      <c r="G3557" s="45" t="s">
        <v>37</v>
      </c>
      <c r="H3557" s="51">
        <f t="shared" si="57"/>
        <v>0</v>
      </c>
      <c r="I3557" s="47"/>
      <c r="J3557" s="48">
        <f>VLOOKUP(A3557,'[1]תקציב 2026'!$A$1:$M$65536,9,0)</f>
        <v>40140</v>
      </c>
      <c r="K3557" s="49">
        <f>VLOOKUP(A3557,[3]גיליון1!$A$1:$C$7693,3,0)*0.9</f>
        <v>40140</v>
      </c>
      <c r="L3557" s="50">
        <f>VLOOKUP(A3557,[2]data1761205830331!$A$1:$J$65536,10,0)</f>
        <v>0</v>
      </c>
    </row>
    <row r="3558" spans="1:12" ht="15.6" outlineLevel="1">
      <c r="A3558" s="11">
        <v>1846200812</v>
      </c>
      <c r="B3558" s="40">
        <v>812</v>
      </c>
      <c r="C3558" s="109">
        <v>846200</v>
      </c>
      <c r="D3558" s="42">
        <v>1</v>
      </c>
      <c r="E3558" s="43"/>
      <c r="F3558" s="155" t="s">
        <v>604</v>
      </c>
      <c r="G3558" s="45" t="s">
        <v>29</v>
      </c>
      <c r="H3558" s="51">
        <f t="shared" si="57"/>
        <v>0</v>
      </c>
      <c r="I3558" s="47"/>
      <c r="J3558" s="48">
        <f>VLOOKUP(A3558,'[1]תקציב 2026'!$A$1:$M$65536,9,0)</f>
        <v>700000</v>
      </c>
      <c r="K3558" s="49">
        <f>VLOOKUP(A3558,[3]גיליון1!$A$1:$C$7693,3,0)</f>
        <v>700000</v>
      </c>
      <c r="L3558" s="50">
        <f>VLOOKUP(A3558,[2]data1761205830331!$A$1:$J$65536,10,0)</f>
        <v>679269</v>
      </c>
    </row>
    <row r="3559" spans="1:12" ht="15.6" outlineLevel="1">
      <c r="A3559" s="11">
        <v>1846200815</v>
      </c>
      <c r="B3559" s="40">
        <v>815</v>
      </c>
      <c r="C3559" s="109">
        <v>846200</v>
      </c>
      <c r="D3559" s="42">
        <v>1</v>
      </c>
      <c r="E3559" s="43"/>
      <c r="F3559" s="44" t="s">
        <v>1873</v>
      </c>
      <c r="G3559" s="45" t="s">
        <v>29</v>
      </c>
      <c r="H3559" s="51">
        <f t="shared" si="57"/>
        <v>0</v>
      </c>
      <c r="I3559" s="47"/>
      <c r="J3559" s="48">
        <f>VLOOKUP(A3559,'[1]תקציב 2026'!$A$1:$M$65536,9,0)</f>
        <v>633000</v>
      </c>
      <c r="K3559" s="49">
        <f>VLOOKUP(A3559,[3]גיליון1!$A$1:$C$7693,3,0)</f>
        <v>633000</v>
      </c>
      <c r="L3559" s="50">
        <f>VLOOKUP(A3559,[2]data1761205830331!$A$1:$J$65536,10,0)</f>
        <v>551835</v>
      </c>
    </row>
    <row r="3560" spans="1:12" ht="16.2" outlineLevel="1" thickBot="1">
      <c r="A3560" s="11">
        <v>1846200816</v>
      </c>
      <c r="B3560" s="40">
        <v>816</v>
      </c>
      <c r="C3560" s="109">
        <v>846200</v>
      </c>
      <c r="D3560" s="42">
        <v>1</v>
      </c>
      <c r="E3560" s="43"/>
      <c r="F3560" s="44" t="s">
        <v>1874</v>
      </c>
      <c r="G3560" s="45" t="s">
        <v>29</v>
      </c>
      <c r="H3560" s="51">
        <f t="shared" si="57"/>
        <v>0</v>
      </c>
      <c r="I3560" s="47"/>
      <c r="J3560" s="48">
        <f>VLOOKUP(A3560,'[1]תקציב 2026'!$A$1:$M$65536,9,0)</f>
        <v>280000</v>
      </c>
      <c r="K3560" s="49">
        <v>280000</v>
      </c>
      <c r="L3560" s="50">
        <f>VLOOKUP(A3560,[2]data1761205830331!$A$1:$J$65536,10,0)</f>
        <v>222687</v>
      </c>
    </row>
    <row r="3561" spans="1:12" ht="16.2" thickBot="1">
      <c r="A3561" s="11" t="e">
        <v>#VALUE!</v>
      </c>
      <c r="B3561" s="53" t="s">
        <v>1875</v>
      </c>
      <c r="C3561" s="223"/>
      <c r="D3561" s="55"/>
      <c r="E3561" s="56"/>
      <c r="F3561" s="116" t="s">
        <v>1876</v>
      </c>
      <c r="G3561" s="58"/>
      <c r="H3561" s="71">
        <v>0</v>
      </c>
      <c r="I3561" s="72"/>
      <c r="J3561" s="74">
        <f>SUBTOTAL(9,J3557:J3560)</f>
        <v>1653140</v>
      </c>
      <c r="K3561" s="92">
        <f>SUBTOTAL(9,K3557:K3560)</f>
        <v>1653140</v>
      </c>
      <c r="L3561" s="75">
        <f>SUBTOTAL(9,L3557:L3560)</f>
        <v>1453791</v>
      </c>
    </row>
    <row r="3562" spans="1:12" ht="15.6" outlineLevel="1">
      <c r="A3562" s="11">
        <v>18465000</v>
      </c>
      <c r="B3562" s="40">
        <v>0</v>
      </c>
      <c r="C3562" s="109">
        <v>846500</v>
      </c>
      <c r="D3562" s="42">
        <v>1</v>
      </c>
      <c r="E3562" s="43"/>
      <c r="F3562" s="44" t="s">
        <v>609</v>
      </c>
      <c r="G3562" s="45" t="s">
        <v>15</v>
      </c>
      <c r="H3562" s="51"/>
      <c r="I3562" s="47"/>
      <c r="J3562" s="48"/>
      <c r="K3562" s="49"/>
      <c r="L3562" s="50"/>
    </row>
    <row r="3563" spans="1:12" ht="15.6" outlineLevel="1">
      <c r="A3563" s="11">
        <v>1846500781</v>
      </c>
      <c r="B3563" s="40">
        <v>781</v>
      </c>
      <c r="C3563" s="109">
        <v>846500</v>
      </c>
      <c r="D3563" s="42">
        <v>1</v>
      </c>
      <c r="E3563" s="43"/>
      <c r="F3563" s="44" t="s">
        <v>1877</v>
      </c>
      <c r="G3563" s="45" t="s">
        <v>29</v>
      </c>
      <c r="H3563" s="51">
        <v>0</v>
      </c>
      <c r="I3563" s="47"/>
      <c r="J3563" s="48">
        <f>VLOOKUP(A3563,'[1]תקציב 2026'!$A$1:$M$65536,9,0)</f>
        <v>0</v>
      </c>
      <c r="K3563" s="49">
        <v>0</v>
      </c>
      <c r="L3563" s="50">
        <f>VLOOKUP(A3563,[2]data1761205830331!$A$1:$J$65536,10,0)</f>
        <v>2070.66</v>
      </c>
    </row>
    <row r="3564" spans="1:12" ht="15.6" outlineLevel="1">
      <c r="A3564" s="11">
        <v>1846500782</v>
      </c>
      <c r="B3564" s="40">
        <v>782</v>
      </c>
      <c r="C3564" s="109">
        <v>846500</v>
      </c>
      <c r="D3564" s="42">
        <v>1</v>
      </c>
      <c r="E3564" s="43"/>
      <c r="F3564" s="44" t="s">
        <v>1878</v>
      </c>
      <c r="G3564" s="45" t="s">
        <v>37</v>
      </c>
      <c r="H3564" s="51">
        <f t="shared" si="57"/>
        <v>0</v>
      </c>
      <c r="I3564" s="47"/>
      <c r="J3564" s="48">
        <f>VLOOKUP(A3564,'[1]תקציב 2026'!$A$1:$M$65536,9,0)</f>
        <v>5400</v>
      </c>
      <c r="K3564" s="49">
        <f>6000*0.9</f>
        <v>5400</v>
      </c>
      <c r="L3564" s="50">
        <f>VLOOKUP(A3564,[2]data1761205830331!$A$1:$J$65536,10,0)</f>
        <v>5316.7</v>
      </c>
    </row>
    <row r="3565" spans="1:12" ht="15.6" outlineLevel="1">
      <c r="A3565" s="11">
        <v>1846500811</v>
      </c>
      <c r="B3565" s="40">
        <v>811</v>
      </c>
      <c r="C3565" s="109">
        <v>846500</v>
      </c>
      <c r="D3565" s="42">
        <v>1</v>
      </c>
      <c r="E3565" s="43"/>
      <c r="F3565" s="44" t="s">
        <v>610</v>
      </c>
      <c r="G3565" s="45" t="s">
        <v>29</v>
      </c>
      <c r="H3565" s="51">
        <v>1</v>
      </c>
      <c r="I3565" s="47"/>
      <c r="J3565" s="48">
        <f>VLOOKUP(A3565,'[1]תקציב 2026'!$A$1:$M$65536,9,0)</f>
        <v>43000</v>
      </c>
      <c r="K3565" s="49">
        <v>0</v>
      </c>
      <c r="L3565" s="50">
        <f>VLOOKUP(A3565,[2]data1761205830331!$A$1:$J$65536,10,0)</f>
        <v>3276</v>
      </c>
    </row>
    <row r="3566" spans="1:12" ht="15.6" outlineLevel="1">
      <c r="A3566" s="11">
        <v>1846500812</v>
      </c>
      <c r="B3566" s="40">
        <v>812</v>
      </c>
      <c r="C3566" s="109">
        <v>846500</v>
      </c>
      <c r="D3566" s="42">
        <v>1</v>
      </c>
      <c r="E3566" s="43"/>
      <c r="F3566" s="44" t="s">
        <v>611</v>
      </c>
      <c r="G3566" s="45" t="s">
        <v>29</v>
      </c>
      <c r="H3566" s="51">
        <f t="shared" si="57"/>
        <v>-1</v>
      </c>
      <c r="I3566" s="47"/>
      <c r="J3566" s="48">
        <f>VLOOKUP(A3566,'[1]תקציב 2026'!$A$1:$M$65536,9,0)</f>
        <v>0</v>
      </c>
      <c r="K3566" s="49">
        <f>VLOOKUP(A3566,[3]גיליון1!$A$1:$C$7693,3,0)</f>
        <v>50000</v>
      </c>
      <c r="L3566" s="50">
        <f>VLOOKUP(A3566,[2]data1761205830331!$A$1:$J$65536,10,0)</f>
        <v>0</v>
      </c>
    </row>
    <row r="3567" spans="1:12" ht="15.6" outlineLevel="1">
      <c r="A3567" s="11">
        <v>1846500813</v>
      </c>
      <c r="B3567" s="40">
        <v>813</v>
      </c>
      <c r="C3567" s="109">
        <v>846500</v>
      </c>
      <c r="D3567" s="42">
        <v>1</v>
      </c>
      <c r="E3567" s="43"/>
      <c r="F3567" s="44" t="s">
        <v>612</v>
      </c>
      <c r="G3567" s="45" t="s">
        <v>29</v>
      </c>
      <c r="H3567" s="51">
        <f t="shared" si="57"/>
        <v>7.1428571428571397E-2</v>
      </c>
      <c r="I3567" s="47"/>
      <c r="J3567" s="48">
        <f>VLOOKUP(A3567,'[1]תקציב 2026'!$A$1:$M$65536,9,0)</f>
        <v>750000</v>
      </c>
      <c r="K3567" s="49">
        <f>VLOOKUP(A3567,[3]גיליון1!$A$1:$C$7693,3,0)</f>
        <v>700000</v>
      </c>
      <c r="L3567" s="50">
        <f>VLOOKUP(A3567,[2]data1761205830331!$A$1:$J$65536,10,0)</f>
        <v>825418.8</v>
      </c>
    </row>
    <row r="3568" spans="1:12" ht="31.2" outlineLevel="1">
      <c r="A3568" s="11">
        <v>1846500814</v>
      </c>
      <c r="B3568" s="40">
        <v>814</v>
      </c>
      <c r="C3568" s="109">
        <v>846500</v>
      </c>
      <c r="D3568" s="42">
        <v>1</v>
      </c>
      <c r="E3568" s="43"/>
      <c r="F3568" s="261" t="s">
        <v>1879</v>
      </c>
      <c r="G3568" s="262" t="s">
        <v>29</v>
      </c>
      <c r="H3568" s="51">
        <f t="shared" si="57"/>
        <v>0</v>
      </c>
      <c r="I3568" s="47" t="s">
        <v>137</v>
      </c>
      <c r="J3568" s="48">
        <f>VLOOKUP(A3568,'[1]תקציב 2026'!$A$1:$M$65536,9,0)</f>
        <v>111900</v>
      </c>
      <c r="K3568" s="49">
        <f>VLOOKUP(A3568,[3]גיליון1!$A$1:$C$7693,3,0)</f>
        <v>111900</v>
      </c>
      <c r="L3568" s="50">
        <f>VLOOKUP(A3568,[2]data1761205830331!$A$1:$J$65536,10,0)</f>
        <v>105811.59</v>
      </c>
    </row>
    <row r="3569" spans="1:12" ht="15.6" outlineLevel="1">
      <c r="A3569" s="11">
        <v>1846500815</v>
      </c>
      <c r="B3569" s="40">
        <v>815</v>
      </c>
      <c r="C3569" s="109">
        <v>846500</v>
      </c>
      <c r="D3569" s="42">
        <v>1</v>
      </c>
      <c r="E3569" s="43"/>
      <c r="F3569" s="44" t="s">
        <v>1880</v>
      </c>
      <c r="G3569" s="45" t="s">
        <v>29</v>
      </c>
      <c r="H3569" s="51">
        <f t="shared" si="57"/>
        <v>6.2453806356245423E-2</v>
      </c>
      <c r="I3569" s="47"/>
      <c r="J3569" s="48">
        <f>VLOOKUP(A3569,'[1]תקציב 2026'!$A$1:$M$65536,9,0)</f>
        <v>18400000</v>
      </c>
      <c r="K3569" s="49">
        <f>VLOOKUP(A3569,[3]גיליון1!$A$1:$C$7693,3,0)</f>
        <v>17318400</v>
      </c>
      <c r="L3569" s="50">
        <f>VLOOKUP(A3569,[2]data1761205830331!$A$1:$J$65536,10,0)</f>
        <v>17583782</v>
      </c>
    </row>
    <row r="3570" spans="1:12" ht="15.6" outlineLevel="1">
      <c r="A3570" s="11">
        <v>1846500816</v>
      </c>
      <c r="B3570" s="40">
        <v>816</v>
      </c>
      <c r="C3570" s="109">
        <v>846500</v>
      </c>
      <c r="D3570" s="42">
        <v>1</v>
      </c>
      <c r="E3570" s="43"/>
      <c r="F3570" s="44" t="s">
        <v>630</v>
      </c>
      <c r="G3570" s="45" t="s">
        <v>29</v>
      </c>
      <c r="H3570" s="51">
        <f t="shared" si="57"/>
        <v>-0.40740740740740744</v>
      </c>
      <c r="I3570" s="47"/>
      <c r="J3570" s="48">
        <f>VLOOKUP(A3570,'[1]תקציב 2026'!$A$1:$M$65536,9,0)</f>
        <v>320000</v>
      </c>
      <c r="K3570" s="49">
        <f>VLOOKUP(A3570,[3]גיליון1!$A$1:$C$7693,3,0)</f>
        <v>540000</v>
      </c>
      <c r="L3570" s="50">
        <f>VLOOKUP(A3570,[2]data1761205830331!$A$1:$J$65536,10,0)</f>
        <v>311108</v>
      </c>
    </row>
    <row r="3571" spans="1:12" ht="15.6" outlineLevel="1">
      <c r="A3571" s="11">
        <v>1846500817</v>
      </c>
      <c r="B3571" s="40">
        <v>817</v>
      </c>
      <c r="C3571" s="109">
        <v>846500</v>
      </c>
      <c r="D3571" s="42">
        <v>1</v>
      </c>
      <c r="E3571" s="43"/>
      <c r="F3571" s="44" t="str">
        <f>[4]גיליון1!$F$7312</f>
        <v>נכים קשים בקהילה</v>
      </c>
      <c r="G3571" s="45" t="s">
        <v>29</v>
      </c>
      <c r="H3571" s="51">
        <f t="shared" si="57"/>
        <v>0</v>
      </c>
      <c r="I3571" s="47"/>
      <c r="J3571" s="48">
        <f>VLOOKUP(A3571,'[1]תקציב 2026'!$A$1:$M$65536,9,0)</f>
        <v>220000</v>
      </c>
      <c r="K3571" s="49">
        <f>VLOOKUP(A3571,[3]גיליון1!$A$1:$C$7693,3,0)</f>
        <v>220000</v>
      </c>
      <c r="L3571" s="50">
        <f>VLOOKUP(A3571,[2]data1761205830331!$A$1:$J$65536,10,0)</f>
        <v>170500</v>
      </c>
    </row>
    <row r="3572" spans="1:12" ht="15.6" outlineLevel="1">
      <c r="A3572" s="11">
        <v>1846500818</v>
      </c>
      <c r="B3572" s="40">
        <v>818</v>
      </c>
      <c r="C3572" s="109">
        <v>846500</v>
      </c>
      <c r="D3572" s="42">
        <v>1</v>
      </c>
      <c r="E3572" s="43"/>
      <c r="F3572" s="44" t="s">
        <v>616</v>
      </c>
      <c r="G3572" s="45" t="s">
        <v>29</v>
      </c>
      <c r="H3572" s="51">
        <f t="shared" si="57"/>
        <v>0.16557591623036649</v>
      </c>
      <c r="I3572" s="47"/>
      <c r="J3572" s="48">
        <f>VLOOKUP(A3572,'[1]תקציב 2026'!$A$1:$M$65536,9,0)</f>
        <v>1781000</v>
      </c>
      <c r="K3572" s="49">
        <f>VLOOKUP(A3572,[3]גיליון1!$A$1:$C$7693,3,0)</f>
        <v>1528000</v>
      </c>
      <c r="L3572" s="50">
        <f>VLOOKUP(A3572,[2]data1761205830331!$A$1:$J$65536,10,0)</f>
        <v>1641052</v>
      </c>
    </row>
    <row r="3573" spans="1:12" ht="15.6" outlineLevel="1">
      <c r="A3573" s="11">
        <v>1846500819</v>
      </c>
      <c r="B3573" s="40">
        <v>819</v>
      </c>
      <c r="C3573" s="109">
        <v>846500</v>
      </c>
      <c r="D3573" s="42">
        <v>1</v>
      </c>
      <c r="E3573" s="43"/>
      <c r="F3573" s="44" t="s">
        <v>614</v>
      </c>
      <c r="G3573" s="45" t="s">
        <v>29</v>
      </c>
      <c r="H3573" s="51">
        <f t="shared" si="57"/>
        <v>0</v>
      </c>
      <c r="I3573" s="47"/>
      <c r="J3573" s="48">
        <f>VLOOKUP(A3573,'[1]תקציב 2026'!$A$1:$M$65536,9,0)</f>
        <v>475000</v>
      </c>
      <c r="K3573" s="49">
        <f>VLOOKUP(A3573,[3]גיליון1!$A$1:$C$7693,3,0)</f>
        <v>475000</v>
      </c>
      <c r="L3573" s="50">
        <f>VLOOKUP(A3573,[2]data1761205830331!$A$1:$J$65536,10,0)</f>
        <v>520077</v>
      </c>
    </row>
    <row r="3574" spans="1:12" ht="15.6" outlineLevel="1">
      <c r="A3574" s="11">
        <v>1846500841</v>
      </c>
      <c r="B3574" s="40">
        <v>841</v>
      </c>
      <c r="C3574" s="109">
        <v>846500</v>
      </c>
      <c r="D3574" s="42">
        <v>1</v>
      </c>
      <c r="E3574" s="43"/>
      <c r="F3574" s="44" t="s">
        <v>618</v>
      </c>
      <c r="G3574" s="45" t="s">
        <v>29</v>
      </c>
      <c r="H3574" s="51">
        <f t="shared" si="57"/>
        <v>0.36250000000000004</v>
      </c>
      <c r="I3574" s="47"/>
      <c r="J3574" s="48">
        <f>VLOOKUP(A3574,'[1]תקציב 2026'!$A$1:$M$65536,9,0)</f>
        <v>436000</v>
      </c>
      <c r="K3574" s="49">
        <f>VLOOKUP(A3574,[3]גיליון1!$A$1:$C$7693,3,0)</f>
        <v>320000</v>
      </c>
      <c r="L3574" s="50">
        <f>VLOOKUP(A3574,[2]data1761205830331!$A$1:$J$65536,10,0)</f>
        <v>430055</v>
      </c>
    </row>
    <row r="3575" spans="1:12" ht="15.6" outlineLevel="1">
      <c r="A3575" s="11">
        <v>1846500842</v>
      </c>
      <c r="B3575" s="40">
        <v>842</v>
      </c>
      <c r="C3575" s="109">
        <v>846500</v>
      </c>
      <c r="D3575" s="42">
        <v>1</v>
      </c>
      <c r="E3575" s="43"/>
      <c r="F3575" s="44" t="s">
        <v>1881</v>
      </c>
      <c r="G3575" s="45" t="s">
        <v>29</v>
      </c>
      <c r="H3575" s="51">
        <f t="shared" si="57"/>
        <v>0.22500000000000009</v>
      </c>
      <c r="I3575" s="47"/>
      <c r="J3575" s="48">
        <f>VLOOKUP(A3575,'[1]תקציב 2026'!$A$1:$M$65536,9,0)</f>
        <v>1715000</v>
      </c>
      <c r="K3575" s="49">
        <f>VLOOKUP(A3575,[3]גיליון1!$A$1:$C$7693,3,0)</f>
        <v>1400000</v>
      </c>
      <c r="L3575" s="50">
        <f>VLOOKUP(A3575,[2]data1761205830331!$A$1:$J$65536,10,0)</f>
        <v>1343619</v>
      </c>
    </row>
    <row r="3576" spans="1:12" ht="15.6" outlineLevel="1">
      <c r="A3576" s="11">
        <v>1846500843</v>
      </c>
      <c r="B3576" s="40">
        <v>843</v>
      </c>
      <c r="C3576" s="109">
        <v>846500</v>
      </c>
      <c r="D3576" s="42">
        <v>1</v>
      </c>
      <c r="E3576" s="43"/>
      <c r="F3576" s="155" t="s">
        <v>627</v>
      </c>
      <c r="G3576" s="45" t="s">
        <v>29</v>
      </c>
      <c r="H3576" s="51">
        <f t="shared" si="57"/>
        <v>0.60000000000000009</v>
      </c>
      <c r="I3576" s="47"/>
      <c r="J3576" s="48">
        <f>VLOOKUP(A3576,'[1]תקציב 2026'!$A$1:$M$65536,9,0)</f>
        <v>416000</v>
      </c>
      <c r="K3576" s="49">
        <f>VLOOKUP(A3576,[3]גיליון1!$A$1:$C$7693,3,0)</f>
        <v>260000</v>
      </c>
      <c r="L3576" s="50">
        <f>VLOOKUP(A3576,[2]data1761205830331!$A$1:$J$65536,10,0)</f>
        <v>222453</v>
      </c>
    </row>
    <row r="3577" spans="1:12" ht="15.6" outlineLevel="1">
      <c r="A3577" s="11">
        <v>1846500844</v>
      </c>
      <c r="B3577" s="40">
        <v>844</v>
      </c>
      <c r="C3577" s="109">
        <v>846500</v>
      </c>
      <c r="D3577" s="42">
        <v>1</v>
      </c>
      <c r="E3577" s="43"/>
      <c r="F3577" s="44" t="s">
        <v>617</v>
      </c>
      <c r="G3577" s="45" t="s">
        <v>29</v>
      </c>
      <c r="H3577" s="51">
        <f t="shared" si="57"/>
        <v>-0.14040114613180521</v>
      </c>
      <c r="I3577" s="47"/>
      <c r="J3577" s="48">
        <f>VLOOKUP(A3577,'[1]תקציב 2026'!$A$1:$M$65536,9,0)</f>
        <v>2400000</v>
      </c>
      <c r="K3577" s="49">
        <f>VLOOKUP(A3577,[3]גיליון1!$A$1:$C$7693,3,0)</f>
        <v>2792000</v>
      </c>
      <c r="L3577" s="50">
        <f>VLOOKUP(A3577,[2]data1761205830331!$A$1:$J$65536,10,0)</f>
        <v>2121062.64</v>
      </c>
    </row>
    <row r="3578" spans="1:12" ht="15.6" outlineLevel="1">
      <c r="A3578" s="11">
        <v>1846500845</v>
      </c>
      <c r="B3578" s="40">
        <v>845</v>
      </c>
      <c r="C3578" s="109">
        <v>846500</v>
      </c>
      <c r="D3578" s="42">
        <v>1</v>
      </c>
      <c r="E3578" s="43"/>
      <c r="F3578" s="44" t="s">
        <v>619</v>
      </c>
      <c r="G3578" s="45" t="s">
        <v>29</v>
      </c>
      <c r="H3578" s="51">
        <f t="shared" si="57"/>
        <v>-0.14814814814814814</v>
      </c>
      <c r="I3578" s="47"/>
      <c r="J3578" s="48">
        <f>VLOOKUP(A3578,'[1]תקציב 2026'!$A$1:$M$65536,9,0)</f>
        <v>2300000</v>
      </c>
      <c r="K3578" s="49">
        <f>VLOOKUP(A3578,[3]גיליון1!$A$1:$C$7693,3,0)</f>
        <v>2700000</v>
      </c>
      <c r="L3578" s="50">
        <f>VLOOKUP(A3578,[2]data1761205830331!$A$1:$J$65536,10,0)</f>
        <v>2188521.17</v>
      </c>
    </row>
    <row r="3579" spans="1:12" ht="15.6" outlineLevel="1">
      <c r="A3579" s="11">
        <v>1846500847</v>
      </c>
      <c r="B3579" s="40">
        <v>847</v>
      </c>
      <c r="C3579" s="109">
        <v>846500</v>
      </c>
      <c r="D3579" s="42">
        <v>1</v>
      </c>
      <c r="E3579" s="43"/>
      <c r="F3579" s="11" t="s">
        <v>620</v>
      </c>
      <c r="G3579" s="45" t="s">
        <v>29</v>
      </c>
      <c r="H3579" s="51">
        <f t="shared" si="57"/>
        <v>0</v>
      </c>
      <c r="I3579" s="47"/>
      <c r="J3579" s="48">
        <f>VLOOKUP(A3579,'[1]תקציב 2026'!$A$1:$M$65536,9,0)</f>
        <v>600000</v>
      </c>
      <c r="K3579" s="49">
        <f>VLOOKUP(A3579,[3]גיליון1!$A$1:$C$7693,3,0)</f>
        <v>600000</v>
      </c>
      <c r="L3579" s="50">
        <f>VLOOKUP(A3579,[2]data1761205830331!$A$1:$J$65536,10,0)</f>
        <v>566553</v>
      </c>
    </row>
    <row r="3580" spans="1:12" ht="15.6" outlineLevel="1">
      <c r="A3580" s="11">
        <v>1846500880</v>
      </c>
      <c r="B3580" s="40">
        <v>880</v>
      </c>
      <c r="C3580" s="109">
        <v>846500</v>
      </c>
      <c r="D3580" s="42">
        <v>1</v>
      </c>
      <c r="E3580" s="43"/>
      <c r="F3580" s="44" t="s">
        <v>1882</v>
      </c>
      <c r="G3580" s="45" t="s">
        <v>29</v>
      </c>
      <c r="H3580" s="51">
        <f t="shared" si="57"/>
        <v>-0.375</v>
      </c>
      <c r="I3580" s="47" t="s">
        <v>137</v>
      </c>
      <c r="J3580" s="48">
        <f>VLOOKUP(A3580,'[1]תקציב 2026'!$A$1:$M$65536,9,0)</f>
        <v>300000</v>
      </c>
      <c r="K3580" s="49">
        <f>VLOOKUP(A3580,[3]גיליון1!$A$1:$C$7693,3,0)</f>
        <v>480000</v>
      </c>
      <c r="L3580" s="50">
        <f>VLOOKUP(A3580,[2]data1761205830331!$A$1:$J$65536,10,0)</f>
        <v>273179</v>
      </c>
    </row>
    <row r="3581" spans="1:12" ht="15.6" outlineLevel="1">
      <c r="A3581" s="11">
        <v>1846500881</v>
      </c>
      <c r="B3581" s="40">
        <v>881</v>
      </c>
      <c r="C3581" s="109">
        <v>846500</v>
      </c>
      <c r="D3581" s="42">
        <v>1</v>
      </c>
      <c r="E3581" s="43"/>
      <c r="F3581" s="44" t="s">
        <v>1883</v>
      </c>
      <c r="G3581" s="45" t="s">
        <v>29</v>
      </c>
      <c r="H3581" s="51">
        <f t="shared" si="57"/>
        <v>0.31617113850616385</v>
      </c>
      <c r="I3581" s="47" t="s">
        <v>137</v>
      </c>
      <c r="J3581" s="48">
        <f>VLOOKUP(A3581,'[1]תקציב 2026'!$A$1:$M$65536,9,0)</f>
        <v>726000</v>
      </c>
      <c r="K3581" s="49">
        <f>VLOOKUP(A3581,[3]גיליון1!$A$1:$C$7693,3,0)</f>
        <v>551600</v>
      </c>
      <c r="L3581" s="50">
        <f>VLOOKUP(A3581,[2]data1761205830331!$A$1:$J$65536,10,0)</f>
        <v>571650</v>
      </c>
    </row>
    <row r="3582" spans="1:12" ht="15.6" outlineLevel="1">
      <c r="A3582" s="11">
        <v>1846500882</v>
      </c>
      <c r="B3582" s="40">
        <v>882</v>
      </c>
      <c r="C3582" s="109">
        <v>846500</v>
      </c>
      <c r="D3582" s="42">
        <v>1</v>
      </c>
      <c r="E3582" s="43"/>
      <c r="F3582" s="44" t="s">
        <v>625</v>
      </c>
      <c r="G3582" s="45" t="s">
        <v>29</v>
      </c>
      <c r="H3582" s="51">
        <f t="shared" si="57"/>
        <v>0.79333333333333322</v>
      </c>
      <c r="I3582" s="47"/>
      <c r="J3582" s="48">
        <f>VLOOKUP(A3582,'[1]תקציב 2026'!$A$1:$M$65536,9,0)</f>
        <v>538000</v>
      </c>
      <c r="K3582" s="49">
        <f>VLOOKUP(A3582,[3]גיליון1!$A$1:$C$7693,3,0)</f>
        <v>300000</v>
      </c>
      <c r="L3582" s="50">
        <f>VLOOKUP(A3582,[2]data1761205830331!$A$1:$J$65536,10,0)</f>
        <v>317582</v>
      </c>
    </row>
    <row r="3583" spans="1:12" ht="15.6" outlineLevel="1">
      <c r="A3583" s="11">
        <v>1846500884</v>
      </c>
      <c r="B3583" s="40">
        <v>884</v>
      </c>
      <c r="C3583" s="109">
        <v>846500</v>
      </c>
      <c r="D3583" s="42">
        <v>1</v>
      </c>
      <c r="E3583" s="43"/>
      <c r="F3583" s="44" t="s">
        <v>626</v>
      </c>
      <c r="G3583" s="45" t="s">
        <v>29</v>
      </c>
      <c r="H3583" s="51">
        <f t="shared" si="57"/>
        <v>0.24513618677042803</v>
      </c>
      <c r="I3583" s="47"/>
      <c r="J3583" s="48">
        <f>VLOOKUP(A3583,'[1]תקציב 2026'!$A$1:$M$65536,9,0)</f>
        <v>32000000</v>
      </c>
      <c r="K3583" s="49">
        <f>VLOOKUP(A3583,[3]גיליון1!$A$1:$C$7693,3,0)</f>
        <v>25700000</v>
      </c>
      <c r="L3583" s="50">
        <f>VLOOKUP(A3583,[2]data1761205830331!$A$1:$J$65536,10,0)</f>
        <v>30555243</v>
      </c>
    </row>
    <row r="3584" spans="1:12" ht="15.6" outlineLevel="1">
      <c r="A3584" s="11">
        <v>1846500885</v>
      </c>
      <c r="B3584" s="40">
        <v>885</v>
      </c>
      <c r="C3584" s="109">
        <v>846500</v>
      </c>
      <c r="D3584" s="42">
        <v>1</v>
      </c>
      <c r="E3584" s="43"/>
      <c r="F3584" s="44" t="s">
        <v>613</v>
      </c>
      <c r="G3584" s="45" t="s">
        <v>29</v>
      </c>
      <c r="H3584" s="51">
        <f t="shared" si="57"/>
        <v>-1</v>
      </c>
      <c r="I3584" s="47"/>
      <c r="J3584" s="48">
        <f>VLOOKUP(A3584,'[1]תקציב 2026'!$A$1:$M$65536,9,0)</f>
        <v>0</v>
      </c>
      <c r="K3584" s="49">
        <f>VLOOKUP(A3584,[3]גיליון1!$A$1:$C$7693,3,0)</f>
        <v>156000</v>
      </c>
      <c r="L3584" s="50">
        <f>VLOOKUP(A3584,[2]data1761205830331!$A$1:$J$65536,10,0)</f>
        <v>71737</v>
      </c>
    </row>
    <row r="3585" spans="1:12" ht="15.6" outlineLevel="1">
      <c r="A3585" s="11">
        <v>1846500887</v>
      </c>
      <c r="B3585" s="40">
        <v>887</v>
      </c>
      <c r="C3585" s="109">
        <v>846500</v>
      </c>
      <c r="D3585" s="42">
        <v>1</v>
      </c>
      <c r="E3585" s="43"/>
      <c r="F3585" s="44" t="s">
        <v>622</v>
      </c>
      <c r="G3585" s="45" t="s">
        <v>29</v>
      </c>
      <c r="H3585" s="51">
        <f t="shared" si="57"/>
        <v>0.1707317073170731</v>
      </c>
      <c r="I3585" s="47"/>
      <c r="J3585" s="48">
        <f>VLOOKUP(A3585,'[1]תקציב 2026'!$A$1:$M$65536,9,0)</f>
        <v>9600000</v>
      </c>
      <c r="K3585" s="49">
        <f>VLOOKUP(A3585,[3]גיליון1!$A$1:$C$7693,3,0)</f>
        <v>8200000</v>
      </c>
      <c r="L3585" s="50">
        <f>VLOOKUP(A3585,[2]data1761205830331!$A$1:$J$65536,10,0)</f>
        <v>9574301</v>
      </c>
    </row>
    <row r="3586" spans="1:12" ht="16.2" outlineLevel="1" thickBot="1">
      <c r="A3586" s="11">
        <f>[4]גיליון1!$A$7330</f>
        <v>1846500888</v>
      </c>
      <c r="B3586" s="40">
        <f>[4]גיליון1!$B$7330</f>
        <v>888</v>
      </c>
      <c r="C3586" s="109">
        <f>[4]גיליון1!$C$7323</f>
        <v>846500</v>
      </c>
      <c r="D3586" s="42">
        <f>[4]גיליון1!$D$7323</f>
        <v>1</v>
      </c>
      <c r="E3586" s="43"/>
      <c r="F3586" s="44" t="str">
        <f>[4]גיליון1!$F$7330</f>
        <v>מעטפת מגורים בקהילה</v>
      </c>
      <c r="G3586" s="45" t="str">
        <f>[4]גיליון1!$H$7322</f>
        <v>קשיח</v>
      </c>
      <c r="H3586" s="51">
        <f t="shared" si="57"/>
        <v>0.90116279069767447</v>
      </c>
      <c r="I3586" s="47"/>
      <c r="J3586" s="48">
        <f>VLOOKUP(A3586,'[1]תקציב 2026'!$A$1:$M$65536,9,0)</f>
        <v>65400</v>
      </c>
      <c r="K3586" s="49">
        <f>VLOOKUP(A3586,[3]גיליון1!$A$1:$C$7693,3,0)</f>
        <v>34400</v>
      </c>
      <c r="L3586" s="50">
        <f>VLOOKUP(A3586,[2]data1761205830331!$A$1:$J$65536,10,0)</f>
        <v>24422</v>
      </c>
    </row>
    <row r="3587" spans="1:12" ht="16.2" thickBot="1">
      <c r="A3587" s="11" t="e">
        <v>#VALUE!</v>
      </c>
      <c r="B3587" s="53" t="s">
        <v>1884</v>
      </c>
      <c r="C3587" s="223"/>
      <c r="D3587" s="55"/>
      <c r="E3587" s="56"/>
      <c r="F3587" s="116" t="s">
        <v>609</v>
      </c>
      <c r="G3587" s="58"/>
      <c r="H3587" s="71">
        <f>J3587/K3587-1</f>
        <v>0.13593471409484703</v>
      </c>
      <c r="I3587" s="72"/>
      <c r="J3587" s="74">
        <f>SUBTOTAL(9,J3563:J3586)</f>
        <v>73202700</v>
      </c>
      <c r="K3587" s="92">
        <f>SUBTOTAL(9,K3563:K3586)</f>
        <v>64442700</v>
      </c>
      <c r="L3587" s="75">
        <f>SUBTOTAL(9,L3563:L3586)</f>
        <v>69428790.560000002</v>
      </c>
    </row>
    <row r="3588" spans="1:12" ht="15.6" outlineLevel="1">
      <c r="A3588" s="11">
        <v>18470000</v>
      </c>
      <c r="B3588" s="40">
        <v>0</v>
      </c>
      <c r="C3588" s="109">
        <v>847000</v>
      </c>
      <c r="D3588" s="42">
        <v>1</v>
      </c>
      <c r="E3588" s="43"/>
      <c r="F3588" s="44" t="s">
        <v>1885</v>
      </c>
      <c r="G3588" s="45" t="s">
        <v>15</v>
      </c>
      <c r="H3588" s="51"/>
      <c r="I3588" s="47"/>
      <c r="J3588" s="48"/>
      <c r="K3588" s="49"/>
      <c r="L3588" s="50"/>
    </row>
    <row r="3589" spans="1:12" ht="15.6" outlineLevel="1">
      <c r="A3589" s="11">
        <v>1847100431</v>
      </c>
      <c r="B3589" s="40">
        <v>431</v>
      </c>
      <c r="C3589" s="109">
        <v>847100</v>
      </c>
      <c r="D3589" s="42">
        <v>1</v>
      </c>
      <c r="E3589" s="43"/>
      <c r="F3589" s="44" t="s">
        <v>32</v>
      </c>
      <c r="G3589" s="45" t="s">
        <v>29</v>
      </c>
      <c r="H3589" s="51">
        <f t="shared" si="57"/>
        <v>0</v>
      </c>
      <c r="I3589" s="47"/>
      <c r="J3589" s="48">
        <f>VLOOKUP(A3589,'[1]תקציב 2026'!$A$1:$M$65536,9,0)</f>
        <v>8400</v>
      </c>
      <c r="K3589" s="49">
        <v>8400</v>
      </c>
      <c r="L3589" s="50">
        <f>VLOOKUP(A3589,[2]data1761205830331!$A$1:$J$65536,10,0)</f>
        <v>3720.63</v>
      </c>
    </row>
    <row r="3590" spans="1:12" ht="15.6" outlineLevel="1">
      <c r="A3590" s="11">
        <v>1847100437</v>
      </c>
      <c r="B3590" s="40">
        <v>437</v>
      </c>
      <c r="C3590" s="109">
        <v>847100</v>
      </c>
      <c r="D3590" s="42">
        <v>1</v>
      </c>
      <c r="E3590" s="43"/>
      <c r="F3590" s="44" t="s">
        <v>38</v>
      </c>
      <c r="G3590" s="45" t="s">
        <v>29</v>
      </c>
      <c r="H3590" s="51">
        <f t="shared" si="57"/>
        <v>0</v>
      </c>
      <c r="I3590" s="47"/>
      <c r="J3590" s="48">
        <f>VLOOKUP(A3590,'[1]תקציב 2026'!$A$1:$M$65536,9,0)</f>
        <v>1300</v>
      </c>
      <c r="K3590" s="49">
        <f>VLOOKUP(A3590,[3]גיליון1!$A$1:$C$7693,3,0)</f>
        <v>1300</v>
      </c>
      <c r="L3590" s="50">
        <f>VLOOKUP(A3590,[2]data1761205830331!$A$1:$J$65536,10,0)</f>
        <v>610.74</v>
      </c>
    </row>
    <row r="3591" spans="1:12" ht="15.6" outlineLevel="1">
      <c r="A3591" s="11">
        <v>1847100752</v>
      </c>
      <c r="B3591" s="40">
        <v>752</v>
      </c>
      <c r="C3591" s="109">
        <v>847100</v>
      </c>
      <c r="D3591" s="42">
        <v>1</v>
      </c>
      <c r="E3591" s="43"/>
      <c r="F3591" s="44" t="s">
        <v>1886</v>
      </c>
      <c r="G3591" s="45" t="s">
        <v>29</v>
      </c>
      <c r="H3591" s="51">
        <f t="shared" si="57"/>
        <v>-0.6</v>
      </c>
      <c r="I3591" s="47"/>
      <c r="J3591" s="48">
        <f>VLOOKUP(A3591,'[1]תקציב 2026'!$A$1:$M$65536,9,0)</f>
        <v>20000</v>
      </c>
      <c r="K3591" s="49">
        <v>50000</v>
      </c>
      <c r="L3591" s="50">
        <f>VLOOKUP(A3591,[2]data1761205830331!$A$1:$J$65536,10,0)</f>
        <v>50987.19</v>
      </c>
    </row>
    <row r="3592" spans="1:12" ht="15.6" outlineLevel="1">
      <c r="A3592" s="11">
        <v>1847100782</v>
      </c>
      <c r="B3592" s="40">
        <v>782</v>
      </c>
      <c r="C3592" s="109">
        <v>847100</v>
      </c>
      <c r="D3592" s="42">
        <v>1</v>
      </c>
      <c r="E3592" s="43"/>
      <c r="F3592" s="44" t="s">
        <v>1887</v>
      </c>
      <c r="G3592" s="45" t="s">
        <v>29</v>
      </c>
      <c r="H3592" s="51">
        <f t="shared" si="57"/>
        <v>0</v>
      </c>
      <c r="I3592" s="47"/>
      <c r="J3592" s="48">
        <f>VLOOKUP(A3592,'[1]תקציב 2026'!$A$1:$M$65536,9,0)</f>
        <v>7000</v>
      </c>
      <c r="K3592" s="49">
        <f>VLOOKUP(A3592,[3]גיליון1!$A$1:$C$7693,3,0)</f>
        <v>7000</v>
      </c>
      <c r="L3592" s="50">
        <f>VLOOKUP(A3592,[2]data1761205830331!$A$1:$J$65536,10,0)</f>
        <v>6439.63</v>
      </c>
    </row>
    <row r="3593" spans="1:12" ht="15.6" outlineLevel="1">
      <c r="A3593" s="11">
        <v>1847100813</v>
      </c>
      <c r="B3593" s="40">
        <v>813</v>
      </c>
      <c r="C3593" s="109">
        <v>847100</v>
      </c>
      <c r="D3593" s="42">
        <v>1</v>
      </c>
      <c r="E3593" s="43"/>
      <c r="F3593" s="44" t="s">
        <v>1888</v>
      </c>
      <c r="G3593" s="45" t="s">
        <v>29</v>
      </c>
      <c r="H3593" s="51">
        <f t="shared" si="57"/>
        <v>0</v>
      </c>
      <c r="I3593" s="47"/>
      <c r="J3593" s="48">
        <f>VLOOKUP(A3593,'[1]תקציב 2026'!$A$1:$M$65536,9,0)</f>
        <v>1942000</v>
      </c>
      <c r="K3593" s="49">
        <f>VLOOKUP(A3593,[3]גיליון1!$A$1:$C$7693,3,0)</f>
        <v>1942000</v>
      </c>
      <c r="L3593" s="50">
        <f>VLOOKUP(A3593,[2]data1761205830331!$A$1:$J$65536,10,0)</f>
        <v>2070847</v>
      </c>
    </row>
    <row r="3594" spans="1:12" ht="15.6" outlineLevel="1">
      <c r="A3594" s="11">
        <v>1847100814</v>
      </c>
      <c r="B3594" s="40">
        <v>814</v>
      </c>
      <c r="C3594" s="109">
        <v>847100</v>
      </c>
      <c r="D3594" s="42">
        <v>1</v>
      </c>
      <c r="E3594" s="43"/>
      <c r="F3594" s="44" t="s">
        <v>634</v>
      </c>
      <c r="G3594" s="45" t="s">
        <v>29</v>
      </c>
      <c r="H3594" s="51">
        <f t="shared" si="57"/>
        <v>-0.4391475042063937</v>
      </c>
      <c r="I3594" s="47"/>
      <c r="J3594" s="48">
        <f>VLOOKUP(A3594,'[1]תקציב 2026'!$A$1:$M$65536,9,0)</f>
        <v>1000000</v>
      </c>
      <c r="K3594" s="49">
        <f>VLOOKUP(A3594,[3]גיליון1!$A$1:$C$7693,3,0)</f>
        <v>1783000</v>
      </c>
      <c r="L3594" s="50">
        <f>VLOOKUP(A3594,[2]data1761205830331!$A$1:$J$65536,10,0)</f>
        <v>836644.42</v>
      </c>
    </row>
    <row r="3595" spans="1:12" ht="15.6" outlineLevel="1">
      <c r="A3595" s="11">
        <v>1847100817</v>
      </c>
      <c r="B3595" s="40">
        <v>817</v>
      </c>
      <c r="C3595" s="109">
        <v>847100</v>
      </c>
      <c r="D3595" s="42">
        <v>1</v>
      </c>
      <c r="E3595" s="43"/>
      <c r="F3595" s="44" t="s">
        <v>636</v>
      </c>
      <c r="G3595" s="45" t="s">
        <v>29</v>
      </c>
      <c r="H3595" s="51">
        <f t="shared" si="57"/>
        <v>0.11111111111111116</v>
      </c>
      <c r="I3595" s="47"/>
      <c r="J3595" s="48">
        <f>VLOOKUP(A3595,'[1]תקציב 2026'!$A$1:$M$65536,9,0)</f>
        <v>600000</v>
      </c>
      <c r="K3595" s="49">
        <f>VLOOKUP(A3595,[3]גיליון1!$A$1:$C$7693,3,0)*0.9</f>
        <v>540000</v>
      </c>
      <c r="L3595" s="50">
        <f>VLOOKUP(A3595,[2]data1761205830331!$A$1:$J$65536,10,0)</f>
        <v>461217.56</v>
      </c>
    </row>
    <row r="3596" spans="1:12" ht="15.6" outlineLevel="1">
      <c r="A3596" s="11">
        <v>1847100818</v>
      </c>
      <c r="B3596" s="40">
        <v>818</v>
      </c>
      <c r="C3596" s="109">
        <v>847100</v>
      </c>
      <c r="D3596" s="42">
        <v>1</v>
      </c>
      <c r="E3596" s="43"/>
      <c r="F3596" s="44" t="s">
        <v>635</v>
      </c>
      <c r="G3596" s="45" t="s">
        <v>29</v>
      </c>
      <c r="H3596" s="51">
        <f t="shared" si="57"/>
        <v>-1</v>
      </c>
      <c r="I3596" s="47"/>
      <c r="J3596" s="48">
        <f>VLOOKUP(A3596,'[1]תקציב 2026'!$A$1:$M$65536,9,0)</f>
        <v>0</v>
      </c>
      <c r="K3596" s="49">
        <f>VLOOKUP(A3596,[3]גיליון1!$A$1:$C$7693,3,0)</f>
        <v>250000</v>
      </c>
      <c r="L3596" s="50">
        <f>VLOOKUP(A3596,[2]data1761205830331!$A$1:$J$65536,10,0)</f>
        <v>0</v>
      </c>
    </row>
    <row r="3597" spans="1:12" ht="15.6" outlineLevel="1">
      <c r="A3597" s="11">
        <v>1847100842</v>
      </c>
      <c r="B3597" s="40">
        <v>842</v>
      </c>
      <c r="C3597" s="109">
        <v>847100</v>
      </c>
      <c r="D3597" s="42">
        <v>1</v>
      </c>
      <c r="E3597" s="43"/>
      <c r="F3597" s="44" t="s">
        <v>637</v>
      </c>
      <c r="G3597" s="45" t="s">
        <v>29</v>
      </c>
      <c r="H3597" s="51">
        <f t="shared" si="57"/>
        <v>0.77777777777777768</v>
      </c>
      <c r="I3597" s="47"/>
      <c r="J3597" s="48">
        <f>VLOOKUP(A3597,'[1]תקציב 2026'!$A$1:$M$65536,9,0)</f>
        <v>896000</v>
      </c>
      <c r="K3597" s="49">
        <f>VLOOKUP(A3597,[3]גיליון1!$A$1:$C$7693,3,0)*0.9</f>
        <v>504000</v>
      </c>
      <c r="L3597" s="50">
        <f>VLOOKUP(A3597,[2]data1761205830331!$A$1:$J$65536,10,0)</f>
        <v>703094.59</v>
      </c>
    </row>
    <row r="3598" spans="1:12" ht="15.6" outlineLevel="1">
      <c r="A3598" s="11">
        <v>1847100891</v>
      </c>
      <c r="B3598" s="40">
        <v>891</v>
      </c>
      <c r="C3598" s="109">
        <v>847100</v>
      </c>
      <c r="D3598" s="42">
        <v>1</v>
      </c>
      <c r="E3598" s="43"/>
      <c r="F3598" s="44" t="s">
        <v>1889</v>
      </c>
      <c r="G3598" s="45" t="s">
        <v>29</v>
      </c>
      <c r="H3598" s="51">
        <f t="shared" si="57"/>
        <v>0</v>
      </c>
      <c r="I3598" s="47"/>
      <c r="J3598" s="48">
        <f>VLOOKUP(A3598,'[1]תקציב 2026'!$A$1:$M$65536,9,0)</f>
        <v>24000</v>
      </c>
      <c r="K3598" s="49">
        <f>VLOOKUP(A3598,[3]גיליון1!$A$1:$C$7693,3,0)</f>
        <v>24000</v>
      </c>
      <c r="L3598" s="50">
        <f>VLOOKUP(A3598,[2]data1761205830331!$A$1:$J$65536,10,0)</f>
        <v>24000</v>
      </c>
    </row>
    <row r="3599" spans="1:12" ht="16.2" outlineLevel="1" thickBot="1">
      <c r="A3599" s="11">
        <v>1847100892</v>
      </c>
      <c r="B3599" s="40">
        <v>892</v>
      </c>
      <c r="C3599" s="109">
        <v>847100</v>
      </c>
      <c r="D3599" s="42">
        <v>1</v>
      </c>
      <c r="E3599" s="43"/>
      <c r="F3599" s="263" t="s">
        <v>1890</v>
      </c>
      <c r="G3599" s="45" t="s">
        <v>29</v>
      </c>
      <c r="H3599" s="51">
        <f t="shared" si="57"/>
        <v>0.11111111111111116</v>
      </c>
      <c r="I3599" s="47"/>
      <c r="J3599" s="48">
        <f>VLOOKUP(A3599,'[1]תקציב 2026'!$A$1:$M$65536,9,0)</f>
        <v>65000</v>
      </c>
      <c r="K3599" s="49">
        <f>VLOOKUP(A3599,[3]גיליון1!$A$1:$C$7693,3,0)*0.9</f>
        <v>58500</v>
      </c>
      <c r="L3599" s="50">
        <f>VLOOKUP(A3599,[2]data1761205830331!$A$1:$J$65536,10,0)</f>
        <v>65000</v>
      </c>
    </row>
    <row r="3600" spans="1:12" ht="15.75" customHeight="1" thickBot="1">
      <c r="A3600" s="11" t="e">
        <v>#VALUE!</v>
      </c>
      <c r="B3600" s="53" t="s">
        <v>1891</v>
      </c>
      <c r="C3600" s="223"/>
      <c r="D3600" s="55"/>
      <c r="E3600" s="56"/>
      <c r="F3600" s="227" t="s">
        <v>1885</v>
      </c>
      <c r="G3600" s="58"/>
      <c r="H3600" s="71">
        <f>J3600/K3600-1</f>
        <v>-0.1169652877210634</v>
      </c>
      <c r="I3600" s="72"/>
      <c r="J3600" s="74">
        <f>SUBTOTAL(9,J3589:J3599)</f>
        <v>4563700</v>
      </c>
      <c r="K3600" s="92">
        <f>SUBTOTAL(9,K3589:K3599)</f>
        <v>5168200</v>
      </c>
      <c r="L3600" s="75">
        <f>SUBTOTAL(9,L3589:L3599)</f>
        <v>4222561.76</v>
      </c>
    </row>
    <row r="3601" spans="1:12" ht="15.6" outlineLevel="1">
      <c r="A3601" s="11">
        <v>18472000</v>
      </c>
      <c r="B3601" s="40">
        <v>0</v>
      </c>
      <c r="C3601" s="109">
        <v>847200</v>
      </c>
      <c r="D3601" s="42">
        <v>1</v>
      </c>
      <c r="E3601" s="43"/>
      <c r="F3601" s="44" t="s">
        <v>290</v>
      </c>
      <c r="G3601" s="45" t="s">
        <v>15</v>
      </c>
      <c r="H3601" s="51"/>
      <c r="I3601" s="47"/>
      <c r="J3601" s="48"/>
      <c r="K3601" s="49"/>
      <c r="L3601" s="50"/>
    </row>
    <row r="3602" spans="1:12" ht="15.6" outlineLevel="1">
      <c r="A3602" s="11">
        <v>1847200110</v>
      </c>
      <c r="B3602" s="40">
        <v>110</v>
      </c>
      <c r="C3602" s="109">
        <v>847200</v>
      </c>
      <c r="D3602" s="42">
        <v>1</v>
      </c>
      <c r="E3602" s="43"/>
      <c r="F3602" s="44" t="s">
        <v>21</v>
      </c>
      <c r="G3602" s="45" t="s">
        <v>22</v>
      </c>
      <c r="H3602" s="51">
        <v>1</v>
      </c>
      <c r="I3602" s="47" t="s">
        <v>86</v>
      </c>
      <c r="J3602" s="48">
        <v>265580</v>
      </c>
      <c r="K3602" s="49">
        <v>0</v>
      </c>
      <c r="L3602" s="50">
        <v>0</v>
      </c>
    </row>
    <row r="3603" spans="1:12" ht="15.6" outlineLevel="1">
      <c r="A3603" s="11">
        <v>1847200119</v>
      </c>
      <c r="B3603" s="40">
        <v>119</v>
      </c>
      <c r="C3603" s="109">
        <v>847200</v>
      </c>
      <c r="D3603" s="42">
        <v>1</v>
      </c>
      <c r="E3603" s="43"/>
      <c r="F3603" s="154" t="s">
        <v>1105</v>
      </c>
      <c r="G3603" s="45" t="s">
        <v>22</v>
      </c>
      <c r="H3603" s="51">
        <v>1</v>
      </c>
      <c r="I3603" s="47" t="s">
        <v>86</v>
      </c>
      <c r="J3603" s="48">
        <v>1842380</v>
      </c>
      <c r="K3603" s="49">
        <v>0</v>
      </c>
      <c r="L3603" s="50">
        <v>0</v>
      </c>
    </row>
    <row r="3604" spans="1:12" ht="15.6" outlineLevel="1">
      <c r="A3604" s="11">
        <v>1847200122</v>
      </c>
      <c r="B3604" s="40">
        <v>122</v>
      </c>
      <c r="C3604" s="109">
        <v>847200</v>
      </c>
      <c r="D3604" s="42">
        <v>1</v>
      </c>
      <c r="E3604" s="43"/>
      <c r="F3604" s="44" t="s">
        <v>24</v>
      </c>
      <c r="G3604" s="45" t="s">
        <v>22</v>
      </c>
      <c r="H3604" s="51">
        <v>1</v>
      </c>
      <c r="I3604" s="47" t="s">
        <v>86</v>
      </c>
      <c r="J3604" s="48">
        <v>9800</v>
      </c>
      <c r="K3604" s="49">
        <v>0</v>
      </c>
      <c r="L3604" s="50">
        <v>0</v>
      </c>
    </row>
    <row r="3605" spans="1:12" ht="15.6" outlineLevel="1">
      <c r="A3605" s="11">
        <v>1847200126</v>
      </c>
      <c r="B3605" s="40">
        <v>126</v>
      </c>
      <c r="C3605" s="109">
        <v>847200</v>
      </c>
      <c r="D3605" s="42">
        <v>1</v>
      </c>
      <c r="E3605" s="43"/>
      <c r="F3605" s="44" t="s">
        <v>25</v>
      </c>
      <c r="G3605" s="45" t="s">
        <v>22</v>
      </c>
      <c r="H3605" s="51">
        <v>1</v>
      </c>
      <c r="I3605" s="47" t="s">
        <v>86</v>
      </c>
      <c r="J3605" s="48">
        <v>23320</v>
      </c>
      <c r="K3605" s="49">
        <v>0</v>
      </c>
      <c r="L3605" s="50">
        <v>0</v>
      </c>
    </row>
    <row r="3606" spans="1:12" ht="15.6" outlineLevel="1">
      <c r="A3606" s="11">
        <v>1847200130</v>
      </c>
      <c r="B3606" s="40">
        <v>130</v>
      </c>
      <c r="C3606" s="109">
        <v>847200</v>
      </c>
      <c r="D3606" s="42">
        <v>1</v>
      </c>
      <c r="E3606" s="43"/>
      <c r="F3606" s="44" t="s">
        <v>26</v>
      </c>
      <c r="G3606" s="45" t="s">
        <v>22</v>
      </c>
      <c r="H3606" s="51">
        <v>1</v>
      </c>
      <c r="I3606" s="47" t="s">
        <v>86</v>
      </c>
      <c r="J3606" s="48">
        <f>VLOOKUP(A3606,'[1]תקציב 2026'!$A$1:$M$65536,9,0)</f>
        <v>17200</v>
      </c>
      <c r="K3606" s="49">
        <v>0</v>
      </c>
      <c r="L3606" s="50">
        <v>0</v>
      </c>
    </row>
    <row r="3607" spans="1:12" ht="15.6" outlineLevel="1">
      <c r="A3607" s="11">
        <v>1847200140</v>
      </c>
      <c r="B3607" s="40">
        <v>140</v>
      </c>
      <c r="C3607" s="109">
        <v>847200</v>
      </c>
      <c r="D3607" s="42">
        <v>1</v>
      </c>
      <c r="E3607" s="43"/>
      <c r="F3607" s="44" t="s">
        <v>27</v>
      </c>
      <c r="G3607" s="45" t="s">
        <v>22</v>
      </c>
      <c r="H3607" s="51">
        <v>1</v>
      </c>
      <c r="I3607" s="47" t="s">
        <v>86</v>
      </c>
      <c r="J3607" s="48">
        <f>VLOOKUP(A3607,'[1]תקציב 2026'!$A$1:$M$65536,9,0)</f>
        <v>84300</v>
      </c>
      <c r="K3607" s="49">
        <v>0</v>
      </c>
      <c r="L3607" s="50">
        <v>0</v>
      </c>
    </row>
    <row r="3608" spans="1:12" ht="15.6" outlineLevel="1">
      <c r="A3608" s="11">
        <v>1847200780</v>
      </c>
      <c r="B3608" s="40">
        <v>780</v>
      </c>
      <c r="C3608" s="109">
        <v>847200</v>
      </c>
      <c r="D3608" s="42">
        <v>1</v>
      </c>
      <c r="E3608" s="43"/>
      <c r="F3608" s="44" t="s">
        <v>1314</v>
      </c>
      <c r="G3608" s="45" t="s">
        <v>37</v>
      </c>
      <c r="H3608" s="51">
        <v>1</v>
      </c>
      <c r="I3608" s="47" t="s">
        <v>86</v>
      </c>
      <c r="J3608" s="48">
        <f>VLOOKUP(A3608,'[1]תקציב 2026'!$A$1:$M$65536,9,0)</f>
        <v>535500</v>
      </c>
      <c r="K3608" s="49">
        <v>0</v>
      </c>
      <c r="L3608" s="50">
        <v>0</v>
      </c>
    </row>
    <row r="3609" spans="1:12" ht="16.2" outlineLevel="1" thickBot="1">
      <c r="A3609" s="11">
        <v>1847200781</v>
      </c>
      <c r="B3609" s="119">
        <v>781</v>
      </c>
      <c r="C3609" s="109">
        <v>847200</v>
      </c>
      <c r="D3609" s="42">
        <v>1</v>
      </c>
      <c r="E3609" s="201"/>
      <c r="F3609" s="122" t="s">
        <v>1344</v>
      </c>
      <c r="G3609" s="153" t="s">
        <v>37</v>
      </c>
      <c r="H3609" s="124">
        <v>1</v>
      </c>
      <c r="I3609" s="160"/>
      <c r="J3609" s="264">
        <v>387000</v>
      </c>
      <c r="K3609" s="162">
        <v>0</v>
      </c>
      <c r="L3609" s="127">
        <v>0</v>
      </c>
    </row>
    <row r="3610" spans="1:12" ht="16.2" thickBot="1">
      <c r="A3610" s="11" t="e">
        <v>#VALUE!</v>
      </c>
      <c r="B3610" s="157" t="s">
        <v>1892</v>
      </c>
      <c r="C3610" s="223"/>
      <c r="D3610" s="55"/>
      <c r="E3610" s="56"/>
      <c r="F3610" s="236" t="s">
        <v>290</v>
      </c>
      <c r="G3610" s="58"/>
      <c r="H3610" s="166">
        <v>1</v>
      </c>
      <c r="I3610" s="72"/>
      <c r="J3610" s="74">
        <f>SUBTOTAL(9,J3602:J3609)</f>
        <v>3165080</v>
      </c>
      <c r="K3610" s="74">
        <f>SUBTOTAL(9,K3602:K3609)</f>
        <v>0</v>
      </c>
      <c r="L3610" s="74">
        <f>SUBTOTAL(9,L3602:L3609)</f>
        <v>0</v>
      </c>
    </row>
    <row r="3611" spans="1:12" ht="15.6" outlineLevel="1">
      <c r="A3611" s="11">
        <v>18473000</v>
      </c>
      <c r="B3611" s="40">
        <v>0</v>
      </c>
      <c r="C3611" s="109">
        <v>847300</v>
      </c>
      <c r="D3611" s="42">
        <v>1</v>
      </c>
      <c r="E3611" s="43"/>
      <c r="F3611" s="44" t="s">
        <v>1893</v>
      </c>
      <c r="G3611" s="45" t="s">
        <v>15</v>
      </c>
      <c r="H3611" s="51"/>
      <c r="I3611" s="47"/>
      <c r="J3611" s="48"/>
      <c r="K3611" s="49"/>
      <c r="L3611" s="50"/>
    </row>
    <row r="3612" spans="1:12" ht="15.6" outlineLevel="1">
      <c r="A3612" s="11">
        <v>1847300752</v>
      </c>
      <c r="B3612" s="40">
        <v>752</v>
      </c>
      <c r="C3612" s="109">
        <v>847300</v>
      </c>
      <c r="D3612" s="42">
        <v>1</v>
      </c>
      <c r="E3612" s="43"/>
      <c r="F3612" s="44" t="s">
        <v>54</v>
      </c>
      <c r="G3612" s="45" t="s">
        <v>29</v>
      </c>
      <c r="H3612" s="51">
        <f t="shared" ref="H3612:H3662" si="58">J3612/K3612-1</f>
        <v>-1</v>
      </c>
      <c r="I3612" s="47"/>
      <c r="J3612" s="48">
        <f>VLOOKUP(A3612,'[1]תקציב 2026'!$A$1:$M$65536,9,0)</f>
        <v>0</v>
      </c>
      <c r="K3612" s="49">
        <f>VLOOKUP(A3612,[3]גיליון1!$A$1:$C$7693,3,0)</f>
        <v>32000</v>
      </c>
      <c r="L3612" s="50">
        <f>VLOOKUP(A3612,[2]data1761205830331!$A$1:$J$65536,10,0)</f>
        <v>0</v>
      </c>
    </row>
    <row r="3613" spans="1:12" ht="15.6" outlineLevel="1">
      <c r="A3613" s="11">
        <v>1847300781</v>
      </c>
      <c r="B3613" s="40">
        <v>781</v>
      </c>
      <c r="C3613" s="109">
        <v>847300</v>
      </c>
      <c r="D3613" s="42">
        <v>1</v>
      </c>
      <c r="E3613" s="43"/>
      <c r="F3613" s="44" t="s">
        <v>1894</v>
      </c>
      <c r="G3613" s="45" t="s">
        <v>29</v>
      </c>
      <c r="H3613" s="51">
        <f t="shared" si="58"/>
        <v>0</v>
      </c>
      <c r="I3613" s="47"/>
      <c r="J3613" s="48">
        <f>VLOOKUP(A3613,'[1]תקציב 2026'!$A$1:$M$65536,9,0)</f>
        <v>110000</v>
      </c>
      <c r="K3613" s="49">
        <f>VLOOKUP(A3613,[3]גיליון1!$A$1:$C$7693,3,0)</f>
        <v>110000</v>
      </c>
      <c r="L3613" s="50">
        <f>VLOOKUP(A3613,[2]data1761205830331!$A$1:$J$65536,10,0)</f>
        <v>94380.02</v>
      </c>
    </row>
    <row r="3614" spans="1:12" ht="15.6" outlineLevel="1">
      <c r="A3614" s="11">
        <v>1847300782</v>
      </c>
      <c r="B3614" s="40">
        <v>782</v>
      </c>
      <c r="C3614" s="109">
        <v>847300</v>
      </c>
      <c r="D3614" s="42">
        <v>1</v>
      </c>
      <c r="E3614" s="43"/>
      <c r="F3614" s="44" t="s">
        <v>644</v>
      </c>
      <c r="G3614" s="45" t="s">
        <v>37</v>
      </c>
      <c r="H3614" s="51">
        <f t="shared" si="58"/>
        <v>0</v>
      </c>
      <c r="I3614" s="47"/>
      <c r="J3614" s="48">
        <f>VLOOKUP(A3614,'[1]תקציב 2026'!$A$1:$M$65536,9,0)</f>
        <v>30000</v>
      </c>
      <c r="K3614" s="49">
        <f>VLOOKUP(A3614,[3]גיליון1!$A$1:$C$7693,3,0)</f>
        <v>30000</v>
      </c>
      <c r="L3614" s="50">
        <f>VLOOKUP(A3614,[2]data1761205830331!$A$1:$J$65536,10,0)</f>
        <v>8765</v>
      </c>
    </row>
    <row r="3615" spans="1:12" ht="15.6" outlineLevel="1">
      <c r="A3615" s="11">
        <v>1847300783</v>
      </c>
      <c r="B3615" s="40">
        <v>783</v>
      </c>
      <c r="C3615" s="109">
        <v>847300</v>
      </c>
      <c r="D3615" s="42">
        <v>1</v>
      </c>
      <c r="E3615" s="43"/>
      <c r="F3615" s="44" t="s">
        <v>645</v>
      </c>
      <c r="G3615" s="45" t="s">
        <v>29</v>
      </c>
      <c r="H3615" s="51">
        <v>1</v>
      </c>
      <c r="I3615" s="47" t="s">
        <v>86</v>
      </c>
      <c r="J3615" s="48">
        <f>VLOOKUP(A3615,'[1]תקציב 2026'!$A$1:$M$65536,9,0)</f>
        <v>480000</v>
      </c>
      <c r="K3615" s="49">
        <v>0</v>
      </c>
      <c r="L3615" s="50">
        <v>0</v>
      </c>
    </row>
    <row r="3616" spans="1:12" ht="15.6" outlineLevel="1">
      <c r="A3616" s="11">
        <v>1847300813</v>
      </c>
      <c r="B3616" s="40">
        <v>813</v>
      </c>
      <c r="C3616" s="109">
        <v>847300</v>
      </c>
      <c r="D3616" s="42">
        <v>1</v>
      </c>
      <c r="E3616" s="43"/>
      <c r="F3616" s="44" t="s">
        <v>646</v>
      </c>
      <c r="G3616" s="45" t="s">
        <v>29</v>
      </c>
      <c r="H3616" s="51">
        <f t="shared" si="58"/>
        <v>0</v>
      </c>
      <c r="I3616" s="47"/>
      <c r="J3616" s="48">
        <f>VLOOKUP(A3616,'[1]תקציב 2026'!$A$1:$M$65536,9,0)</f>
        <v>480000</v>
      </c>
      <c r="K3616" s="49">
        <f>VLOOKUP(A3616,[3]גיליון1!$A$1:$C$7693,3,0)</f>
        <v>480000</v>
      </c>
      <c r="L3616" s="50">
        <f>VLOOKUP(A3616,[2]data1761205830331!$A$1:$J$65536,10,0)</f>
        <v>454955.63</v>
      </c>
    </row>
    <row r="3617" spans="1:12" ht="16.2" outlineLevel="1" thickBot="1">
      <c r="A3617" s="11">
        <v>1847300891</v>
      </c>
      <c r="B3617" s="40">
        <v>891</v>
      </c>
      <c r="C3617" s="109">
        <v>847300</v>
      </c>
      <c r="D3617" s="42">
        <v>1</v>
      </c>
      <c r="E3617" s="43"/>
      <c r="F3617" s="44" t="s">
        <v>1895</v>
      </c>
      <c r="G3617" s="45" t="s">
        <v>37</v>
      </c>
      <c r="H3617" s="51">
        <f t="shared" si="58"/>
        <v>0.11111111111111116</v>
      </c>
      <c r="I3617" s="47"/>
      <c r="J3617" s="48">
        <f>VLOOKUP(A3617,'[1]תקציב 2026'!$A$1:$M$65536,9,0)</f>
        <v>150000</v>
      </c>
      <c r="K3617" s="49">
        <f>150000*0.9</f>
        <v>135000</v>
      </c>
      <c r="L3617" s="50">
        <f>VLOOKUP(A3617,[2]data1761205830331!$A$1:$J$65536,10,0)</f>
        <v>48886</v>
      </c>
    </row>
    <row r="3618" spans="1:12" ht="16.2" thickBot="1">
      <c r="A3618" s="11" t="e">
        <v>#VALUE!</v>
      </c>
      <c r="B3618" s="53" t="s">
        <v>1896</v>
      </c>
      <c r="C3618" s="223"/>
      <c r="D3618" s="55"/>
      <c r="E3618" s="56"/>
      <c r="F3618" s="116" t="s">
        <v>1893</v>
      </c>
      <c r="G3618" s="58"/>
      <c r="H3618" s="71">
        <f>J3618/K3618-1</f>
        <v>0.58831003811944083</v>
      </c>
      <c r="I3618" s="72"/>
      <c r="J3618" s="74">
        <f>SUBTOTAL(9,J3612:J3617)</f>
        <v>1250000</v>
      </c>
      <c r="K3618" s="92">
        <f>SUBTOTAL(9,K3612:K3617)</f>
        <v>787000</v>
      </c>
      <c r="L3618" s="75">
        <f>SUBTOTAL(9,L3612:L3617)</f>
        <v>606986.65</v>
      </c>
    </row>
    <row r="3619" spans="1:12" ht="15.6" outlineLevel="1">
      <c r="A3619" s="11">
        <v>18480000</v>
      </c>
      <c r="B3619" s="40">
        <v>0</v>
      </c>
      <c r="C3619" s="109">
        <v>848000</v>
      </c>
      <c r="D3619" s="42">
        <v>1</v>
      </c>
      <c r="E3619" s="43"/>
      <c r="F3619" s="44" t="s">
        <v>648</v>
      </c>
      <c r="G3619" s="45" t="s">
        <v>15</v>
      </c>
      <c r="H3619" s="51"/>
      <c r="I3619" s="47"/>
      <c r="J3619" s="48"/>
      <c r="K3619" s="49"/>
      <c r="L3619" s="50"/>
    </row>
    <row r="3620" spans="1:12" ht="15.6" outlineLevel="1">
      <c r="A3620" s="11">
        <v>1848100431</v>
      </c>
      <c r="B3620" s="40">
        <v>431</v>
      </c>
      <c r="C3620" s="109">
        <v>848100</v>
      </c>
      <c r="D3620" s="42">
        <v>1</v>
      </c>
      <c r="E3620" s="43"/>
      <c r="F3620" s="44" t="s">
        <v>32</v>
      </c>
      <c r="G3620" s="45" t="s">
        <v>29</v>
      </c>
      <c r="H3620" s="51">
        <f t="shared" si="58"/>
        <v>0</v>
      </c>
      <c r="I3620" s="47"/>
      <c r="J3620" s="48">
        <f>VLOOKUP(A3620,'[1]תקציב 2026'!$A$1:$M$65536,9,0)</f>
        <v>3300</v>
      </c>
      <c r="K3620" s="49">
        <v>3300</v>
      </c>
      <c r="L3620" s="50">
        <f>VLOOKUP(A3620,[2]data1761205830331!$A$1:$J$65536,10,0)</f>
        <v>0</v>
      </c>
    </row>
    <row r="3621" spans="1:12" ht="15.6" outlineLevel="1">
      <c r="A3621" s="11">
        <v>1848100437</v>
      </c>
      <c r="B3621" s="40">
        <v>437</v>
      </c>
      <c r="C3621" s="109">
        <v>848100</v>
      </c>
      <c r="D3621" s="42">
        <v>1</v>
      </c>
      <c r="E3621" s="43"/>
      <c r="F3621" s="44" t="s">
        <v>38</v>
      </c>
      <c r="G3621" s="45" t="s">
        <v>29</v>
      </c>
      <c r="H3621" s="51">
        <f t="shared" si="58"/>
        <v>0.14399999999999991</v>
      </c>
      <c r="I3621" s="47"/>
      <c r="J3621" s="48">
        <f>VLOOKUP(A3621,'[1]תקציב 2026'!$A$1:$M$65536,9,0)</f>
        <v>2860</v>
      </c>
      <c r="K3621" s="49">
        <f>VLOOKUP(A3621,[3]גיליון1!$A$1:$C$7693,3,0)</f>
        <v>2500</v>
      </c>
      <c r="L3621" s="50">
        <f>VLOOKUP(A3621,[2]data1761205830331!$A$1:$J$65536,10,0)</f>
        <v>2855.12</v>
      </c>
    </row>
    <row r="3622" spans="1:12" ht="15.6" outlineLevel="1">
      <c r="A3622" s="11">
        <v>1848100511</v>
      </c>
      <c r="B3622" s="40">
        <v>511</v>
      </c>
      <c r="C3622" s="109">
        <v>848100</v>
      </c>
      <c r="D3622" s="42">
        <v>1</v>
      </c>
      <c r="E3622" s="43"/>
      <c r="F3622" s="44" t="s">
        <v>72</v>
      </c>
      <c r="G3622" s="45" t="s">
        <v>37</v>
      </c>
      <c r="H3622" s="51">
        <f t="shared" si="58"/>
        <v>0</v>
      </c>
      <c r="I3622" s="47"/>
      <c r="J3622" s="48">
        <f>VLOOKUP(A3622,'[1]תקציב 2026'!$A$1:$M$65536,9,0)</f>
        <v>3780</v>
      </c>
      <c r="K3622" s="49">
        <f>4200*0.9</f>
        <v>3780</v>
      </c>
      <c r="L3622" s="50">
        <f>VLOOKUP(A3622,[2]data1761205830331!$A$1:$J$65536,10,0)</f>
        <v>1841.23</v>
      </c>
    </row>
    <row r="3623" spans="1:12" ht="15.6" outlineLevel="1">
      <c r="A3623" s="11">
        <v>1848100752</v>
      </c>
      <c r="B3623" s="40">
        <v>752</v>
      </c>
      <c r="C3623" s="109">
        <v>848100</v>
      </c>
      <c r="D3623" s="42">
        <v>1</v>
      </c>
      <c r="E3623" s="43"/>
      <c r="F3623" s="44" t="s">
        <v>54</v>
      </c>
      <c r="G3623" s="45" t="s">
        <v>29</v>
      </c>
      <c r="H3623" s="51">
        <f t="shared" si="58"/>
        <v>0.19999999999999996</v>
      </c>
      <c r="I3623" s="47"/>
      <c r="J3623" s="48">
        <f>VLOOKUP(A3623,'[1]תקציב 2026'!$A$1:$M$65536,9,0)</f>
        <v>18000</v>
      </c>
      <c r="K3623" s="49">
        <f>VLOOKUP(A3623,[3]גיליון1!$A$1:$C$7693,3,0)</f>
        <v>15000</v>
      </c>
      <c r="L3623" s="50">
        <f>VLOOKUP(A3623,[2]data1761205830331!$A$1:$J$65536,10,0)</f>
        <v>14574.69</v>
      </c>
    </row>
    <row r="3624" spans="1:12" ht="15.6" outlineLevel="1">
      <c r="A3624" s="11">
        <v>1848100781</v>
      </c>
      <c r="B3624" s="40">
        <v>781</v>
      </c>
      <c r="C3624" s="109">
        <v>848100</v>
      </c>
      <c r="D3624" s="42">
        <v>1</v>
      </c>
      <c r="E3624" s="43"/>
      <c r="F3624" s="44" t="s">
        <v>1897</v>
      </c>
      <c r="G3624" s="45" t="s">
        <v>37</v>
      </c>
      <c r="H3624" s="51">
        <f t="shared" si="58"/>
        <v>0</v>
      </c>
      <c r="I3624" s="47"/>
      <c r="J3624" s="48">
        <f>VLOOKUP(A3624,'[1]תקציב 2026'!$A$1:$M$65536,9,0)</f>
        <v>7000</v>
      </c>
      <c r="K3624" s="49">
        <f>VLOOKUP(A3624,[3]גיליון1!$A$1:$C$7693,3,0)</f>
        <v>7000</v>
      </c>
      <c r="L3624" s="50">
        <f>VLOOKUP(A3624,[2]data1761205830331!$A$1:$J$65536,10,0)</f>
        <v>6934</v>
      </c>
    </row>
    <row r="3625" spans="1:12" ht="15.6" outlineLevel="1">
      <c r="A3625" s="11">
        <v>1848100784</v>
      </c>
      <c r="B3625" s="40">
        <v>784</v>
      </c>
      <c r="C3625" s="109">
        <v>848100</v>
      </c>
      <c r="D3625" s="42">
        <v>1</v>
      </c>
      <c r="E3625" s="43"/>
      <c r="F3625" s="44" t="s">
        <v>1898</v>
      </c>
      <c r="G3625" s="45" t="s">
        <v>37</v>
      </c>
      <c r="H3625" s="51">
        <f t="shared" si="58"/>
        <v>-0.65277777777777779</v>
      </c>
      <c r="I3625" s="47"/>
      <c r="J3625" s="48">
        <f>VLOOKUP(A3625,'[1]תקציב 2026'!$A$1:$M$65536,9,0)</f>
        <v>5000</v>
      </c>
      <c r="K3625" s="49">
        <f>VLOOKUP(A3625,[3]גיליון1!$A$1:$C$7693,3,0)*0.9</f>
        <v>14400</v>
      </c>
      <c r="L3625" s="50">
        <f>VLOOKUP(A3625,[2]data1761205830331!$A$1:$J$65536,10,0)</f>
        <v>6296.88</v>
      </c>
    </row>
    <row r="3626" spans="1:12" ht="15.6" outlineLevel="1">
      <c r="A3626" s="11">
        <f>[4]גיליון1!$A$7409</f>
        <v>1848100787</v>
      </c>
      <c r="B3626" s="40">
        <f>[4]גיליון1!$B$7409</f>
        <v>787</v>
      </c>
      <c r="C3626" s="109">
        <v>848100</v>
      </c>
      <c r="D3626" s="42">
        <v>1</v>
      </c>
      <c r="E3626" s="43"/>
      <c r="F3626" s="44" t="str">
        <f>[4]גיליון1!$F$7409</f>
        <v>מרכז גישור</v>
      </c>
      <c r="G3626" s="45" t="str">
        <f>[4]גיליון1!$H$7409</f>
        <v>גמיש</v>
      </c>
      <c r="H3626" s="51">
        <f t="shared" si="58"/>
        <v>-0.20063948840927259</v>
      </c>
      <c r="I3626" s="51"/>
      <c r="J3626" s="48">
        <f>VLOOKUP(A3626,'[1]תקציב 2026'!$A$1:$M$65536,9,0)</f>
        <v>100000</v>
      </c>
      <c r="K3626" s="49">
        <f>139000*0.9</f>
        <v>125100</v>
      </c>
      <c r="L3626" s="50">
        <f>VLOOKUP(A3626,[2]data1761205830331!$A$1:$J$65536,10,0)</f>
        <v>21907.82</v>
      </c>
    </row>
    <row r="3627" spans="1:12" ht="15.6" outlineLevel="1">
      <c r="A3627" s="11">
        <v>1848100811</v>
      </c>
      <c r="B3627" s="40">
        <v>811</v>
      </c>
      <c r="C3627" s="109">
        <v>848100</v>
      </c>
      <c r="D3627" s="42">
        <v>1</v>
      </c>
      <c r="E3627" s="43"/>
      <c r="F3627" s="44" t="s">
        <v>1899</v>
      </c>
      <c r="G3627" s="45" t="s">
        <v>29</v>
      </c>
      <c r="H3627" s="51">
        <f t="shared" si="58"/>
        <v>0</v>
      </c>
      <c r="I3627" s="47"/>
      <c r="J3627" s="48">
        <f>VLOOKUP(A3627,'[1]תקציב 2026'!$A$1:$M$65536,9,0)</f>
        <v>26000</v>
      </c>
      <c r="K3627" s="49">
        <v>26000</v>
      </c>
      <c r="L3627" s="50">
        <f>VLOOKUP(A3627,[2]data1761205830331!$A$1:$J$65536,10,0)</f>
        <v>12594.23</v>
      </c>
    </row>
    <row r="3628" spans="1:12" ht="15.6" outlineLevel="1">
      <c r="A3628" s="11">
        <v>1848100812</v>
      </c>
      <c r="B3628" s="40">
        <v>812</v>
      </c>
      <c r="C3628" s="109">
        <v>848100</v>
      </c>
      <c r="D3628" s="42">
        <v>1</v>
      </c>
      <c r="E3628" s="43"/>
      <c r="F3628" s="44" t="s">
        <v>651</v>
      </c>
      <c r="G3628" s="45" t="s">
        <v>29</v>
      </c>
      <c r="H3628" s="51">
        <f t="shared" si="58"/>
        <v>-0.52156862745098032</v>
      </c>
      <c r="I3628" s="47"/>
      <c r="J3628" s="48">
        <f>VLOOKUP(A3628,'[1]תקציב 2026'!$A$1:$M$65536,9,0)</f>
        <v>122000</v>
      </c>
      <c r="K3628" s="49">
        <f>VLOOKUP(A3628,[3]גיליון1!$A$1:$C$7693,3,0)</f>
        <v>255000</v>
      </c>
      <c r="L3628" s="50">
        <f>VLOOKUP(A3628,[2]data1761205830331!$A$1:$J$65536,10,0)</f>
        <v>231313.35</v>
      </c>
    </row>
    <row r="3629" spans="1:12" ht="15.6" outlineLevel="1">
      <c r="A3629" s="11">
        <v>1848100813</v>
      </c>
      <c r="B3629" s="40">
        <v>813</v>
      </c>
      <c r="C3629" s="109">
        <v>848100</v>
      </c>
      <c r="D3629" s="42">
        <v>1</v>
      </c>
      <c r="E3629" s="43"/>
      <c r="F3629" s="44" t="s">
        <v>648</v>
      </c>
      <c r="G3629" s="45" t="s">
        <v>29</v>
      </c>
      <c r="H3629" s="51">
        <f t="shared" si="58"/>
        <v>0</v>
      </c>
      <c r="I3629" s="47" t="s">
        <v>137</v>
      </c>
      <c r="J3629" s="48">
        <f>VLOOKUP(A3629,'[1]תקציב 2026'!$A$1:$M$65536,9,0)</f>
        <v>19000</v>
      </c>
      <c r="K3629" s="49">
        <f>VLOOKUP(A3629,[3]גיליון1!$A$1:$C$7693,3,0)</f>
        <v>19000</v>
      </c>
      <c r="L3629" s="50">
        <f>VLOOKUP(A3629,[2]data1761205830331!$A$1:$J$65536,10,0)</f>
        <v>0</v>
      </c>
    </row>
    <row r="3630" spans="1:12" ht="15.6" outlineLevel="1">
      <c r="A3630" s="11">
        <v>1848100816</v>
      </c>
      <c r="B3630" s="40">
        <v>816</v>
      </c>
      <c r="C3630" s="109">
        <v>848100</v>
      </c>
      <c r="D3630" s="42">
        <v>1</v>
      </c>
      <c r="E3630" s="43"/>
      <c r="F3630" s="44" t="s">
        <v>1900</v>
      </c>
      <c r="G3630" s="45" t="s">
        <v>29</v>
      </c>
      <c r="H3630" s="51">
        <f t="shared" si="58"/>
        <v>0.45454545454545459</v>
      </c>
      <c r="I3630" s="47"/>
      <c r="J3630" s="48">
        <f>VLOOKUP(A3630,'[1]תקציב 2026'!$A$1:$M$65536,9,0)</f>
        <v>8000</v>
      </c>
      <c r="K3630" s="49">
        <f>VLOOKUP(A3630,[3]גיליון1!$A$1:$C$7693,3,0)</f>
        <v>5500</v>
      </c>
      <c r="L3630" s="50">
        <f>VLOOKUP(A3630,[2]data1761205830331!$A$1:$J$65536,10,0)</f>
        <v>6269.29</v>
      </c>
    </row>
    <row r="3631" spans="1:12" ht="16.2" outlineLevel="1" thickBot="1">
      <c r="A3631" s="11">
        <v>1848100931</v>
      </c>
      <c r="B3631" s="40">
        <v>931</v>
      </c>
      <c r="C3631" s="109">
        <v>848100</v>
      </c>
      <c r="D3631" s="42">
        <v>1</v>
      </c>
      <c r="E3631" s="43"/>
      <c r="F3631" s="44" t="s">
        <v>1240</v>
      </c>
      <c r="G3631" s="45" t="s">
        <v>37</v>
      </c>
      <c r="H3631" s="51">
        <f t="shared" si="58"/>
        <v>-0.17695473251028804</v>
      </c>
      <c r="I3631" s="47"/>
      <c r="J3631" s="48">
        <f>VLOOKUP(A3631,'[1]תקציב 2026'!$A$1:$M$65536,9,0)</f>
        <v>10000</v>
      </c>
      <c r="K3631" s="49">
        <f>VLOOKUP(A3631,[3]גיליון1!$A$1:$C$7693,3,0)*0.9</f>
        <v>12150</v>
      </c>
      <c r="L3631" s="50">
        <f>VLOOKUP(A3631,[2]data1761205830331!$A$1:$J$65536,10,0)</f>
        <v>9878.06</v>
      </c>
    </row>
    <row r="3632" spans="1:12" ht="16.2" thickBot="1">
      <c r="A3632" s="11" t="e">
        <v>#VALUE!</v>
      </c>
      <c r="B3632" s="53" t="s">
        <v>1901</v>
      </c>
      <c r="C3632" s="223"/>
      <c r="D3632" s="55"/>
      <c r="E3632" s="56"/>
      <c r="F3632" s="116" t="s">
        <v>648</v>
      </c>
      <c r="G3632" s="58"/>
      <c r="H3632" s="71">
        <f>J3632/K3632-1</f>
        <v>-0.33513391852352015</v>
      </c>
      <c r="I3632" s="72"/>
      <c r="J3632" s="74">
        <f>SUBTOTAL(9,J3620:J3631)</f>
        <v>324940</v>
      </c>
      <c r="K3632" s="92">
        <f>SUBTOTAL(9,K3620:K3631)</f>
        <v>488730</v>
      </c>
      <c r="L3632" s="75">
        <f>SUBTOTAL(9,L3620:L3631)</f>
        <v>314464.67</v>
      </c>
    </row>
    <row r="3633" spans="1:12" ht="15.6" outlineLevel="1">
      <c r="A3633" s="11">
        <v>18500000</v>
      </c>
      <c r="B3633" s="64">
        <v>0</v>
      </c>
      <c r="C3633" s="131">
        <v>850000</v>
      </c>
      <c r="D3633" s="66">
        <v>1</v>
      </c>
      <c r="E3633" s="67"/>
      <c r="F3633" s="68" t="s">
        <v>1902</v>
      </c>
      <c r="G3633" s="69" t="s">
        <v>15</v>
      </c>
      <c r="H3633" s="51"/>
      <c r="I3633" s="47"/>
      <c r="J3633" s="48"/>
      <c r="K3633" s="49"/>
      <c r="L3633" s="50"/>
    </row>
    <row r="3634" spans="1:12" ht="15.6" outlineLevel="1">
      <c r="A3634" s="11">
        <v>1851000811</v>
      </c>
      <c r="B3634" s="40">
        <v>811</v>
      </c>
      <c r="C3634" s="109">
        <v>851000</v>
      </c>
      <c r="D3634" s="42">
        <v>1</v>
      </c>
      <c r="E3634" s="43"/>
      <c r="F3634" s="44" t="s">
        <v>1903</v>
      </c>
      <c r="G3634" s="45" t="s">
        <v>29</v>
      </c>
      <c r="H3634" s="51">
        <f t="shared" si="58"/>
        <v>3.1871569379684717E-2</v>
      </c>
      <c r="I3634" s="47"/>
      <c r="J3634" s="48">
        <f>VLOOKUP(A3634,'[1]תקציב 2026'!$A$1:$M$65536,9,0)</f>
        <v>8741500</v>
      </c>
      <c r="K3634" s="49">
        <v>8471500</v>
      </c>
      <c r="L3634" s="50">
        <f>VLOOKUP(A3634,[2]data1761205830331!$A$1:$J$65536,10,0)</f>
        <v>8471449</v>
      </c>
    </row>
    <row r="3635" spans="1:12" ht="15.6" outlineLevel="1">
      <c r="A3635" s="11">
        <v>1851000813</v>
      </c>
      <c r="B3635" s="40">
        <v>813</v>
      </c>
      <c r="C3635" s="109">
        <v>851000</v>
      </c>
      <c r="D3635" s="42">
        <v>1</v>
      </c>
      <c r="E3635" s="43"/>
      <c r="F3635" s="44" t="s">
        <v>1904</v>
      </c>
      <c r="G3635" s="45" t="s">
        <v>29</v>
      </c>
      <c r="H3635" s="51">
        <f t="shared" si="58"/>
        <v>0</v>
      </c>
      <c r="I3635" s="47"/>
      <c r="J3635" s="48">
        <f>VLOOKUP(A3635,'[1]תקציב 2026'!$A$1:$M$65536,9,0)</f>
        <v>40000</v>
      </c>
      <c r="K3635" s="49">
        <v>40000</v>
      </c>
      <c r="L3635" s="50">
        <f>VLOOKUP(A3635,[2]data1761205830331!$A$1:$J$65536,10,0)</f>
        <v>39425.410000000003</v>
      </c>
    </row>
    <row r="3636" spans="1:12" ht="16.2" outlineLevel="1" thickBot="1">
      <c r="A3636" s="11">
        <v>1851000981</v>
      </c>
      <c r="B3636" s="40">
        <v>981</v>
      </c>
      <c r="C3636" s="109">
        <v>851000</v>
      </c>
      <c r="D3636" s="42">
        <v>1</v>
      </c>
      <c r="E3636" s="43"/>
      <c r="F3636" s="44" t="s">
        <v>1905</v>
      </c>
      <c r="G3636" s="45" t="s">
        <v>29</v>
      </c>
      <c r="H3636" s="51">
        <v>0</v>
      </c>
      <c r="I3636" s="47"/>
      <c r="J3636" s="48">
        <f>VLOOKUP(A3636,'[1]תקציב 2026'!$A$1:$M$65536,9,0)</f>
        <v>0</v>
      </c>
      <c r="K3636" s="49">
        <f>VLOOKUP(A3636,[3]גיליון1!$A$1:$C$7693,3,0)</f>
        <v>0</v>
      </c>
      <c r="L3636" s="50">
        <f>VLOOKUP(A3636,[2]data1761205830331!$A$1:$J$65536,10,0)</f>
        <v>556600</v>
      </c>
    </row>
    <row r="3637" spans="1:12" ht="16.2" thickBot="1">
      <c r="A3637" s="11" t="e">
        <v>#VALUE!</v>
      </c>
      <c r="B3637" s="53" t="s">
        <v>1906</v>
      </c>
      <c r="C3637" s="223"/>
      <c r="D3637" s="55"/>
      <c r="E3637" s="56"/>
      <c r="F3637" s="116" t="s">
        <v>1907</v>
      </c>
      <c r="G3637" s="58"/>
      <c r="H3637" s="71">
        <f>J3637/K3637-1</f>
        <v>3.1721788168947995E-2</v>
      </c>
      <c r="I3637" s="72"/>
      <c r="J3637" s="74">
        <f>SUBTOTAL(9,J3634:J3636)</f>
        <v>8781500</v>
      </c>
      <c r="K3637" s="92">
        <f>SUBTOTAL(9,K3634:K3636)</f>
        <v>8511500</v>
      </c>
      <c r="L3637" s="75">
        <f>SUBTOTAL(9,L3634:L3636)</f>
        <v>9067474.4100000001</v>
      </c>
    </row>
    <row r="3638" spans="1:12" ht="15.6" outlineLevel="1">
      <c r="A3638" s="11">
        <v>18590000</v>
      </c>
      <c r="B3638" s="40">
        <v>0</v>
      </c>
      <c r="C3638" s="109">
        <v>859000</v>
      </c>
      <c r="D3638" s="42">
        <v>1</v>
      </c>
      <c r="E3638" s="43"/>
      <c r="F3638" s="44" t="s">
        <v>1908</v>
      </c>
      <c r="G3638" s="45" t="s">
        <v>15</v>
      </c>
      <c r="H3638" s="51"/>
      <c r="I3638" s="47"/>
      <c r="J3638" s="48"/>
      <c r="K3638" s="49"/>
      <c r="L3638" s="50"/>
    </row>
    <row r="3639" spans="1:12" ht="15.6" outlineLevel="1">
      <c r="A3639" s="11">
        <v>1859000810</v>
      </c>
      <c r="B3639" s="40">
        <v>810</v>
      </c>
      <c r="C3639" s="109">
        <v>859000</v>
      </c>
      <c r="D3639" s="42">
        <v>1</v>
      </c>
      <c r="E3639" s="43"/>
      <c r="F3639" s="44" t="s">
        <v>1909</v>
      </c>
      <c r="G3639" s="45" t="s">
        <v>29</v>
      </c>
      <c r="H3639" s="51">
        <f t="shared" si="58"/>
        <v>0</v>
      </c>
      <c r="I3639" s="47"/>
      <c r="J3639" s="48">
        <f>VLOOKUP(A3639,'[1]תקציב 2026'!$A$1:$M$65536,9,0)</f>
        <v>41000</v>
      </c>
      <c r="K3639" s="49">
        <f>41000</f>
        <v>41000</v>
      </c>
      <c r="L3639" s="50">
        <f>VLOOKUP(A3639,[2]data1761205830331!$A$1:$J$65536,10,0)</f>
        <v>41000</v>
      </c>
    </row>
    <row r="3640" spans="1:12" ht="16.2" outlineLevel="1" thickBot="1">
      <c r="A3640" s="11">
        <v>1859000811</v>
      </c>
      <c r="B3640" s="40">
        <v>811</v>
      </c>
      <c r="C3640" s="109">
        <v>859000</v>
      </c>
      <c r="D3640" s="42">
        <v>1</v>
      </c>
      <c r="E3640" s="43"/>
      <c r="F3640" s="44" t="s">
        <v>1910</v>
      </c>
      <c r="G3640" s="45" t="s">
        <v>37</v>
      </c>
      <c r="H3640" s="51">
        <f t="shared" si="58"/>
        <v>0</v>
      </c>
      <c r="I3640" s="47"/>
      <c r="J3640" s="48">
        <f>VLOOKUP(A3640,'[1]תקציב 2026'!$A$1:$M$65536,9,0)</f>
        <v>30000</v>
      </c>
      <c r="K3640" s="49">
        <f>30000</f>
        <v>30000</v>
      </c>
      <c r="L3640" s="50">
        <f>VLOOKUP(A3640,[2]data1761205830331!$A$1:$J$65536,10,0)</f>
        <v>20000</v>
      </c>
    </row>
    <row r="3641" spans="1:12" ht="16.2" thickBot="1">
      <c r="A3641" s="11" t="e">
        <v>#VALUE!</v>
      </c>
      <c r="B3641" s="53" t="s">
        <v>1911</v>
      </c>
      <c r="C3641" s="223"/>
      <c r="D3641" s="55"/>
      <c r="E3641" s="56"/>
      <c r="F3641" s="116" t="s">
        <v>1908</v>
      </c>
      <c r="G3641" s="58"/>
      <c r="H3641" s="71">
        <v>0</v>
      </c>
      <c r="I3641" s="72"/>
      <c r="J3641" s="74">
        <f>SUBTOTAL(9,J3639:J3640)</f>
        <v>71000</v>
      </c>
      <c r="K3641" s="92">
        <f>SUBTOTAL(9,K3639:K3640)</f>
        <v>71000</v>
      </c>
      <c r="L3641" s="75">
        <f>SUBTOTAL(9,L3639:L3640)</f>
        <v>61000</v>
      </c>
    </row>
    <row r="3642" spans="1:12" ht="15.6" outlineLevel="1">
      <c r="A3642" s="11">
        <v>18600000</v>
      </c>
      <c r="B3642" s="40">
        <v>0</v>
      </c>
      <c r="C3642" s="109">
        <v>860000</v>
      </c>
      <c r="D3642" s="42">
        <v>1</v>
      </c>
      <c r="E3642" s="43"/>
      <c r="F3642" s="44" t="s">
        <v>655</v>
      </c>
      <c r="G3642" s="45" t="s">
        <v>15</v>
      </c>
      <c r="H3642" s="51"/>
      <c r="I3642" s="47"/>
      <c r="J3642" s="48"/>
      <c r="K3642" s="49"/>
      <c r="L3642" s="50"/>
    </row>
    <row r="3643" spans="1:12" ht="15.6" outlineLevel="1">
      <c r="A3643" s="11">
        <v>1868000119</v>
      </c>
      <c r="B3643" s="40">
        <v>119</v>
      </c>
      <c r="C3643" s="109">
        <v>868000</v>
      </c>
      <c r="D3643" s="42">
        <v>1</v>
      </c>
      <c r="E3643" s="43"/>
      <c r="F3643" s="44" t="s">
        <v>23</v>
      </c>
      <c r="G3643" s="45" t="s">
        <v>22</v>
      </c>
      <c r="H3643" s="51">
        <f t="shared" si="58"/>
        <v>0.33099579242636756</v>
      </c>
      <c r="I3643" s="47"/>
      <c r="J3643" s="48">
        <v>1613300</v>
      </c>
      <c r="K3643" s="49">
        <v>1212100</v>
      </c>
      <c r="L3643" s="50">
        <f>VLOOKUP(A3643,[2]data1761205830331!$A$1:$J$65536,10,0)</f>
        <v>1480042.72</v>
      </c>
    </row>
    <row r="3644" spans="1:12" ht="15.6" outlineLevel="1">
      <c r="A3644" s="11">
        <v>1868000126</v>
      </c>
      <c r="B3644" s="40">
        <v>126</v>
      </c>
      <c r="C3644" s="109">
        <v>868000</v>
      </c>
      <c r="D3644" s="42">
        <v>1</v>
      </c>
      <c r="E3644" s="43"/>
      <c r="F3644" s="44" t="s">
        <v>25</v>
      </c>
      <c r="G3644" s="45" t="s">
        <v>22</v>
      </c>
      <c r="H3644" s="51">
        <f t="shared" si="58"/>
        <v>0.16242424242424236</v>
      </c>
      <c r="I3644" s="47"/>
      <c r="J3644" s="48">
        <v>38360</v>
      </c>
      <c r="K3644" s="49">
        <f>VLOOKUP(A3644,[3]גיליון1!$A$1:$C$7693,3,0)</f>
        <v>33000</v>
      </c>
      <c r="L3644" s="50">
        <f>VLOOKUP(A3644,[2]data1761205830331!$A$1:$J$65536,10,0)</f>
        <v>35538.120000000003</v>
      </c>
    </row>
    <row r="3645" spans="1:12" ht="15.6" outlineLevel="1">
      <c r="A3645" s="11">
        <v>1868000130</v>
      </c>
      <c r="B3645" s="40">
        <v>130</v>
      </c>
      <c r="C3645" s="109">
        <v>868000</v>
      </c>
      <c r="D3645" s="42">
        <v>1</v>
      </c>
      <c r="E3645" s="43"/>
      <c r="F3645" s="44" t="s">
        <v>26</v>
      </c>
      <c r="G3645" s="45" t="s">
        <v>22</v>
      </c>
      <c r="H3645" s="51">
        <v>0</v>
      </c>
      <c r="I3645" s="47"/>
      <c r="J3645" s="48">
        <f>VLOOKUP(A3645,'[1]תקציב 2026'!$A$1:$M$65536,9,0)</f>
        <v>0</v>
      </c>
      <c r="K3645" s="49">
        <f>VLOOKUP(A3645,[3]גיליון1!$A$1:$C$7693,3,0)</f>
        <v>0</v>
      </c>
      <c r="L3645" s="50">
        <f>VLOOKUP(A3645,[2]data1761205830331!$A$1:$J$65536,10,0)</f>
        <v>575.80999999999995</v>
      </c>
    </row>
    <row r="3646" spans="1:12" ht="15.6" outlineLevel="1">
      <c r="A3646" s="11">
        <v>1868000140</v>
      </c>
      <c r="B3646" s="40">
        <v>140</v>
      </c>
      <c r="C3646" s="109">
        <v>868000</v>
      </c>
      <c r="D3646" s="42">
        <v>1</v>
      </c>
      <c r="E3646" s="43"/>
      <c r="F3646" s="44" t="s">
        <v>27</v>
      </c>
      <c r="G3646" s="45" t="s">
        <v>22</v>
      </c>
      <c r="H3646" s="51">
        <f t="shared" si="58"/>
        <v>0</v>
      </c>
      <c r="I3646" s="47"/>
      <c r="J3646" s="48">
        <f>VLOOKUP(A3646,'[1]תקציב 2026'!$A$1:$M$65536,9,0)</f>
        <v>60000</v>
      </c>
      <c r="K3646" s="49">
        <f>VLOOKUP(A3646,[3]גיליון1!$A$1:$C$7693,3,0)</f>
        <v>60000</v>
      </c>
      <c r="L3646" s="50">
        <f>VLOOKUP(A3646,[2]data1761205830331!$A$1:$J$65536,10,0)</f>
        <v>0</v>
      </c>
    </row>
    <row r="3647" spans="1:12" ht="15.6" outlineLevel="1">
      <c r="A3647" s="11">
        <v>1868000253</v>
      </c>
      <c r="B3647" s="40">
        <v>253</v>
      </c>
      <c r="C3647" s="109">
        <v>86800</v>
      </c>
      <c r="D3647" s="42">
        <v>1</v>
      </c>
      <c r="E3647" s="43"/>
      <c r="F3647" s="44" t="s">
        <v>70</v>
      </c>
      <c r="G3647" s="45" t="s">
        <v>22</v>
      </c>
      <c r="H3647" s="51">
        <v>0</v>
      </c>
      <c r="I3647" s="47"/>
      <c r="J3647" s="48">
        <f>VLOOKUP(A3647,'[1]תקציב 2026'!$A$1:$M$65536,9,0)</f>
        <v>0</v>
      </c>
      <c r="K3647" s="49">
        <v>0</v>
      </c>
      <c r="L3647" s="50">
        <f>VLOOKUP(A3647,[2]data1761205830331!$A$1:$J$65536,10,0)</f>
        <v>78827.320000000007</v>
      </c>
    </row>
    <row r="3648" spans="1:12" ht="15.6" outlineLevel="1">
      <c r="A3648" s="11">
        <v>1868000423</v>
      </c>
      <c r="B3648" s="40">
        <v>423</v>
      </c>
      <c r="C3648" s="109">
        <v>868000</v>
      </c>
      <c r="D3648" s="42">
        <v>1</v>
      </c>
      <c r="E3648" s="43"/>
      <c r="F3648" s="44" t="s">
        <v>31</v>
      </c>
      <c r="G3648" s="45" t="s">
        <v>29</v>
      </c>
      <c r="H3648" s="51">
        <f t="shared" si="58"/>
        <v>0.22926829268292681</v>
      </c>
      <c r="I3648" s="47"/>
      <c r="J3648" s="48">
        <f>VLOOKUP(A3648,'[1]תקציב 2026'!$A$1:$M$65536,9,0)</f>
        <v>25200</v>
      </c>
      <c r="K3648" s="49">
        <v>20500</v>
      </c>
      <c r="L3648" s="50">
        <f>VLOOKUP(A3648,[2]data1761205830331!$A$1:$J$65536,10,0)</f>
        <v>17900</v>
      </c>
    </row>
    <row r="3649" spans="1:12" ht="15.6" outlineLevel="1">
      <c r="A3649" s="11">
        <v>1868000431</v>
      </c>
      <c r="B3649" s="40">
        <v>431</v>
      </c>
      <c r="C3649" s="109">
        <v>868000</v>
      </c>
      <c r="D3649" s="42">
        <v>1</v>
      </c>
      <c r="E3649" s="43"/>
      <c r="F3649" s="44" t="s">
        <v>32</v>
      </c>
      <c r="G3649" s="45" t="s">
        <v>29</v>
      </c>
      <c r="H3649" s="51">
        <f t="shared" si="58"/>
        <v>-5.2631578947368474E-2</v>
      </c>
      <c r="I3649" s="47"/>
      <c r="J3649" s="48">
        <f>VLOOKUP(A3649,'[1]תקציב 2026'!$A$1:$M$65536,9,0)</f>
        <v>45000</v>
      </c>
      <c r="K3649" s="49">
        <v>47500</v>
      </c>
      <c r="L3649" s="50">
        <f>VLOOKUP(A3649,[2]data1761205830331!$A$1:$J$65536,10,0)</f>
        <v>41310.1</v>
      </c>
    </row>
    <row r="3650" spans="1:12" ht="15.6" outlineLevel="1">
      <c r="A3650" s="11">
        <v>1868000432</v>
      </c>
      <c r="B3650" s="40">
        <v>432</v>
      </c>
      <c r="C3650" s="109">
        <v>868000</v>
      </c>
      <c r="D3650" s="42">
        <v>1</v>
      </c>
      <c r="E3650" s="43"/>
      <c r="F3650" s="44" t="s">
        <v>33</v>
      </c>
      <c r="G3650" s="45" t="s">
        <v>29</v>
      </c>
      <c r="H3650" s="51">
        <f t="shared" si="58"/>
        <v>0</v>
      </c>
      <c r="I3650" s="47"/>
      <c r="J3650" s="48">
        <f>VLOOKUP(A3650,'[1]תקציב 2026'!$A$1:$M$65536,9,0)</f>
        <v>15200</v>
      </c>
      <c r="K3650" s="49">
        <v>15200</v>
      </c>
      <c r="L3650" s="50">
        <f>VLOOKUP(A3650,[2]data1761205830331!$A$1:$J$65536,10,0)</f>
        <v>0</v>
      </c>
    </row>
    <row r="3651" spans="1:12" ht="15.6" outlineLevel="1">
      <c r="A3651" s="11">
        <v>1868000433</v>
      </c>
      <c r="B3651" s="40">
        <v>433</v>
      </c>
      <c r="C3651" s="109">
        <v>868000</v>
      </c>
      <c r="D3651" s="42">
        <v>1</v>
      </c>
      <c r="E3651" s="43"/>
      <c r="F3651" s="44" t="s">
        <v>34</v>
      </c>
      <c r="G3651" s="45" t="s">
        <v>37</v>
      </c>
      <c r="H3651" s="51">
        <f t="shared" si="58"/>
        <v>1.7777777777777777</v>
      </c>
      <c r="I3651" s="47"/>
      <c r="J3651" s="48">
        <f>VLOOKUP(A3651,'[1]תקציב 2026'!$A$1:$M$65536,9,0)</f>
        <v>2000</v>
      </c>
      <c r="K3651" s="49">
        <f>VLOOKUP(A3651,[3]גיליון1!$A$1:$C$7693,3,0)*0.9</f>
        <v>720</v>
      </c>
      <c r="L3651" s="50">
        <f>VLOOKUP(A3651,[2]data1761205830331!$A$1:$J$65536,10,0)</f>
        <v>427.7</v>
      </c>
    </row>
    <row r="3652" spans="1:12" ht="15.6" outlineLevel="1">
      <c r="A3652" s="11">
        <v>1868000437</v>
      </c>
      <c r="B3652" s="40">
        <v>437</v>
      </c>
      <c r="C3652" s="109">
        <v>868000</v>
      </c>
      <c r="D3652" s="42">
        <v>1</v>
      </c>
      <c r="E3652" s="43"/>
      <c r="F3652" s="11" t="s">
        <v>38</v>
      </c>
      <c r="G3652" s="45" t="s">
        <v>29</v>
      </c>
      <c r="H3652" s="51">
        <f t="shared" si="58"/>
        <v>-5.4054054054054057E-2</v>
      </c>
      <c r="I3652" s="47"/>
      <c r="J3652" s="48">
        <f>VLOOKUP(A3652,'[1]תקציב 2026'!$A$1:$M$65536,9,0)</f>
        <v>3500</v>
      </c>
      <c r="K3652" s="49">
        <f>VLOOKUP(A3652,[3]גיליון1!$A$1:$C$7693,3,0)</f>
        <v>3700</v>
      </c>
      <c r="L3652" s="50">
        <f>VLOOKUP(A3652,[2]data1761205830331!$A$1:$J$65536,10,0)</f>
        <v>2442.96</v>
      </c>
    </row>
    <row r="3653" spans="1:12" ht="15.6" outlineLevel="1">
      <c r="A3653" s="11">
        <v>1868000471</v>
      </c>
      <c r="B3653" s="40">
        <v>471</v>
      </c>
      <c r="C3653" s="109">
        <v>868000</v>
      </c>
      <c r="D3653" s="42">
        <v>1</v>
      </c>
      <c r="E3653" s="43"/>
      <c r="F3653" s="44" t="s">
        <v>71</v>
      </c>
      <c r="G3653" s="45" t="s">
        <v>37</v>
      </c>
      <c r="H3653" s="51">
        <f t="shared" si="58"/>
        <v>0.85185185185185186</v>
      </c>
      <c r="I3653" s="47"/>
      <c r="J3653" s="48">
        <f>VLOOKUP(A3653,'[1]תקציב 2026'!$A$1:$M$65536,9,0)</f>
        <v>1500</v>
      </c>
      <c r="K3653" s="49">
        <f>VLOOKUP(A3653,[3]גיליון1!$A$1:$C$7693,3,0)*0.9</f>
        <v>810</v>
      </c>
      <c r="L3653" s="50">
        <f>VLOOKUP(A3653,[2]data1761205830331!$A$1:$J$65536,10,0)</f>
        <v>897.77</v>
      </c>
    </row>
    <row r="3654" spans="1:12" ht="15.6" outlineLevel="1">
      <c r="A3654" s="11">
        <v>1868000751</v>
      </c>
      <c r="B3654" s="40">
        <v>751</v>
      </c>
      <c r="C3654" s="109">
        <v>868000</v>
      </c>
      <c r="D3654" s="42">
        <v>1</v>
      </c>
      <c r="E3654" s="43"/>
      <c r="F3654" s="44" t="s">
        <v>53</v>
      </c>
      <c r="G3654" s="45" t="s">
        <v>37</v>
      </c>
      <c r="H3654" s="51">
        <f t="shared" si="58"/>
        <v>0</v>
      </c>
      <c r="I3654" s="47"/>
      <c r="J3654" s="48">
        <f>VLOOKUP(A3654,'[1]תקציב 2026'!$A$1:$M$65536,9,0)</f>
        <v>18000</v>
      </c>
      <c r="K3654" s="49">
        <f>20000*0.9</f>
        <v>18000</v>
      </c>
      <c r="L3654" s="50">
        <f>VLOOKUP(A3654,[2]data1761205830331!$A$1:$J$65536,10,0)</f>
        <v>0</v>
      </c>
    </row>
    <row r="3655" spans="1:12" ht="15.6" outlineLevel="1">
      <c r="A3655" s="11">
        <v>1868000752</v>
      </c>
      <c r="B3655" s="40">
        <v>752</v>
      </c>
      <c r="C3655" s="109">
        <v>868000</v>
      </c>
      <c r="D3655" s="42">
        <v>1</v>
      </c>
      <c r="E3655" s="43"/>
      <c r="F3655" s="44" t="s">
        <v>54</v>
      </c>
      <c r="G3655" s="45" t="s">
        <v>29</v>
      </c>
      <c r="H3655" s="51">
        <f t="shared" si="58"/>
        <v>0.76470588235294112</v>
      </c>
      <c r="I3655" s="47"/>
      <c r="J3655" s="48">
        <f>VLOOKUP(A3655,'[1]תקציב 2026'!$A$1:$M$65536,9,0)</f>
        <v>120000</v>
      </c>
      <c r="K3655" s="49">
        <f>VLOOKUP(A3655,[3]גיליון1!$A$1:$C$7693,3,0)</f>
        <v>68000</v>
      </c>
      <c r="L3655" s="50">
        <f>VLOOKUP(A3655,[2]data1761205830331!$A$1:$J$65536,10,0)</f>
        <v>67358.63</v>
      </c>
    </row>
    <row r="3656" spans="1:12" ht="15.6" outlineLevel="1">
      <c r="A3656" s="11">
        <v>1868000756</v>
      </c>
      <c r="B3656" s="40">
        <v>756</v>
      </c>
      <c r="C3656" s="109">
        <v>868000</v>
      </c>
      <c r="D3656" s="42">
        <v>1</v>
      </c>
      <c r="E3656" s="43"/>
      <c r="F3656" s="44" t="s">
        <v>1912</v>
      </c>
      <c r="G3656" s="45" t="s">
        <v>29</v>
      </c>
      <c r="H3656" s="51">
        <f t="shared" si="58"/>
        <v>0</v>
      </c>
      <c r="I3656" s="47"/>
      <c r="J3656" s="48">
        <f>VLOOKUP(A3656,'[1]תקציב 2026'!$A$1:$M$65536,9,0)</f>
        <v>120000</v>
      </c>
      <c r="K3656" s="49">
        <v>120000</v>
      </c>
      <c r="L3656" s="50">
        <f>VLOOKUP(A3656,[2]data1761205830331!$A$1:$J$65536,10,0)</f>
        <v>11904.37</v>
      </c>
    </row>
    <row r="3657" spans="1:12" ht="15.6" outlineLevel="1">
      <c r="A3657" s="11">
        <v>1868000780</v>
      </c>
      <c r="B3657" s="40">
        <v>780</v>
      </c>
      <c r="C3657" s="109">
        <v>868000</v>
      </c>
      <c r="D3657" s="42">
        <v>1</v>
      </c>
      <c r="E3657" s="43"/>
      <c r="F3657" s="44" t="s">
        <v>658</v>
      </c>
      <c r="G3657" s="45" t="s">
        <v>29</v>
      </c>
      <c r="H3657" s="51">
        <v>1</v>
      </c>
      <c r="I3657" s="47" t="s">
        <v>86</v>
      </c>
      <c r="J3657" s="48">
        <f>VLOOKUP(A3657,'[1]תקציב 2026'!$A$1:$M$65536,9,0)</f>
        <v>300000</v>
      </c>
      <c r="K3657" s="49">
        <v>0</v>
      </c>
      <c r="L3657" s="50">
        <v>0</v>
      </c>
    </row>
    <row r="3658" spans="1:12" ht="15.6" outlineLevel="1">
      <c r="A3658" s="11">
        <v>1868000781</v>
      </c>
      <c r="B3658" s="40">
        <v>781</v>
      </c>
      <c r="C3658" s="109">
        <v>868000</v>
      </c>
      <c r="D3658" s="42">
        <v>1</v>
      </c>
      <c r="E3658" s="43"/>
      <c r="F3658" s="44" t="s">
        <v>1913</v>
      </c>
      <c r="G3658" s="45" t="s">
        <v>37</v>
      </c>
      <c r="H3658" s="51">
        <f t="shared" si="58"/>
        <v>0.24843945068664164</v>
      </c>
      <c r="I3658" s="47"/>
      <c r="J3658" s="48">
        <f>VLOOKUP(A3658,'[1]תקציב 2026'!$A$1:$M$65536,9,0)</f>
        <v>140000</v>
      </c>
      <c r="K3658" s="49">
        <f>(VLOOKUP(A3658,[3]גיליון1!$A$1:$C$7693,3,0)+12500)*0.9</f>
        <v>112140</v>
      </c>
      <c r="L3658" s="50">
        <f>VLOOKUP(A3658,[2]data1761205830331!$A$1:$J$65536,10,0)</f>
        <v>109637.88</v>
      </c>
    </row>
    <row r="3659" spans="1:12" ht="15.6" outlineLevel="1">
      <c r="A3659" s="11">
        <v>1868000783</v>
      </c>
      <c r="B3659" s="40">
        <v>783</v>
      </c>
      <c r="C3659" s="109">
        <v>868000</v>
      </c>
      <c r="D3659" s="42">
        <v>1</v>
      </c>
      <c r="E3659" s="43"/>
      <c r="F3659" s="44" t="s">
        <v>1914</v>
      </c>
      <c r="G3659" s="45" t="s">
        <v>37</v>
      </c>
      <c r="H3659" s="51">
        <f t="shared" si="58"/>
        <v>0</v>
      </c>
      <c r="I3659" s="47"/>
      <c r="J3659" s="48">
        <f>VLOOKUP(A3659,'[1]תקציב 2026'!$A$1:$M$65536,9,0)</f>
        <v>100000</v>
      </c>
      <c r="K3659" s="49">
        <v>100000</v>
      </c>
      <c r="L3659" s="50">
        <f>VLOOKUP(A3659,[2]data1761205830331!$A$1:$J$65536,10,0)</f>
        <v>0</v>
      </c>
    </row>
    <row r="3660" spans="1:12" ht="15.6" outlineLevel="1">
      <c r="A3660" s="11">
        <v>1868000784</v>
      </c>
      <c r="B3660" s="40">
        <v>784</v>
      </c>
      <c r="C3660" s="109">
        <v>868000</v>
      </c>
      <c r="D3660" s="42">
        <v>1</v>
      </c>
      <c r="E3660" s="43"/>
      <c r="F3660" s="44" t="s">
        <v>1288</v>
      </c>
      <c r="G3660" s="45" t="s">
        <v>37</v>
      </c>
      <c r="H3660" s="51">
        <f t="shared" si="58"/>
        <v>0</v>
      </c>
      <c r="I3660" s="47"/>
      <c r="J3660" s="48">
        <f>VLOOKUP(A3660,'[1]תקציב 2026'!$A$1:$M$65536,9,0)</f>
        <v>160830</v>
      </c>
      <c r="K3660" s="49">
        <f>VLOOKUP(A3660,[3]גיליון1!$A$1:$C$7693,3,0)*0.9</f>
        <v>160830</v>
      </c>
      <c r="L3660" s="50">
        <f>VLOOKUP(A3660,[2]data1761205830331!$A$1:$J$65536,10,0)</f>
        <v>84540.76</v>
      </c>
    </row>
    <row r="3661" spans="1:12" ht="15.6" outlineLevel="1">
      <c r="A3661" s="11">
        <v>1868000810</v>
      </c>
      <c r="B3661" s="40">
        <v>810</v>
      </c>
      <c r="C3661" s="109">
        <v>868000</v>
      </c>
      <c r="D3661" s="42">
        <v>1</v>
      </c>
      <c r="E3661" s="241"/>
      <c r="F3661" s="235" t="s">
        <v>1915</v>
      </c>
      <c r="G3661" s="45" t="s">
        <v>29</v>
      </c>
      <c r="H3661" s="51">
        <f t="shared" si="58"/>
        <v>-0.18353844118036255</v>
      </c>
      <c r="I3661" s="47"/>
      <c r="J3661" s="48">
        <f>VLOOKUP(A3661,'[1]תקציב 2026'!$A$1:$M$65536,9,0)</f>
        <v>617000</v>
      </c>
      <c r="K3661" s="49">
        <v>755700</v>
      </c>
      <c r="L3661" s="50">
        <f>VLOOKUP(A3661,[2]data1761205830331!$A$1:$J$65536,10,0)</f>
        <v>414841.5</v>
      </c>
    </row>
    <row r="3662" spans="1:12" ht="15.6" outlineLevel="1">
      <c r="A3662" s="11">
        <v>1868000930</v>
      </c>
      <c r="B3662" s="205">
        <v>930</v>
      </c>
      <c r="C3662" s="265">
        <v>868000</v>
      </c>
      <c r="D3662" s="266">
        <v>1</v>
      </c>
      <c r="E3662" s="43"/>
      <c r="F3662" s="44" t="s">
        <v>1916</v>
      </c>
      <c r="G3662" s="45" t="s">
        <v>29</v>
      </c>
      <c r="H3662" s="51">
        <f t="shared" si="58"/>
        <v>-0.27333333333333332</v>
      </c>
      <c r="I3662" s="47"/>
      <c r="J3662" s="48">
        <f>VLOOKUP(A3662,'[1]תקציב 2026'!$A$1:$M$65536,9,0)</f>
        <v>109000</v>
      </c>
      <c r="K3662" s="49">
        <v>150000</v>
      </c>
      <c r="L3662" s="50">
        <f>VLOOKUP(A3662,[2]data1761205830331!$A$1:$J$65536,10,0)</f>
        <v>36270</v>
      </c>
    </row>
    <row r="3663" spans="1:12" ht="16.2" outlineLevel="1" thickBot="1">
      <c r="A3663" s="11">
        <f>[4]גיליון1!$A$7487</f>
        <v>1868000981</v>
      </c>
      <c r="B3663" s="205">
        <v>981</v>
      </c>
      <c r="C3663" s="265">
        <v>868000</v>
      </c>
      <c r="D3663" s="267">
        <f>[4]גיליון1!$D$7478</f>
        <v>1</v>
      </c>
      <c r="E3663" s="11"/>
      <c r="F3663" s="11" t="str">
        <f>[4]גיליון1!$F$7487</f>
        <v>הוצאות משנים קודמות</v>
      </c>
      <c r="G3663" s="268" t="str">
        <f>[4]גיליון1!$H$7487</f>
        <v>קשיח</v>
      </c>
      <c r="H3663" s="51">
        <v>0</v>
      </c>
      <c r="I3663" s="47"/>
      <c r="J3663" s="48">
        <f>VLOOKUP(A3663,'[1]תקציב 2026'!$A$1:$M$65536,9,0)</f>
        <v>0</v>
      </c>
      <c r="K3663" s="49">
        <v>0</v>
      </c>
      <c r="L3663" s="50">
        <f>VLOOKUP(A3663,[2]data1761205830331!$A$1:$J$65536,10,0)</f>
        <v>4825</v>
      </c>
    </row>
    <row r="3664" spans="1:12" ht="16.2" thickBot="1">
      <c r="A3664" s="11" t="e">
        <v>#VALUE!</v>
      </c>
      <c r="B3664" s="53" t="s">
        <v>1917</v>
      </c>
      <c r="C3664" s="223"/>
      <c r="D3664" s="55"/>
      <c r="E3664" s="56"/>
      <c r="F3664" s="116" t="s">
        <v>1918</v>
      </c>
      <c r="G3664" s="58"/>
      <c r="H3664" s="71">
        <f>J3664/K3664-1</f>
        <v>0.21217774998262806</v>
      </c>
      <c r="I3664" s="72"/>
      <c r="J3664" s="74">
        <f>SUBTOTAL(9,J3643:J3663)</f>
        <v>3488890</v>
      </c>
      <c r="K3664" s="92">
        <f>SUBTOTAL(9,K3643:K3663)</f>
        <v>2878200</v>
      </c>
      <c r="L3664" s="75">
        <f>SUBTOTAL(9,L3643:L3663)</f>
        <v>2387340.6400000006</v>
      </c>
    </row>
    <row r="3665" spans="1:12" ht="15.6" outlineLevel="1">
      <c r="A3665" s="11">
        <v>18700000</v>
      </c>
      <c r="B3665" s="192">
        <v>0</v>
      </c>
      <c r="C3665" s="151">
        <v>870000</v>
      </c>
      <c r="D3665" s="66">
        <v>1</v>
      </c>
      <c r="E3665" s="152"/>
      <c r="F3665" s="194" t="s">
        <v>667</v>
      </c>
      <c r="G3665" s="195" t="s">
        <v>15</v>
      </c>
      <c r="H3665" s="51"/>
      <c r="I3665" s="70"/>
      <c r="J3665" s="48"/>
      <c r="K3665" s="186"/>
      <c r="L3665" s="50"/>
    </row>
    <row r="3666" spans="1:12" ht="15.6" outlineLevel="1">
      <c r="A3666" s="11">
        <v>1879000110</v>
      </c>
      <c r="B3666" s="40">
        <v>110</v>
      </c>
      <c r="C3666" s="109">
        <v>879000</v>
      </c>
      <c r="D3666" s="42">
        <v>1</v>
      </c>
      <c r="E3666" s="43"/>
      <c r="F3666" s="44" t="s">
        <v>21</v>
      </c>
      <c r="G3666" s="45" t="s">
        <v>22</v>
      </c>
      <c r="H3666" s="51">
        <f t="shared" ref="H3666:H3741" si="59">J3666/K3666-1</f>
        <v>2.5034578146611253E-2</v>
      </c>
      <c r="I3666" s="47"/>
      <c r="J3666" s="48">
        <f>VLOOKUP(A3666,'[1]תקציב 2026'!$A$1:$M$65536,9,0)</f>
        <v>148220</v>
      </c>
      <c r="K3666" s="49">
        <v>144600</v>
      </c>
      <c r="L3666" s="50">
        <f>VLOOKUP(A3666,[2]data1761205830331!$A$1:$J$65536,10,0)</f>
        <v>157813.87</v>
      </c>
    </row>
    <row r="3667" spans="1:12" ht="15.6" outlineLevel="1">
      <c r="A3667" s="11">
        <v>1879000119</v>
      </c>
      <c r="B3667" s="40">
        <v>119</v>
      </c>
      <c r="C3667" s="109">
        <v>879000</v>
      </c>
      <c r="D3667" s="42">
        <v>1</v>
      </c>
      <c r="E3667" s="43"/>
      <c r="F3667" s="44" t="s">
        <v>23</v>
      </c>
      <c r="G3667" s="45" t="s">
        <v>22</v>
      </c>
      <c r="H3667" s="51">
        <f t="shared" si="59"/>
        <v>2.4999999999999911E-2</v>
      </c>
      <c r="I3667" s="47"/>
      <c r="J3667" s="48">
        <f>VLOOKUP(A3667,'[1]תקציב 2026'!$A$1:$M$65536,9,0)</f>
        <v>1191460</v>
      </c>
      <c r="K3667" s="49">
        <v>1162400</v>
      </c>
      <c r="L3667" s="50">
        <f>VLOOKUP(A3667,[2]data1761205830331!$A$1:$J$65536,10,0)</f>
        <v>1842732.14</v>
      </c>
    </row>
    <row r="3668" spans="1:12" ht="15.6" outlineLevel="1">
      <c r="A3668" s="11">
        <v>1879000122</v>
      </c>
      <c r="B3668" s="40">
        <v>122</v>
      </c>
      <c r="C3668" s="109">
        <v>879000</v>
      </c>
      <c r="D3668" s="42">
        <v>1</v>
      </c>
      <c r="E3668" s="43"/>
      <c r="F3668" s="44" t="s">
        <v>24</v>
      </c>
      <c r="G3668" s="45" t="s">
        <v>22</v>
      </c>
      <c r="H3668" s="51">
        <f t="shared" si="59"/>
        <v>0</v>
      </c>
      <c r="I3668" s="47"/>
      <c r="J3668" s="48">
        <f>VLOOKUP(A3668,'[1]תקציב 2026'!$A$1:$M$65536,9,0)</f>
        <v>21000</v>
      </c>
      <c r="K3668" s="49">
        <f>VLOOKUP(A3668,[3]גיליון1!$A$1:$C$7693,3,0)</f>
        <v>21000</v>
      </c>
      <c r="L3668" s="50">
        <f>VLOOKUP(A3668,[2]data1761205830331!$A$1:$J$65536,10,0)</f>
        <v>13761.78</v>
      </c>
    </row>
    <row r="3669" spans="1:12" ht="15.6" outlineLevel="1">
      <c r="A3669" s="11">
        <v>1879000126</v>
      </c>
      <c r="B3669" s="40">
        <v>126</v>
      </c>
      <c r="C3669" s="109">
        <v>879000</v>
      </c>
      <c r="D3669" s="42">
        <v>1</v>
      </c>
      <c r="E3669" s="43"/>
      <c r="F3669" s="44" t="s">
        <v>25</v>
      </c>
      <c r="G3669" s="45" t="s">
        <v>22</v>
      </c>
      <c r="H3669" s="51">
        <f t="shared" si="59"/>
        <v>0</v>
      </c>
      <c r="I3669" s="47"/>
      <c r="J3669" s="48">
        <f>VLOOKUP(A3669,'[1]תקציב 2026'!$A$1:$M$65536,9,0)</f>
        <v>32000</v>
      </c>
      <c r="K3669" s="49">
        <f>VLOOKUP(A3669,[3]גיליון1!$A$1:$C$7693,3,0)</f>
        <v>32000</v>
      </c>
      <c r="L3669" s="50">
        <f>VLOOKUP(A3669,[2]data1761205830331!$A$1:$J$65536,10,0)</f>
        <v>30921.26</v>
      </c>
    </row>
    <row r="3670" spans="1:12" ht="15.6" outlineLevel="1">
      <c r="A3670" s="11">
        <v>1879000140</v>
      </c>
      <c r="B3670" s="40">
        <v>140</v>
      </c>
      <c r="C3670" s="109">
        <v>879000</v>
      </c>
      <c r="D3670" s="42">
        <v>1</v>
      </c>
      <c r="E3670" s="43"/>
      <c r="F3670" s="44" t="s">
        <v>27</v>
      </c>
      <c r="G3670" s="45" t="s">
        <v>22</v>
      </c>
      <c r="H3670" s="51">
        <f t="shared" si="59"/>
        <v>0</v>
      </c>
      <c r="I3670" s="47"/>
      <c r="J3670" s="48">
        <f>VLOOKUP(A3670,'[1]תקציב 2026'!$A$1:$M$65536,9,0)</f>
        <v>191900</v>
      </c>
      <c r="K3670" s="49">
        <f>VLOOKUP(A3670,[3]גיליון1!$A$1:$C$7693,3,0)</f>
        <v>191900</v>
      </c>
      <c r="L3670" s="50">
        <f>VLOOKUP(A3670,[2]data1761205830331!$A$1:$J$65536,10,0)</f>
        <v>256566.16</v>
      </c>
    </row>
    <row r="3671" spans="1:12" ht="15.6" outlineLevel="1">
      <c r="A3671" s="11">
        <v>1879000253</v>
      </c>
      <c r="B3671" s="40">
        <v>253</v>
      </c>
      <c r="C3671" s="109">
        <v>879000</v>
      </c>
      <c r="D3671" s="42">
        <v>1</v>
      </c>
      <c r="E3671" s="43"/>
      <c r="F3671" s="44" t="s">
        <v>738</v>
      </c>
      <c r="G3671" s="45" t="s">
        <v>22</v>
      </c>
      <c r="H3671" s="51">
        <v>0</v>
      </c>
      <c r="I3671" s="47"/>
      <c r="J3671" s="48">
        <f>VLOOKUP(A3671,'[1]תקציב 2026'!$A$1:$M$65536,9,0)</f>
        <v>0</v>
      </c>
      <c r="K3671" s="49">
        <f>VLOOKUP(A3671,[3]גיליון1!$A$1:$C$7693,3,0)</f>
        <v>0</v>
      </c>
      <c r="L3671" s="50">
        <f>VLOOKUP(A3671,[2]data1761205830331!$A$1:$J$65536,10,0)</f>
        <v>75037.960000000006</v>
      </c>
    </row>
    <row r="3672" spans="1:12" ht="15.6" outlineLevel="1">
      <c r="A3672" s="11">
        <v>1879000433</v>
      </c>
      <c r="B3672" s="40">
        <v>433</v>
      </c>
      <c r="C3672" s="109">
        <v>879000</v>
      </c>
      <c r="D3672" s="42">
        <v>1</v>
      </c>
      <c r="E3672" s="43"/>
      <c r="F3672" s="44" t="s">
        <v>34</v>
      </c>
      <c r="G3672" s="45" t="s">
        <v>37</v>
      </c>
      <c r="H3672" s="51">
        <f t="shared" si="59"/>
        <v>0</v>
      </c>
      <c r="I3672" s="47"/>
      <c r="J3672" s="48">
        <f>VLOOKUP(A3672,'[1]תקציב 2026'!$A$1:$M$65536,9,0)</f>
        <v>2070</v>
      </c>
      <c r="K3672" s="49">
        <f>VLOOKUP(A3672,[3]גיליון1!$A$1:$C$7693,3,0)*0.9</f>
        <v>2070</v>
      </c>
      <c r="L3672" s="50">
        <f>VLOOKUP(A3672,[2]data1761205830331!$A$1:$J$65536,10,0)</f>
        <v>2208.39</v>
      </c>
    </row>
    <row r="3673" spans="1:12" ht="15.6" outlineLevel="1">
      <c r="A3673" s="11">
        <v>1879000450</v>
      </c>
      <c r="B3673" s="40">
        <v>450</v>
      </c>
      <c r="C3673" s="109">
        <v>879000</v>
      </c>
      <c r="D3673" s="42">
        <v>1</v>
      </c>
      <c r="E3673" s="43"/>
      <c r="F3673" s="11" t="s">
        <v>41</v>
      </c>
      <c r="G3673" s="45" t="s">
        <v>29</v>
      </c>
      <c r="H3673" s="51">
        <f t="shared" si="59"/>
        <v>0</v>
      </c>
      <c r="I3673" s="47"/>
      <c r="J3673" s="48">
        <f>VLOOKUP(A3673,'[1]תקציב 2026'!$A$1:$M$65536,9,0)</f>
        <v>500</v>
      </c>
      <c r="K3673" s="49">
        <f>VLOOKUP(A3673,[3]גיליון1!$A$1:$C$7693,3,0)</f>
        <v>500</v>
      </c>
      <c r="L3673" s="50">
        <f>VLOOKUP(A3673,[2]data1761205830331!$A$1:$J$65536,10,0)</f>
        <v>0</v>
      </c>
    </row>
    <row r="3674" spans="1:12" ht="15.6" outlineLevel="1">
      <c r="A3674" s="11">
        <v>1879000471</v>
      </c>
      <c r="B3674" s="40">
        <v>471</v>
      </c>
      <c r="C3674" s="109">
        <v>879000</v>
      </c>
      <c r="D3674" s="42">
        <v>1</v>
      </c>
      <c r="E3674" s="43"/>
      <c r="F3674" s="44" t="s">
        <v>71</v>
      </c>
      <c r="G3674" s="45" t="s">
        <v>37</v>
      </c>
      <c r="H3674" s="51">
        <f t="shared" si="59"/>
        <v>0.66666666666666674</v>
      </c>
      <c r="I3674" s="47"/>
      <c r="J3674" s="48">
        <f>VLOOKUP(A3674,'[1]תקציב 2026'!$A$1:$M$65536,9,0)</f>
        <v>9000</v>
      </c>
      <c r="K3674" s="49">
        <f>6000*0.9</f>
        <v>5400</v>
      </c>
      <c r="L3674" s="50">
        <f>VLOOKUP(A3674,[2]data1761205830331!$A$1:$J$65536,10,0)</f>
        <v>8663.5</v>
      </c>
    </row>
    <row r="3675" spans="1:12" ht="15.6" outlineLevel="1">
      <c r="A3675" s="11">
        <v>1879000492</v>
      </c>
      <c r="B3675" s="40">
        <v>492</v>
      </c>
      <c r="C3675" s="109">
        <v>879000</v>
      </c>
      <c r="D3675" s="42">
        <v>1</v>
      </c>
      <c r="E3675" s="43"/>
      <c r="F3675" s="44" t="s">
        <v>66</v>
      </c>
      <c r="G3675" s="45" t="s">
        <v>29</v>
      </c>
      <c r="H3675" s="51">
        <f t="shared" si="59"/>
        <v>0.31045751633986929</v>
      </c>
      <c r="I3675" s="47"/>
      <c r="J3675" s="48">
        <f>VLOOKUP(A3675,'[1]תקציב 2026'!$A$1:$M$65536,9,0)</f>
        <v>80200</v>
      </c>
      <c r="K3675" s="49">
        <v>61200</v>
      </c>
      <c r="L3675" s="50">
        <f>VLOOKUP(A3675,[2]data1761205830331!$A$1:$J$65536,10,0)</f>
        <v>56327.32</v>
      </c>
    </row>
    <row r="3676" spans="1:12" ht="15.6" outlineLevel="1">
      <c r="A3676" s="11">
        <v>1879000511</v>
      </c>
      <c r="B3676" s="40">
        <v>511</v>
      </c>
      <c r="C3676" s="109">
        <v>879000</v>
      </c>
      <c r="D3676" s="42">
        <v>1</v>
      </c>
      <c r="E3676" s="43"/>
      <c r="F3676" s="44" t="s">
        <v>72</v>
      </c>
      <c r="G3676" s="45" t="s">
        <v>37</v>
      </c>
      <c r="H3676" s="51">
        <f t="shared" si="59"/>
        <v>0.19658119658119655</v>
      </c>
      <c r="I3676" s="51"/>
      <c r="J3676" s="48">
        <f>VLOOKUP(A3676,'[1]תקציב 2026'!$A$1:$M$65536,9,0)</f>
        <v>7000</v>
      </c>
      <c r="K3676" s="49">
        <f>6500*0.9</f>
        <v>5850</v>
      </c>
      <c r="L3676" s="50">
        <f>VLOOKUP(A3676,[2]data1761205830331!$A$1:$J$65536,10,0)</f>
        <v>5639.15</v>
      </c>
    </row>
    <row r="3677" spans="1:12" ht="15.6" outlineLevel="1">
      <c r="A3677" s="11">
        <v>1879000522</v>
      </c>
      <c r="B3677" s="40">
        <v>522</v>
      </c>
      <c r="C3677" s="109">
        <v>879000</v>
      </c>
      <c r="D3677" s="42">
        <v>1</v>
      </c>
      <c r="E3677" s="43"/>
      <c r="F3677" s="44" t="s">
        <v>90</v>
      </c>
      <c r="G3677" s="45" t="s">
        <v>37</v>
      </c>
      <c r="H3677" s="51">
        <f t="shared" si="59"/>
        <v>0</v>
      </c>
      <c r="I3677" s="47"/>
      <c r="J3677" s="48">
        <f>VLOOKUP(A3677,'[1]תקציב 2026'!$A$1:$M$65536,9,0)</f>
        <v>1080</v>
      </c>
      <c r="K3677" s="49">
        <f>VLOOKUP(A3677,[3]גיליון1!$A$1:$C$7693,3,0)*0.9</f>
        <v>1080</v>
      </c>
      <c r="L3677" s="50">
        <f>VLOOKUP(A3677,[2]data1761205830331!$A$1:$J$65536,10,0)</f>
        <v>646.25</v>
      </c>
    </row>
    <row r="3678" spans="1:12" ht="15.6" outlineLevel="1">
      <c r="A3678" s="11">
        <v>1879000544</v>
      </c>
      <c r="B3678" s="40">
        <v>544</v>
      </c>
      <c r="C3678" s="109">
        <v>879000</v>
      </c>
      <c r="D3678" s="42">
        <v>1</v>
      </c>
      <c r="E3678" s="43"/>
      <c r="F3678" s="44" t="s">
        <v>743</v>
      </c>
      <c r="G3678" s="45" t="s">
        <v>29</v>
      </c>
      <c r="H3678" s="51">
        <f t="shared" si="59"/>
        <v>0</v>
      </c>
      <c r="I3678" s="47"/>
      <c r="J3678" s="48">
        <f>VLOOKUP(A3678,'[1]תקציב 2026'!$A$1:$M$65536,9,0)</f>
        <v>200</v>
      </c>
      <c r="K3678" s="49">
        <v>200</v>
      </c>
      <c r="L3678" s="50">
        <f>VLOOKUP(A3678,[2]data1761205830331!$A$1:$J$65536,10,0)</f>
        <v>500</v>
      </c>
    </row>
    <row r="3679" spans="1:12" ht="15.6" outlineLevel="1">
      <c r="A3679" s="11">
        <v>1879000550</v>
      </c>
      <c r="B3679" s="40">
        <v>550</v>
      </c>
      <c r="C3679" s="109">
        <v>879000</v>
      </c>
      <c r="D3679" s="42">
        <v>1</v>
      </c>
      <c r="E3679" s="43"/>
      <c r="F3679" s="44" t="s">
        <v>73</v>
      </c>
      <c r="G3679" s="45" t="s">
        <v>37</v>
      </c>
      <c r="H3679" s="51">
        <f t="shared" si="59"/>
        <v>0</v>
      </c>
      <c r="I3679" s="47"/>
      <c r="J3679" s="48">
        <f>VLOOKUP(A3679,'[1]תקציב 2026'!$A$1:$M$65536,9,0)</f>
        <v>2700</v>
      </c>
      <c r="K3679" s="49">
        <f>3000*0.9</f>
        <v>2700</v>
      </c>
      <c r="L3679" s="50">
        <f>VLOOKUP(A3679,[2]data1761205830331!$A$1:$J$65536,10,0)</f>
        <v>1628</v>
      </c>
    </row>
    <row r="3680" spans="1:12" ht="15.6" outlineLevel="1">
      <c r="A3680" s="11">
        <v>1879000561</v>
      </c>
      <c r="B3680" s="40">
        <v>561</v>
      </c>
      <c r="C3680" s="109">
        <v>879000</v>
      </c>
      <c r="D3680" s="42">
        <v>1</v>
      </c>
      <c r="E3680" s="43"/>
      <c r="F3680" s="44" t="s">
        <v>74</v>
      </c>
      <c r="G3680" s="45" t="s">
        <v>37</v>
      </c>
      <c r="H3680" s="51">
        <f t="shared" si="59"/>
        <v>-1</v>
      </c>
      <c r="I3680" s="47"/>
      <c r="J3680" s="48">
        <f>VLOOKUP(A3680,'[1]תקציב 2026'!$A$1:$M$65536,9,0)</f>
        <v>0</v>
      </c>
      <c r="K3680" s="49">
        <f>VLOOKUP(A3680,[3]גיליון1!$A$1:$C$7693,3,0)*0.9</f>
        <v>1080</v>
      </c>
      <c r="L3680" s="50">
        <f>VLOOKUP(A3680,[2]data1761205830331!$A$1:$J$65536,10,0)</f>
        <v>251</v>
      </c>
    </row>
    <row r="3681" spans="1:12" ht="15.6" outlineLevel="1">
      <c r="A3681" s="11">
        <v>1879000562</v>
      </c>
      <c r="B3681" s="40">
        <v>562</v>
      </c>
      <c r="C3681" s="109">
        <v>879000</v>
      </c>
      <c r="D3681" s="42">
        <v>1</v>
      </c>
      <c r="E3681" s="43"/>
      <c r="F3681" s="44" t="s">
        <v>748</v>
      </c>
      <c r="G3681" s="45" t="s">
        <v>37</v>
      </c>
      <c r="H3681" s="51">
        <f t="shared" si="59"/>
        <v>0</v>
      </c>
      <c r="I3681" s="47"/>
      <c r="J3681" s="48">
        <f>VLOOKUP(A3681,'[1]תקציב 2026'!$A$1:$M$65536,9,0)</f>
        <v>2160</v>
      </c>
      <c r="K3681" s="49">
        <f>VLOOKUP(A3681,[3]גיליון1!$A$1:$C$7693,3,0)*0.9</f>
        <v>2160</v>
      </c>
      <c r="L3681" s="50">
        <f>VLOOKUP(A3681,[2]data1761205830331!$A$1:$J$65536,10,0)</f>
        <v>238</v>
      </c>
    </row>
    <row r="3682" spans="1:12" ht="15.6" outlineLevel="1">
      <c r="A3682" s="11">
        <v>1879000571</v>
      </c>
      <c r="B3682" s="40">
        <v>571</v>
      </c>
      <c r="C3682" s="109">
        <v>879000</v>
      </c>
      <c r="D3682" s="42">
        <v>1</v>
      </c>
      <c r="E3682" s="43"/>
      <c r="F3682" s="44" t="s">
        <v>75</v>
      </c>
      <c r="G3682" s="45" t="s">
        <v>29</v>
      </c>
      <c r="H3682" s="51">
        <f t="shared" si="59"/>
        <v>1.1387012987012985</v>
      </c>
      <c r="I3682" s="47"/>
      <c r="J3682" s="48">
        <f>VLOOKUP(A3682,'[1]תקציב 2026'!$A$1:$M$65536,9,0)</f>
        <v>247020</v>
      </c>
      <c r="K3682" s="49">
        <v>115500</v>
      </c>
      <c r="L3682" s="50">
        <f>VLOOKUP(A3682,[2]data1761205830331!$A$1:$J$65536,10,0)</f>
        <v>108200</v>
      </c>
    </row>
    <row r="3683" spans="1:12" ht="15.6" outlineLevel="1">
      <c r="A3683" s="11">
        <v>1879000580</v>
      </c>
      <c r="B3683" s="40">
        <v>580</v>
      </c>
      <c r="C3683" s="109">
        <v>879000</v>
      </c>
      <c r="D3683" s="42">
        <v>1</v>
      </c>
      <c r="E3683" s="43"/>
      <c r="F3683" s="44" t="s">
        <v>1919</v>
      </c>
      <c r="G3683" s="45" t="s">
        <v>37</v>
      </c>
      <c r="H3683" s="51">
        <f t="shared" si="59"/>
        <v>0.11111111111111116</v>
      </c>
      <c r="I3683" s="47"/>
      <c r="J3683" s="48">
        <f>VLOOKUP(A3683,'[1]תקציב 2026'!$A$1:$M$65536,9,0)</f>
        <v>50000</v>
      </c>
      <c r="K3683" s="49">
        <f>50000*0.9</f>
        <v>45000</v>
      </c>
      <c r="L3683" s="50">
        <f>VLOOKUP(A3683,[2]data1761205830331!$A$1:$J$65536,10,0)</f>
        <v>48748.5</v>
      </c>
    </row>
    <row r="3684" spans="1:12" ht="15.6" outlineLevel="1">
      <c r="A3684" s="11">
        <v>1879000710</v>
      </c>
      <c r="B3684" s="40">
        <v>710</v>
      </c>
      <c r="C3684" s="109">
        <v>879000</v>
      </c>
      <c r="D3684" s="42">
        <v>1</v>
      </c>
      <c r="E3684" s="43"/>
      <c r="F3684" s="44" t="s">
        <v>49</v>
      </c>
      <c r="G3684" s="45" t="s">
        <v>37</v>
      </c>
      <c r="H3684" s="51">
        <f t="shared" si="59"/>
        <v>0</v>
      </c>
      <c r="I3684" s="47"/>
      <c r="J3684" s="48">
        <f>VLOOKUP(A3684,'[1]תקציב 2026'!$A$1:$M$65536,9,0)</f>
        <v>6300</v>
      </c>
      <c r="K3684" s="49">
        <f>7000*0.9</f>
        <v>6300</v>
      </c>
      <c r="L3684" s="50">
        <f>VLOOKUP(A3684,[2]data1761205830331!$A$1:$J$65536,10,0)</f>
        <v>707.9</v>
      </c>
    </row>
    <row r="3685" spans="1:12" ht="15.6" outlineLevel="1">
      <c r="A3685" s="11">
        <v>1879000743</v>
      </c>
      <c r="B3685" s="40">
        <v>743</v>
      </c>
      <c r="C3685" s="109">
        <v>879000</v>
      </c>
      <c r="D3685" s="42">
        <v>1</v>
      </c>
      <c r="E3685" s="43"/>
      <c r="F3685" s="44" t="s">
        <v>1008</v>
      </c>
      <c r="G3685" s="45" t="s">
        <v>37</v>
      </c>
      <c r="H3685" s="51">
        <f t="shared" si="59"/>
        <v>0.14987080103359163</v>
      </c>
      <c r="I3685" s="47"/>
      <c r="J3685" s="48">
        <f>VLOOKUP(A3685,'[1]תקציב 2026'!$A$1:$M$65536,9,0)</f>
        <v>8900</v>
      </c>
      <c r="K3685" s="49">
        <f>VLOOKUP(A3685,[3]גיליון1!$A$1:$C$7693,3,0)*0.9</f>
        <v>7740</v>
      </c>
      <c r="L3685" s="50">
        <f>VLOOKUP(A3685,[2]data1761205830331!$A$1:$J$65536,10,0)</f>
        <v>0</v>
      </c>
    </row>
    <row r="3686" spans="1:12" ht="15.6" outlineLevel="1">
      <c r="A3686" s="11">
        <v>1879000752</v>
      </c>
      <c r="B3686" s="40">
        <v>752</v>
      </c>
      <c r="C3686" s="109">
        <v>879000</v>
      </c>
      <c r="D3686" s="42">
        <v>1</v>
      </c>
      <c r="E3686" s="43"/>
      <c r="F3686" s="44" t="s">
        <v>54</v>
      </c>
      <c r="G3686" s="45" t="s">
        <v>29</v>
      </c>
      <c r="H3686" s="51">
        <f t="shared" si="59"/>
        <v>4.9723756906077332E-2</v>
      </c>
      <c r="I3686" s="47"/>
      <c r="J3686" s="48">
        <f>VLOOKUP(A3686,'[1]תקציב 2026'!$A$1:$M$65536,9,0)</f>
        <v>19000</v>
      </c>
      <c r="K3686" s="49">
        <f>VLOOKUP(A3686,[3]גיליון1!$A$1:$C$7693,3,0)</f>
        <v>18100</v>
      </c>
      <c r="L3686" s="50">
        <f>VLOOKUP(A3686,[2]data1761205830331!$A$1:$J$65536,10,0)</f>
        <v>14672.6</v>
      </c>
    </row>
    <row r="3687" spans="1:12" ht="15.6" outlineLevel="1">
      <c r="A3687" s="11">
        <v>1879000754</v>
      </c>
      <c r="B3687" s="40">
        <v>754</v>
      </c>
      <c r="C3687" s="109">
        <v>879000</v>
      </c>
      <c r="D3687" s="42">
        <v>1</v>
      </c>
      <c r="E3687" s="43"/>
      <c r="F3687" s="44" t="s">
        <v>1920</v>
      </c>
      <c r="G3687" s="45" t="s">
        <v>37</v>
      </c>
      <c r="H3687" s="51">
        <f t="shared" si="59"/>
        <v>0</v>
      </c>
      <c r="I3687" s="47"/>
      <c r="J3687" s="48">
        <f>VLOOKUP(A3687,'[1]תקציב 2026'!$A$1:$M$65536,9,0)</f>
        <v>90000</v>
      </c>
      <c r="K3687" s="49">
        <f>100000*0.9</f>
        <v>90000</v>
      </c>
      <c r="L3687" s="50">
        <f>VLOOKUP(A3687,[2]data1761205830331!$A$1:$J$65536,10,0)</f>
        <v>36336.1</v>
      </c>
    </row>
    <row r="3688" spans="1:12" ht="15.6" outlineLevel="1">
      <c r="A3688" s="11">
        <v>1879000781</v>
      </c>
      <c r="B3688" s="40">
        <v>781</v>
      </c>
      <c r="C3688" s="109">
        <v>879000</v>
      </c>
      <c r="D3688" s="42">
        <v>1</v>
      </c>
      <c r="E3688" s="43"/>
      <c r="F3688" s="44" t="s">
        <v>1921</v>
      </c>
      <c r="G3688" s="45" t="s">
        <v>37</v>
      </c>
      <c r="H3688" s="51">
        <f t="shared" si="59"/>
        <v>0.50150150150150141</v>
      </c>
      <c r="I3688" s="47"/>
      <c r="J3688" s="48">
        <f>VLOOKUP(A3688,'[1]תקציב 2026'!$A$1:$M$65536,9,0)</f>
        <v>50000</v>
      </c>
      <c r="K3688" s="49">
        <f>37000*0.9</f>
        <v>33300</v>
      </c>
      <c r="L3688" s="50">
        <f>VLOOKUP(A3688,[2]data1761205830331!$A$1:$J$65536,10,0)</f>
        <v>18481.560000000001</v>
      </c>
    </row>
    <row r="3689" spans="1:12" ht="15.6" outlineLevel="1">
      <c r="A3689" s="11">
        <v>1879000791</v>
      </c>
      <c r="B3689" s="40">
        <v>791</v>
      </c>
      <c r="C3689" s="109">
        <v>879000</v>
      </c>
      <c r="D3689" s="42">
        <v>1</v>
      </c>
      <c r="E3689" s="43"/>
      <c r="F3689" s="44" t="s">
        <v>1922</v>
      </c>
      <c r="G3689" s="45" t="s">
        <v>37</v>
      </c>
      <c r="H3689" s="51">
        <f t="shared" si="59"/>
        <v>0.33333333333333326</v>
      </c>
      <c r="I3689" s="47"/>
      <c r="J3689" s="48">
        <f>VLOOKUP(A3689,'[1]תקציב 2026'!$A$1:$M$65536,9,0)</f>
        <v>6000</v>
      </c>
      <c r="K3689" s="49">
        <f>5000*0.9</f>
        <v>4500</v>
      </c>
      <c r="L3689" s="50">
        <f>VLOOKUP(A3689,[2]data1761205830331!$A$1:$J$65536,10,0)</f>
        <v>0</v>
      </c>
    </row>
    <row r="3690" spans="1:12" ht="15.6" outlineLevel="1">
      <c r="A3690" s="11">
        <v>1879000794</v>
      </c>
      <c r="B3690" s="40">
        <v>794</v>
      </c>
      <c r="C3690" s="109">
        <v>879000</v>
      </c>
      <c r="D3690" s="42">
        <v>1</v>
      </c>
      <c r="E3690" s="43"/>
      <c r="F3690" s="44" t="s">
        <v>58</v>
      </c>
      <c r="G3690" s="45" t="s">
        <v>29</v>
      </c>
      <c r="H3690" s="51">
        <f t="shared" si="59"/>
        <v>0</v>
      </c>
      <c r="I3690" s="47"/>
      <c r="J3690" s="48">
        <f>VLOOKUP(A3690,'[1]תקציב 2026'!$A$1:$M$65536,9,0)</f>
        <v>5600</v>
      </c>
      <c r="K3690" s="49">
        <v>5600</v>
      </c>
      <c r="L3690" s="50">
        <f>VLOOKUP(A3690,[2]data1761205830331!$A$1:$J$65536,10,0)</f>
        <v>5367</v>
      </c>
    </row>
    <row r="3691" spans="1:12" ht="16.2" outlineLevel="1" thickBot="1">
      <c r="A3691" s="11">
        <v>1879000931</v>
      </c>
      <c r="B3691" s="40">
        <v>931</v>
      </c>
      <c r="C3691" s="109">
        <v>879000</v>
      </c>
      <c r="D3691" s="42">
        <v>1</v>
      </c>
      <c r="E3691" s="43"/>
      <c r="F3691" s="44" t="s">
        <v>78</v>
      </c>
      <c r="G3691" s="45" t="s">
        <v>37</v>
      </c>
      <c r="H3691" s="51">
        <f t="shared" si="59"/>
        <v>0</v>
      </c>
      <c r="I3691" s="47"/>
      <c r="J3691" s="48">
        <f>VLOOKUP(A3691,'[1]תקציב 2026'!$A$1:$M$65536,9,0)</f>
        <v>6570</v>
      </c>
      <c r="K3691" s="49">
        <f>VLOOKUP(A3691,[3]גיליון1!$A$1:$C$7693,3,0)*0.9</f>
        <v>6570</v>
      </c>
      <c r="L3691" s="50">
        <f>VLOOKUP(A3691,[2]data1761205830331!$A$1:$J$65536,10,0)</f>
        <v>6069.44</v>
      </c>
    </row>
    <row r="3692" spans="1:12" ht="16.2" thickBot="1">
      <c r="A3692" s="11" t="e">
        <v>#VALUE!</v>
      </c>
      <c r="B3692" s="53" t="s">
        <v>1923</v>
      </c>
      <c r="C3692" s="223"/>
      <c r="D3692" s="55"/>
      <c r="E3692" s="56"/>
      <c r="F3692" s="116" t="s">
        <v>1924</v>
      </c>
      <c r="G3692" s="58"/>
      <c r="H3692" s="71">
        <f>J3692/K3692-1</f>
        <v>0.10785814160416929</v>
      </c>
      <c r="I3692" s="72"/>
      <c r="J3692" s="74">
        <f>SUBTOTAL(9,J3666:J3691)</f>
        <v>2178880</v>
      </c>
      <c r="K3692" s="92">
        <f>SUBTOTAL(9,K3666:K3691)</f>
        <v>1966750</v>
      </c>
      <c r="L3692" s="75">
        <f>SUBTOTAL(9,L3666:L3691)</f>
        <v>2691517.88</v>
      </c>
    </row>
    <row r="3693" spans="1:12" ht="15.6" outlineLevel="1">
      <c r="A3693" s="11">
        <v>19310000</v>
      </c>
      <c r="B3693" s="40">
        <v>0</v>
      </c>
      <c r="C3693" s="109">
        <v>931000</v>
      </c>
      <c r="D3693" s="42">
        <v>1</v>
      </c>
      <c r="E3693" s="43"/>
      <c r="F3693" s="44" t="s">
        <v>1925</v>
      </c>
      <c r="G3693" s="45" t="s">
        <v>15</v>
      </c>
      <c r="H3693" s="51"/>
      <c r="I3693" s="47"/>
      <c r="J3693" s="48"/>
      <c r="K3693" s="49"/>
      <c r="L3693" s="50"/>
    </row>
    <row r="3694" spans="1:12" ht="15.6" outlineLevel="1">
      <c r="A3694" s="11">
        <v>1931000119</v>
      </c>
      <c r="B3694" s="40">
        <v>119</v>
      </c>
      <c r="C3694" s="109">
        <v>931000</v>
      </c>
      <c r="D3694" s="42">
        <v>1</v>
      </c>
      <c r="E3694" s="43"/>
      <c r="F3694" s="44" t="s">
        <v>1105</v>
      </c>
      <c r="G3694" s="45" t="s">
        <v>22</v>
      </c>
      <c r="H3694" s="51">
        <v>1</v>
      </c>
      <c r="I3694" s="47" t="s">
        <v>86</v>
      </c>
      <c r="J3694" s="48">
        <v>125400</v>
      </c>
      <c r="K3694" s="49">
        <v>0</v>
      </c>
      <c r="L3694" s="50">
        <v>0</v>
      </c>
    </row>
    <row r="3695" spans="1:12" ht="15.6" outlineLevel="1">
      <c r="A3695" s="11">
        <v>1931000122</v>
      </c>
      <c r="B3695" s="40">
        <v>122</v>
      </c>
      <c r="C3695" s="109">
        <v>931000</v>
      </c>
      <c r="D3695" s="42">
        <v>1</v>
      </c>
      <c r="E3695" s="43"/>
      <c r="F3695" s="44" t="s">
        <v>1106</v>
      </c>
      <c r="G3695" s="45" t="s">
        <v>22</v>
      </c>
      <c r="H3695" s="51">
        <v>1</v>
      </c>
      <c r="I3695" s="47" t="s">
        <v>86</v>
      </c>
      <c r="J3695" s="48">
        <f>VLOOKUP(A3695,'[1]תקציב 2026'!$A$1:$M$65536,9,0)</f>
        <v>11900</v>
      </c>
      <c r="K3695" s="49">
        <v>0</v>
      </c>
      <c r="L3695" s="50">
        <v>0</v>
      </c>
    </row>
    <row r="3696" spans="1:12" ht="15.6" outlineLevel="1">
      <c r="A3696" s="11">
        <v>1931000126</v>
      </c>
      <c r="B3696" s="40">
        <v>126</v>
      </c>
      <c r="C3696" s="109">
        <v>931000</v>
      </c>
      <c r="D3696" s="42">
        <v>1</v>
      </c>
      <c r="E3696" s="43"/>
      <c r="F3696" s="44" t="s">
        <v>25</v>
      </c>
      <c r="G3696" s="45" t="s">
        <v>22</v>
      </c>
      <c r="H3696" s="51">
        <v>1</v>
      </c>
      <c r="I3696" s="47" t="s">
        <v>86</v>
      </c>
      <c r="J3696" s="48">
        <f>VLOOKUP(A3696,'[1]תקציב 2026'!$A$1:$M$65536,9,0)</f>
        <v>25720</v>
      </c>
      <c r="K3696" s="49">
        <v>0</v>
      </c>
      <c r="L3696" s="50">
        <v>0</v>
      </c>
    </row>
    <row r="3697" spans="1:12" ht="15.6" outlineLevel="1">
      <c r="A3697" s="11">
        <v>1931000140</v>
      </c>
      <c r="B3697" s="40">
        <v>140</v>
      </c>
      <c r="C3697" s="109">
        <v>931000</v>
      </c>
      <c r="D3697" s="42">
        <v>1</v>
      </c>
      <c r="E3697" s="43"/>
      <c r="F3697" s="44" t="s">
        <v>27</v>
      </c>
      <c r="G3697" s="45" t="s">
        <v>22</v>
      </c>
      <c r="H3697" s="51">
        <v>1</v>
      </c>
      <c r="I3697" s="47" t="s">
        <v>86</v>
      </c>
      <c r="J3697" s="48">
        <f>VLOOKUP(A3697,'[1]תקציב 2026'!$A$1:$M$65536,9,0)</f>
        <v>88130</v>
      </c>
      <c r="K3697" s="49">
        <v>0</v>
      </c>
      <c r="L3697" s="50">
        <v>0</v>
      </c>
    </row>
    <row r="3698" spans="1:12" ht="15.6" outlineLevel="1">
      <c r="A3698" s="11">
        <v>1931000350</v>
      </c>
      <c r="B3698" s="40">
        <v>350</v>
      </c>
      <c r="C3698" s="109">
        <v>931000</v>
      </c>
      <c r="D3698" s="42">
        <v>1</v>
      </c>
      <c r="E3698" s="43"/>
      <c r="F3698" s="44" t="s">
        <v>739</v>
      </c>
      <c r="G3698" s="45" t="s">
        <v>22</v>
      </c>
      <c r="H3698" s="51">
        <v>1</v>
      </c>
      <c r="I3698" s="47" t="s">
        <v>86</v>
      </c>
      <c r="J3698" s="48">
        <f>VLOOKUP(A3698,'[1]תקציב 2026'!$A$1:$M$65536,9,0)</f>
        <v>54000</v>
      </c>
      <c r="K3698" s="49">
        <v>0</v>
      </c>
      <c r="L3698" s="50">
        <v>0</v>
      </c>
    </row>
    <row r="3699" spans="1:12" ht="15.6" outlineLevel="1">
      <c r="A3699" s="11">
        <v>1931000351</v>
      </c>
      <c r="B3699" s="40">
        <v>351</v>
      </c>
      <c r="C3699" s="109">
        <v>931000</v>
      </c>
      <c r="D3699" s="42">
        <v>1</v>
      </c>
      <c r="E3699" s="43"/>
      <c r="F3699" s="44" t="s">
        <v>740</v>
      </c>
      <c r="G3699" s="45" t="s">
        <v>22</v>
      </c>
      <c r="H3699" s="51">
        <v>1</v>
      </c>
      <c r="I3699" s="47" t="s">
        <v>86</v>
      </c>
      <c r="J3699" s="48">
        <f>VLOOKUP(A3699,'[1]תקציב 2026'!$A$1:$M$65536,9,0)</f>
        <v>12000</v>
      </c>
      <c r="K3699" s="49">
        <v>0</v>
      </c>
      <c r="L3699" s="50">
        <v>0</v>
      </c>
    </row>
    <row r="3700" spans="1:12" ht="15.6" outlineLevel="1">
      <c r="A3700" s="11">
        <v>1931000410</v>
      </c>
      <c r="B3700" s="40">
        <v>410</v>
      </c>
      <c r="C3700" s="109">
        <v>931000</v>
      </c>
      <c r="D3700" s="42">
        <v>1</v>
      </c>
      <c r="E3700" s="43"/>
      <c r="F3700" s="44" t="s">
        <v>1926</v>
      </c>
      <c r="G3700" s="45" t="s">
        <v>37</v>
      </c>
      <c r="H3700" s="51">
        <v>1</v>
      </c>
      <c r="I3700" s="47" t="s">
        <v>86</v>
      </c>
      <c r="J3700" s="48">
        <f>VLOOKUP(A3700,'[1]תקציב 2026'!$A$1:$M$65536,9,0)</f>
        <v>1250000</v>
      </c>
      <c r="K3700" s="49">
        <v>0</v>
      </c>
      <c r="L3700" s="50">
        <v>0</v>
      </c>
    </row>
    <row r="3701" spans="1:12" ht="15.6" outlineLevel="1">
      <c r="A3701" s="11">
        <v>1931000471</v>
      </c>
      <c r="B3701" s="40">
        <v>471</v>
      </c>
      <c r="C3701" s="109">
        <v>931000</v>
      </c>
      <c r="D3701" s="42">
        <v>1</v>
      </c>
      <c r="E3701" s="43"/>
      <c r="F3701" s="44" t="s">
        <v>71</v>
      </c>
      <c r="G3701" s="45" t="s">
        <v>37</v>
      </c>
      <c r="H3701" s="51">
        <v>1</v>
      </c>
      <c r="I3701" s="47" t="s">
        <v>86</v>
      </c>
      <c r="J3701" s="48">
        <f>VLOOKUP(A3701,'[1]תקציב 2026'!$A$1:$M$65536,9,0)</f>
        <v>13700</v>
      </c>
      <c r="K3701" s="49">
        <v>0</v>
      </c>
      <c r="L3701" s="50">
        <v>0</v>
      </c>
    </row>
    <row r="3702" spans="1:12" ht="15.6" outlineLevel="1">
      <c r="A3702" s="11">
        <v>1931000511</v>
      </c>
      <c r="B3702" s="40">
        <v>511</v>
      </c>
      <c r="C3702" s="109">
        <v>931000</v>
      </c>
      <c r="D3702" s="42">
        <v>1</v>
      </c>
      <c r="E3702" s="43"/>
      <c r="F3702" s="44" t="s">
        <v>72</v>
      </c>
      <c r="G3702" s="45" t="s">
        <v>37</v>
      </c>
      <c r="H3702" s="51">
        <v>1</v>
      </c>
      <c r="I3702" s="47" t="s">
        <v>86</v>
      </c>
      <c r="J3702" s="48">
        <f>VLOOKUP(A3702,'[1]תקציב 2026'!$A$1:$M$65536,9,0)</f>
        <v>3000</v>
      </c>
      <c r="K3702" s="49">
        <v>0</v>
      </c>
      <c r="L3702" s="50">
        <v>0</v>
      </c>
    </row>
    <row r="3703" spans="1:12" ht="15.6" outlineLevel="1">
      <c r="A3703" s="11">
        <v>1931000550</v>
      </c>
      <c r="B3703" s="40">
        <v>550</v>
      </c>
      <c r="C3703" s="109">
        <v>931000</v>
      </c>
      <c r="D3703" s="42">
        <v>1</v>
      </c>
      <c r="E3703" s="43"/>
      <c r="F3703" s="44" t="s">
        <v>850</v>
      </c>
      <c r="G3703" s="45" t="s">
        <v>37</v>
      </c>
      <c r="H3703" s="51">
        <v>1</v>
      </c>
      <c r="I3703" s="47" t="s">
        <v>86</v>
      </c>
      <c r="J3703" s="48">
        <f>VLOOKUP(A3703,'[1]תקציב 2026'!$A$1:$M$65536,9,0)</f>
        <v>15000</v>
      </c>
      <c r="K3703" s="49">
        <v>0</v>
      </c>
      <c r="L3703" s="50">
        <v>0</v>
      </c>
    </row>
    <row r="3704" spans="1:12" ht="15.6" outlineLevel="1">
      <c r="A3704" s="11">
        <v>1931000563</v>
      </c>
      <c r="B3704" s="40">
        <v>563</v>
      </c>
      <c r="C3704" s="109">
        <v>931000</v>
      </c>
      <c r="D3704" s="42">
        <v>1</v>
      </c>
      <c r="E3704" s="43"/>
      <c r="F3704" s="44" t="s">
        <v>1027</v>
      </c>
      <c r="G3704" s="45" t="s">
        <v>37</v>
      </c>
      <c r="H3704" s="51">
        <v>1</v>
      </c>
      <c r="I3704" s="47" t="s">
        <v>86</v>
      </c>
      <c r="J3704" s="48">
        <f>VLOOKUP(A3704,'[1]תקציב 2026'!$A$1:$M$65536,9,0)</f>
        <v>10800</v>
      </c>
      <c r="K3704" s="49">
        <v>0</v>
      </c>
      <c r="L3704" s="50">
        <v>0</v>
      </c>
    </row>
    <row r="3705" spans="1:12" ht="15.6" outlineLevel="1">
      <c r="A3705" s="11">
        <v>1931000580</v>
      </c>
      <c r="B3705" s="40">
        <v>580</v>
      </c>
      <c r="C3705" s="109">
        <v>931000</v>
      </c>
      <c r="D3705" s="42">
        <v>1</v>
      </c>
      <c r="E3705" s="43"/>
      <c r="F3705" s="44" t="s">
        <v>1927</v>
      </c>
      <c r="G3705" s="45" t="s">
        <v>37</v>
      </c>
      <c r="H3705" s="51">
        <v>1</v>
      </c>
      <c r="I3705" s="47" t="s">
        <v>86</v>
      </c>
      <c r="J3705" s="48">
        <f>VLOOKUP(A3705,'[1]תקציב 2026'!$A$1:$M$65536,9,0)</f>
        <v>2984000</v>
      </c>
      <c r="K3705" s="49">
        <v>0</v>
      </c>
      <c r="L3705" s="50">
        <v>0</v>
      </c>
    </row>
    <row r="3706" spans="1:12" ht="16.2" outlineLevel="1" thickBot="1">
      <c r="A3706" s="11">
        <v>1931000581</v>
      </c>
      <c r="B3706" s="40">
        <v>581</v>
      </c>
      <c r="C3706" s="109">
        <v>931000</v>
      </c>
      <c r="D3706" s="42">
        <v>1</v>
      </c>
      <c r="E3706" s="43"/>
      <c r="F3706" s="44" t="s">
        <v>1928</v>
      </c>
      <c r="G3706" s="45" t="s">
        <v>37</v>
      </c>
      <c r="H3706" s="51">
        <v>1</v>
      </c>
      <c r="I3706" s="47" t="s">
        <v>86</v>
      </c>
      <c r="J3706" s="48">
        <f>VLOOKUP(A3706,'[1]תקציב 2026'!$A$1:$M$65536,9,0)</f>
        <v>800000</v>
      </c>
      <c r="K3706" s="49">
        <v>0</v>
      </c>
      <c r="L3706" s="50">
        <v>0</v>
      </c>
    </row>
    <row r="3707" spans="1:12" ht="16.2" thickBot="1">
      <c r="A3707" s="11" t="e">
        <v>#VALUE!</v>
      </c>
      <c r="B3707" s="315" t="s">
        <v>1929</v>
      </c>
      <c r="C3707" s="317"/>
      <c r="D3707" s="269"/>
      <c r="E3707" s="56"/>
      <c r="F3707" s="116" t="s">
        <v>1925</v>
      </c>
      <c r="G3707" s="58"/>
      <c r="H3707" s="71">
        <v>1</v>
      </c>
      <c r="I3707" s="72"/>
      <c r="J3707" s="73">
        <f>SUBTOTAL(9,J3694:J3706)</f>
        <v>5393650</v>
      </c>
      <c r="K3707" s="270">
        <f>SUBTOTAL(9,K3694:K3706)</f>
        <v>0</v>
      </c>
      <c r="L3707" s="75">
        <f>SUBTOTAL(9,L3694:L3706)</f>
        <v>0</v>
      </c>
    </row>
    <row r="3708" spans="1:12" ht="15.6" outlineLevel="1">
      <c r="A3708" s="11">
        <v>19390000</v>
      </c>
      <c r="B3708" s="40">
        <v>0</v>
      </c>
      <c r="C3708" s="109">
        <v>939000</v>
      </c>
      <c r="D3708" s="42">
        <v>1</v>
      </c>
      <c r="E3708" s="43"/>
      <c r="F3708" s="44" t="s">
        <v>1930</v>
      </c>
      <c r="G3708" s="45" t="s">
        <v>15</v>
      </c>
      <c r="H3708" s="51"/>
      <c r="I3708" s="47"/>
      <c r="J3708" s="48"/>
      <c r="K3708" s="49"/>
      <c r="L3708" s="50"/>
    </row>
    <row r="3709" spans="1:12" ht="15.6" outlineLevel="1">
      <c r="A3709" s="11">
        <v>1939000410</v>
      </c>
      <c r="B3709" s="40">
        <v>410</v>
      </c>
      <c r="C3709" s="109">
        <v>939000</v>
      </c>
      <c r="D3709" s="42">
        <v>1</v>
      </c>
      <c r="E3709" s="43"/>
      <c r="F3709" s="44" t="s">
        <v>1931</v>
      </c>
      <c r="G3709" s="45" t="s">
        <v>29</v>
      </c>
      <c r="H3709" s="51">
        <f t="shared" si="59"/>
        <v>0</v>
      </c>
      <c r="I3709" s="47"/>
      <c r="J3709" s="48">
        <f>VLOOKUP(A3709,'[1]תקציב 2026'!$A$1:$M$65536,9,0)</f>
        <v>13500</v>
      </c>
      <c r="K3709" s="49">
        <f>VLOOKUP(A3709,[3]גיליון1!$A$1:$C$7693,3,0)</f>
        <v>13500</v>
      </c>
      <c r="L3709" s="50">
        <f>VLOOKUP(A3709,[2]data1761205830331!$A$1:$J$65536,10,0)</f>
        <v>0</v>
      </c>
    </row>
    <row r="3710" spans="1:12" ht="15.6" outlineLevel="1">
      <c r="A3710" s="11">
        <v>1939000412</v>
      </c>
      <c r="B3710" s="40">
        <v>412</v>
      </c>
      <c r="C3710" s="109">
        <v>939000</v>
      </c>
      <c r="D3710" s="42">
        <v>1</v>
      </c>
      <c r="E3710" s="43"/>
      <c r="F3710" s="44" t="s">
        <v>1932</v>
      </c>
      <c r="G3710" s="45" t="s">
        <v>29</v>
      </c>
      <c r="H3710" s="51">
        <f t="shared" si="59"/>
        <v>-1</v>
      </c>
      <c r="I3710" s="47"/>
      <c r="J3710" s="48">
        <f>VLOOKUP(A3710,'[1]תקציב 2026'!$A$1:$M$65536,9,0)</f>
        <v>0</v>
      </c>
      <c r="K3710" s="49">
        <f>VLOOKUP(A3710,[3]גיליון1!$A$1:$C$7693,3,0)</f>
        <v>9000</v>
      </c>
      <c r="L3710" s="50">
        <f>VLOOKUP(A3710,[2]data1761205830331!$A$1:$J$65536,10,0)</f>
        <v>0</v>
      </c>
    </row>
    <row r="3711" spans="1:12" ht="15.6" outlineLevel="1">
      <c r="A3711" s="11">
        <v>1939000432</v>
      </c>
      <c r="B3711" s="40">
        <v>432</v>
      </c>
      <c r="C3711" s="109">
        <v>939000</v>
      </c>
      <c r="D3711" s="42">
        <v>1</v>
      </c>
      <c r="E3711" s="43"/>
      <c r="F3711" s="44" t="s">
        <v>1933</v>
      </c>
      <c r="G3711" s="45" t="s">
        <v>29</v>
      </c>
      <c r="H3711" s="51">
        <f t="shared" si="59"/>
        <v>-9.9009900990099098E-3</v>
      </c>
      <c r="I3711" s="47"/>
      <c r="J3711" s="48">
        <f>VLOOKUP(A3711,'[1]תקציב 2026'!$A$1:$M$65536,9,0)</f>
        <v>20000</v>
      </c>
      <c r="K3711" s="49">
        <v>20200</v>
      </c>
      <c r="L3711" s="50">
        <f>VLOOKUP(A3711,[2]data1761205830331!$A$1:$J$65536,10,0)</f>
        <v>8714.3700000000008</v>
      </c>
    </row>
    <row r="3712" spans="1:12" ht="15.6" outlineLevel="1">
      <c r="A3712" s="11">
        <v>1939000511</v>
      </c>
      <c r="B3712" s="40">
        <v>511</v>
      </c>
      <c r="C3712" s="109">
        <v>939000</v>
      </c>
      <c r="D3712" s="42">
        <v>1</v>
      </c>
      <c r="E3712" s="43"/>
      <c r="F3712" s="44" t="s">
        <v>1934</v>
      </c>
      <c r="G3712" s="45" t="s">
        <v>37</v>
      </c>
      <c r="H3712" s="51">
        <v>1</v>
      </c>
      <c r="I3712" s="47" t="s">
        <v>86</v>
      </c>
      <c r="J3712" s="48">
        <f>VLOOKUP(A3712,'[1]תקציב 2026'!$A$1:$M$65536,9,0)</f>
        <v>31000</v>
      </c>
      <c r="K3712" s="49">
        <v>0</v>
      </c>
      <c r="L3712" s="50">
        <v>0</v>
      </c>
    </row>
    <row r="3713" spans="1:12" ht="15.6" outlineLevel="1">
      <c r="A3713" s="11">
        <v>1939000572</v>
      </c>
      <c r="B3713" s="40">
        <v>572</v>
      </c>
      <c r="C3713" s="109">
        <v>939000</v>
      </c>
      <c r="D3713" s="42">
        <v>1</v>
      </c>
      <c r="E3713" s="43"/>
      <c r="F3713" s="44" t="str">
        <f>[4]גיליון1!$F$7621</f>
        <v>דמי ניהול אמות</v>
      </c>
      <c r="G3713" s="45" t="s">
        <v>29</v>
      </c>
      <c r="H3713" s="51">
        <f t="shared" si="59"/>
        <v>0</v>
      </c>
      <c r="I3713" s="47"/>
      <c r="J3713" s="48">
        <f>VLOOKUP(A3713,'[1]תקציב 2026'!$A$1:$M$65536,9,0)</f>
        <v>300000</v>
      </c>
      <c r="K3713" s="49">
        <f>VLOOKUP(A3713,[3]גיליון1!$A$1:$C$7693,3,0)</f>
        <v>300000</v>
      </c>
      <c r="L3713" s="50">
        <f>VLOOKUP(A3713,[2]data1761205830331!$A$1:$J$65536,10,0)</f>
        <v>277360.09999999998</v>
      </c>
    </row>
    <row r="3714" spans="1:12" ht="15.6" outlineLevel="1">
      <c r="A3714" s="11">
        <v>1939000810</v>
      </c>
      <c r="B3714" s="40">
        <v>810</v>
      </c>
      <c r="C3714" s="109">
        <v>939000</v>
      </c>
      <c r="D3714" s="42">
        <v>1</v>
      </c>
      <c r="E3714" s="43" t="s">
        <v>1935</v>
      </c>
      <c r="F3714" s="44" t="s">
        <v>1936</v>
      </c>
      <c r="G3714" s="45" t="s">
        <v>29</v>
      </c>
      <c r="H3714" s="51">
        <f t="shared" si="59"/>
        <v>-1.0608702607582732E-2</v>
      </c>
      <c r="I3714" s="47"/>
      <c r="J3714" s="48">
        <f>VLOOKUP(A3714,'[1]תקציב 2026'!$A$1:$M$65536,9,0)</f>
        <v>12369370</v>
      </c>
      <c r="K3714" s="49">
        <f>VLOOKUP(A3714,[3]גיליון1!$A$1:$C$7693,3,0)</f>
        <v>12502000</v>
      </c>
      <c r="L3714" s="50">
        <f>VLOOKUP(A3714,[2]data1761205830331!$A$1:$J$65536,10,0)</f>
        <v>11882281.039999999</v>
      </c>
    </row>
    <row r="3715" spans="1:12" ht="16.2" outlineLevel="1" thickBot="1">
      <c r="A3715" s="11">
        <v>1939000901</v>
      </c>
      <c r="B3715" s="40">
        <v>901</v>
      </c>
      <c r="C3715" s="109">
        <v>939000</v>
      </c>
      <c r="D3715" s="42">
        <v>1</v>
      </c>
      <c r="E3715" s="43"/>
      <c r="F3715" s="44" t="s">
        <v>730</v>
      </c>
      <c r="G3715" s="45" t="s">
        <v>29</v>
      </c>
      <c r="H3715" s="51">
        <f t="shared" si="59"/>
        <v>-1</v>
      </c>
      <c r="I3715" s="47"/>
      <c r="J3715" s="48">
        <f>VLOOKUP(A3715,'[1]תקציב 2026'!$A$1:$M$65536,9,0)</f>
        <v>0</v>
      </c>
      <c r="K3715" s="49">
        <v>1900000</v>
      </c>
      <c r="L3715" s="50">
        <f>VLOOKUP(A3715,[2]data1761205830331!$A$1:$J$65536,10,0)</f>
        <v>0</v>
      </c>
    </row>
    <row r="3716" spans="1:12" ht="16.2" thickBot="1">
      <c r="A3716" s="11" t="e">
        <v>#VALUE!</v>
      </c>
      <c r="B3716" s="53" t="s">
        <v>1937</v>
      </c>
      <c r="C3716" s="223"/>
      <c r="D3716" s="55"/>
      <c r="E3716" s="56"/>
      <c r="F3716" s="116" t="s">
        <v>1930</v>
      </c>
      <c r="G3716" s="58"/>
      <c r="H3716" s="71">
        <f>J3716/K3716-1</f>
        <v>-0.13637646069435116</v>
      </c>
      <c r="I3716" s="72"/>
      <c r="J3716" s="74">
        <f>SUBTOTAL(9,J3709:J3715)</f>
        <v>12733870</v>
      </c>
      <c r="K3716" s="92">
        <f>SUBTOTAL(9,K3709:K3715)</f>
        <v>14744700</v>
      </c>
      <c r="L3716" s="75">
        <f>SUBTOTAL(9,L3709:L3715)</f>
        <v>12168355.51</v>
      </c>
    </row>
    <row r="3717" spans="1:12" ht="15.6" outlineLevel="1">
      <c r="A3717" s="11">
        <v>19900000</v>
      </c>
      <c r="B3717" s="40">
        <v>0</v>
      </c>
      <c r="C3717" s="109">
        <v>990000</v>
      </c>
      <c r="D3717" s="42">
        <v>1</v>
      </c>
      <c r="E3717" s="43"/>
      <c r="F3717" s="44" t="s">
        <v>1938</v>
      </c>
      <c r="G3717" s="45" t="s">
        <v>15</v>
      </c>
      <c r="H3717" s="51"/>
      <c r="I3717" s="47"/>
      <c r="J3717" s="48"/>
      <c r="K3717" s="49"/>
      <c r="L3717" s="50"/>
    </row>
    <row r="3718" spans="1:12" ht="16.2" outlineLevel="1" thickBot="1">
      <c r="A3718" s="11">
        <v>1991100986</v>
      </c>
      <c r="B3718" s="40">
        <v>986</v>
      </c>
      <c r="C3718" s="109">
        <v>991100</v>
      </c>
      <c r="D3718" s="42">
        <v>1</v>
      </c>
      <c r="E3718" s="43"/>
      <c r="F3718" s="44" t="s">
        <v>1939</v>
      </c>
      <c r="G3718" s="45" t="s">
        <v>29</v>
      </c>
      <c r="H3718" s="51">
        <f t="shared" si="59"/>
        <v>0</v>
      </c>
      <c r="I3718" s="47"/>
      <c r="J3718" s="48">
        <f>VLOOKUP(A3718,'[1]תקציב 2026'!$A$1:$M$65536,9,0)</f>
        <v>50000</v>
      </c>
      <c r="K3718" s="49">
        <v>50000</v>
      </c>
      <c r="L3718" s="50">
        <f>VLOOKUP(A3718,[2]data1761205830331!$A$1:$J$65536,10,0)</f>
        <v>-18853.3</v>
      </c>
    </row>
    <row r="3719" spans="1:12" ht="16.2" thickBot="1">
      <c r="A3719" s="11" t="e">
        <v>#VALUE!</v>
      </c>
      <c r="B3719" s="53" t="s">
        <v>1940</v>
      </c>
      <c r="C3719" s="223"/>
      <c r="D3719" s="55"/>
      <c r="E3719" s="56"/>
      <c r="F3719" s="116" t="s">
        <v>1941</v>
      </c>
      <c r="G3719" s="58"/>
      <c r="H3719" s="71">
        <v>0</v>
      </c>
      <c r="I3719" s="72"/>
      <c r="J3719" s="74">
        <f>SUBTOTAL(9,J3718)</f>
        <v>50000</v>
      </c>
      <c r="K3719" s="92">
        <f>SUBTOTAL(9,K3718)</f>
        <v>50000</v>
      </c>
      <c r="L3719" s="75">
        <f>SUBTOTAL(9,L3718)</f>
        <v>-18853.3</v>
      </c>
    </row>
    <row r="3720" spans="1:12" ht="15.6" outlineLevel="1">
      <c r="A3720" s="11">
        <v>19917000</v>
      </c>
      <c r="B3720" s="40">
        <v>0</v>
      </c>
      <c r="C3720" s="109">
        <v>991700</v>
      </c>
      <c r="D3720" s="42">
        <v>1</v>
      </c>
      <c r="E3720" s="43"/>
      <c r="F3720" s="44" t="s">
        <v>1942</v>
      </c>
      <c r="G3720" s="45" t="s">
        <v>15</v>
      </c>
      <c r="H3720" s="51"/>
      <c r="I3720" s="47"/>
      <c r="J3720" s="48"/>
      <c r="K3720" s="49"/>
      <c r="L3720" s="50"/>
    </row>
    <row r="3721" spans="1:12" ht="16.2" outlineLevel="1" thickBot="1">
      <c r="A3721" s="11">
        <v>1991700930</v>
      </c>
      <c r="B3721" s="40">
        <v>930</v>
      </c>
      <c r="C3721" s="109">
        <v>991700</v>
      </c>
      <c r="D3721" s="42">
        <v>1</v>
      </c>
      <c r="E3721" s="43"/>
      <c r="F3721" s="44" t="s">
        <v>1943</v>
      </c>
      <c r="G3721" s="45" t="s">
        <v>37</v>
      </c>
      <c r="H3721" s="51">
        <v>0</v>
      </c>
      <c r="I3721" s="47"/>
      <c r="J3721" s="48">
        <f>VLOOKUP(A3721,'[1]תקציב 2026'!$A$1:$M$65536,9,0)</f>
        <v>0</v>
      </c>
      <c r="K3721" s="49">
        <f>VLOOKUP(A3721,[3]גיליון1!$A$1:$C$7693,3,0)</f>
        <v>0</v>
      </c>
      <c r="L3721" s="50">
        <f>VLOOKUP(A3721,[2]data1761205830331!$A$1:$J$65536,10,0)</f>
        <v>1067500</v>
      </c>
    </row>
    <row r="3722" spans="1:12" ht="16.2" thickBot="1">
      <c r="A3722" s="11" t="e">
        <v>#VALUE!</v>
      </c>
      <c r="B3722" s="53" t="s">
        <v>1944</v>
      </c>
      <c r="C3722" s="223"/>
      <c r="D3722" s="55"/>
      <c r="E3722" s="56"/>
      <c r="F3722" s="116" t="s">
        <v>1945</v>
      </c>
      <c r="G3722" s="58"/>
      <c r="H3722" s="71">
        <v>0</v>
      </c>
      <c r="I3722" s="72"/>
      <c r="J3722" s="74">
        <f>SUBTOTAL(9,J3721:J3721)</f>
        <v>0</v>
      </c>
      <c r="K3722" s="92">
        <f>SUBTOTAL(9,K3721:K3721)</f>
        <v>0</v>
      </c>
      <c r="L3722" s="75">
        <f>SUBTOTAL(9,L3721:L3721)</f>
        <v>1067500</v>
      </c>
    </row>
    <row r="3723" spans="1:12" ht="15.6" outlineLevel="1">
      <c r="A3723" s="11">
        <v>19918000</v>
      </c>
      <c r="B3723" s="40">
        <v>0</v>
      </c>
      <c r="C3723" s="109">
        <v>991800</v>
      </c>
      <c r="D3723" s="42">
        <v>1</v>
      </c>
      <c r="E3723" s="43"/>
      <c r="F3723" s="44" t="s">
        <v>1946</v>
      </c>
      <c r="G3723" s="45" t="s">
        <v>15</v>
      </c>
      <c r="H3723" s="51"/>
      <c r="I3723" s="47"/>
      <c r="J3723" s="48"/>
      <c r="K3723" s="49"/>
      <c r="L3723" s="50"/>
    </row>
    <row r="3724" spans="1:12" ht="15.6" outlineLevel="1">
      <c r="A3724" s="11">
        <v>1991800360</v>
      </c>
      <c r="B3724" s="40">
        <v>360</v>
      </c>
      <c r="C3724" s="109">
        <v>991800</v>
      </c>
      <c r="D3724" s="42">
        <v>1</v>
      </c>
      <c r="E3724" s="43"/>
      <c r="F3724" s="44" t="s">
        <v>1947</v>
      </c>
      <c r="G3724" s="45" t="s">
        <v>22</v>
      </c>
      <c r="H3724" s="51">
        <f t="shared" si="59"/>
        <v>0.10453648915187386</v>
      </c>
      <c r="I3724" s="47"/>
      <c r="J3724" s="48">
        <f>VLOOKUP(A3724,'[1]תקציב 2026'!$A$1:$M$65536,9,0)</f>
        <v>2800000</v>
      </c>
      <c r="K3724" s="49">
        <v>2535000</v>
      </c>
      <c r="L3724" s="50">
        <f>VLOOKUP(A3724,[2]data1761205830331!$A$1:$J$65536,10,0)</f>
        <v>2243733.7000000002</v>
      </c>
    </row>
    <row r="3725" spans="1:12" ht="16.2" outlineLevel="1" thickBot="1">
      <c r="A3725" s="11">
        <v>1991800361</v>
      </c>
      <c r="B3725" s="40">
        <v>361</v>
      </c>
      <c r="C3725" s="109">
        <v>991800</v>
      </c>
      <c r="D3725" s="42">
        <v>1</v>
      </c>
      <c r="E3725" s="43"/>
      <c r="F3725" s="44" t="s">
        <v>1948</v>
      </c>
      <c r="G3725" s="45" t="s">
        <v>22</v>
      </c>
      <c r="H3725" s="51">
        <f t="shared" si="59"/>
        <v>0.5</v>
      </c>
      <c r="I3725" s="47"/>
      <c r="J3725" s="48">
        <f>VLOOKUP(A3725,'[1]תקציב 2026'!$A$1:$M$65536,9,0)</f>
        <v>15000</v>
      </c>
      <c r="K3725" s="49">
        <f>VLOOKUP(A3725,[3]גיליון1!$A$1:$C$7693,3,0)</f>
        <v>10000</v>
      </c>
      <c r="L3725" s="50">
        <f>VLOOKUP(A3725,[2]data1761205830331!$A$1:$J$65536,10,0)</f>
        <v>3586</v>
      </c>
    </row>
    <row r="3726" spans="1:12" ht="16.2" thickBot="1">
      <c r="A3726" s="11" t="e">
        <v>#VALUE!</v>
      </c>
      <c r="B3726" s="157" t="s">
        <v>1949</v>
      </c>
      <c r="C3726" s="223"/>
      <c r="D3726" s="55"/>
      <c r="E3726" s="56"/>
      <c r="F3726" s="116" t="s">
        <v>1946</v>
      </c>
      <c r="G3726" s="58"/>
      <c r="H3726" s="71">
        <f>J3726/K3726-1</f>
        <v>0.10609037328094306</v>
      </c>
      <c r="I3726" s="72"/>
      <c r="J3726" s="74">
        <f>SUBTOTAL(9,J3724:J3725)</f>
        <v>2815000</v>
      </c>
      <c r="K3726" s="92">
        <f>SUBTOTAL(9,K3724:K3725)</f>
        <v>2545000</v>
      </c>
      <c r="L3726" s="75">
        <f>SUBTOTAL(9,L3724:L3725)</f>
        <v>2247319.7000000002</v>
      </c>
    </row>
    <row r="3727" spans="1:12" ht="15.6" outlineLevel="1">
      <c r="A3727" s="11">
        <v>19919000</v>
      </c>
      <c r="B3727" s="40">
        <v>0</v>
      </c>
      <c r="C3727" s="109">
        <v>991900</v>
      </c>
      <c r="D3727" s="42">
        <v>1</v>
      </c>
      <c r="E3727" s="43"/>
      <c r="F3727" s="44" t="s">
        <v>1950</v>
      </c>
      <c r="G3727" s="45" t="s">
        <v>15</v>
      </c>
      <c r="H3727" s="51"/>
      <c r="I3727" s="47"/>
      <c r="J3727" s="48"/>
      <c r="K3727" s="49"/>
      <c r="L3727" s="50"/>
    </row>
    <row r="3728" spans="1:12" ht="15.6" outlineLevel="1">
      <c r="A3728" s="11">
        <v>1991900310</v>
      </c>
      <c r="B3728" s="40">
        <v>310</v>
      </c>
      <c r="C3728" s="109">
        <v>991900</v>
      </c>
      <c r="D3728" s="42">
        <v>1</v>
      </c>
      <c r="E3728" s="43"/>
      <c r="F3728" s="44" t="s">
        <v>1951</v>
      </c>
      <c r="G3728" s="45" t="s">
        <v>22</v>
      </c>
      <c r="H3728" s="51">
        <f t="shared" si="59"/>
        <v>5.1470588235294157E-2</v>
      </c>
      <c r="I3728" s="47"/>
      <c r="J3728" s="48">
        <f>VLOOKUP(A3728,'[1]תקציב 2026'!$A$1:$M$65536,9,0)</f>
        <v>71500000</v>
      </c>
      <c r="K3728" s="49">
        <v>68000000</v>
      </c>
      <c r="L3728" s="50">
        <f>VLOOKUP(A3728,[2]data1761205830331!$A$1:$J$65536,10,0)</f>
        <v>67906975.870000005</v>
      </c>
    </row>
    <row r="3729" spans="1:12" ht="15.6" outlineLevel="1">
      <c r="A3729" s="11">
        <v>1991900311</v>
      </c>
      <c r="B3729" s="40">
        <v>311</v>
      </c>
      <c r="C3729" s="109">
        <v>991900</v>
      </c>
      <c r="D3729" s="42">
        <v>1</v>
      </c>
      <c r="E3729" s="43"/>
      <c r="F3729" s="44" t="s">
        <v>1952</v>
      </c>
      <c r="G3729" s="45" t="s">
        <v>22</v>
      </c>
      <c r="H3729" s="51">
        <f t="shared" si="59"/>
        <v>0.10000000000000009</v>
      </c>
      <c r="I3729" s="47"/>
      <c r="J3729" s="48">
        <f>VLOOKUP(A3729,'[1]תקציב 2026'!$A$1:$M$65536,9,0)</f>
        <v>11000000</v>
      </c>
      <c r="K3729" s="49">
        <v>10000000</v>
      </c>
      <c r="L3729" s="50">
        <f>VLOOKUP(A3729,[2]data1761205830331!$A$1:$J$65536,10,0)</f>
        <v>9705980.6899999995</v>
      </c>
    </row>
    <row r="3730" spans="1:12" ht="15.6" outlineLevel="1">
      <c r="A3730" s="11">
        <v>1991900320</v>
      </c>
      <c r="B3730" s="40">
        <v>320</v>
      </c>
      <c r="C3730" s="109">
        <v>991900</v>
      </c>
      <c r="D3730" s="42">
        <v>1</v>
      </c>
      <c r="E3730" s="43"/>
      <c r="F3730" s="44" t="s">
        <v>1953</v>
      </c>
      <c r="G3730" s="45" t="s">
        <v>22</v>
      </c>
      <c r="H3730" s="51">
        <f t="shared" si="59"/>
        <v>0</v>
      </c>
      <c r="I3730" s="47"/>
      <c r="J3730" s="48">
        <f>VLOOKUP(A3730,'[1]תקציב 2026'!$A$1:$M$65536,9,0)</f>
        <v>1000000</v>
      </c>
      <c r="K3730" s="49">
        <v>1000000</v>
      </c>
      <c r="L3730" s="50">
        <f>VLOOKUP(A3730,[2]data1761205830331!$A$1:$J$65536,10,0)</f>
        <v>1321008.8600000001</v>
      </c>
    </row>
    <row r="3731" spans="1:12" ht="15.6" outlineLevel="1">
      <c r="A3731" s="11">
        <v>1991900321</v>
      </c>
      <c r="B3731" s="40">
        <v>321</v>
      </c>
      <c r="C3731" s="109">
        <v>991900</v>
      </c>
      <c r="D3731" s="42">
        <v>1</v>
      </c>
      <c r="E3731" s="43"/>
      <c r="F3731" s="44" t="s">
        <v>1954</v>
      </c>
      <c r="G3731" s="45" t="s">
        <v>22</v>
      </c>
      <c r="H3731" s="51">
        <f t="shared" si="59"/>
        <v>0</v>
      </c>
      <c r="I3731" s="47"/>
      <c r="J3731" s="48">
        <f>VLOOKUP(A3731,'[1]תקציב 2026'!$A$1:$M$65536,9,0)</f>
        <v>3000000</v>
      </c>
      <c r="K3731" s="49">
        <v>3000000</v>
      </c>
      <c r="L3731" s="50">
        <f>VLOOKUP(A3731,[2]data1761205830331!$A$1:$J$65536,10,0)</f>
        <v>4819874.3099999996</v>
      </c>
    </row>
    <row r="3732" spans="1:12" ht="15.6" outlineLevel="1">
      <c r="A3732" s="11">
        <v>1991900330</v>
      </c>
      <c r="B3732" s="40">
        <v>330</v>
      </c>
      <c r="C3732" s="109">
        <v>991900</v>
      </c>
      <c r="D3732" s="42">
        <v>1</v>
      </c>
      <c r="E3732" s="43"/>
      <c r="F3732" s="44" t="s">
        <v>1955</v>
      </c>
      <c r="G3732" s="45" t="s">
        <v>22</v>
      </c>
      <c r="H3732" s="51">
        <f t="shared" si="59"/>
        <v>0</v>
      </c>
      <c r="I3732" s="47"/>
      <c r="J3732" s="48">
        <f>VLOOKUP(A3732,'[1]תקציב 2026'!$A$1:$M$65536,9,0)</f>
        <v>1000000</v>
      </c>
      <c r="K3732" s="49">
        <v>1000000</v>
      </c>
      <c r="L3732" s="50">
        <f>VLOOKUP(A3732,[2]data1761205830331!$A$1:$J$65536,10,0)</f>
        <v>901897.74</v>
      </c>
    </row>
    <row r="3733" spans="1:12" ht="16.2" outlineLevel="1" thickBot="1">
      <c r="A3733" s="11">
        <v>1991900340</v>
      </c>
      <c r="B3733" s="40">
        <v>340</v>
      </c>
      <c r="C3733" s="109">
        <v>991900</v>
      </c>
      <c r="D3733" s="42">
        <v>1</v>
      </c>
      <c r="E3733" s="43"/>
      <c r="F3733" s="44" t="s">
        <v>1956</v>
      </c>
      <c r="G3733" s="45" t="s">
        <v>22</v>
      </c>
      <c r="H3733" s="51">
        <f t="shared" si="59"/>
        <v>0</v>
      </c>
      <c r="I3733" s="47"/>
      <c r="J3733" s="48">
        <f>VLOOKUP(A3733,'[1]תקציב 2026'!$A$1:$M$65536,9,0)</f>
        <v>550000</v>
      </c>
      <c r="K3733" s="49">
        <v>550000</v>
      </c>
      <c r="L3733" s="50">
        <f>VLOOKUP(A3733,[2]data1761205830331!$A$1:$J$65536,10,0)</f>
        <v>513405.37</v>
      </c>
    </row>
    <row r="3734" spans="1:12" ht="16.2" thickBot="1">
      <c r="A3734" s="11" t="e">
        <v>#VALUE!</v>
      </c>
      <c r="B3734" s="53" t="s">
        <v>1957</v>
      </c>
      <c r="C3734" s="223"/>
      <c r="D3734" s="55"/>
      <c r="E3734" s="56"/>
      <c r="F3734" s="116" t="s">
        <v>1950</v>
      </c>
      <c r="G3734" s="58"/>
      <c r="H3734" s="71">
        <f>J3734/K3734-1</f>
        <v>5.3859964093357249E-2</v>
      </c>
      <c r="I3734" s="72"/>
      <c r="J3734" s="74">
        <f>SUBTOTAL(9,J3728:J3733)</f>
        <v>88050000</v>
      </c>
      <c r="K3734" s="92">
        <f>SUBTOTAL(9,K3728:K3733)</f>
        <v>83550000</v>
      </c>
      <c r="L3734" s="75">
        <f>SUBTOTAL(9,L3728:L3733)</f>
        <v>85169142.840000004</v>
      </c>
    </row>
    <row r="3735" spans="1:12" ht="15.6" outlineLevel="1">
      <c r="A3735" s="11">
        <v>19920000</v>
      </c>
      <c r="B3735" s="40">
        <v>0</v>
      </c>
      <c r="C3735" s="109">
        <v>992000</v>
      </c>
      <c r="D3735" s="42">
        <v>1</v>
      </c>
      <c r="E3735" s="43"/>
      <c r="F3735" s="44" t="s">
        <v>1958</v>
      </c>
      <c r="G3735" s="45" t="s">
        <v>15</v>
      </c>
      <c r="H3735" s="51"/>
      <c r="I3735" s="47"/>
      <c r="J3735" s="48"/>
      <c r="K3735" s="49"/>
      <c r="L3735" s="50"/>
    </row>
    <row r="3736" spans="1:12" ht="16.2" outlineLevel="1" thickBot="1">
      <c r="A3736" s="11">
        <v>1992000960</v>
      </c>
      <c r="B3736" s="40">
        <v>960</v>
      </c>
      <c r="C3736" s="109">
        <v>992000</v>
      </c>
      <c r="D3736" s="42">
        <v>1</v>
      </c>
      <c r="E3736" s="43"/>
      <c r="F3736" s="44" t="s">
        <v>1959</v>
      </c>
      <c r="G3736" s="45" t="s">
        <v>29</v>
      </c>
      <c r="H3736" s="51">
        <f t="shared" si="59"/>
        <v>0.12446522525915005</v>
      </c>
      <c r="I3736" s="47"/>
      <c r="J3736" s="48">
        <f>VLOOKUP(A3736,'[1]תקציב 2026'!$A$1:$M$65536,9,0)</f>
        <v>21500000</v>
      </c>
      <c r="K3736" s="49">
        <v>19120200</v>
      </c>
      <c r="L3736" s="50">
        <f>VLOOKUP(A3736,[2]data1761205830331!$A$1:$J$65536,10,0)</f>
        <v>0</v>
      </c>
    </row>
    <row r="3737" spans="1:12" ht="16.2" thickBot="1">
      <c r="A3737" s="11" t="e">
        <v>#VALUE!</v>
      </c>
      <c r="B3737" s="53" t="s">
        <v>1960</v>
      </c>
      <c r="C3737" s="223"/>
      <c r="D3737" s="55"/>
      <c r="E3737" s="56"/>
      <c r="F3737" s="116" t="s">
        <v>1958</v>
      </c>
      <c r="G3737" s="58"/>
      <c r="H3737" s="71">
        <f>J3737/K3737-1</f>
        <v>0.12446522525915005</v>
      </c>
      <c r="I3737" s="72"/>
      <c r="J3737" s="74">
        <f>SUBTOTAL(9,J3736:J3736)</f>
        <v>21500000</v>
      </c>
      <c r="K3737" s="92">
        <f>SUBTOTAL(9,K3736:K3736)</f>
        <v>19120200</v>
      </c>
      <c r="L3737" s="75">
        <f>SUBTOTAL(9,L3736:L3736)</f>
        <v>0</v>
      </c>
    </row>
    <row r="3738" spans="1:12" ht="15.6" outlineLevel="1">
      <c r="A3738" s="11">
        <v>19940000</v>
      </c>
      <c r="B3738" s="40">
        <v>0</v>
      </c>
      <c r="C3738" s="109">
        <v>994000</v>
      </c>
      <c r="D3738" s="42">
        <v>1</v>
      </c>
      <c r="E3738" s="43"/>
      <c r="F3738" s="44" t="s">
        <v>1961</v>
      </c>
      <c r="G3738" s="45" t="s">
        <v>15</v>
      </c>
      <c r="H3738" s="51"/>
      <c r="I3738" s="47"/>
      <c r="J3738" s="48"/>
      <c r="K3738" s="49"/>
      <c r="L3738" s="50"/>
    </row>
    <row r="3739" spans="1:12" ht="15.6" outlineLevel="1">
      <c r="A3739" s="11">
        <v>1994000901</v>
      </c>
      <c r="B3739" s="119">
        <v>901</v>
      </c>
      <c r="C3739" s="120">
        <v>994000</v>
      </c>
      <c r="D3739" s="121">
        <v>1</v>
      </c>
      <c r="E3739" s="201"/>
      <c r="F3739" s="122" t="s">
        <v>1962</v>
      </c>
      <c r="G3739" s="153" t="s">
        <v>29</v>
      </c>
      <c r="H3739" s="124">
        <v>1</v>
      </c>
      <c r="I3739" s="160" t="s">
        <v>86</v>
      </c>
      <c r="J3739" s="48">
        <f>VLOOKUP(A3739,'[1]תקציב 2026'!$A$1:$M$65536,9,0)</f>
        <v>4766950</v>
      </c>
      <c r="K3739" s="162">
        <v>0</v>
      </c>
      <c r="L3739" s="50">
        <v>0</v>
      </c>
    </row>
    <row r="3740" spans="1:12" ht="15.6" outlineLevel="1">
      <c r="A3740" s="11">
        <v>1994000970</v>
      </c>
      <c r="B3740" s="40">
        <v>970</v>
      </c>
      <c r="C3740" s="109">
        <v>994000</v>
      </c>
      <c r="D3740" s="42">
        <v>1</v>
      </c>
      <c r="E3740" s="43"/>
      <c r="F3740" s="44" t="s">
        <v>1963</v>
      </c>
      <c r="G3740" s="45" t="s">
        <v>29</v>
      </c>
      <c r="H3740" s="51">
        <f t="shared" si="59"/>
        <v>0</v>
      </c>
      <c r="I3740" s="47"/>
      <c r="J3740" s="48">
        <f>VLOOKUP(A3740,'[1]תקציב 2026'!$A$1:$M$65536,9,0)</f>
        <v>400000</v>
      </c>
      <c r="K3740" s="49">
        <f>VLOOKUP(A3740,[3]גיליון1!$A$1:$C$7693,3,0)</f>
        <v>400000</v>
      </c>
      <c r="L3740" s="50">
        <f>VLOOKUP(A3740,[2]data1761205830331!$A$1:$J$65536,10,0)</f>
        <v>400000</v>
      </c>
    </row>
    <row r="3741" spans="1:12" ht="16.2" outlineLevel="1" thickBot="1">
      <c r="A3741" s="11">
        <v>1994000981</v>
      </c>
      <c r="B3741" s="40">
        <v>981</v>
      </c>
      <c r="C3741" s="109">
        <v>994000</v>
      </c>
      <c r="D3741" s="42">
        <v>1</v>
      </c>
      <c r="E3741" s="43"/>
      <c r="F3741" s="44" t="s">
        <v>1964</v>
      </c>
      <c r="G3741" s="45" t="s">
        <v>29</v>
      </c>
      <c r="H3741" s="51">
        <f t="shared" si="59"/>
        <v>1.4328699999999999</v>
      </c>
      <c r="I3741" s="47"/>
      <c r="J3741" s="48">
        <v>4865740</v>
      </c>
      <c r="K3741" s="49">
        <f>VLOOKUP(A3741,[3]גיליון1!$A$1:$C$7693,3,0)</f>
        <v>2000000</v>
      </c>
      <c r="L3741" s="50">
        <f>VLOOKUP(A3741,[2]data1761205830331!$A$1:$J$65536,10,0)</f>
        <v>11599470.93</v>
      </c>
    </row>
    <row r="3742" spans="1:12" ht="16.2" thickBot="1">
      <c r="A3742" s="11" t="e">
        <v>#VALUE!</v>
      </c>
      <c r="B3742" s="53" t="s">
        <v>1965</v>
      </c>
      <c r="C3742" s="223"/>
      <c r="D3742" s="55"/>
      <c r="E3742" s="56"/>
      <c r="F3742" s="116" t="s">
        <v>1961</v>
      </c>
      <c r="G3742" s="58"/>
      <c r="H3742" s="71">
        <f>J3742/K3742-1</f>
        <v>3.1802875000000004</v>
      </c>
      <c r="I3742" s="72"/>
      <c r="J3742" s="74">
        <f>SUBTOTAL(9,J3739:J3741)</f>
        <v>10032690</v>
      </c>
      <c r="K3742" s="92">
        <f>SUBTOTAL(9,K3739:K3741)</f>
        <v>2400000</v>
      </c>
      <c r="L3742" s="75">
        <f>SUBTOTAL(9,L3739:L3741)</f>
        <v>11999470.93</v>
      </c>
    </row>
    <row r="3743" spans="1:12" ht="15.6" outlineLevel="1">
      <c r="A3743" s="11">
        <v>19950000</v>
      </c>
      <c r="B3743" s="40">
        <v>0</v>
      </c>
      <c r="C3743" s="109">
        <v>995000</v>
      </c>
      <c r="D3743" s="42">
        <v>1</v>
      </c>
      <c r="E3743" s="43"/>
      <c r="F3743" s="44" t="s">
        <v>1966</v>
      </c>
      <c r="G3743" s="45" t="s">
        <v>15</v>
      </c>
      <c r="H3743" s="51"/>
      <c r="I3743" s="47"/>
      <c r="J3743" s="48"/>
      <c r="K3743" s="49"/>
      <c r="L3743" s="50"/>
    </row>
    <row r="3744" spans="1:12" ht="15.6" outlineLevel="1">
      <c r="A3744" s="11">
        <v>1995000861</v>
      </c>
      <c r="B3744" s="40">
        <v>861</v>
      </c>
      <c r="C3744" s="109">
        <v>995000</v>
      </c>
      <c r="D3744" s="42">
        <v>1</v>
      </c>
      <c r="E3744" s="43"/>
      <c r="F3744" s="44" t="s">
        <v>1967</v>
      </c>
      <c r="G3744" s="45" t="s">
        <v>29</v>
      </c>
      <c r="H3744" s="51">
        <f t="shared" ref="H3744:H3749" si="60">J3744/K3744-1</f>
        <v>2.6785714285714191E-2</v>
      </c>
      <c r="I3744" s="47"/>
      <c r="J3744" s="48">
        <f>VLOOKUP(A3744,'[1]תקציב 2026'!$A$1:$M$65536,9,0)</f>
        <v>115000000</v>
      </c>
      <c r="K3744" s="49">
        <f>VLOOKUP(A3744,[3]גיליון1!$A$1:$C$7693,3,0)</f>
        <v>112000000</v>
      </c>
      <c r="L3744" s="50">
        <f>VLOOKUP(A3744,[2]data1761205830331!$A$1:$J$65536,10,0)</f>
        <v>105150973.98</v>
      </c>
    </row>
    <row r="3745" spans="1:13" ht="15.6" outlineLevel="1">
      <c r="A3745" s="11">
        <v>1995000863</v>
      </c>
      <c r="B3745" s="40">
        <v>863</v>
      </c>
      <c r="C3745" s="109">
        <v>995000</v>
      </c>
      <c r="D3745" s="42">
        <v>1</v>
      </c>
      <c r="E3745" s="43"/>
      <c r="F3745" s="44" t="s">
        <v>125</v>
      </c>
      <c r="G3745" s="45" t="s">
        <v>29</v>
      </c>
      <c r="H3745" s="51">
        <f t="shared" si="60"/>
        <v>-0.21052631578947367</v>
      </c>
      <c r="I3745" s="47"/>
      <c r="J3745" s="48">
        <f>VLOOKUP(A3745,'[1]תקציב 2026'!$A$1:$M$65536,9,0)</f>
        <v>15000000</v>
      </c>
      <c r="K3745" s="49">
        <f>VLOOKUP(A3745,[3]גיליון1!$A$1:$C$7693,3,0)</f>
        <v>19000000</v>
      </c>
      <c r="L3745" s="50">
        <f>VLOOKUP(A3745,[2]data1761205830331!$A$1:$J$65536,10,0)</f>
        <v>11223469.640000001</v>
      </c>
      <c r="M3745" s="213"/>
    </row>
    <row r="3746" spans="1:13" ht="15.6" outlineLevel="1">
      <c r="A3746" s="11">
        <v>1995000864</v>
      </c>
      <c r="B3746" s="40">
        <v>864</v>
      </c>
      <c r="C3746" s="109">
        <v>995000</v>
      </c>
      <c r="D3746" s="42">
        <v>1</v>
      </c>
      <c r="E3746" s="43"/>
      <c r="F3746" s="44" t="s">
        <v>126</v>
      </c>
      <c r="G3746" s="45" t="s">
        <v>29</v>
      </c>
      <c r="H3746" s="51">
        <f t="shared" si="60"/>
        <v>0.11111111111111116</v>
      </c>
      <c r="I3746" s="47"/>
      <c r="J3746" s="48">
        <f>VLOOKUP(A3746,'[1]תקציב 2026'!$A$1:$M$65536,9,0)</f>
        <v>20000000</v>
      </c>
      <c r="K3746" s="49">
        <f>VLOOKUP(A3746,[3]גיליון1!$A$1:$C$7693,3,0)</f>
        <v>18000000</v>
      </c>
      <c r="L3746" s="50">
        <f>VLOOKUP(A3746,[2]data1761205830331!$A$1:$J$65536,10,0)</f>
        <v>23252459.32</v>
      </c>
      <c r="M3746" s="213"/>
    </row>
    <row r="3747" spans="1:13" ht="16.2" outlineLevel="1" thickBot="1">
      <c r="A3747" s="11">
        <v>1995000865</v>
      </c>
      <c r="B3747" s="40">
        <v>865</v>
      </c>
      <c r="C3747" s="109">
        <v>995000</v>
      </c>
      <c r="D3747" s="42">
        <v>1</v>
      </c>
      <c r="E3747" s="43"/>
      <c r="F3747" s="44" t="s">
        <v>127</v>
      </c>
      <c r="G3747" s="45" t="s">
        <v>29</v>
      </c>
      <c r="H3747" s="51">
        <v>0</v>
      </c>
      <c r="I3747" s="47"/>
      <c r="J3747" s="48">
        <f>VLOOKUP(A3747,'[1]תקציב 2026'!$A$1:$M$65536,9,0)</f>
        <v>0</v>
      </c>
      <c r="K3747" s="49">
        <f>VLOOKUP(A3747,[3]גיליון1!$A$1:$C$7693,3,0)</f>
        <v>0</v>
      </c>
      <c r="L3747" s="50">
        <f>VLOOKUP(A3747,[2]data1761205830331!$A$1:$J$65536,10,0)</f>
        <v>-989.94</v>
      </c>
      <c r="M3747" s="213"/>
    </row>
    <row r="3748" spans="1:13" ht="16.2" thickBot="1">
      <c r="A3748" s="11" t="e">
        <v>#VALUE!</v>
      </c>
      <c r="B3748" s="53" t="s">
        <v>1968</v>
      </c>
      <c r="C3748" s="223"/>
      <c r="D3748" s="55"/>
      <c r="E3748" s="56"/>
      <c r="F3748" s="116" t="s">
        <v>1966</v>
      </c>
      <c r="G3748" s="58"/>
      <c r="H3748" s="71">
        <f>J3748/K3748-1</f>
        <v>6.7114093959732557E-3</v>
      </c>
      <c r="I3748" s="60"/>
      <c r="J3748" s="62">
        <f>SUBTOTAL(9,J3744:J3747)</f>
        <v>150000000</v>
      </c>
      <c r="K3748" s="76">
        <f>SUBTOTAL(9,K3744:K3747)</f>
        <v>149000000</v>
      </c>
      <c r="L3748" s="75">
        <f>SUBTOTAL(9,L3744:L3747)</f>
        <v>139625913</v>
      </c>
      <c r="M3748" s="213"/>
    </row>
    <row r="3749" spans="1:13" ht="18.600000000000001" thickBot="1">
      <c r="A3749" s="11"/>
      <c r="B3749" s="304" t="s">
        <v>1969</v>
      </c>
      <c r="C3749" s="304"/>
      <c r="D3749" s="304"/>
      <c r="E3749" s="304"/>
      <c r="F3749" s="304"/>
      <c r="G3749" s="304"/>
      <c r="H3749" s="51">
        <f t="shared" si="60"/>
        <v>6.7236557382407636E-2</v>
      </c>
      <c r="I3749" s="271"/>
      <c r="J3749" s="272">
        <f>SUBTOTAL(9,J882:J3748)</f>
        <v>2040623000</v>
      </c>
      <c r="K3749" s="273">
        <f>SUBTOTAL(9,K882:K3748)</f>
        <v>1912062500</v>
      </c>
      <c r="L3749" s="274">
        <f>SUBTOTAL(9,L882:L3748)</f>
        <v>1841145448.3000009</v>
      </c>
      <c r="M3749" s="213"/>
    </row>
    <row r="3750" spans="1:13" ht="16.2" thickBot="1">
      <c r="A3750" s="11"/>
      <c r="B3750" s="305" t="s">
        <v>1970</v>
      </c>
      <c r="C3750" s="305"/>
      <c r="D3750" s="305"/>
      <c r="E3750" s="305"/>
      <c r="F3750" s="305"/>
      <c r="G3750" s="305"/>
      <c r="H3750" s="275"/>
      <c r="I3750" s="276"/>
      <c r="J3750" s="277">
        <v>0</v>
      </c>
      <c r="K3750" s="278">
        <v>0</v>
      </c>
      <c r="L3750" s="279">
        <v>0</v>
      </c>
      <c r="M3750" s="213"/>
    </row>
    <row r="3751" spans="1:13">
      <c r="B3751" s="280"/>
      <c r="C3751" s="281"/>
      <c r="D3751" s="280"/>
      <c r="F3751" s="79"/>
      <c r="G3751" s="282"/>
      <c r="I3751" s="283"/>
      <c r="J3751" s="284"/>
      <c r="K3751" s="79"/>
      <c r="L3751" s="285"/>
      <c r="M3751" s="213"/>
    </row>
    <row r="3752" spans="1:13" ht="15.6" hidden="1">
      <c r="A3752" s="1"/>
      <c r="B3752" s="286"/>
      <c r="C3752" s="287"/>
      <c r="D3752" s="286"/>
      <c r="E3752" s="1"/>
      <c r="F3752" s="288" t="s">
        <v>1971</v>
      </c>
      <c r="G3752" s="289"/>
      <c r="H3752" s="290"/>
      <c r="I3752" s="291"/>
      <c r="J3752" s="292"/>
      <c r="K3752" s="293">
        <f>SUM(K7:K3749)/2</f>
        <v>0</v>
      </c>
      <c r="L3752" s="294"/>
      <c r="M3752" s="213"/>
    </row>
    <row r="3753" spans="1:13" ht="15.6" hidden="1">
      <c r="A3753" s="1"/>
      <c r="B3753" s="286"/>
      <c r="C3753" s="287"/>
      <c r="D3753" s="286"/>
      <c r="E3753" s="1"/>
      <c r="F3753" s="288" t="s">
        <v>1972</v>
      </c>
      <c r="G3753" s="289"/>
      <c r="H3753" s="290"/>
      <c r="I3753" s="291"/>
      <c r="J3753" s="292"/>
      <c r="K3753" s="293">
        <f>SUM(K7:K127)</f>
        <v>0</v>
      </c>
      <c r="L3753" s="294"/>
      <c r="M3753" s="213"/>
    </row>
    <row r="3754" spans="1:13" ht="15.6" hidden="1">
      <c r="A3754" s="1"/>
      <c r="B3754" s="286"/>
      <c r="C3754" s="287"/>
      <c r="D3754" s="286"/>
      <c r="E3754" s="1"/>
      <c r="F3754" s="288" t="s">
        <v>110</v>
      </c>
      <c r="G3754" s="289"/>
      <c r="H3754" s="295" t="e">
        <f>IF(#REF!=0,0,(L3754/#REF!-1))</f>
        <v>#REF!</v>
      </c>
      <c r="I3754" s="296"/>
      <c r="J3754" s="297">
        <f>SUM(J130:J878)/2</f>
        <v>-2040623000</v>
      </c>
      <c r="K3754" s="297">
        <f>SUM(K130:K878)/2</f>
        <v>-1912062500</v>
      </c>
      <c r="L3754" s="297">
        <f>SUM(L130:L878)/2</f>
        <v>-1841145448.0000005</v>
      </c>
      <c r="M3754" s="213"/>
    </row>
    <row r="3755" spans="1:13" ht="15.6" hidden="1">
      <c r="A3755" s="1"/>
      <c r="B3755" s="286"/>
      <c r="C3755" s="287"/>
      <c r="D3755" s="286"/>
      <c r="E3755" s="1"/>
      <c r="F3755" s="288" t="s">
        <v>736</v>
      </c>
      <c r="G3755" s="289"/>
      <c r="H3755" s="295" t="e">
        <f>IF(#REF!=0,0,(L3755/#REF!-1))</f>
        <v>#REF!</v>
      </c>
      <c r="I3755" s="296"/>
      <c r="J3755" s="297">
        <f>SUM(J882:J3748)/2</f>
        <v>2040623000</v>
      </c>
      <c r="K3755" s="297">
        <f>SUM(K882:K3748)/2</f>
        <v>1912062500</v>
      </c>
      <c r="L3755" s="297">
        <f>SUM(L882:L3748)/2</f>
        <v>1841145448.3000004</v>
      </c>
      <c r="M3755" s="213"/>
    </row>
    <row r="3756" spans="1:13" ht="15.6" hidden="1">
      <c r="A3756" s="1"/>
      <c r="B3756" s="286"/>
      <c r="C3756" s="287"/>
      <c r="D3756" s="286"/>
      <c r="E3756" s="1"/>
      <c r="F3756" s="288"/>
      <c r="G3756" s="289"/>
      <c r="H3756" s="290"/>
      <c r="I3756" s="291"/>
      <c r="J3756" s="297">
        <f>SUM(J7:J3749)/2</f>
        <v>0</v>
      </c>
      <c r="K3756" s="297">
        <f>SUM(K7:K3749)/2</f>
        <v>0</v>
      </c>
      <c r="L3756" s="297">
        <f>SUM(L7:L3749)/2</f>
        <v>0.44999384880065918</v>
      </c>
      <c r="M3756" s="213"/>
    </row>
    <row r="3757" spans="1:13" ht="15.6" hidden="1">
      <c r="A3757" s="1"/>
      <c r="B3757" s="286"/>
      <c r="C3757" s="287"/>
      <c r="D3757" s="286"/>
      <c r="E3757" s="1"/>
      <c r="F3757" s="288"/>
      <c r="G3757" s="289"/>
      <c r="H3757" s="290"/>
      <c r="I3757" s="291"/>
      <c r="J3757" s="297">
        <f>J3756+J3754</f>
        <v>-2040623000</v>
      </c>
      <c r="K3757" s="297">
        <f>K3756+K3754</f>
        <v>-1912062500</v>
      </c>
      <c r="L3757" s="297">
        <f>L3756+L3754</f>
        <v>-1841145447.5500066</v>
      </c>
      <c r="M3757" s="213"/>
    </row>
    <row r="3758" spans="1:13" ht="15" hidden="1">
      <c r="A3758" s="1"/>
      <c r="B3758" s="286"/>
      <c r="C3758" s="287"/>
      <c r="D3758" s="286"/>
      <c r="E3758" s="1"/>
      <c r="F3758" s="1"/>
      <c r="G3758" s="298"/>
      <c r="H3758" s="298"/>
      <c r="I3758" s="299"/>
      <c r="J3758" s="300"/>
      <c r="K3758" s="300"/>
      <c r="L3758" s="300"/>
      <c r="M3758" s="213"/>
    </row>
    <row r="3759" spans="1:13" ht="15" hidden="1">
      <c r="A3759" s="1"/>
      <c r="B3759" s="286"/>
      <c r="C3759" s="287"/>
      <c r="D3759" s="286"/>
      <c r="E3759" s="1"/>
      <c r="F3759" s="1"/>
      <c r="G3759" s="298"/>
      <c r="H3759" s="298"/>
      <c r="I3759" s="299"/>
      <c r="J3759" s="300"/>
      <c r="K3759" s="300"/>
      <c r="L3759" s="300">
        <f>1848799141.5-1848798589.13</f>
        <v>552.36999988555908</v>
      </c>
      <c r="M3759" s="213"/>
    </row>
    <row r="3760" spans="1:13" ht="15" hidden="1">
      <c r="A3760" s="1"/>
      <c r="B3760" s="286"/>
      <c r="C3760" s="287"/>
      <c r="D3760" s="286"/>
      <c r="E3760" s="1"/>
      <c r="F3760" s="1"/>
      <c r="G3760" s="298"/>
      <c r="H3760" s="298"/>
      <c r="I3760" s="299"/>
      <c r="J3760" s="301"/>
      <c r="K3760" s="302"/>
      <c r="L3760" s="300"/>
      <c r="M3760" s="213"/>
    </row>
    <row r="3761" spans="5:12" ht="15" hidden="1">
      <c r="E3761" s="1"/>
      <c r="F3761" s="1"/>
      <c r="G3761" s="298"/>
      <c r="H3761" s="298"/>
      <c r="I3761" s="299"/>
      <c r="J3761" s="301"/>
      <c r="K3761" s="302"/>
      <c r="L3761" s="300">
        <f>1848799141.5-1847731641.5</f>
        <v>1067500</v>
      </c>
    </row>
    <row r="3762" spans="5:12" ht="15" hidden="1">
      <c r="E3762" s="303"/>
      <c r="F3762" s="1"/>
      <c r="G3762" s="298"/>
      <c r="H3762" s="298"/>
      <c r="I3762" s="299"/>
      <c r="J3762" s="301"/>
      <c r="K3762" s="302"/>
      <c r="L3762" s="300"/>
    </row>
    <row r="3763" spans="5:12" ht="15" hidden="1">
      <c r="E3763" s="303"/>
      <c r="F3763" s="1"/>
      <c r="G3763" s="298"/>
      <c r="H3763" s="298"/>
      <c r="I3763" s="299"/>
      <c r="J3763" s="301"/>
      <c r="K3763" s="302"/>
      <c r="L3763" s="300"/>
    </row>
    <row r="3764" spans="5:12" ht="15" hidden="1">
      <c r="E3764" s="303"/>
      <c r="F3764" s="1"/>
      <c r="G3764" s="298"/>
      <c r="H3764" s="298"/>
      <c r="I3764" s="299"/>
      <c r="J3764" s="301"/>
      <c r="K3764" s="302"/>
      <c r="L3764" s="300"/>
    </row>
    <row r="3765" spans="5:12" ht="15" hidden="1">
      <c r="E3765" s="303"/>
      <c r="F3765" s="1"/>
      <c r="G3765" s="298"/>
      <c r="H3765" s="298"/>
      <c r="I3765" s="299"/>
      <c r="J3765" s="301">
        <f>2040623000</f>
        <v>2040623000</v>
      </c>
      <c r="K3765" s="302"/>
      <c r="L3765" s="300"/>
    </row>
    <row r="3766" spans="5:12" ht="15" hidden="1">
      <c r="E3766" s="1"/>
      <c r="F3766" s="1"/>
      <c r="G3766" s="298"/>
      <c r="H3766" s="298"/>
      <c r="I3766" s="299"/>
      <c r="J3766" s="301">
        <f>J3765-J3749</f>
        <v>0</v>
      </c>
      <c r="K3766" s="302"/>
      <c r="L3766" s="300"/>
    </row>
    <row r="3767" spans="5:12" ht="15" hidden="1">
      <c r="E3767" s="1"/>
      <c r="F3767" s="1"/>
      <c r="G3767" s="298"/>
      <c r="H3767" s="298"/>
      <c r="I3767" s="299"/>
      <c r="J3767" s="301"/>
      <c r="K3767" s="302"/>
      <c r="L3767" s="300"/>
    </row>
    <row r="3768" spans="5:12" ht="15" hidden="1">
      <c r="E3768" s="1"/>
      <c r="F3768" s="1"/>
      <c r="G3768" s="298"/>
      <c r="H3768" s="298"/>
      <c r="I3768" s="299"/>
      <c r="J3768" s="301"/>
      <c r="K3768" s="302"/>
      <c r="L3768" s="300"/>
    </row>
    <row r="3769" spans="5:12" ht="15" hidden="1">
      <c r="E3769" s="1"/>
      <c r="F3769" s="1"/>
      <c r="G3769" s="298"/>
      <c r="H3769" s="298"/>
      <c r="I3769" s="299"/>
      <c r="J3769" s="301"/>
      <c r="K3769" s="302"/>
      <c r="L3769" s="300"/>
    </row>
  </sheetData>
  <autoFilter ref="A4:L3761"/>
  <mergeCells count="8">
    <mergeCell ref="B3749:G3749"/>
    <mergeCell ref="B3750:G3750"/>
    <mergeCell ref="B2:L2"/>
    <mergeCell ref="B128:G128"/>
    <mergeCell ref="B574:C574"/>
    <mergeCell ref="B879:G879"/>
    <mergeCell ref="B2940:C2940"/>
    <mergeCell ref="B3707:C3707"/>
  </mergeCells>
  <pageMargins left="0.23622047244094491" right="0.62992125984251968" top="0.74803149606299213" bottom="0.74803149606299213" header="0.31496062992125984" footer="0.31496062992125984"/>
  <pageSetup paperSize="9" scale="70" fitToHeight="0" orientation="portrait" r:id="rId1"/>
  <headerFooter>
    <oddFooter>&amp;C&amp;P</oddFooter>
  </headerFooter>
  <rowBreaks count="96" manualBreakCount="96">
    <brk id="48" max="16383" man="1"/>
    <brk id="83" max="16383" man="1"/>
    <brk id="128" max="16383" man="1"/>
    <brk id="174" max="16383" man="1"/>
    <brk id="211" max="16383" man="1"/>
    <brk id="242" max="16383" man="1"/>
    <brk id="276" max="16383" man="1"/>
    <brk id="320" max="16383" man="1"/>
    <brk id="356" max="16383" man="1"/>
    <brk id="399" max="16383" man="1"/>
    <brk id="447" max="16383" man="1"/>
    <brk id="494" max="16383" man="1"/>
    <brk id="537" max="16383" man="1"/>
    <brk id="654" max="16383" man="1"/>
    <brk id="698" max="16383" man="1"/>
    <brk id="738" max="16383" man="1"/>
    <brk id="782" max="16383" man="1"/>
    <brk id="822" max="16383" man="1"/>
    <brk id="865" max="16383" man="1"/>
    <brk id="879" max="16383" man="1"/>
    <brk id="911" max="16383" man="1"/>
    <brk id="933" max="16383" man="1"/>
    <brk id="959" max="16383" man="1"/>
    <brk id="983" max="16383" man="1"/>
    <brk id="1010" max="16383" man="1"/>
    <brk id="1033" max="16383" man="1"/>
    <brk id="1090" max="16383" man="1"/>
    <brk id="1117" max="16383" man="1"/>
    <brk id="1139" max="16383" man="1"/>
    <brk id="1181" max="16383" man="1"/>
    <brk id="1230" max="16383" man="1"/>
    <brk id="1259" max="16383" man="1"/>
    <brk id="1298" max="16383" man="1"/>
    <brk id="1341" max="16383" man="1"/>
    <brk id="1380" max="16383" man="1"/>
    <brk id="1425" max="16383" man="1"/>
    <brk id="1462" max="16383" man="1"/>
    <brk id="1504" max="16383" man="1"/>
    <brk id="1519" max="16383" man="1"/>
    <brk id="1568" max="16383" man="1"/>
    <brk id="1615" max="16383" man="1"/>
    <brk id="1655" max="16383" man="1"/>
    <brk id="1694" max="16383" man="1"/>
    <brk id="1729" max="16383" man="1"/>
    <brk id="1768" max="16383" man="1"/>
    <brk id="1812" max="16383" man="1"/>
    <brk id="1845" max="16383" man="1"/>
    <brk id="1895" max="16383" man="1"/>
    <brk id="1936" max="16383" man="1"/>
    <brk id="1959" max="16383" man="1"/>
    <brk id="2001" max="16383" man="1"/>
    <brk id="2033" max="16383" man="1"/>
    <brk id="2079" max="16383" man="1"/>
    <brk id="2130" max="16383" man="1"/>
    <brk id="2164" max="16383" man="1"/>
    <brk id="2217" max="16383" man="1"/>
    <brk id="2251" max="16383" man="1"/>
    <brk id="2275" max="16383" man="1"/>
    <brk id="2322" max="16383" man="1"/>
    <brk id="2359" max="16383" man="1"/>
    <brk id="2411" max="16383" man="1"/>
    <brk id="2459" max="16383" man="1"/>
    <brk id="2508" max="16383" man="1"/>
    <brk id="2548" max="16383" man="1"/>
    <brk id="2576" max="16383" man="1"/>
    <brk id="2608" max="16383" man="1"/>
    <brk id="2642" max="16383" man="1"/>
    <brk id="2672" max="16383" man="1"/>
    <brk id="2707" max="16383" man="1"/>
    <brk id="2742" max="16383" man="1"/>
    <brk id="2773" max="16383" man="1"/>
    <brk id="2806" max="16383" man="1"/>
    <brk id="2850" max="16383" man="1"/>
    <brk id="2876" max="16383" man="1"/>
    <brk id="2902" max="16383" man="1"/>
    <brk id="2954" max="16383" man="1"/>
    <brk id="3000" max="16383" man="1"/>
    <brk id="3035" max="16383" man="1"/>
    <brk id="3076" max="16383" man="1"/>
    <brk id="3117" max="16383" man="1"/>
    <brk id="3168" max="16383" man="1"/>
    <brk id="3216" max="16383" man="1"/>
    <brk id="3241" max="16383" man="1"/>
    <brk id="3283" max="16383" man="1"/>
    <brk id="3299" max="16383" man="1"/>
    <brk id="3337" max="16383" man="1"/>
    <brk id="3384" max="16383" man="1"/>
    <brk id="3416" max="16383" man="1"/>
    <brk id="3468" max="16383" man="1"/>
    <brk id="3496" max="16383" man="1"/>
    <brk id="3538" max="16383" man="1"/>
    <brk id="3561" max="16383" man="1"/>
    <brk id="3610" max="16383" man="1"/>
    <brk id="3641" max="16383" man="1"/>
    <brk id="3692" max="16383" man="1"/>
    <brk id="3707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04953887E23A5F47B95227BBABF774FB" ma:contentTypeVersion="2" ma:contentTypeDescription="צור מסמך חדש." ma:contentTypeScope="" ma:versionID="7e7a471c8d5aeadf93569393a13fc14d">
  <xsd:schema xmlns:xsd="http://www.w3.org/2001/XMLSchema" xmlns:xs="http://www.w3.org/2001/XMLSchema" xmlns:p="http://schemas.microsoft.com/office/2006/metadata/properties" xmlns:ns1="http://schemas.microsoft.com/sharepoint/v3" xmlns:ns2="dd6699a1-9858-4bae-a4e4-db09dfcb2b2b" targetNamespace="http://schemas.microsoft.com/office/2006/metadata/properties" ma:root="true" ma:fieldsID="c3008766b9e9ba43cad0dc4fa450a134" ns1:_="" ns2:_="">
    <xsd:import namespace="http://schemas.microsoft.com/sharepoint/v3"/>
    <xsd:import namespace="dd6699a1-9858-4bae-a4e4-db09dfcb2b2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מתזמן תאריך התחלה" ma:description="'מתזמן תאריך התחלה' הוא עמודת אתר שיוצרת תכונת הפרסום. היא משמשת לציון התאריך והשעה שבהם יופיע הדף לראשונה בפני מבקרי האתר." ma:hidden="true" ma:internalName="PublishingStartDate">
      <xsd:simpleType>
        <xsd:restriction base="dms:Unknown"/>
      </xsd:simpleType>
    </xsd:element>
    <xsd:element name="PublishingExpirationDate" ma:index="9" nillable="true" ma:displayName="מתזמן תאריך סיום" ma:description="'תזמון תאריך הסיום' הוא עמודת אתר שיוצרת תכונת הפרסום. היא משמשת לציון התאריך והשעה שבהם הדף לא יופיע עוד בפני מבקרי האתר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699a1-9858-4bae-a4e4-db09dfcb2b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משותף עם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CE1AD33-DF71-44C2-AA65-1CA3E82BAD8B}"/>
</file>

<file path=customXml/itemProps2.xml><?xml version="1.0" encoding="utf-8"?>
<ds:datastoreItem xmlns:ds="http://schemas.openxmlformats.org/officeDocument/2006/customXml" ds:itemID="{F335FBA4-BA71-4E29-BC83-954D9BFC4D9E}"/>
</file>

<file path=customXml/itemProps3.xml><?xml version="1.0" encoding="utf-8"?>
<ds:datastoreItem xmlns:ds="http://schemas.openxmlformats.org/officeDocument/2006/customXml" ds:itemID="{ED799BB5-6243-4C88-A0F1-C0BD6BE7C3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2</vt:i4>
      </vt:variant>
    </vt:vector>
  </HeadingPairs>
  <TitlesOfParts>
    <vt:vector size="3" baseType="lpstr">
      <vt:lpstr>תקציב 2026</vt:lpstr>
      <vt:lpstr>'תקציב 2026'!WPrint_Area_W</vt:lpstr>
      <vt:lpstr>'תקציב 2026'!WPrint_TitlesW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עדנה פאר</dc:creator>
  <cp:lastModifiedBy>עדנה פאר</cp:lastModifiedBy>
  <dcterms:created xsi:type="dcterms:W3CDTF">2026-01-04T07:10:49Z</dcterms:created>
  <dcterms:modified xsi:type="dcterms:W3CDTF">2026-01-04T07:13:49Z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0x01010004953887E23A5F47B95227BBABF774FB</vt:lpwstr>
  </property>
</Properties>
</file>